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7F6F76FC-7A7E-4216-889C-1D8799CADCF3}" xr6:coauthVersionLast="45" xr6:coauthVersionMax="45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removed_bSIR" sheetId="22" r:id="rId4"/>
    <sheet name="New_removed - bSIR" sheetId="23" r:id="rId5"/>
    <sheet name="New_removed_rate - bSIR" sheetId="24" r:id="rId6"/>
  </sheets>
  <definedNames>
    <definedName name="_xlcn.WorksheetConnection_COVID19ItalycasestrendBfit.xlsxdpc_covid19_ita_andamento_nazionale1" hidden="1">dpc_covid19_ita_andamento_nazionale</definedName>
    <definedName name="alpha">'New_removed_rate - bSIR'!$I$6</definedName>
    <definedName name="CI">Cumul_removed_bSIR!$AD$16</definedName>
    <definedName name="CIa">'New_removed - bSIR'!$AS$41</definedName>
    <definedName name="CIf">'New_removed - bSIR'!$AS$54</definedName>
    <definedName name="CIl">'New_removed - bSIR'!$AS$28</definedName>
    <definedName name="CIl_m">'New_removed - bSIR'!$AV$28</definedName>
    <definedName name="CIo">Cumul_removed_bSIR!$AD$38</definedName>
    <definedName name="CIr">Cumul_removed_bSIR!$AD$27</definedName>
    <definedName name="CIt">Cumul_removed_bSIR!$AD$49</definedName>
    <definedName name="CIw">'New_removed - bSIR'!$AS$16</definedName>
    <definedName name="Critical_t">Cumul_removed_bSIR!$AD$15</definedName>
    <definedName name="Critical_ta">'New_removed - bSIR'!$AS$40</definedName>
    <definedName name="Critical_tf">'New_removed - bSIR'!$AS$53</definedName>
    <definedName name="Critical_tl">'New_removed - bSIR'!$AS$27</definedName>
    <definedName name="Critical_tl_m">'New_removed - bSIR'!$AV$27</definedName>
    <definedName name="Critical_to">Cumul_removed_bSIR!$AD$37</definedName>
    <definedName name="Critical_tr">Cumul_removed_bSIR!$AD$26</definedName>
    <definedName name="Critical_tt">Cumul_removed_bSIR!$AD$48</definedName>
    <definedName name="Critical_tw">'New_removed - bSIR'!$AS$15</definedName>
    <definedName name="D_bk">'New_removed - bSIR'!$J$6</definedName>
    <definedName name="DatiEsterni_1" localSheetId="1" hidden="1">'dpc-covid19-ita-andamento-naz'!$A$1:$P$103</definedName>
    <definedName name="DatiEsterni_1" localSheetId="2" hidden="1">'dpc-covid19-ita-regioni'!$A$1:$T$2143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'New_removed - bSIR'!$C$62</definedName>
    <definedName name="Days_back">Cumul_removed_bSIR!$H$6</definedName>
    <definedName name="df">Cumul_removed_bSIR!$AD$12</definedName>
    <definedName name="dfa">'New_removed - bSIR'!$AS$37</definedName>
    <definedName name="dff">'New_removed - bSIR'!$AS$50</definedName>
    <definedName name="dfl">'New_removed - bSIR'!$AS$24</definedName>
    <definedName name="dfl_m">'New_removed - bSIR'!$AV$24</definedName>
    <definedName name="dfo">Cumul_removed_bSIR!$AD$34</definedName>
    <definedName name="dfr">Cumul_removed_bSIR!$AD$23</definedName>
    <definedName name="dft">Cumul_removed_bSIR!$AD$45</definedName>
    <definedName name="dfw">'New_removed - bSIR'!$AS$12</definedName>
    <definedName name="Itali_acc_at_lockdown">'New_removed_rate - bSIR'!$Z$4</definedName>
    <definedName name="Italy_dt_at_lockdown">'New_removed_rate - bSIR'!$I$4</definedName>
    <definedName name="Italy_gr_at_lockdown">'New_removed_rate - bSIR'!$P$4</definedName>
    <definedName name="Italy_ht_at_lockdown">'New_removed_rate - bSIR'!$X$4</definedName>
    <definedName name="k_a">'New_removed - bSIR'!$AP$4</definedName>
    <definedName name="k_f">'New_removed - bSIR'!$AP$5</definedName>
    <definedName name="k_l">'New_removed - bSIR'!$AP$3</definedName>
    <definedName name="K_sum">Cumul_removed_bSIR!$AD$17</definedName>
    <definedName name="Ka">'New_removed - bSIR'!$AS$33</definedName>
    <definedName name="Kf">'New_removed - bSIR'!$AS$46</definedName>
    <definedName name="Kl">'New_removed - bSIR'!$AS$20</definedName>
    <definedName name="kl_m">'New_removed - bSIR'!$AV$20</definedName>
    <definedName name="Ko">Cumul_removed_bSIR!$AD$30</definedName>
    <definedName name="Kr">Cumul_removed_bSIR!$AD$19</definedName>
    <definedName name="Kt">Cumul_removed_bSIR!$AD$41</definedName>
    <definedName name="Mean_of_y">Cumul_removed_bSIR!$AD$11</definedName>
    <definedName name="Mean_of_ya">'New_removed - bSIR'!$AS$36</definedName>
    <definedName name="Mean_of_yf">'New_removed - bSIR'!$AS$49</definedName>
    <definedName name="Mean_of_yl">'New_removed - bSIR'!$AS$23</definedName>
    <definedName name="Mean_of_yl_m">'New_removed - bSIR'!$AV$23</definedName>
    <definedName name="Mean_of_yo">Cumul_removed_bSIR!$AD$33</definedName>
    <definedName name="Mean_of_yr">Cumul_removed_bSIR!$AD$22</definedName>
    <definedName name="Mean_of_yt">Cumul_removed_bSIR!$AD$44</definedName>
    <definedName name="Mean_of_yw">'New_removed - bSIR'!$AS$11</definedName>
    <definedName name="Oggi">Cumul_removed_bSIR!$B$6</definedName>
    <definedName name="pa">'New_removed - bSIR'!$AS$44</definedName>
    <definedName name="Peak_w">'New_removed - bSIR'!$AS$17</definedName>
    <definedName name="pf">'New_removed - bSIR'!$AS$57</definedName>
    <definedName name="phi_a">'New_removed - bSIR'!$AS$34</definedName>
    <definedName name="phi_f">'New_removed - bSIR'!$AS$47</definedName>
    <definedName name="phi_l">'New_removed - bSIR'!$AS$21</definedName>
    <definedName name="phi_l_m">'New_removed - bSIR'!$AV$21</definedName>
    <definedName name="phi_o">Cumul_removed_bSIR!$AD$31</definedName>
    <definedName name="phi_r">Cumul_removed_bSIR!$AD$20</definedName>
    <definedName name="phi_t">Cumul_removed_bSIR!$AD$42</definedName>
    <definedName name="pl">'New_removed - bSIR'!$AS$31</definedName>
    <definedName name="pl_m">'New_removed - bSIR'!$AV$31</definedName>
    <definedName name="po">Cumul_removed_bSIR!$AD$39</definedName>
    <definedName name="pr">Cumul_removed_bSIR!$AD$28</definedName>
    <definedName name="psi_a">'New_removed - bSIR'!$AS$35</definedName>
    <definedName name="psi_f">'New_removed - bSIR'!$AS$48</definedName>
    <definedName name="psi_l">'New_removed - bSIR'!$AS$22</definedName>
    <definedName name="psi_l_m">'New_removed - bSIR'!$AV$22</definedName>
    <definedName name="psi_o">Cumul_removed_bSIR!$AD$32</definedName>
    <definedName name="psi_r">Cumul_removed_bSIR!$AD$21</definedName>
    <definedName name="psi_t">Cumul_removed_bSIR!$AD$43</definedName>
    <definedName name="pt">Cumul_removed_bSIR!$AD$50</definedName>
    <definedName name="RSQ">Cumul_removed_bSIR!$AD$14</definedName>
    <definedName name="RSQa">'New_removed - bSIR'!$AS$39</definedName>
    <definedName name="RSQf">'New_removed - bSIR'!$AS$52</definedName>
    <definedName name="RSQl">'New_removed - bSIR'!$AS$26</definedName>
    <definedName name="RSQl_m">'New_removed - bSIR'!$AV$26</definedName>
    <definedName name="RSQo">Cumul_removed_bSIR!$AD$36</definedName>
    <definedName name="RSQr">Cumul_removed_bSIR!$AD$25</definedName>
    <definedName name="RSQt">Cumul_removed_bSIR!$AD$47</definedName>
    <definedName name="RSQw">'New_removed - bSIR'!$AS$14</definedName>
    <definedName name="SE_of_y">Cumul_removed_bSIR!$AD$13</definedName>
    <definedName name="SE_of_ya">'New_removed - bSIR'!$AS$38</definedName>
    <definedName name="SE_of_yf">'New_removed - bSIR'!$AS$51</definedName>
    <definedName name="SE_of_yl">'New_removed - bSIR'!$AS$25</definedName>
    <definedName name="SE_of_yl_m">'New_removed - bSIR'!$AV$25</definedName>
    <definedName name="SE_of_yo">Cumul_removed_bSIR!$AD$35</definedName>
    <definedName name="SE_of_yr">Cumul_removed_bSIR!$AD$24</definedName>
    <definedName name="SE_of_yt">Cumul_removed_bSIR!$AD$46</definedName>
    <definedName name="SE_of_yw">'New_removed - bSIR'!$AS$13</definedName>
    <definedName name="solver_adj" localSheetId="3" hidden="1">Cumul_removed_bSIR!$AD$30,Cumul_removed_bSIR!$AD$31,Cumul_removed_bSIR!$AD$32,Cumul_removed_bSIR!$AD$39</definedName>
    <definedName name="solver_adj" localSheetId="4" hidden="1">'New_removed - bSIR'!$AS$20:$AS$22,'New_removed - bSIR'!$AS$31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'New_removed - bSIR'!$AJ$75</definedName>
    <definedName name="solver_lhs1" localSheetId="3" hidden="1">Cumul_removed_bSIR!$AD$32</definedName>
    <definedName name="solver_lhs1" localSheetId="4" hidden="1">'New_removed - bSIR'!$AS$20</definedName>
    <definedName name="solver_lhs2" localSheetId="3" hidden="1">Cumul_removed_bSIR!$AD$43</definedName>
    <definedName name="solver_lhs2" localSheetId="4" hidden="1">'New_removed - bSIR'!$AS$31</definedName>
    <definedName name="solver_lhs3" localSheetId="3" hidden="1">Cumul_removed_bSIR!$AD$21</definedName>
    <definedName name="solver_lhs3" localSheetId="4" hidden="1">'New_removed - bSIR'!$AS$22</definedName>
    <definedName name="solver_lhs4" localSheetId="3" hidden="1">Cumul_removed_bSIR!#REF!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3</definedName>
    <definedName name="solver_nwt" localSheetId="3" hidden="1">1</definedName>
    <definedName name="solver_nwt" localSheetId="4" hidden="1">1</definedName>
    <definedName name="solver_opt" localSheetId="3" hidden="1">Cumul_removed_bSIR!$AD$36</definedName>
    <definedName name="solver_opt" localSheetId="4" hidden="1">'New_removed - bSIR'!$AS$26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3</definedName>
    <definedName name="solver_rel2" localSheetId="3" hidden="1">3</definedName>
    <definedName name="solver_rel2" localSheetId="4" hidden="1">3</definedName>
    <definedName name="solver_rel3" localSheetId="3" hidden="1">3</definedName>
    <definedName name="solver_rel3" localSheetId="4" hidden="1">3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8970</definedName>
    <definedName name="solver_rhs2" localSheetId="3" hidden="1">0.000001</definedName>
    <definedName name="solver_rhs2" localSheetId="4" hidden="1">54</definedName>
    <definedName name="solver_rhs3" localSheetId="3" hidden="1">0.000001</definedName>
    <definedName name="solver_rhs3" localSheetId="4" hidden="1">0.000001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2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Cumul_removed_bSIR!$B$8</definedName>
    <definedName name="y_a_peak">'New_removed - bSIR'!$AS$42</definedName>
    <definedName name="y_f_peak">'New_removed - bSIR'!$AS$55</definedName>
    <definedName name="y_l_peak">'New_removed - bSIR'!$AS$29</definedName>
    <definedName name="y_l_peak_m">'New_removed - bSIR'!$AV$29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162" i="24" l="1"/>
  <c r="BC162" i="24" s="1"/>
  <c r="BB163" i="24"/>
  <c r="BC163" i="24"/>
  <c r="AG162" i="24"/>
  <c r="AH162" i="24" s="1"/>
  <c r="AG163" i="24"/>
  <c r="AH163" i="24"/>
  <c r="E162" i="24"/>
  <c r="F162" i="24"/>
  <c r="E163" i="24"/>
  <c r="F163" i="24" s="1"/>
  <c r="D162" i="24"/>
  <c r="D163" i="24"/>
  <c r="AG162" i="23"/>
  <c r="AH163" i="23" s="1"/>
  <c r="AH162" i="23"/>
  <c r="AG163" i="23"/>
  <c r="V162" i="23"/>
  <c r="V163" i="23"/>
  <c r="S162" i="23"/>
  <c r="T162" i="23" s="1"/>
  <c r="S163" i="23"/>
  <c r="T163" i="23" s="1"/>
  <c r="E161" i="23"/>
  <c r="E162" i="23"/>
  <c r="E163" i="23"/>
  <c r="D161" i="23"/>
  <c r="D162" i="23"/>
  <c r="D163" i="23"/>
  <c r="U162" i="22"/>
  <c r="U163" i="22"/>
  <c r="D160" i="22"/>
  <c r="D161" i="22"/>
  <c r="D162" i="22"/>
  <c r="D163" i="22"/>
  <c r="N160" i="22"/>
  <c r="N161" i="22"/>
  <c r="N162" i="22"/>
  <c r="N163" i="22"/>
  <c r="BD163" i="24" l="1"/>
  <c r="BD162" i="24"/>
  <c r="AI163" i="24"/>
  <c r="AI162" i="24"/>
  <c r="AV31" i="23"/>
  <c r="AV22" i="23"/>
  <c r="AV21" i="23"/>
  <c r="AV20" i="23"/>
  <c r="D158" i="24"/>
  <c r="D159" i="23"/>
  <c r="D160" i="23"/>
  <c r="E160" i="23" s="1"/>
  <c r="D158" i="22"/>
  <c r="D159" i="22"/>
  <c r="D159" i="24" s="1"/>
  <c r="D160" i="24"/>
  <c r="D161" i="24"/>
  <c r="N158" i="22"/>
  <c r="N159" i="22"/>
  <c r="AG159" i="24" l="1"/>
  <c r="AG161" i="24"/>
  <c r="S161" i="23"/>
  <c r="AG158" i="24"/>
  <c r="AG160" i="24"/>
  <c r="S160" i="23"/>
  <c r="E161" i="24"/>
  <c r="E159" i="24"/>
  <c r="E160" i="24"/>
  <c r="F161" i="24" s="1"/>
  <c r="U160" i="22"/>
  <c r="U161" i="22"/>
  <c r="U159" i="22"/>
  <c r="BB159" i="24" s="1"/>
  <c r="AH159" i="24"/>
  <c r="D147" i="23"/>
  <c r="D148" i="23"/>
  <c r="D149" i="23"/>
  <c r="D150" i="23"/>
  <c r="D151" i="23"/>
  <c r="D152" i="23"/>
  <c r="D153" i="23"/>
  <c r="D154" i="23"/>
  <c r="D155" i="23"/>
  <c r="D156" i="23"/>
  <c r="D157" i="23"/>
  <c r="E158" i="23" s="1"/>
  <c r="D158" i="23"/>
  <c r="E159" i="23" s="1"/>
  <c r="D147" i="22"/>
  <c r="D147" i="24" s="1"/>
  <c r="D148" i="22"/>
  <c r="D148" i="24" s="1"/>
  <c r="D149" i="22"/>
  <c r="D149" i="24" s="1"/>
  <c r="D150" i="22"/>
  <c r="D150" i="24" s="1"/>
  <c r="D151" i="22"/>
  <c r="D151" i="24" s="1"/>
  <c r="D152" i="22"/>
  <c r="D152" i="24" s="1"/>
  <c r="D153" i="22"/>
  <c r="D153" i="24" s="1"/>
  <c r="D154" i="22"/>
  <c r="D154" i="24" s="1"/>
  <c r="D155" i="22"/>
  <c r="D155" i="24" s="1"/>
  <c r="D156" i="22"/>
  <c r="D156" i="24" s="1"/>
  <c r="D157" i="22"/>
  <c r="D157" i="24" s="1"/>
  <c r="E158" i="24" s="1"/>
  <c r="F159" i="24" s="1"/>
  <c r="N155" i="22"/>
  <c r="N148" i="22"/>
  <c r="N154" i="22"/>
  <c r="N151" i="22"/>
  <c r="N157" i="22"/>
  <c r="N153" i="22"/>
  <c r="N147" i="22"/>
  <c r="N156" i="22"/>
  <c r="N152" i="22"/>
  <c r="N150" i="22"/>
  <c r="N149" i="22"/>
  <c r="AG149" i="24" l="1"/>
  <c r="AG150" i="24"/>
  <c r="AG152" i="24"/>
  <c r="AG156" i="24"/>
  <c r="AH157" i="24" s="1"/>
  <c r="AG153" i="24"/>
  <c r="AG157" i="24"/>
  <c r="AH158" i="24" s="1"/>
  <c r="AI159" i="24" s="1"/>
  <c r="AG151" i="24"/>
  <c r="AG154" i="24"/>
  <c r="AG155" i="24"/>
  <c r="AI160" i="24"/>
  <c r="T161" i="23"/>
  <c r="AH161" i="24"/>
  <c r="AH160" i="24"/>
  <c r="E151" i="24"/>
  <c r="E149" i="24"/>
  <c r="E157" i="23"/>
  <c r="E156" i="23"/>
  <c r="F160" i="24"/>
  <c r="E152" i="24"/>
  <c r="F152" i="24" s="1"/>
  <c r="E157" i="24"/>
  <c r="F158" i="24" s="1"/>
  <c r="AG160" i="23"/>
  <c r="BB160" i="24"/>
  <c r="E154" i="24"/>
  <c r="E156" i="24"/>
  <c r="E155" i="23"/>
  <c r="E153" i="24"/>
  <c r="F154" i="24" s="1"/>
  <c r="E152" i="23"/>
  <c r="E153" i="23"/>
  <c r="E150" i="24"/>
  <c r="F151" i="24" s="1"/>
  <c r="E148" i="24"/>
  <c r="BB161" i="24"/>
  <c r="AG161" i="23"/>
  <c r="E155" i="24"/>
  <c r="E154" i="23"/>
  <c r="E150" i="23"/>
  <c r="S155" i="23"/>
  <c r="T156" i="23" s="1"/>
  <c r="U157" i="22"/>
  <c r="S157" i="23"/>
  <c r="S150" i="23"/>
  <c r="S152" i="23"/>
  <c r="S156" i="23"/>
  <c r="S153" i="23"/>
  <c r="T154" i="23" s="1"/>
  <c r="S151" i="23"/>
  <c r="T152" i="23" s="1"/>
  <c r="S149" i="23"/>
  <c r="T150" i="23" s="1"/>
  <c r="S154" i="23"/>
  <c r="U154" i="22"/>
  <c r="S148" i="23"/>
  <c r="S159" i="23"/>
  <c r="T160" i="23" s="1"/>
  <c r="S158" i="23"/>
  <c r="T159" i="23" s="1"/>
  <c r="AG159" i="23"/>
  <c r="U158" i="22"/>
  <c r="U150" i="22"/>
  <c r="U155" i="22"/>
  <c r="U153" i="22"/>
  <c r="U156" i="22"/>
  <c r="U152" i="22"/>
  <c r="U151" i="22"/>
  <c r="E151" i="23"/>
  <c r="E149" i="23"/>
  <c r="E148" i="23"/>
  <c r="D142" i="24"/>
  <c r="E143" i="24" s="1"/>
  <c r="D141" i="23"/>
  <c r="D142" i="23"/>
  <c r="D143" i="23"/>
  <c r="D144" i="23"/>
  <c r="D145" i="23"/>
  <c r="D146" i="23"/>
  <c r="E147" i="23" s="1"/>
  <c r="D141" i="22"/>
  <c r="D141" i="24" s="1"/>
  <c r="D142" i="22"/>
  <c r="D143" i="22"/>
  <c r="D143" i="24" s="1"/>
  <c r="D144" i="22"/>
  <c r="D144" i="24" s="1"/>
  <c r="D145" i="22"/>
  <c r="D145" i="24" s="1"/>
  <c r="D146" i="22"/>
  <c r="D146" i="24" s="1"/>
  <c r="E147" i="24" s="1"/>
  <c r="N140" i="22"/>
  <c r="N142" i="22"/>
  <c r="N139" i="22"/>
  <c r="N144" i="22"/>
  <c r="N146" i="22"/>
  <c r="N136" i="22"/>
  <c r="N137" i="22"/>
  <c r="N138" i="22"/>
  <c r="N141" i="22"/>
  <c r="N145" i="22"/>
  <c r="N143" i="22"/>
  <c r="AH156" i="24" l="1"/>
  <c r="AI157" i="24" s="1"/>
  <c r="AH154" i="24"/>
  <c r="AH155" i="24"/>
  <c r="AI156" i="24" s="1"/>
  <c r="AH152" i="24"/>
  <c r="AI153" i="24" s="1"/>
  <c r="T158" i="23"/>
  <c r="AI158" i="24"/>
  <c r="AI161" i="24"/>
  <c r="AH153" i="24"/>
  <c r="AI154" i="24" s="1"/>
  <c r="BC161" i="24"/>
  <c r="AH150" i="24"/>
  <c r="AI151" i="24" s="1"/>
  <c r="AH151" i="24"/>
  <c r="BC160" i="24"/>
  <c r="F150" i="24"/>
  <c r="AG152" i="23"/>
  <c r="BB152" i="24"/>
  <c r="BC153" i="24" s="1"/>
  <c r="AG156" i="23"/>
  <c r="BB156" i="24"/>
  <c r="AG153" i="23"/>
  <c r="BB153" i="24"/>
  <c r="F156" i="24"/>
  <c r="F155" i="24"/>
  <c r="AG154" i="23"/>
  <c r="BB154" i="24"/>
  <c r="AG151" i="23"/>
  <c r="BB151" i="24"/>
  <c r="AG155" i="23"/>
  <c r="BB155" i="24"/>
  <c r="F157" i="24"/>
  <c r="AG150" i="23"/>
  <c r="AH151" i="23" s="1"/>
  <c r="BB150" i="24"/>
  <c r="AH160" i="23"/>
  <c r="AH161" i="23"/>
  <c r="AG158" i="23"/>
  <c r="BB158" i="24"/>
  <c r="BC159" i="24" s="1"/>
  <c r="E146" i="24"/>
  <c r="F147" i="24" s="1"/>
  <c r="F148" i="24"/>
  <c r="F149" i="24"/>
  <c r="F153" i="24"/>
  <c r="AG157" i="23"/>
  <c r="BB157" i="24"/>
  <c r="T155" i="23"/>
  <c r="T149" i="23"/>
  <c r="T157" i="23"/>
  <c r="V161" i="23" s="1"/>
  <c r="T153" i="23"/>
  <c r="V156" i="23" s="1"/>
  <c r="W156" i="23" s="1"/>
  <c r="T151" i="23"/>
  <c r="E146" i="23"/>
  <c r="E145" i="23"/>
  <c r="E144" i="23"/>
  <c r="S139" i="23"/>
  <c r="S145" i="23"/>
  <c r="T146" i="23" s="1"/>
  <c r="AG145" i="24"/>
  <c r="AG142" i="24"/>
  <c r="S142" i="23"/>
  <c r="AG140" i="24"/>
  <c r="S140" i="23"/>
  <c r="AG141" i="24"/>
  <c r="S141" i="23"/>
  <c r="S137" i="23"/>
  <c r="AG148" i="24"/>
  <c r="AH149" i="24" s="1"/>
  <c r="U148" i="22"/>
  <c r="S136" i="23"/>
  <c r="U147" i="22"/>
  <c r="V147" i="22" s="1"/>
  <c r="S147" i="23"/>
  <c r="AG147" i="24"/>
  <c r="S138" i="23"/>
  <c r="S146" i="23"/>
  <c r="AG146" i="24"/>
  <c r="S144" i="23"/>
  <c r="AG144" i="24"/>
  <c r="AG143" i="24"/>
  <c r="S143" i="23"/>
  <c r="U146" i="22"/>
  <c r="V146" i="22" s="1"/>
  <c r="U142" i="22"/>
  <c r="AG142" i="23" s="1"/>
  <c r="E143" i="23"/>
  <c r="E142" i="24"/>
  <c r="F143" i="24" s="1"/>
  <c r="E142" i="23"/>
  <c r="U145" i="22"/>
  <c r="BB145" i="24" s="1"/>
  <c r="E145" i="24"/>
  <c r="F146" i="24" s="1"/>
  <c r="E144" i="24"/>
  <c r="F144" i="24" s="1"/>
  <c r="U144" i="22"/>
  <c r="U149" i="22"/>
  <c r="U143" i="22"/>
  <c r="BD160" i="24" l="1"/>
  <c r="AH158" i="23"/>
  <c r="BC151" i="24"/>
  <c r="V158" i="23"/>
  <c r="W158" i="23" s="1"/>
  <c r="V159" i="23"/>
  <c r="W159" i="23" s="1"/>
  <c r="V160" i="23"/>
  <c r="W160" i="23" s="1"/>
  <c r="AI155" i="24"/>
  <c r="T144" i="23"/>
  <c r="AI150" i="24"/>
  <c r="BD161" i="24"/>
  <c r="AH144" i="24"/>
  <c r="AI152" i="24"/>
  <c r="AH159" i="23"/>
  <c r="AH153" i="23"/>
  <c r="BC157" i="24"/>
  <c r="AH155" i="23"/>
  <c r="BD154" i="24"/>
  <c r="AH154" i="23"/>
  <c r="AG149" i="23"/>
  <c r="AH150" i="23" s="1"/>
  <c r="BB149" i="24"/>
  <c r="BC150" i="24" s="1"/>
  <c r="BD151" i="24" s="1"/>
  <c r="AH152" i="23"/>
  <c r="BC156" i="24"/>
  <c r="BD157" i="24" s="1"/>
  <c r="BC152" i="24"/>
  <c r="BD153" i="24" s="1"/>
  <c r="BC155" i="24"/>
  <c r="BC154" i="24"/>
  <c r="BD155" i="24" s="1"/>
  <c r="AG148" i="23"/>
  <c r="BB148" i="24"/>
  <c r="BC149" i="24" s="1"/>
  <c r="BC158" i="24"/>
  <c r="BD159" i="24" s="1"/>
  <c r="AH156" i="23"/>
  <c r="AH157" i="23"/>
  <c r="V155" i="23"/>
  <c r="W155" i="23" s="1"/>
  <c r="T143" i="23"/>
  <c r="U143" i="23" s="1"/>
  <c r="AH148" i="24"/>
  <c r="AI149" i="24" s="1"/>
  <c r="AH143" i="24"/>
  <c r="AI144" i="24" s="1"/>
  <c r="AH146" i="24"/>
  <c r="V154" i="23"/>
  <c r="W154" i="23" s="1"/>
  <c r="U146" i="23"/>
  <c r="T140" i="23"/>
  <c r="U140" i="23" s="1"/>
  <c r="V153" i="23"/>
  <c r="W153" i="23" s="1"/>
  <c r="V157" i="23"/>
  <c r="W157" i="23" s="1"/>
  <c r="T148" i="23"/>
  <c r="AG146" i="23"/>
  <c r="BB142" i="24"/>
  <c r="V142" i="22"/>
  <c r="AH145" i="24"/>
  <c r="V148" i="22"/>
  <c r="T145" i="23"/>
  <c r="U149" i="23"/>
  <c r="BB146" i="24"/>
  <c r="BC146" i="24"/>
  <c r="AH147" i="24"/>
  <c r="T147" i="23"/>
  <c r="V150" i="23" s="1"/>
  <c r="W150" i="23" s="1"/>
  <c r="T141" i="23"/>
  <c r="U144" i="23"/>
  <c r="T142" i="23"/>
  <c r="BB147" i="24"/>
  <c r="AH142" i="24"/>
  <c r="AI143" i="24" s="1"/>
  <c r="AG147" i="23"/>
  <c r="AH141" i="24"/>
  <c r="AG145" i="23"/>
  <c r="V145" i="22"/>
  <c r="AG143" i="23"/>
  <c r="AH143" i="23" s="1"/>
  <c r="AI143" i="23" s="1"/>
  <c r="BB143" i="24"/>
  <c r="V143" i="22"/>
  <c r="V149" i="22"/>
  <c r="V144" i="22"/>
  <c r="AG144" i="23"/>
  <c r="BB144" i="24"/>
  <c r="BC145" i="24" s="1"/>
  <c r="F145" i="24"/>
  <c r="D136" i="23"/>
  <c r="D137" i="23"/>
  <c r="D138" i="23"/>
  <c r="D139" i="23"/>
  <c r="D140" i="23"/>
  <c r="E141" i="23" s="1"/>
  <c r="F141" i="23" s="1"/>
  <c r="F142" i="23"/>
  <c r="D136" i="22"/>
  <c r="D137" i="22"/>
  <c r="D138" i="22"/>
  <c r="D139" i="22"/>
  <c r="D139" i="24" s="1"/>
  <c r="D140" i="22"/>
  <c r="D140" i="24" s="1"/>
  <c r="E141" i="24" s="1"/>
  <c r="F142" i="24" s="1"/>
  <c r="AI146" i="24" l="1"/>
  <c r="BD152" i="24"/>
  <c r="V149" i="23"/>
  <c r="W149" i="23" s="1"/>
  <c r="AH149" i="23"/>
  <c r="BD156" i="24"/>
  <c r="BD158" i="24"/>
  <c r="BD150" i="24"/>
  <c r="BC148" i="24"/>
  <c r="BD149" i="24" s="1"/>
  <c r="V152" i="23"/>
  <c r="W152" i="23" s="1"/>
  <c r="U148" i="23"/>
  <c r="AI145" i="24"/>
  <c r="U147" i="23"/>
  <c r="V151" i="23"/>
  <c r="W151" i="23" s="1"/>
  <c r="AI148" i="24"/>
  <c r="AI142" i="24"/>
  <c r="AH146" i="23"/>
  <c r="AI146" i="23" s="1"/>
  <c r="AH147" i="23"/>
  <c r="AI147" i="23" s="1"/>
  <c r="AH148" i="23"/>
  <c r="AI149" i="23"/>
  <c r="BC147" i="24"/>
  <c r="U141" i="23"/>
  <c r="V145" i="23"/>
  <c r="U142" i="23"/>
  <c r="V146" i="23"/>
  <c r="BD146" i="24"/>
  <c r="AI147" i="24"/>
  <c r="V148" i="23"/>
  <c r="V144" i="23"/>
  <c r="U145" i="23"/>
  <c r="AH145" i="23"/>
  <c r="AI145" i="23" s="1"/>
  <c r="V147" i="23"/>
  <c r="BC144" i="24"/>
  <c r="BD145" i="24" s="1"/>
  <c r="BC143" i="24"/>
  <c r="AH144" i="23"/>
  <c r="AI144" i="23" s="1"/>
  <c r="E139" i="23"/>
  <c r="F139" i="23" s="1"/>
  <c r="E140" i="23"/>
  <c r="F140" i="23" s="1"/>
  <c r="E140" i="24"/>
  <c r="F141" i="24" s="1"/>
  <c r="U141" i="22"/>
  <c r="U140" i="22"/>
  <c r="AS20" i="23"/>
  <c r="BY20" i="24" s="1"/>
  <c r="AS21" i="23"/>
  <c r="BY21" i="24" s="1"/>
  <c r="AS22" i="23"/>
  <c r="BY22" i="24" s="1"/>
  <c r="AS31" i="23"/>
  <c r="BY31" i="24" s="1"/>
  <c r="AS34" i="23"/>
  <c r="BY34" i="24" s="1"/>
  <c r="AS35" i="23"/>
  <c r="BY35" i="24" s="1"/>
  <c r="AS44" i="23"/>
  <c r="BY44" i="24" s="1"/>
  <c r="AS46" i="23"/>
  <c r="BY46" i="24" s="1"/>
  <c r="AS47" i="23"/>
  <c r="BY47" i="24" s="1"/>
  <c r="AS48" i="23"/>
  <c r="BY48" i="24" s="1"/>
  <c r="AS57" i="23"/>
  <c r="BY57" i="24" s="1"/>
  <c r="BD144" i="24" l="1"/>
  <c r="BD147" i="24"/>
  <c r="BD148" i="24"/>
  <c r="AI148" i="23"/>
  <c r="V140" i="22"/>
  <c r="BB140" i="24"/>
  <c r="AG140" i="23"/>
  <c r="BB141" i="24"/>
  <c r="BC142" i="24" s="1"/>
  <c r="BD143" i="24" s="1"/>
  <c r="AG141" i="23"/>
  <c r="AH142" i="23" s="1"/>
  <c r="AI142" i="23" s="1"/>
  <c r="V141" i="22"/>
  <c r="AC5" i="22"/>
  <c r="AS30" i="23"/>
  <c r="AA5" i="22"/>
  <c r="AS33" i="23"/>
  <c r="AH141" i="23" l="1"/>
  <c r="AI141" i="23" s="1"/>
  <c r="BC141" i="24"/>
  <c r="BD142" i="24" s="1"/>
  <c r="BY33" i="24"/>
  <c r="AG139" i="24"/>
  <c r="AH140" i="24" s="1"/>
  <c r="AI141" i="24" s="1"/>
  <c r="AG138" i="24"/>
  <c r="D138" i="24"/>
  <c r="E139" i="24" s="1"/>
  <c r="F140" i="24" s="1"/>
  <c r="W62" i="23"/>
  <c r="AC9" i="23"/>
  <c r="AD9" i="23" s="1"/>
  <c r="AC10" i="23"/>
  <c r="AD10" i="23" s="1"/>
  <c r="AC11" i="23"/>
  <c r="AD11" i="23" s="1"/>
  <c r="AC12" i="23"/>
  <c r="AD12" i="23" s="1"/>
  <c r="AC13" i="23"/>
  <c r="AD13" i="23" s="1"/>
  <c r="AC14" i="23"/>
  <c r="AD14" i="23" s="1"/>
  <c r="AC15" i="23"/>
  <c r="AD15" i="23" s="1"/>
  <c r="AC16" i="23"/>
  <c r="AC17" i="23"/>
  <c r="AD17" i="23" s="1"/>
  <c r="AC18" i="23"/>
  <c r="AD18" i="23" s="1"/>
  <c r="AC19" i="23"/>
  <c r="AD19" i="23" s="1"/>
  <c r="AC20" i="23"/>
  <c r="AD20" i="23" s="1"/>
  <c r="AC21" i="23"/>
  <c r="AD21" i="23" s="1"/>
  <c r="AC22" i="23"/>
  <c r="AC23" i="23"/>
  <c r="AD23" i="23" s="1"/>
  <c r="AC24" i="23"/>
  <c r="AD24" i="23" s="1"/>
  <c r="AC25" i="23"/>
  <c r="AD25" i="23" s="1"/>
  <c r="AC26" i="23"/>
  <c r="AD26" i="23" s="1"/>
  <c r="AC27" i="23"/>
  <c r="AD27" i="23" s="1"/>
  <c r="AC28" i="23"/>
  <c r="AC29" i="23"/>
  <c r="AD29" i="23" s="1"/>
  <c r="AC30" i="23"/>
  <c r="AD30" i="23" s="1"/>
  <c r="AC31" i="23"/>
  <c r="AD31" i="23" s="1"/>
  <c r="AC32" i="23"/>
  <c r="AD32" i="23" s="1"/>
  <c r="AC33" i="23"/>
  <c r="AD33" i="23" s="1"/>
  <c r="AC34" i="23"/>
  <c r="AC35" i="23"/>
  <c r="AD35" i="23" s="1"/>
  <c r="AC36" i="23"/>
  <c r="AD36" i="23" s="1"/>
  <c r="AC37" i="23"/>
  <c r="AD37" i="23" s="1"/>
  <c r="AC38" i="23"/>
  <c r="AD38" i="23" s="1"/>
  <c r="AC39" i="23"/>
  <c r="AD39" i="23" s="1"/>
  <c r="AC40" i="23"/>
  <c r="AC41" i="23"/>
  <c r="AD41" i="23" s="1"/>
  <c r="AC42" i="23"/>
  <c r="AD42" i="23" s="1"/>
  <c r="AC43" i="23"/>
  <c r="AD43" i="23" s="1"/>
  <c r="AC44" i="23"/>
  <c r="AD44" i="23" s="1"/>
  <c r="AC45" i="23"/>
  <c r="AD45" i="23" s="1"/>
  <c r="AC46" i="23"/>
  <c r="AC47" i="23"/>
  <c r="AD47" i="23" s="1"/>
  <c r="AC48" i="23"/>
  <c r="AD48" i="23" s="1"/>
  <c r="AC49" i="23"/>
  <c r="AD49" i="23" s="1"/>
  <c r="AC50" i="23"/>
  <c r="AD50" i="23" s="1"/>
  <c r="AC51" i="23"/>
  <c r="AD51" i="23" s="1"/>
  <c r="AC52" i="23"/>
  <c r="AC53" i="23"/>
  <c r="AD53" i="23" s="1"/>
  <c r="AC54" i="23"/>
  <c r="AD54" i="23" s="1"/>
  <c r="AC55" i="23"/>
  <c r="AD55" i="23" s="1"/>
  <c r="AC56" i="23"/>
  <c r="AD56" i="23" s="1"/>
  <c r="AC57" i="23"/>
  <c r="AD57" i="23" s="1"/>
  <c r="AC58" i="23"/>
  <c r="AC59" i="23"/>
  <c r="AD59" i="23" s="1"/>
  <c r="AC60" i="23"/>
  <c r="AD60" i="23" s="1"/>
  <c r="AC61" i="23"/>
  <c r="AD61" i="23" s="1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120" i="23"/>
  <c r="AC121" i="23"/>
  <c r="AC122" i="23"/>
  <c r="AC123" i="23"/>
  <c r="AC124" i="23"/>
  <c r="AC125" i="23"/>
  <c r="AC126" i="23"/>
  <c r="AC127" i="23"/>
  <c r="AC128" i="23"/>
  <c r="AC129" i="23"/>
  <c r="AC130" i="23"/>
  <c r="AC131" i="23"/>
  <c r="AC132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C144" i="23"/>
  <c r="AC145" i="23"/>
  <c r="AD145" i="23" s="1"/>
  <c r="AC146" i="23"/>
  <c r="AD146" i="23" s="1"/>
  <c r="AC147" i="23"/>
  <c r="AD147" i="23" s="1"/>
  <c r="AC148" i="23"/>
  <c r="AC149" i="23"/>
  <c r="AD149" i="23" s="1"/>
  <c r="AC150" i="23"/>
  <c r="AD150" i="23" s="1"/>
  <c r="AC151" i="23"/>
  <c r="AD151" i="23" s="1"/>
  <c r="AC152" i="23"/>
  <c r="AD152" i="23" s="1"/>
  <c r="AC153" i="23"/>
  <c r="AD153" i="23" s="1"/>
  <c r="AC154" i="23"/>
  <c r="AC155" i="23"/>
  <c r="AD155" i="23" s="1"/>
  <c r="AC156" i="23"/>
  <c r="AC157" i="23"/>
  <c r="AD157" i="23" s="1"/>
  <c r="AC158" i="23"/>
  <c r="AD158" i="23" s="1"/>
  <c r="AC159" i="23"/>
  <c r="AD159" i="23" s="1"/>
  <c r="AC160" i="23"/>
  <c r="AC161" i="23"/>
  <c r="AD161" i="23" s="1"/>
  <c r="AC162" i="23"/>
  <c r="AD162" i="23" s="1"/>
  <c r="AC163" i="23"/>
  <c r="AD163" i="23" s="1"/>
  <c r="AC164" i="23"/>
  <c r="AD164" i="23" s="1"/>
  <c r="AC165" i="23"/>
  <c r="AD165" i="23" s="1"/>
  <c r="AC166" i="23"/>
  <c r="AC167" i="23"/>
  <c r="AD167" i="23" s="1"/>
  <c r="AC168" i="23"/>
  <c r="AC169" i="23"/>
  <c r="AD169" i="23" s="1"/>
  <c r="AC170" i="23"/>
  <c r="AD170" i="23" s="1"/>
  <c r="AC171" i="23"/>
  <c r="AD171" i="23" s="1"/>
  <c r="AC172" i="23"/>
  <c r="AC173" i="23"/>
  <c r="AD173" i="23" s="1"/>
  <c r="AC174" i="23"/>
  <c r="AD174" i="23" s="1"/>
  <c r="AC175" i="23"/>
  <c r="AD175" i="23" s="1"/>
  <c r="AC176" i="23"/>
  <c r="AD176" i="23" s="1"/>
  <c r="AC177" i="23"/>
  <c r="AD177" i="23" s="1"/>
  <c r="AC178" i="23"/>
  <c r="AC179" i="23"/>
  <c r="AD179" i="23" s="1"/>
  <c r="AC180" i="23"/>
  <c r="AC181" i="23"/>
  <c r="AD181" i="23" s="1"/>
  <c r="AC182" i="23"/>
  <c r="AD182" i="23" s="1"/>
  <c r="AC183" i="23"/>
  <c r="AD183" i="23" s="1"/>
  <c r="AC184" i="23"/>
  <c r="AC185" i="23"/>
  <c r="AD185" i="23" s="1"/>
  <c r="AC186" i="23"/>
  <c r="AD186" i="23" s="1"/>
  <c r="AC187" i="23"/>
  <c r="AD187" i="23" s="1"/>
  <c r="AC188" i="23"/>
  <c r="AD188" i="23" s="1"/>
  <c r="AC189" i="23"/>
  <c r="AD189" i="23" s="1"/>
  <c r="AC190" i="23"/>
  <c r="AC191" i="23"/>
  <c r="AD191" i="23" s="1"/>
  <c r="AC192" i="23"/>
  <c r="AD192" i="23" s="1"/>
  <c r="AC193" i="23"/>
  <c r="AD193" i="23" s="1"/>
  <c r="AC194" i="23"/>
  <c r="AD194" i="23" s="1"/>
  <c r="AC195" i="23"/>
  <c r="AD195" i="23" s="1"/>
  <c r="AC196" i="23"/>
  <c r="AC197" i="23"/>
  <c r="AD197" i="23" s="1"/>
  <c r="AC198" i="23"/>
  <c r="AD198" i="23" s="1"/>
  <c r="AC199" i="23"/>
  <c r="AD199" i="23" s="1"/>
  <c r="AC200" i="23"/>
  <c r="AD200" i="23" s="1"/>
  <c r="AC201" i="23"/>
  <c r="AD201" i="23" s="1"/>
  <c r="AC202" i="23"/>
  <c r="AC203" i="23"/>
  <c r="AD203" i="23" s="1"/>
  <c r="AC204" i="23"/>
  <c r="AD204" i="23" s="1"/>
  <c r="AC205" i="23"/>
  <c r="AD205" i="23" s="1"/>
  <c r="AC206" i="23"/>
  <c r="AD206" i="23" s="1"/>
  <c r="AC207" i="23"/>
  <c r="AD207" i="23" s="1"/>
  <c r="AC208" i="23"/>
  <c r="AC209" i="23"/>
  <c r="AD209" i="23" s="1"/>
  <c r="AC210" i="23"/>
  <c r="AD210" i="23" s="1"/>
  <c r="AC211" i="23"/>
  <c r="AD211" i="23" s="1"/>
  <c r="AC212" i="23"/>
  <c r="AD212" i="23" s="1"/>
  <c r="AC213" i="23"/>
  <c r="AD213" i="23" s="1"/>
  <c r="AC214" i="23"/>
  <c r="AC215" i="23"/>
  <c r="AD215" i="23" s="1"/>
  <c r="AC216" i="23"/>
  <c r="AD216" i="23" s="1"/>
  <c r="AC217" i="23"/>
  <c r="AD217" i="23" s="1"/>
  <c r="AC218" i="23"/>
  <c r="AD218" i="23" s="1"/>
  <c r="AC219" i="23"/>
  <c r="AD219" i="23" s="1"/>
  <c r="AC220" i="23"/>
  <c r="AC221" i="23"/>
  <c r="AD221" i="23" s="1"/>
  <c r="AC222" i="23"/>
  <c r="AD222" i="23" s="1"/>
  <c r="AC223" i="23"/>
  <c r="AD223" i="23" s="1"/>
  <c r="AC224" i="23"/>
  <c r="AD224" i="23" s="1"/>
  <c r="AC225" i="23"/>
  <c r="AD225" i="23" s="1"/>
  <c r="AC226" i="23"/>
  <c r="AC227" i="23"/>
  <c r="AD227" i="23" s="1"/>
  <c r="AC228" i="23"/>
  <c r="AD228" i="23" s="1"/>
  <c r="AC229" i="23"/>
  <c r="AD229" i="23" s="1"/>
  <c r="AC230" i="23"/>
  <c r="AD230" i="23" s="1"/>
  <c r="AC231" i="23"/>
  <c r="AD231" i="23" s="1"/>
  <c r="AC232" i="23"/>
  <c r="AC233" i="23"/>
  <c r="AD233" i="23" s="1"/>
  <c r="AC234" i="23"/>
  <c r="AD234" i="23" s="1"/>
  <c r="AC235" i="23"/>
  <c r="AD235" i="23" s="1"/>
  <c r="AC236" i="23"/>
  <c r="AD236" i="23" s="1"/>
  <c r="AC237" i="23"/>
  <c r="AD237" i="23" s="1"/>
  <c r="AC238" i="23"/>
  <c r="AC239" i="23"/>
  <c r="AD239" i="23" s="1"/>
  <c r="AC240" i="23"/>
  <c r="AD240" i="23" s="1"/>
  <c r="AC241" i="23"/>
  <c r="AD241" i="23" s="1"/>
  <c r="AC242" i="23"/>
  <c r="AD242" i="23" s="1"/>
  <c r="AC243" i="23"/>
  <c r="AD243" i="23" s="1"/>
  <c r="AC244" i="23"/>
  <c r="AC245" i="23"/>
  <c r="AD245" i="23" s="1"/>
  <c r="AC246" i="23"/>
  <c r="AD246" i="23" s="1"/>
  <c r="AC247" i="23"/>
  <c r="AD247" i="23" s="1"/>
  <c r="AC248" i="23"/>
  <c r="AD248" i="23" s="1"/>
  <c r="AC249" i="23"/>
  <c r="AD249" i="23" s="1"/>
  <c r="AC250" i="23"/>
  <c r="AC251" i="23"/>
  <c r="AD251" i="23" s="1"/>
  <c r="AC252" i="23"/>
  <c r="AD252" i="23" s="1"/>
  <c r="AC253" i="23"/>
  <c r="AD253" i="23" s="1"/>
  <c r="AC254" i="23"/>
  <c r="AD254" i="23" s="1"/>
  <c r="AC255" i="23"/>
  <c r="AD255" i="23" s="1"/>
  <c r="AC256" i="23"/>
  <c r="AC257" i="23"/>
  <c r="AD257" i="23" s="1"/>
  <c r="AC258" i="23"/>
  <c r="AD258" i="23" s="1"/>
  <c r="AC259" i="23"/>
  <c r="AD259" i="23" s="1"/>
  <c r="AC260" i="23"/>
  <c r="AD260" i="23" s="1"/>
  <c r="AC261" i="23"/>
  <c r="AD261" i="23" s="1"/>
  <c r="AC262" i="23"/>
  <c r="AC263" i="23"/>
  <c r="AD263" i="23" s="1"/>
  <c r="AC264" i="23"/>
  <c r="AD264" i="23" s="1"/>
  <c r="AC265" i="23"/>
  <c r="AD265" i="23" s="1"/>
  <c r="AC266" i="23"/>
  <c r="AD266" i="23" s="1"/>
  <c r="AC267" i="23"/>
  <c r="AD267" i="23" s="1"/>
  <c r="AC268" i="23"/>
  <c r="AC269" i="23"/>
  <c r="AD269" i="23" s="1"/>
  <c r="AC270" i="23"/>
  <c r="AD270" i="23" s="1"/>
  <c r="AC271" i="23"/>
  <c r="AD271" i="23" s="1"/>
  <c r="AC272" i="23"/>
  <c r="AD272" i="23" s="1"/>
  <c r="AC273" i="23"/>
  <c r="AD273" i="23" s="1"/>
  <c r="AC274" i="23"/>
  <c r="AC275" i="23"/>
  <c r="AD275" i="23" s="1"/>
  <c r="AC276" i="23"/>
  <c r="AD276" i="23" s="1"/>
  <c r="AC277" i="23"/>
  <c r="AD277" i="23" s="1"/>
  <c r="AC278" i="23"/>
  <c r="AD278" i="23" s="1"/>
  <c r="AC279" i="23"/>
  <c r="AD279" i="23" s="1"/>
  <c r="AC280" i="23"/>
  <c r="AC281" i="23"/>
  <c r="AD281" i="23" s="1"/>
  <c r="AC8" i="23"/>
  <c r="AD8" i="23" s="1"/>
  <c r="AV30" i="23"/>
  <c r="AV29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144" i="23"/>
  <c r="W145" i="23"/>
  <c r="W146" i="23"/>
  <c r="W147" i="23"/>
  <c r="W148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245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8" i="23"/>
  <c r="N115" i="22"/>
  <c r="N104" i="22"/>
  <c r="N131" i="22"/>
  <c r="N118" i="22"/>
  <c r="N105" i="22"/>
  <c r="N123" i="22"/>
  <c r="N106" i="22"/>
  <c r="N113" i="22"/>
  <c r="N122" i="22"/>
  <c r="N130" i="22"/>
  <c r="N112" i="22"/>
  <c r="N129" i="22"/>
  <c r="N111" i="22"/>
  <c r="N126" i="22"/>
  <c r="N110" i="22"/>
  <c r="N128" i="22"/>
  <c r="N109" i="22"/>
  <c r="N121" i="22"/>
  <c r="N127" i="22"/>
  <c r="N119" i="22"/>
  <c r="N124" i="22"/>
  <c r="N114" i="22"/>
  <c r="N108" i="22"/>
  <c r="N116" i="22"/>
  <c r="N120" i="22"/>
  <c r="N135" i="22"/>
  <c r="N125" i="22"/>
  <c r="N117" i="22"/>
  <c r="N132" i="22"/>
  <c r="N134" i="22"/>
  <c r="N107" i="22"/>
  <c r="N133" i="22"/>
  <c r="S135" i="23" l="1"/>
  <c r="AH139" i="24"/>
  <c r="AI140" i="24" s="1"/>
  <c r="AG132" i="24"/>
  <c r="AG137" i="24"/>
  <c r="AH138" i="24" s="1"/>
  <c r="AI139" i="24" s="1"/>
  <c r="AG131" i="24"/>
  <c r="AG123" i="24"/>
  <c r="AG129" i="24"/>
  <c r="AG130" i="24"/>
  <c r="AH131" i="24" s="1"/>
  <c r="AG133" i="24"/>
  <c r="AG126" i="24"/>
  <c r="AH127" i="24" s="1"/>
  <c r="AG125" i="24"/>
  <c r="AH126" i="24" s="1"/>
  <c r="AI127" i="24" s="1"/>
  <c r="AG136" i="24"/>
  <c r="AG134" i="24"/>
  <c r="AG128" i="24"/>
  <c r="AG135" i="24"/>
  <c r="AG121" i="24"/>
  <c r="AG127" i="24"/>
  <c r="AG122" i="24"/>
  <c r="AH123" i="24" s="1"/>
  <c r="AG124" i="24"/>
  <c r="T139" i="23"/>
  <c r="V143" i="23" s="1"/>
  <c r="W143" i="23" s="1"/>
  <c r="U139" i="22"/>
  <c r="BB139" i="24" s="1"/>
  <c r="BC140" i="24" s="1"/>
  <c r="BD141" i="24" s="1"/>
  <c r="AD274" i="23"/>
  <c r="AD262" i="23"/>
  <c r="AD250" i="23"/>
  <c r="AD238" i="23"/>
  <c r="AD226" i="23"/>
  <c r="AD214" i="23"/>
  <c r="AD202" i="23"/>
  <c r="AD190" i="23"/>
  <c r="AD178" i="23"/>
  <c r="AD166" i="23"/>
  <c r="AD154" i="23"/>
  <c r="AD58" i="23"/>
  <c r="AD46" i="23"/>
  <c r="AD34" i="23"/>
  <c r="AD22" i="23"/>
  <c r="AD280" i="23"/>
  <c r="AD268" i="23"/>
  <c r="AD256" i="23"/>
  <c r="AD244" i="23"/>
  <c r="AD232" i="23"/>
  <c r="AD220" i="23"/>
  <c r="AD208" i="23"/>
  <c r="AD196" i="23"/>
  <c r="AD184" i="23"/>
  <c r="AD172" i="23"/>
  <c r="AD160" i="23"/>
  <c r="AD148" i="23"/>
  <c r="AD52" i="23"/>
  <c r="AD40" i="23"/>
  <c r="AD28" i="23"/>
  <c r="AD16" i="23"/>
  <c r="AD180" i="23"/>
  <c r="AD168" i="23"/>
  <c r="AD156" i="23"/>
  <c r="AD144" i="23"/>
  <c r="AD62" i="23"/>
  <c r="AH136" i="24" l="1"/>
  <c r="AH133" i="24"/>
  <c r="AH129" i="24"/>
  <c r="AD143" i="23"/>
  <c r="AH137" i="24"/>
  <c r="AI137" i="24" s="1"/>
  <c r="AH135" i="24"/>
  <c r="AI136" i="24" s="1"/>
  <c r="AH134" i="24"/>
  <c r="AH125" i="24"/>
  <c r="AI126" i="24" s="1"/>
  <c r="AH130" i="24"/>
  <c r="AI131" i="24" s="1"/>
  <c r="AH124" i="24"/>
  <c r="AH128" i="24"/>
  <c r="AH132" i="24"/>
  <c r="AI133" i="24" s="1"/>
  <c r="AH122" i="24"/>
  <c r="AI123" i="24" s="1"/>
  <c r="AG139" i="23"/>
  <c r="AH140" i="23" s="1"/>
  <c r="AI140" i="23" s="1"/>
  <c r="I42" i="22"/>
  <c r="BF47" i="23"/>
  <c r="BF46" i="23"/>
  <c r="BF45" i="23"/>
  <c r="BF44" i="23"/>
  <c r="BF32" i="23"/>
  <c r="BF31" i="23"/>
  <c r="BF30" i="23"/>
  <c r="BF29" i="23"/>
  <c r="AS56" i="23"/>
  <c r="AS43" i="23"/>
  <c r="AS55" i="23"/>
  <c r="AS42" i="23"/>
  <c r="AS29" i="23"/>
  <c r="BF22" i="23"/>
  <c r="BF21" i="23"/>
  <c r="BF20" i="23"/>
  <c r="BF19" i="23"/>
  <c r="AL8" i="23"/>
  <c r="BI8" i="24" s="1"/>
  <c r="AL9" i="23"/>
  <c r="BI9" i="24" s="1"/>
  <c r="AL10" i="23"/>
  <c r="BI10" i="24" s="1"/>
  <c r="AL11" i="23"/>
  <c r="BI11" i="24" s="1"/>
  <c r="AL12" i="23"/>
  <c r="BI12" i="24" s="1"/>
  <c r="AL13" i="23"/>
  <c r="BI13" i="24" s="1"/>
  <c r="AL14" i="23"/>
  <c r="BI14" i="24" s="1"/>
  <c r="AL15" i="23"/>
  <c r="BI15" i="24" s="1"/>
  <c r="AL16" i="23"/>
  <c r="BI16" i="24" s="1"/>
  <c r="AL17" i="23"/>
  <c r="BI17" i="24" s="1"/>
  <c r="AL18" i="23"/>
  <c r="BI18" i="24" s="1"/>
  <c r="AL19" i="23"/>
  <c r="BI19" i="24" s="1"/>
  <c r="AL20" i="23"/>
  <c r="BI20" i="24" s="1"/>
  <c r="AL21" i="23"/>
  <c r="BI21" i="24" s="1"/>
  <c r="AL22" i="23"/>
  <c r="BI22" i="24" s="1"/>
  <c r="AL23" i="23"/>
  <c r="BI23" i="24" s="1"/>
  <c r="AL24" i="23"/>
  <c r="BI24" i="24" s="1"/>
  <c r="AL25" i="23"/>
  <c r="BI25" i="24" s="1"/>
  <c r="AL26" i="23"/>
  <c r="BI26" i="24" s="1"/>
  <c r="AL27" i="23"/>
  <c r="BI27" i="24" s="1"/>
  <c r="AL28" i="23"/>
  <c r="BI28" i="24" s="1"/>
  <c r="AL29" i="23"/>
  <c r="BI29" i="24" s="1"/>
  <c r="AL30" i="23"/>
  <c r="BI30" i="24" s="1"/>
  <c r="AL31" i="23"/>
  <c r="BI31" i="24" s="1"/>
  <c r="AL32" i="23"/>
  <c r="BI32" i="24" s="1"/>
  <c r="AL33" i="23"/>
  <c r="BI33" i="24" s="1"/>
  <c r="AL34" i="23"/>
  <c r="BI34" i="24" s="1"/>
  <c r="AL35" i="23"/>
  <c r="BI35" i="24" s="1"/>
  <c r="AL36" i="23"/>
  <c r="BI36" i="24" s="1"/>
  <c r="AL37" i="23"/>
  <c r="BI37" i="24" s="1"/>
  <c r="AL38" i="23"/>
  <c r="BI38" i="24" s="1"/>
  <c r="AL39" i="23"/>
  <c r="BI39" i="24" s="1"/>
  <c r="AL40" i="23"/>
  <c r="BI40" i="24" s="1"/>
  <c r="AL41" i="23"/>
  <c r="BI41" i="24" s="1"/>
  <c r="AL42" i="23"/>
  <c r="BI42" i="24" s="1"/>
  <c r="AL43" i="23"/>
  <c r="BI43" i="24" s="1"/>
  <c r="AL44" i="23"/>
  <c r="BI44" i="24" s="1"/>
  <c r="AL45" i="23"/>
  <c r="BI45" i="24" s="1"/>
  <c r="AL46" i="23"/>
  <c r="BI46" i="24" s="1"/>
  <c r="AL47" i="23"/>
  <c r="BI47" i="24" s="1"/>
  <c r="AL48" i="23"/>
  <c r="BI48" i="24" s="1"/>
  <c r="AL49" i="23"/>
  <c r="BI49" i="24" s="1"/>
  <c r="AL50" i="23"/>
  <c r="BI50" i="24" s="1"/>
  <c r="AL51" i="23"/>
  <c r="BI51" i="24" s="1"/>
  <c r="AL52" i="23"/>
  <c r="BI52" i="24" s="1"/>
  <c r="AL53" i="23"/>
  <c r="BI53" i="24" s="1"/>
  <c r="AL54" i="23"/>
  <c r="BI54" i="24" s="1"/>
  <c r="AL55" i="23"/>
  <c r="BI55" i="24" s="1"/>
  <c r="AL56" i="23"/>
  <c r="BI56" i="24" s="1"/>
  <c r="AL57" i="23"/>
  <c r="BI57" i="24" s="1"/>
  <c r="AL58" i="23"/>
  <c r="BI58" i="24" s="1"/>
  <c r="AL59" i="23"/>
  <c r="BI59" i="24" s="1"/>
  <c r="AL60" i="23"/>
  <c r="BI60" i="24" s="1"/>
  <c r="AL61" i="23"/>
  <c r="BI61" i="24" s="1"/>
  <c r="AL62" i="23"/>
  <c r="BI62" i="24" s="1"/>
  <c r="AL63" i="23"/>
  <c r="BI63" i="24" s="1"/>
  <c r="AL64" i="23"/>
  <c r="BI64" i="24" s="1"/>
  <c r="AL65" i="23"/>
  <c r="BI65" i="24" s="1"/>
  <c r="AL66" i="23"/>
  <c r="BI66" i="24" s="1"/>
  <c r="AL67" i="23"/>
  <c r="BI67" i="24" s="1"/>
  <c r="AL68" i="23"/>
  <c r="BI68" i="24" s="1"/>
  <c r="AL69" i="23"/>
  <c r="BI69" i="24" s="1"/>
  <c r="AL70" i="23"/>
  <c r="BI70" i="24" s="1"/>
  <c r="AL71" i="23"/>
  <c r="BI71" i="24" s="1"/>
  <c r="AL72" i="23"/>
  <c r="BI72" i="24" s="1"/>
  <c r="AL73" i="23"/>
  <c r="BI73" i="24" s="1"/>
  <c r="AL74" i="23"/>
  <c r="BI74" i="24" s="1"/>
  <c r="AL75" i="23"/>
  <c r="BI75" i="24" s="1"/>
  <c r="AL76" i="23"/>
  <c r="BI76" i="24" s="1"/>
  <c r="AL77" i="23"/>
  <c r="BI77" i="24" s="1"/>
  <c r="AL78" i="23"/>
  <c r="BI78" i="24" s="1"/>
  <c r="AL79" i="23"/>
  <c r="BI79" i="24" s="1"/>
  <c r="AL80" i="23"/>
  <c r="BI80" i="24" s="1"/>
  <c r="AL81" i="23"/>
  <c r="BI81" i="24" s="1"/>
  <c r="AL82" i="23"/>
  <c r="BI82" i="24" s="1"/>
  <c r="AL83" i="23"/>
  <c r="BI83" i="24" s="1"/>
  <c r="AL84" i="23"/>
  <c r="BI84" i="24" s="1"/>
  <c r="AL85" i="23"/>
  <c r="BI85" i="24" s="1"/>
  <c r="AL86" i="23"/>
  <c r="BI86" i="24" s="1"/>
  <c r="AL87" i="23"/>
  <c r="BI87" i="24" s="1"/>
  <c r="AL88" i="23"/>
  <c r="BI88" i="24" s="1"/>
  <c r="AL89" i="23"/>
  <c r="BI89" i="24" s="1"/>
  <c r="AL90" i="23"/>
  <c r="BI90" i="24" s="1"/>
  <c r="AL91" i="23"/>
  <c r="BI91" i="24" s="1"/>
  <c r="AL92" i="23"/>
  <c r="BI92" i="24" s="1"/>
  <c r="AL93" i="23"/>
  <c r="BI93" i="24" s="1"/>
  <c r="AL94" i="23"/>
  <c r="BI94" i="24" s="1"/>
  <c r="AL95" i="23"/>
  <c r="BI95" i="24" s="1"/>
  <c r="AL96" i="23"/>
  <c r="BI96" i="24" s="1"/>
  <c r="AL97" i="23"/>
  <c r="BI97" i="24" s="1"/>
  <c r="AL98" i="23"/>
  <c r="BI98" i="24" s="1"/>
  <c r="AL99" i="23"/>
  <c r="BI99" i="24" s="1"/>
  <c r="AL100" i="23"/>
  <c r="BI100" i="24" s="1"/>
  <c r="AL101" i="23"/>
  <c r="BI101" i="24" s="1"/>
  <c r="AL102" i="23"/>
  <c r="BI102" i="24" s="1"/>
  <c r="AL103" i="23"/>
  <c r="BI103" i="24" s="1"/>
  <c r="AL104" i="23"/>
  <c r="BI104" i="24" s="1"/>
  <c r="AL105" i="23"/>
  <c r="BI105" i="24" s="1"/>
  <c r="AL106" i="23"/>
  <c r="BI106" i="24" s="1"/>
  <c r="AL107" i="23"/>
  <c r="BI107" i="24" s="1"/>
  <c r="AL108" i="23"/>
  <c r="BI108" i="24" s="1"/>
  <c r="AL109" i="23"/>
  <c r="BI109" i="24" s="1"/>
  <c r="AL110" i="23"/>
  <c r="BI110" i="24" s="1"/>
  <c r="AL111" i="23"/>
  <c r="BI111" i="24" s="1"/>
  <c r="AL112" i="23"/>
  <c r="BI112" i="24" s="1"/>
  <c r="AL113" i="23"/>
  <c r="BI113" i="24" s="1"/>
  <c r="AL114" i="23"/>
  <c r="BI114" i="24" s="1"/>
  <c r="AL115" i="23"/>
  <c r="BI115" i="24" s="1"/>
  <c r="AL116" i="23"/>
  <c r="BI116" i="24" s="1"/>
  <c r="AL117" i="23"/>
  <c r="BI117" i="24" s="1"/>
  <c r="AL118" i="23"/>
  <c r="BI118" i="24" s="1"/>
  <c r="AL119" i="23"/>
  <c r="BI119" i="24" s="1"/>
  <c r="AL120" i="23"/>
  <c r="BI120" i="24" s="1"/>
  <c r="AL121" i="23"/>
  <c r="BI121" i="24" s="1"/>
  <c r="AL122" i="23"/>
  <c r="BI122" i="24" s="1"/>
  <c r="AL123" i="23"/>
  <c r="BI123" i="24" s="1"/>
  <c r="AL124" i="23"/>
  <c r="BI124" i="24" s="1"/>
  <c r="AL125" i="23"/>
  <c r="BI125" i="24" s="1"/>
  <c r="AL126" i="23"/>
  <c r="BI126" i="24" s="1"/>
  <c r="AL127" i="23"/>
  <c r="BI127" i="24" s="1"/>
  <c r="AL128" i="23"/>
  <c r="BI128" i="24" s="1"/>
  <c r="AL129" i="23"/>
  <c r="BI129" i="24" s="1"/>
  <c r="AL130" i="23"/>
  <c r="BI130" i="24" s="1"/>
  <c r="AL131" i="23"/>
  <c r="BI131" i="24" s="1"/>
  <c r="AL132" i="23"/>
  <c r="BI132" i="24" s="1"/>
  <c r="AL133" i="23"/>
  <c r="BI133" i="24" s="1"/>
  <c r="AL134" i="23"/>
  <c r="BI134" i="24" s="1"/>
  <c r="AL135" i="23"/>
  <c r="BI135" i="24" s="1"/>
  <c r="AL136" i="23"/>
  <c r="BI136" i="24" s="1"/>
  <c r="AL137" i="23"/>
  <c r="BI137" i="24" s="1"/>
  <c r="AL138" i="23"/>
  <c r="BI138" i="24" s="1"/>
  <c r="AL139" i="23"/>
  <c r="AL140" i="23"/>
  <c r="AL141" i="23"/>
  <c r="AL142" i="23"/>
  <c r="AL143" i="23"/>
  <c r="AL144" i="23"/>
  <c r="AL145" i="23"/>
  <c r="AL146" i="23"/>
  <c r="AL147" i="23"/>
  <c r="AL148" i="23"/>
  <c r="AN148" i="23" s="1"/>
  <c r="AL149" i="23"/>
  <c r="AN149" i="23" s="1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N162" i="23" s="1"/>
  <c r="AL163" i="23"/>
  <c r="AL164" i="23"/>
  <c r="BI164" i="24" s="1"/>
  <c r="AL165" i="23"/>
  <c r="BI165" i="24" s="1"/>
  <c r="AL166" i="23"/>
  <c r="BI166" i="24" s="1"/>
  <c r="AL167" i="23"/>
  <c r="BI167" i="24" s="1"/>
  <c r="AL168" i="23"/>
  <c r="BI168" i="24" s="1"/>
  <c r="AL169" i="23"/>
  <c r="BI169" i="24" s="1"/>
  <c r="AL170" i="23"/>
  <c r="BI170" i="24" s="1"/>
  <c r="AL171" i="23"/>
  <c r="BI171" i="24" s="1"/>
  <c r="AL172" i="23"/>
  <c r="BI172" i="24" s="1"/>
  <c r="AL173" i="23"/>
  <c r="BI173" i="24" s="1"/>
  <c r="AL174" i="23"/>
  <c r="BI174" i="24" s="1"/>
  <c r="AL175" i="23"/>
  <c r="BI175" i="24" s="1"/>
  <c r="AL176" i="23"/>
  <c r="BI176" i="24" s="1"/>
  <c r="AL177" i="23"/>
  <c r="BI177" i="24" s="1"/>
  <c r="AL178" i="23"/>
  <c r="BI178" i="24" s="1"/>
  <c r="AL179" i="23"/>
  <c r="BI179" i="24" s="1"/>
  <c r="AL180" i="23"/>
  <c r="BI180" i="24" s="1"/>
  <c r="AL181" i="23"/>
  <c r="BI181" i="24" s="1"/>
  <c r="AL182" i="23"/>
  <c r="BI182" i="24" s="1"/>
  <c r="AL183" i="23"/>
  <c r="BI183" i="24" s="1"/>
  <c r="AL184" i="23"/>
  <c r="BI184" i="24" s="1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K8" i="23"/>
  <c r="N8" i="24" s="1"/>
  <c r="K9" i="23"/>
  <c r="N9" i="24" s="1"/>
  <c r="K10" i="23"/>
  <c r="N10" i="24" s="1"/>
  <c r="K11" i="23"/>
  <c r="N11" i="24" s="1"/>
  <c r="K12" i="23"/>
  <c r="N12" i="24" s="1"/>
  <c r="K13" i="23"/>
  <c r="N13" i="24" s="1"/>
  <c r="K14" i="23"/>
  <c r="N14" i="24" s="1"/>
  <c r="K15" i="23"/>
  <c r="N15" i="24" s="1"/>
  <c r="K16" i="23"/>
  <c r="N16" i="24" s="1"/>
  <c r="K17" i="23"/>
  <c r="N17" i="24" s="1"/>
  <c r="K18" i="23"/>
  <c r="N18" i="24" s="1"/>
  <c r="K19" i="23"/>
  <c r="N19" i="24" s="1"/>
  <c r="K20" i="23"/>
  <c r="N20" i="24" s="1"/>
  <c r="K21" i="23"/>
  <c r="N21" i="24" s="1"/>
  <c r="K22" i="23"/>
  <c r="N22" i="24" s="1"/>
  <c r="K23" i="23"/>
  <c r="N23" i="24" s="1"/>
  <c r="K24" i="23"/>
  <c r="N24" i="24" s="1"/>
  <c r="K25" i="23"/>
  <c r="N25" i="24" s="1"/>
  <c r="K26" i="23"/>
  <c r="N26" i="24" s="1"/>
  <c r="K27" i="23"/>
  <c r="N27" i="24" s="1"/>
  <c r="K28" i="23"/>
  <c r="N28" i="24" s="1"/>
  <c r="K29" i="23"/>
  <c r="N29" i="24" s="1"/>
  <c r="K30" i="23"/>
  <c r="N30" i="24" s="1"/>
  <c r="K31" i="23"/>
  <c r="N31" i="24" s="1"/>
  <c r="K32" i="23"/>
  <c r="N32" i="24" s="1"/>
  <c r="K33" i="23"/>
  <c r="N33" i="24" s="1"/>
  <c r="K34" i="23"/>
  <c r="N34" i="24" s="1"/>
  <c r="K35" i="23"/>
  <c r="N35" i="24" s="1"/>
  <c r="K36" i="23"/>
  <c r="N36" i="24" s="1"/>
  <c r="K37" i="23"/>
  <c r="N37" i="24" s="1"/>
  <c r="K38" i="23"/>
  <c r="N38" i="24" s="1"/>
  <c r="K39" i="23"/>
  <c r="N39" i="24" s="1"/>
  <c r="K40" i="23"/>
  <c r="N40" i="24" s="1"/>
  <c r="K41" i="23"/>
  <c r="N41" i="24" s="1"/>
  <c r="K42" i="23"/>
  <c r="N42" i="24" s="1"/>
  <c r="K43" i="23"/>
  <c r="N43" i="24" s="1"/>
  <c r="K44" i="23"/>
  <c r="N44" i="24" s="1"/>
  <c r="K45" i="23"/>
  <c r="N45" i="24" s="1"/>
  <c r="K46" i="23"/>
  <c r="N46" i="24" s="1"/>
  <c r="K47" i="23"/>
  <c r="N47" i="24" s="1"/>
  <c r="K48" i="23"/>
  <c r="N48" i="24" s="1"/>
  <c r="K49" i="23"/>
  <c r="N49" i="24" s="1"/>
  <c r="K50" i="23"/>
  <c r="N50" i="24" s="1"/>
  <c r="K51" i="23"/>
  <c r="N51" i="24" s="1"/>
  <c r="K52" i="23"/>
  <c r="N52" i="24" s="1"/>
  <c r="K53" i="23"/>
  <c r="N53" i="24" s="1"/>
  <c r="K54" i="23"/>
  <c r="N54" i="24" s="1"/>
  <c r="K55" i="23"/>
  <c r="N55" i="24" s="1"/>
  <c r="K56" i="23"/>
  <c r="N56" i="24" s="1"/>
  <c r="K57" i="23"/>
  <c r="N57" i="24" s="1"/>
  <c r="K58" i="23"/>
  <c r="N58" i="24" s="1"/>
  <c r="K59" i="23"/>
  <c r="N59" i="24" s="1"/>
  <c r="K60" i="23"/>
  <c r="N60" i="24" s="1"/>
  <c r="K61" i="23"/>
  <c r="N61" i="24" s="1"/>
  <c r="K62" i="23"/>
  <c r="N62" i="24" s="1"/>
  <c r="K63" i="23"/>
  <c r="N63" i="24" s="1"/>
  <c r="K64" i="23"/>
  <c r="N64" i="24" s="1"/>
  <c r="K65" i="23"/>
  <c r="N65" i="24" s="1"/>
  <c r="K66" i="23"/>
  <c r="N66" i="24" s="1"/>
  <c r="K67" i="23"/>
  <c r="N67" i="24" s="1"/>
  <c r="K68" i="23"/>
  <c r="N68" i="24" s="1"/>
  <c r="K69" i="23"/>
  <c r="N69" i="24" s="1"/>
  <c r="K70" i="23"/>
  <c r="N70" i="24" s="1"/>
  <c r="K71" i="23"/>
  <c r="N71" i="24" s="1"/>
  <c r="K72" i="23"/>
  <c r="N72" i="24" s="1"/>
  <c r="K73" i="23"/>
  <c r="N73" i="24" s="1"/>
  <c r="K74" i="23"/>
  <c r="N74" i="24" s="1"/>
  <c r="K75" i="23"/>
  <c r="N75" i="24" s="1"/>
  <c r="K76" i="23"/>
  <c r="N76" i="24" s="1"/>
  <c r="K77" i="23"/>
  <c r="N77" i="24" s="1"/>
  <c r="K78" i="23"/>
  <c r="N78" i="24" s="1"/>
  <c r="K79" i="23"/>
  <c r="N79" i="24" s="1"/>
  <c r="K80" i="23"/>
  <c r="N80" i="24" s="1"/>
  <c r="K81" i="23"/>
  <c r="N81" i="24" s="1"/>
  <c r="K82" i="23"/>
  <c r="N82" i="24" s="1"/>
  <c r="K83" i="23"/>
  <c r="N83" i="24" s="1"/>
  <c r="K84" i="23"/>
  <c r="N84" i="24" s="1"/>
  <c r="K85" i="23"/>
  <c r="N85" i="24" s="1"/>
  <c r="K86" i="23"/>
  <c r="N86" i="24" s="1"/>
  <c r="K87" i="23"/>
  <c r="N87" i="24" s="1"/>
  <c r="K88" i="23"/>
  <c r="N88" i="24" s="1"/>
  <c r="K89" i="23"/>
  <c r="N89" i="24" s="1"/>
  <c r="K90" i="23"/>
  <c r="N90" i="24" s="1"/>
  <c r="K91" i="23"/>
  <c r="N91" i="24" s="1"/>
  <c r="K92" i="23"/>
  <c r="N92" i="24" s="1"/>
  <c r="K93" i="23"/>
  <c r="N93" i="24" s="1"/>
  <c r="K94" i="23"/>
  <c r="N94" i="24" s="1"/>
  <c r="K95" i="23"/>
  <c r="N95" i="24" s="1"/>
  <c r="K96" i="23"/>
  <c r="N96" i="24" s="1"/>
  <c r="K97" i="23"/>
  <c r="N97" i="24" s="1"/>
  <c r="K98" i="23"/>
  <c r="N98" i="24" s="1"/>
  <c r="K99" i="23"/>
  <c r="N99" i="24" s="1"/>
  <c r="K100" i="23"/>
  <c r="N100" i="24" s="1"/>
  <c r="K101" i="23"/>
  <c r="N101" i="24" s="1"/>
  <c r="K102" i="23"/>
  <c r="N102" i="24" s="1"/>
  <c r="K103" i="23"/>
  <c r="N103" i="24" s="1"/>
  <c r="K104" i="23"/>
  <c r="N104" i="24" s="1"/>
  <c r="K105" i="23"/>
  <c r="N105" i="24" s="1"/>
  <c r="K106" i="23"/>
  <c r="N106" i="24" s="1"/>
  <c r="K107" i="23"/>
  <c r="N107" i="24" s="1"/>
  <c r="K108" i="23"/>
  <c r="N108" i="24" s="1"/>
  <c r="K109" i="23"/>
  <c r="N109" i="24" s="1"/>
  <c r="K110" i="23"/>
  <c r="N110" i="24" s="1"/>
  <c r="K111" i="23"/>
  <c r="N111" i="24" s="1"/>
  <c r="K112" i="23"/>
  <c r="N112" i="24" s="1"/>
  <c r="K113" i="23"/>
  <c r="N113" i="24" s="1"/>
  <c r="K114" i="23"/>
  <c r="N114" i="24" s="1"/>
  <c r="K115" i="23"/>
  <c r="N115" i="24" s="1"/>
  <c r="K116" i="23"/>
  <c r="N116" i="24" s="1"/>
  <c r="K117" i="23"/>
  <c r="N117" i="24" s="1"/>
  <c r="K118" i="23"/>
  <c r="N118" i="24" s="1"/>
  <c r="K119" i="23"/>
  <c r="N119" i="24" s="1"/>
  <c r="K120" i="23"/>
  <c r="N120" i="24" s="1"/>
  <c r="K121" i="23"/>
  <c r="N121" i="24" s="1"/>
  <c r="K122" i="23"/>
  <c r="N122" i="24" s="1"/>
  <c r="K123" i="23"/>
  <c r="N123" i="24" s="1"/>
  <c r="K124" i="23"/>
  <c r="N124" i="24" s="1"/>
  <c r="K125" i="23"/>
  <c r="N125" i="24" s="1"/>
  <c r="K126" i="23"/>
  <c r="N126" i="24" s="1"/>
  <c r="K127" i="23"/>
  <c r="N127" i="24" s="1"/>
  <c r="K128" i="23"/>
  <c r="N128" i="24" s="1"/>
  <c r="K129" i="23"/>
  <c r="N129" i="24" s="1"/>
  <c r="K130" i="23"/>
  <c r="N130" i="24" s="1"/>
  <c r="K131" i="23"/>
  <c r="N131" i="24" s="1"/>
  <c r="K132" i="23"/>
  <c r="N132" i="24" s="1"/>
  <c r="K133" i="23"/>
  <c r="N133" i="24" s="1"/>
  <c r="K134" i="23"/>
  <c r="N134" i="24" s="1"/>
  <c r="K135" i="23"/>
  <c r="N135" i="24" s="1"/>
  <c r="K136" i="23"/>
  <c r="K137" i="23"/>
  <c r="K138" i="23"/>
  <c r="K139" i="23"/>
  <c r="K140" i="23"/>
  <c r="K141" i="23"/>
  <c r="K142" i="23"/>
  <c r="K143" i="23"/>
  <c r="K144" i="23"/>
  <c r="K145" i="23"/>
  <c r="K146" i="23"/>
  <c r="P146" i="23" s="1"/>
  <c r="K147" i="23"/>
  <c r="P147" i="23" s="1"/>
  <c r="K148" i="23"/>
  <c r="P148" i="23" s="1"/>
  <c r="K149" i="23"/>
  <c r="P149" i="23" s="1"/>
  <c r="K150" i="23"/>
  <c r="K151" i="23"/>
  <c r="K152" i="23"/>
  <c r="K153" i="23"/>
  <c r="K154" i="23"/>
  <c r="K155" i="23"/>
  <c r="K156" i="23"/>
  <c r="K157" i="23"/>
  <c r="K158" i="23"/>
  <c r="K159" i="23"/>
  <c r="K160" i="23"/>
  <c r="P160" i="23" s="1"/>
  <c r="K161" i="23"/>
  <c r="P161" i="23" s="1"/>
  <c r="K162" i="23"/>
  <c r="K163" i="23"/>
  <c r="K164" i="23"/>
  <c r="N164" i="24" s="1"/>
  <c r="K165" i="23"/>
  <c r="N165" i="24" s="1"/>
  <c r="K166" i="23"/>
  <c r="N166" i="24" s="1"/>
  <c r="K167" i="23"/>
  <c r="N167" i="24" s="1"/>
  <c r="K168" i="23"/>
  <c r="N168" i="24" s="1"/>
  <c r="K169" i="23"/>
  <c r="N169" i="24" s="1"/>
  <c r="K170" i="23"/>
  <c r="N170" i="24" s="1"/>
  <c r="K171" i="23"/>
  <c r="N171" i="24" s="1"/>
  <c r="K172" i="23"/>
  <c r="N172" i="24" s="1"/>
  <c r="K173" i="23"/>
  <c r="N173" i="24" s="1"/>
  <c r="K174" i="23"/>
  <c r="N174" i="24" s="1"/>
  <c r="K175" i="23"/>
  <c r="N175" i="24" s="1"/>
  <c r="K176" i="23"/>
  <c r="N176" i="24" s="1"/>
  <c r="K177" i="23"/>
  <c r="N177" i="24" s="1"/>
  <c r="K178" i="23"/>
  <c r="N178" i="24" s="1"/>
  <c r="K179" i="23"/>
  <c r="N179" i="24" s="1"/>
  <c r="K180" i="23"/>
  <c r="N180" i="24" s="1"/>
  <c r="K181" i="23"/>
  <c r="N181" i="24" s="1"/>
  <c r="K182" i="23"/>
  <c r="N182" i="24" s="1"/>
  <c r="K183" i="23"/>
  <c r="N183" i="24" s="1"/>
  <c r="K184" i="23"/>
  <c r="N184" i="24" s="1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Z8" i="23"/>
  <c r="AN8" i="24" s="1"/>
  <c r="Z9" i="23"/>
  <c r="AN9" i="24" s="1"/>
  <c r="Z10" i="23"/>
  <c r="AN10" i="24" s="1"/>
  <c r="Z11" i="23"/>
  <c r="AN11" i="24" s="1"/>
  <c r="Z12" i="23"/>
  <c r="AN12" i="24" s="1"/>
  <c r="Z13" i="23"/>
  <c r="AN13" i="24" s="1"/>
  <c r="Z14" i="23"/>
  <c r="AN14" i="24" s="1"/>
  <c r="Z15" i="23"/>
  <c r="AN15" i="24" s="1"/>
  <c r="Z16" i="23"/>
  <c r="AN16" i="24" s="1"/>
  <c r="Z17" i="23"/>
  <c r="AN17" i="24" s="1"/>
  <c r="Z18" i="23"/>
  <c r="AN18" i="24" s="1"/>
  <c r="Z19" i="23"/>
  <c r="AN19" i="24" s="1"/>
  <c r="Z20" i="23"/>
  <c r="AN20" i="24" s="1"/>
  <c r="Z21" i="23"/>
  <c r="AN21" i="24" s="1"/>
  <c r="Z22" i="23"/>
  <c r="AN22" i="24" s="1"/>
  <c r="Z23" i="23"/>
  <c r="AN23" i="24" s="1"/>
  <c r="Z24" i="23"/>
  <c r="AN24" i="24" s="1"/>
  <c r="Z25" i="23"/>
  <c r="AN25" i="24" s="1"/>
  <c r="Z26" i="23"/>
  <c r="AN26" i="24" s="1"/>
  <c r="Z27" i="23"/>
  <c r="AN27" i="24" s="1"/>
  <c r="Z28" i="23"/>
  <c r="AN28" i="24" s="1"/>
  <c r="Z29" i="23"/>
  <c r="AN29" i="24" s="1"/>
  <c r="Z30" i="23"/>
  <c r="AN30" i="24" s="1"/>
  <c r="Z31" i="23"/>
  <c r="AN31" i="24" s="1"/>
  <c r="Z32" i="23"/>
  <c r="AN32" i="24" s="1"/>
  <c r="Z33" i="23"/>
  <c r="AN33" i="24" s="1"/>
  <c r="Z34" i="23"/>
  <c r="AN34" i="24" s="1"/>
  <c r="Z35" i="23"/>
  <c r="AN35" i="24" s="1"/>
  <c r="Z36" i="23"/>
  <c r="AN36" i="24" s="1"/>
  <c r="Z37" i="23"/>
  <c r="AN37" i="24" s="1"/>
  <c r="Z38" i="23"/>
  <c r="AN38" i="24" s="1"/>
  <c r="Z39" i="23"/>
  <c r="AN39" i="24" s="1"/>
  <c r="Z40" i="23"/>
  <c r="AN40" i="24" s="1"/>
  <c r="Z41" i="23"/>
  <c r="AN41" i="24" s="1"/>
  <c r="Z42" i="23"/>
  <c r="AN42" i="24" s="1"/>
  <c r="Z43" i="23"/>
  <c r="AN43" i="24" s="1"/>
  <c r="Z44" i="23"/>
  <c r="AN44" i="24" s="1"/>
  <c r="Z45" i="23"/>
  <c r="AN45" i="24" s="1"/>
  <c r="Z46" i="23"/>
  <c r="AN46" i="24" s="1"/>
  <c r="Z47" i="23"/>
  <c r="AN47" i="24" s="1"/>
  <c r="Z48" i="23"/>
  <c r="AN48" i="24" s="1"/>
  <c r="Z49" i="23"/>
  <c r="AN49" i="24" s="1"/>
  <c r="Z50" i="23"/>
  <c r="AN50" i="24" s="1"/>
  <c r="Z51" i="23"/>
  <c r="AN51" i="24" s="1"/>
  <c r="Z52" i="23"/>
  <c r="AN52" i="24" s="1"/>
  <c r="Z53" i="23"/>
  <c r="AN53" i="24" s="1"/>
  <c r="Z54" i="23"/>
  <c r="AN54" i="24" s="1"/>
  <c r="Z55" i="23"/>
  <c r="AN55" i="24" s="1"/>
  <c r="Z56" i="23"/>
  <c r="AN56" i="24" s="1"/>
  <c r="Z57" i="23"/>
  <c r="AN57" i="24" s="1"/>
  <c r="Z58" i="23"/>
  <c r="AN58" i="24" s="1"/>
  <c r="Z59" i="23"/>
  <c r="AN59" i="24" s="1"/>
  <c r="Z60" i="23"/>
  <c r="AN60" i="24" s="1"/>
  <c r="Z61" i="23"/>
  <c r="AN61" i="24" s="1"/>
  <c r="Z62" i="23"/>
  <c r="AN62" i="24" s="1"/>
  <c r="Z63" i="23"/>
  <c r="AN63" i="24" s="1"/>
  <c r="Z64" i="23"/>
  <c r="AN64" i="24" s="1"/>
  <c r="Z65" i="23"/>
  <c r="AN65" i="24" s="1"/>
  <c r="Z66" i="23"/>
  <c r="AN66" i="24" s="1"/>
  <c r="Z67" i="23"/>
  <c r="AN67" i="24" s="1"/>
  <c r="Z68" i="23"/>
  <c r="AN68" i="24" s="1"/>
  <c r="Z69" i="23"/>
  <c r="AN69" i="24" s="1"/>
  <c r="Z70" i="23"/>
  <c r="AN70" i="24" s="1"/>
  <c r="Z71" i="23"/>
  <c r="AN71" i="24" s="1"/>
  <c r="Z72" i="23"/>
  <c r="AN72" i="24" s="1"/>
  <c r="Z73" i="23"/>
  <c r="AN73" i="24" s="1"/>
  <c r="Z74" i="23"/>
  <c r="AN74" i="24" s="1"/>
  <c r="Z75" i="23"/>
  <c r="AN75" i="24" s="1"/>
  <c r="Z76" i="23"/>
  <c r="AN76" i="24" s="1"/>
  <c r="Z77" i="23"/>
  <c r="AN77" i="24" s="1"/>
  <c r="Z78" i="23"/>
  <c r="AN78" i="24" s="1"/>
  <c r="Z79" i="23"/>
  <c r="AN79" i="24" s="1"/>
  <c r="Z80" i="23"/>
  <c r="AN80" i="24" s="1"/>
  <c r="Z81" i="23"/>
  <c r="AN81" i="24" s="1"/>
  <c r="Z82" i="23"/>
  <c r="AN82" i="24" s="1"/>
  <c r="Z83" i="23"/>
  <c r="AN83" i="24" s="1"/>
  <c r="Z84" i="23"/>
  <c r="AN84" i="24" s="1"/>
  <c r="Z85" i="23"/>
  <c r="AN85" i="24" s="1"/>
  <c r="Z86" i="23"/>
  <c r="AN86" i="24" s="1"/>
  <c r="Z87" i="23"/>
  <c r="AN87" i="24" s="1"/>
  <c r="Z88" i="23"/>
  <c r="AN88" i="24" s="1"/>
  <c r="Z89" i="23"/>
  <c r="AN89" i="24" s="1"/>
  <c r="Z90" i="23"/>
  <c r="AN90" i="24" s="1"/>
  <c r="Z91" i="23"/>
  <c r="AN91" i="24" s="1"/>
  <c r="Z92" i="23"/>
  <c r="AN92" i="24" s="1"/>
  <c r="Z93" i="23"/>
  <c r="AN93" i="24" s="1"/>
  <c r="Z94" i="23"/>
  <c r="AN94" i="24" s="1"/>
  <c r="Z95" i="23"/>
  <c r="AN95" i="24" s="1"/>
  <c r="Z96" i="23"/>
  <c r="AN96" i="24" s="1"/>
  <c r="Z97" i="23"/>
  <c r="AN97" i="24" s="1"/>
  <c r="Z98" i="23"/>
  <c r="AN98" i="24" s="1"/>
  <c r="Z99" i="23"/>
  <c r="AN99" i="24" s="1"/>
  <c r="Z100" i="23"/>
  <c r="AN100" i="24" s="1"/>
  <c r="Z101" i="23"/>
  <c r="AN101" i="24" s="1"/>
  <c r="Z102" i="23"/>
  <c r="AN102" i="24" s="1"/>
  <c r="Z103" i="23"/>
  <c r="AN103" i="24" s="1"/>
  <c r="Z104" i="23"/>
  <c r="AN104" i="24" s="1"/>
  <c r="Z105" i="23"/>
  <c r="AN105" i="24" s="1"/>
  <c r="Z106" i="23"/>
  <c r="AN106" i="24" s="1"/>
  <c r="Z107" i="23"/>
  <c r="AN107" i="24" s="1"/>
  <c r="Z108" i="23"/>
  <c r="AN108" i="24" s="1"/>
  <c r="Z109" i="23"/>
  <c r="AN109" i="24" s="1"/>
  <c r="Z110" i="23"/>
  <c r="AN110" i="24" s="1"/>
  <c r="Z111" i="23"/>
  <c r="AN111" i="24" s="1"/>
  <c r="Z112" i="23"/>
  <c r="AN112" i="24" s="1"/>
  <c r="Z113" i="23"/>
  <c r="AN113" i="24" s="1"/>
  <c r="Z114" i="23"/>
  <c r="AN114" i="24" s="1"/>
  <c r="Z115" i="23"/>
  <c r="AN115" i="24" s="1"/>
  <c r="Z116" i="23"/>
  <c r="AN116" i="24" s="1"/>
  <c r="Z117" i="23"/>
  <c r="AN117" i="24" s="1"/>
  <c r="Z118" i="23"/>
  <c r="AN118" i="24" s="1"/>
  <c r="Z119" i="23"/>
  <c r="AN119" i="24" s="1"/>
  <c r="Z120" i="23"/>
  <c r="AN120" i="24" s="1"/>
  <c r="Z121" i="23"/>
  <c r="AN121" i="24" s="1"/>
  <c r="Z122" i="23"/>
  <c r="AN122" i="24" s="1"/>
  <c r="Z123" i="23"/>
  <c r="AN123" i="24" s="1"/>
  <c r="Z124" i="23"/>
  <c r="AN124" i="24" s="1"/>
  <c r="Z125" i="23"/>
  <c r="AN125" i="24" s="1"/>
  <c r="Z126" i="23"/>
  <c r="AN126" i="24" s="1"/>
  <c r="Z127" i="23"/>
  <c r="AN127" i="24" s="1"/>
  <c r="Z128" i="23"/>
  <c r="AN128" i="24" s="1"/>
  <c r="Z129" i="23"/>
  <c r="AN129" i="24" s="1"/>
  <c r="Z130" i="23"/>
  <c r="AN130" i="24" s="1"/>
  <c r="Z131" i="23"/>
  <c r="AN131" i="24" s="1"/>
  <c r="Z132" i="23"/>
  <c r="AN132" i="24" s="1"/>
  <c r="Z133" i="23"/>
  <c r="AN133" i="24" s="1"/>
  <c r="Z134" i="23"/>
  <c r="AN134" i="24" s="1"/>
  <c r="Z135" i="23"/>
  <c r="AN135" i="24" s="1"/>
  <c r="Z136" i="23"/>
  <c r="AN136" i="24" s="1"/>
  <c r="Z137" i="23"/>
  <c r="AN137" i="24" s="1"/>
  <c r="Z138" i="23"/>
  <c r="AN138" i="24" s="1"/>
  <c r="Z139" i="23"/>
  <c r="Z140" i="23"/>
  <c r="Z141" i="23"/>
  <c r="Z142" i="23"/>
  <c r="Z143" i="23"/>
  <c r="Z144" i="23"/>
  <c r="Z145" i="23"/>
  <c r="Z146" i="23"/>
  <c r="Z147" i="23"/>
  <c r="Z148" i="23"/>
  <c r="AB148" i="23" s="1"/>
  <c r="Z149" i="23"/>
  <c r="AB149" i="23" s="1"/>
  <c r="Z150" i="23"/>
  <c r="Z151" i="23"/>
  <c r="Z152" i="23"/>
  <c r="Z153" i="23"/>
  <c r="Z154" i="23"/>
  <c r="Z155" i="23"/>
  <c r="Z156" i="23"/>
  <c r="Z157" i="23"/>
  <c r="Z158" i="23"/>
  <c r="Z159" i="23"/>
  <c r="Z160" i="23"/>
  <c r="Z161" i="23"/>
  <c r="Z162" i="23"/>
  <c r="Z163" i="23"/>
  <c r="Z164" i="23"/>
  <c r="AN164" i="24" s="1"/>
  <c r="Z165" i="23"/>
  <c r="AN165" i="24" s="1"/>
  <c r="Z166" i="23"/>
  <c r="AN166" i="24" s="1"/>
  <c r="Z167" i="23"/>
  <c r="AN167" i="24" s="1"/>
  <c r="Z168" i="23"/>
  <c r="AN168" i="24" s="1"/>
  <c r="Z169" i="23"/>
  <c r="AN169" i="24" s="1"/>
  <c r="Z170" i="23"/>
  <c r="AN170" i="24" s="1"/>
  <c r="Z171" i="23"/>
  <c r="AN171" i="24" s="1"/>
  <c r="Z172" i="23"/>
  <c r="AN172" i="24" s="1"/>
  <c r="Z173" i="23"/>
  <c r="AN173" i="24" s="1"/>
  <c r="Z174" i="23"/>
  <c r="AN174" i="24" s="1"/>
  <c r="Z175" i="23"/>
  <c r="AN175" i="24" s="1"/>
  <c r="Z176" i="23"/>
  <c r="AN176" i="24" s="1"/>
  <c r="Z177" i="23"/>
  <c r="AN177" i="24" s="1"/>
  <c r="Z178" i="23"/>
  <c r="AN178" i="24" s="1"/>
  <c r="Z179" i="23"/>
  <c r="AN179" i="24" s="1"/>
  <c r="Z180" i="23"/>
  <c r="AN180" i="24" s="1"/>
  <c r="Z181" i="23"/>
  <c r="AN181" i="24" s="1"/>
  <c r="Z182" i="23"/>
  <c r="AN182" i="24" s="1"/>
  <c r="Z183" i="23"/>
  <c r="AN183" i="24" s="1"/>
  <c r="Z184" i="23"/>
  <c r="AN184" i="24" s="1"/>
  <c r="Z185" i="23"/>
  <c r="Z186" i="23"/>
  <c r="Z187" i="23"/>
  <c r="Z188" i="23"/>
  <c r="Z189" i="23"/>
  <c r="Z190" i="23"/>
  <c r="Z191" i="23"/>
  <c r="Z192" i="23"/>
  <c r="Z193" i="23"/>
  <c r="Z194" i="23"/>
  <c r="Z195" i="23"/>
  <c r="Z196" i="23"/>
  <c r="Z197" i="23"/>
  <c r="Z198" i="23"/>
  <c r="Z199" i="23"/>
  <c r="Z200" i="23"/>
  <c r="Z201" i="23"/>
  <c r="Z202" i="23"/>
  <c r="Z203" i="23"/>
  <c r="Z204" i="23"/>
  <c r="Z205" i="23"/>
  <c r="Z206" i="23"/>
  <c r="Z207" i="23"/>
  <c r="Z208" i="23"/>
  <c r="Z209" i="23"/>
  <c r="Z210" i="23"/>
  <c r="Z211" i="23"/>
  <c r="Z212" i="23"/>
  <c r="Z213" i="23"/>
  <c r="Z214" i="23"/>
  <c r="Z215" i="23"/>
  <c r="Z216" i="23"/>
  <c r="Z217" i="23"/>
  <c r="Z218" i="23"/>
  <c r="Z219" i="23"/>
  <c r="Z220" i="23"/>
  <c r="Z221" i="23"/>
  <c r="Z222" i="23"/>
  <c r="Z223" i="23"/>
  <c r="Z224" i="23"/>
  <c r="Z225" i="23"/>
  <c r="Z226" i="23"/>
  <c r="Z227" i="23"/>
  <c r="Z228" i="23"/>
  <c r="Z229" i="23"/>
  <c r="Z230" i="23"/>
  <c r="Z231" i="23"/>
  <c r="Z232" i="23"/>
  <c r="Z233" i="23"/>
  <c r="Z234" i="23"/>
  <c r="Z235" i="23"/>
  <c r="Z236" i="23"/>
  <c r="Z237" i="23"/>
  <c r="Z238" i="23"/>
  <c r="Z239" i="23"/>
  <c r="Z240" i="23"/>
  <c r="Z241" i="23"/>
  <c r="Z242" i="23"/>
  <c r="Z243" i="23"/>
  <c r="Z244" i="23"/>
  <c r="Z245" i="23"/>
  <c r="Z246" i="23"/>
  <c r="Z247" i="23"/>
  <c r="Z248" i="23"/>
  <c r="Z249" i="23"/>
  <c r="Z250" i="23"/>
  <c r="Z251" i="23"/>
  <c r="Z252" i="23"/>
  <c r="Z253" i="23"/>
  <c r="Z254" i="23"/>
  <c r="Z255" i="23"/>
  <c r="Z256" i="23"/>
  <c r="Z257" i="23"/>
  <c r="Z258" i="23"/>
  <c r="Z259" i="23"/>
  <c r="Z260" i="23"/>
  <c r="Z261" i="23"/>
  <c r="Z262" i="23"/>
  <c r="Z263" i="23"/>
  <c r="Z264" i="23"/>
  <c r="Z265" i="23"/>
  <c r="Z266" i="23"/>
  <c r="Z267" i="23"/>
  <c r="Z268" i="23"/>
  <c r="Z269" i="23"/>
  <c r="Z270" i="23"/>
  <c r="Z271" i="23"/>
  <c r="Z272" i="23"/>
  <c r="Z273" i="23"/>
  <c r="Z274" i="23"/>
  <c r="Z275" i="23"/>
  <c r="Z276" i="23"/>
  <c r="Z277" i="23"/>
  <c r="Z278" i="23"/>
  <c r="Z279" i="23"/>
  <c r="Z280" i="23"/>
  <c r="Z281" i="23"/>
  <c r="E138" i="22"/>
  <c r="E139" i="22"/>
  <c r="N163" i="24" l="1"/>
  <c r="Z163" i="24" s="1"/>
  <c r="P163" i="23"/>
  <c r="P162" i="23"/>
  <c r="BI163" i="24"/>
  <c r="BQ163" i="24" s="1"/>
  <c r="AN163" i="23"/>
  <c r="AN163" i="24"/>
  <c r="AB163" i="23"/>
  <c r="AB162" i="23"/>
  <c r="AI129" i="24"/>
  <c r="N156" i="24"/>
  <c r="Z156" i="24" s="1"/>
  <c r="P156" i="23"/>
  <c r="N155" i="24"/>
  <c r="Z155" i="24" s="1"/>
  <c r="P155" i="23"/>
  <c r="N154" i="24"/>
  <c r="X154" i="24" s="1"/>
  <c r="P154" i="23"/>
  <c r="N153" i="24"/>
  <c r="X153" i="24" s="1"/>
  <c r="P153" i="23"/>
  <c r="N152" i="24"/>
  <c r="X152" i="24" s="1"/>
  <c r="P152" i="23"/>
  <c r="N157" i="24"/>
  <c r="X157" i="24" s="1"/>
  <c r="P157" i="23"/>
  <c r="N151" i="24"/>
  <c r="Z151" i="24" s="1"/>
  <c r="P151" i="23"/>
  <c r="N162" i="24"/>
  <c r="Z162" i="24" s="1"/>
  <c r="N150" i="24"/>
  <c r="Z150" i="24" s="1"/>
  <c r="P150" i="23"/>
  <c r="N161" i="24"/>
  <c r="X161" i="24" s="1"/>
  <c r="N160" i="24"/>
  <c r="X160" i="24" s="1"/>
  <c r="N159" i="24"/>
  <c r="X159" i="24" s="1"/>
  <c r="P159" i="23"/>
  <c r="N158" i="24"/>
  <c r="X158" i="24" s="1"/>
  <c r="P158" i="23"/>
  <c r="AN159" i="24"/>
  <c r="AW159" i="24" s="1"/>
  <c r="AB159" i="23"/>
  <c r="BI155" i="24"/>
  <c r="BR155" i="24" s="1"/>
  <c r="AN155" i="23"/>
  <c r="AN158" i="24"/>
  <c r="AV158" i="24" s="1"/>
  <c r="AB158" i="23"/>
  <c r="BI154" i="24"/>
  <c r="BR154" i="24" s="1"/>
  <c r="AN154" i="23"/>
  <c r="AN157" i="24"/>
  <c r="AV157" i="24" s="1"/>
  <c r="AB157" i="23"/>
  <c r="BI153" i="24"/>
  <c r="BQ153" i="24" s="1"/>
  <c r="AN153" i="23"/>
  <c r="AN156" i="24"/>
  <c r="AV156" i="24" s="1"/>
  <c r="AB156" i="23"/>
  <c r="BI152" i="24"/>
  <c r="BR152" i="24" s="1"/>
  <c r="AN152" i="23"/>
  <c r="AN155" i="24"/>
  <c r="AW155" i="24" s="1"/>
  <c r="AB155" i="23"/>
  <c r="BI151" i="24"/>
  <c r="BR151" i="24" s="1"/>
  <c r="AN151" i="23"/>
  <c r="AN154" i="24"/>
  <c r="AV154" i="24" s="1"/>
  <c r="AB154" i="23"/>
  <c r="BI162" i="24"/>
  <c r="BR162" i="24" s="1"/>
  <c r="BI150" i="24"/>
  <c r="BQ150" i="24" s="1"/>
  <c r="AN150" i="23"/>
  <c r="AN153" i="24"/>
  <c r="AW153" i="24" s="1"/>
  <c r="AB153" i="23"/>
  <c r="BI161" i="24"/>
  <c r="BR161" i="24" s="1"/>
  <c r="AN161" i="23"/>
  <c r="AN152" i="24"/>
  <c r="AW152" i="24" s="1"/>
  <c r="AB152" i="23"/>
  <c r="BI160" i="24"/>
  <c r="BR160" i="24" s="1"/>
  <c r="AN160" i="23"/>
  <c r="AN151" i="24"/>
  <c r="AV151" i="24" s="1"/>
  <c r="AB151" i="23"/>
  <c r="BI159" i="24"/>
  <c r="BR159" i="24" s="1"/>
  <c r="AN159" i="23"/>
  <c r="AN162" i="24"/>
  <c r="AW162" i="24" s="1"/>
  <c r="AN150" i="24"/>
  <c r="AV150" i="24" s="1"/>
  <c r="AB150" i="23"/>
  <c r="BI158" i="24"/>
  <c r="BQ158" i="24" s="1"/>
  <c r="AN158" i="23"/>
  <c r="AN161" i="24"/>
  <c r="AW161" i="24" s="1"/>
  <c r="AB161" i="23"/>
  <c r="BI157" i="24"/>
  <c r="BR157" i="24" s="1"/>
  <c r="AN157" i="23"/>
  <c r="AN160" i="24"/>
  <c r="AV160" i="24" s="1"/>
  <c r="AB160" i="23"/>
  <c r="BI156" i="24"/>
  <c r="BR156" i="24" s="1"/>
  <c r="AN156" i="23"/>
  <c r="AI125" i="24"/>
  <c r="AI128" i="24"/>
  <c r="AI130" i="24"/>
  <c r="AN140" i="23"/>
  <c r="AN148" i="24"/>
  <c r="AW148" i="24" s="1"/>
  <c r="AN147" i="24"/>
  <c r="AV147" i="24" s="1"/>
  <c r="AB147" i="23"/>
  <c r="AN146" i="24"/>
  <c r="AW146" i="24" s="1"/>
  <c r="AB146" i="23"/>
  <c r="AN149" i="24"/>
  <c r="AW149" i="24" s="1"/>
  <c r="AN145" i="24"/>
  <c r="AV145" i="24" s="1"/>
  <c r="AB145" i="23"/>
  <c r="AN144" i="24"/>
  <c r="AV144" i="24" s="1"/>
  <c r="AB144" i="23"/>
  <c r="AN143" i="24"/>
  <c r="AV143" i="24" s="1"/>
  <c r="AB143" i="23"/>
  <c r="AB142" i="23"/>
  <c r="AB141" i="23"/>
  <c r="AB140" i="23"/>
  <c r="AN139" i="24"/>
  <c r="AV139" i="24" s="1"/>
  <c r="AB139" i="23"/>
  <c r="N147" i="24"/>
  <c r="Z147" i="24" s="1"/>
  <c r="BI145" i="24"/>
  <c r="BQ145" i="24" s="1"/>
  <c r="AN145" i="23"/>
  <c r="N146" i="24"/>
  <c r="X146" i="24" s="1"/>
  <c r="BI144" i="24"/>
  <c r="BR144" i="24" s="1"/>
  <c r="AN144" i="23"/>
  <c r="N145" i="24"/>
  <c r="X145" i="24" s="1"/>
  <c r="P145" i="23"/>
  <c r="BI143" i="24"/>
  <c r="BR143" i="24" s="1"/>
  <c r="AN143" i="23"/>
  <c r="N144" i="24"/>
  <c r="X144" i="24" s="1"/>
  <c r="P144" i="23"/>
  <c r="AN142" i="23"/>
  <c r="AN141" i="23"/>
  <c r="P142" i="23"/>
  <c r="P141" i="23"/>
  <c r="N140" i="24"/>
  <c r="X140" i="24" s="1"/>
  <c r="P140" i="23"/>
  <c r="N139" i="24"/>
  <c r="Z139" i="24" s="1"/>
  <c r="P139" i="23"/>
  <c r="BI149" i="24"/>
  <c r="BR149" i="24" s="1"/>
  <c r="N138" i="24"/>
  <c r="Z138" i="24" s="1"/>
  <c r="BI148" i="24"/>
  <c r="BR148" i="24" s="1"/>
  <c r="N143" i="24"/>
  <c r="Z143" i="24" s="1"/>
  <c r="P143" i="23"/>
  <c r="N149" i="24"/>
  <c r="X149" i="24" s="1"/>
  <c r="N137" i="24"/>
  <c r="Z137" i="24" s="1"/>
  <c r="BI147" i="24"/>
  <c r="BR147" i="24" s="1"/>
  <c r="AN147" i="23"/>
  <c r="N148" i="24"/>
  <c r="X148" i="24" s="1"/>
  <c r="N136" i="24"/>
  <c r="Z136" i="24" s="1"/>
  <c r="BI146" i="24"/>
  <c r="BR146" i="24" s="1"/>
  <c r="AN146" i="23"/>
  <c r="AI138" i="24"/>
  <c r="AW27" i="24"/>
  <c r="AV27" i="24"/>
  <c r="Z109" i="24"/>
  <c r="X109" i="24"/>
  <c r="X37" i="24"/>
  <c r="Z37" i="24"/>
  <c r="BR95" i="24"/>
  <c r="BQ95" i="24"/>
  <c r="BR23" i="24"/>
  <c r="BQ23" i="24"/>
  <c r="AV182" i="24"/>
  <c r="AW182" i="24"/>
  <c r="AV170" i="24"/>
  <c r="AW170" i="24"/>
  <c r="AW134" i="24"/>
  <c r="AV134" i="24"/>
  <c r="AV122" i="24"/>
  <c r="AW122" i="24"/>
  <c r="AW110" i="24"/>
  <c r="AV110" i="24"/>
  <c r="AV98" i="24"/>
  <c r="AW98" i="24"/>
  <c r="AW86" i="24"/>
  <c r="AV86" i="24"/>
  <c r="AV74" i="24"/>
  <c r="AW74" i="24"/>
  <c r="AV62" i="24"/>
  <c r="AW62" i="24"/>
  <c r="AV50" i="24"/>
  <c r="AW50" i="24"/>
  <c r="AV38" i="24"/>
  <c r="AW38" i="24"/>
  <c r="AV26" i="24"/>
  <c r="AW26" i="24"/>
  <c r="AV14" i="24"/>
  <c r="AW14" i="24"/>
  <c r="X180" i="24"/>
  <c r="Z180" i="24"/>
  <c r="X168" i="24"/>
  <c r="Z168" i="24"/>
  <c r="Z132" i="24"/>
  <c r="X132" i="24"/>
  <c r="Z120" i="24"/>
  <c r="X120" i="24"/>
  <c r="Z108" i="24"/>
  <c r="X108" i="24"/>
  <c r="X96" i="24"/>
  <c r="Z96" i="24"/>
  <c r="Z84" i="24"/>
  <c r="X84" i="24"/>
  <c r="X72" i="24"/>
  <c r="Z72" i="24"/>
  <c r="Z60" i="24"/>
  <c r="X60" i="24"/>
  <c r="Z48" i="24"/>
  <c r="X48" i="24"/>
  <c r="Z36" i="24"/>
  <c r="X36" i="24"/>
  <c r="X24" i="24"/>
  <c r="Z24" i="24"/>
  <c r="Z12" i="24"/>
  <c r="X12" i="24"/>
  <c r="BR178" i="24"/>
  <c r="BQ178" i="24"/>
  <c r="BR166" i="24"/>
  <c r="BQ166" i="24"/>
  <c r="BI142" i="24"/>
  <c r="BR130" i="24"/>
  <c r="BQ130" i="24"/>
  <c r="BR118" i="24"/>
  <c r="BQ118" i="24"/>
  <c r="BR106" i="24"/>
  <c r="BQ106" i="24"/>
  <c r="BR94" i="24"/>
  <c r="BQ94" i="24"/>
  <c r="BR82" i="24"/>
  <c r="BQ82" i="24"/>
  <c r="BR70" i="24"/>
  <c r="BQ70" i="24"/>
  <c r="BR58" i="24"/>
  <c r="BQ58" i="24"/>
  <c r="BR46" i="24"/>
  <c r="BQ46" i="24"/>
  <c r="BR34" i="24"/>
  <c r="BQ34" i="24"/>
  <c r="BR22" i="24"/>
  <c r="BQ22" i="24"/>
  <c r="BR10" i="24"/>
  <c r="BQ10" i="24"/>
  <c r="AV87" i="24"/>
  <c r="AW87" i="24"/>
  <c r="Z61" i="24"/>
  <c r="X61" i="24"/>
  <c r="BR167" i="24"/>
  <c r="BQ167" i="24"/>
  <c r="BR107" i="24"/>
  <c r="BQ107" i="24"/>
  <c r="BR11" i="24"/>
  <c r="BQ11" i="24"/>
  <c r="AW181" i="24"/>
  <c r="AV181" i="24"/>
  <c r="AW169" i="24"/>
  <c r="AV169" i="24"/>
  <c r="AV133" i="24"/>
  <c r="AW133" i="24"/>
  <c r="AV121" i="24"/>
  <c r="AW121" i="24"/>
  <c r="AV109" i="24"/>
  <c r="AW109" i="24"/>
  <c r="AV97" i="24"/>
  <c r="AW97" i="24"/>
  <c r="AV85" i="24"/>
  <c r="AW85" i="24"/>
  <c r="AV73" i="24"/>
  <c r="AW73" i="24"/>
  <c r="AW61" i="24"/>
  <c r="AV61" i="24"/>
  <c r="AV49" i="24"/>
  <c r="AW49" i="24"/>
  <c r="AW37" i="24"/>
  <c r="AV37" i="24"/>
  <c r="AW25" i="24"/>
  <c r="AV25" i="24"/>
  <c r="AW13" i="24"/>
  <c r="AV13" i="24"/>
  <c r="Z179" i="24"/>
  <c r="X179" i="24"/>
  <c r="X167" i="24"/>
  <c r="Z167" i="24"/>
  <c r="Z131" i="24"/>
  <c r="X131" i="24"/>
  <c r="Z119" i="24"/>
  <c r="X119" i="24"/>
  <c r="X107" i="24"/>
  <c r="Z107" i="24"/>
  <c r="Z95" i="24"/>
  <c r="X95" i="24"/>
  <c r="X83" i="24"/>
  <c r="Z83" i="24"/>
  <c r="Z71" i="24"/>
  <c r="X71" i="24"/>
  <c r="X59" i="24"/>
  <c r="Z59" i="24"/>
  <c r="X47" i="24"/>
  <c r="Z47" i="24"/>
  <c r="Z35" i="24"/>
  <c r="X35" i="24"/>
  <c r="X23" i="24"/>
  <c r="Z23" i="24"/>
  <c r="Z11" i="24"/>
  <c r="X11" i="24"/>
  <c r="BR177" i="24"/>
  <c r="BQ177" i="24"/>
  <c r="BR165" i="24"/>
  <c r="BQ165" i="24"/>
  <c r="BI141" i="24"/>
  <c r="BR129" i="24"/>
  <c r="BQ129" i="24"/>
  <c r="BR117" i="24"/>
  <c r="BQ117" i="24"/>
  <c r="BR105" i="24"/>
  <c r="BQ105" i="24"/>
  <c r="BR93" i="24"/>
  <c r="BQ93" i="24"/>
  <c r="BR81" i="24"/>
  <c r="BQ81" i="24"/>
  <c r="BR69" i="24"/>
  <c r="BQ69" i="24"/>
  <c r="BR57" i="24"/>
  <c r="BQ57" i="24"/>
  <c r="BR45" i="24"/>
  <c r="BQ45" i="24"/>
  <c r="BR33" i="24"/>
  <c r="BQ33" i="24"/>
  <c r="BR21" i="24"/>
  <c r="BQ21" i="24"/>
  <c r="BR9" i="24"/>
  <c r="BQ9" i="24"/>
  <c r="AW180" i="24"/>
  <c r="AV180" i="24"/>
  <c r="AV168" i="24"/>
  <c r="AW168" i="24"/>
  <c r="AW132" i="24"/>
  <c r="AV132" i="24"/>
  <c r="AV120" i="24"/>
  <c r="AW120" i="24"/>
  <c r="AW108" i="24"/>
  <c r="AV108" i="24"/>
  <c r="AW96" i="24"/>
  <c r="AV96" i="24"/>
  <c r="AW84" i="24"/>
  <c r="AV84" i="24"/>
  <c r="AW72" i="24"/>
  <c r="AV72" i="24"/>
  <c r="AW60" i="24"/>
  <c r="AV60" i="24"/>
  <c r="AW48" i="24"/>
  <c r="AV48" i="24"/>
  <c r="AW36" i="24"/>
  <c r="AV36" i="24"/>
  <c r="AV24" i="24"/>
  <c r="AW24" i="24"/>
  <c r="AV12" i="24"/>
  <c r="AW12" i="24"/>
  <c r="X178" i="24"/>
  <c r="Z178" i="24"/>
  <c r="X166" i="24"/>
  <c r="Z166" i="24"/>
  <c r="N142" i="24"/>
  <c r="X130" i="24"/>
  <c r="Z130" i="24"/>
  <c r="Z118" i="24"/>
  <c r="X118" i="24"/>
  <c r="Z106" i="24"/>
  <c r="X106" i="24"/>
  <c r="Z94" i="24"/>
  <c r="X94" i="24"/>
  <c r="Z82" i="24"/>
  <c r="X82" i="24"/>
  <c r="Z70" i="24"/>
  <c r="X70" i="24"/>
  <c r="Z58" i="24"/>
  <c r="X58" i="24"/>
  <c r="Z46" i="24"/>
  <c r="X46" i="24"/>
  <c r="X34" i="24"/>
  <c r="Z34" i="24"/>
  <c r="X22" i="24"/>
  <c r="Z22" i="24"/>
  <c r="X10" i="24"/>
  <c r="Z10" i="24"/>
  <c r="BR176" i="24"/>
  <c r="BQ176" i="24"/>
  <c r="BR164" i="24"/>
  <c r="BQ164" i="24"/>
  <c r="BI140" i="24"/>
  <c r="BR128" i="24"/>
  <c r="BQ128" i="24"/>
  <c r="BR116" i="24"/>
  <c r="BQ116" i="24"/>
  <c r="BR104" i="24"/>
  <c r="BQ104" i="24"/>
  <c r="BR92" i="24"/>
  <c r="BQ92" i="24"/>
  <c r="BR80" i="24"/>
  <c r="BQ80" i="24"/>
  <c r="BR68" i="24"/>
  <c r="BQ68" i="24"/>
  <c r="BR56" i="24"/>
  <c r="BQ56" i="24"/>
  <c r="BR44" i="24"/>
  <c r="BQ44" i="24"/>
  <c r="BR32" i="24"/>
  <c r="BQ32" i="24"/>
  <c r="BR20" i="24"/>
  <c r="BQ20" i="24"/>
  <c r="BR8" i="24"/>
  <c r="BQ8" i="24"/>
  <c r="AW183" i="24"/>
  <c r="AV183" i="24"/>
  <c r="AW63" i="24"/>
  <c r="AV63" i="24"/>
  <c r="Z121" i="24"/>
  <c r="X121" i="24"/>
  <c r="Z25" i="24"/>
  <c r="X25" i="24"/>
  <c r="BR83" i="24"/>
  <c r="BQ83" i="24"/>
  <c r="BR35" i="24"/>
  <c r="BQ35" i="24"/>
  <c r="AW179" i="24"/>
  <c r="AV179" i="24"/>
  <c r="AW167" i="24"/>
  <c r="AV167" i="24"/>
  <c r="AW131" i="24"/>
  <c r="AV131" i="24"/>
  <c r="AW119" i="24"/>
  <c r="AV119" i="24"/>
  <c r="AW107" i="24"/>
  <c r="AV107" i="24"/>
  <c r="AV95" i="24"/>
  <c r="AW95" i="24"/>
  <c r="AW83" i="24"/>
  <c r="AV83" i="24"/>
  <c r="AV71" i="24"/>
  <c r="AW71" i="24"/>
  <c r="AW59" i="24"/>
  <c r="AV59" i="24"/>
  <c r="AV47" i="24"/>
  <c r="AW47" i="24"/>
  <c r="AW35" i="24"/>
  <c r="AV35" i="24"/>
  <c r="AW23" i="24"/>
  <c r="AV23" i="24"/>
  <c r="AW11" i="24"/>
  <c r="AV11" i="24"/>
  <c r="Z177" i="24"/>
  <c r="X177" i="24"/>
  <c r="Z165" i="24"/>
  <c r="X165" i="24"/>
  <c r="N141" i="24"/>
  <c r="Z129" i="24"/>
  <c r="X129" i="24"/>
  <c r="Z117" i="24"/>
  <c r="X117" i="24"/>
  <c r="Z105" i="24"/>
  <c r="X105" i="24"/>
  <c r="Z93" i="24"/>
  <c r="X93" i="24"/>
  <c r="Z81" i="24"/>
  <c r="X81" i="24"/>
  <c r="X69" i="24"/>
  <c r="Z69" i="24"/>
  <c r="X57" i="24"/>
  <c r="Z57" i="24"/>
  <c r="X45" i="24"/>
  <c r="Z45" i="24"/>
  <c r="Z33" i="24"/>
  <c r="X33" i="24"/>
  <c r="Z21" i="24"/>
  <c r="X21" i="24"/>
  <c r="Z9" i="24"/>
  <c r="X9" i="24"/>
  <c r="BR175" i="24"/>
  <c r="BQ175" i="24"/>
  <c r="BI139" i="24"/>
  <c r="BR127" i="24"/>
  <c r="BQ127" i="24"/>
  <c r="BR115" i="24"/>
  <c r="BQ115" i="24"/>
  <c r="BR103" i="24"/>
  <c r="BQ103" i="24"/>
  <c r="BR91" i="24"/>
  <c r="BQ91" i="24"/>
  <c r="BR79" i="24"/>
  <c r="BQ79" i="24"/>
  <c r="BR67" i="24"/>
  <c r="BQ67" i="24"/>
  <c r="BR55" i="24"/>
  <c r="BQ55" i="24"/>
  <c r="BR43" i="24"/>
  <c r="BQ43" i="24"/>
  <c r="BR31" i="24"/>
  <c r="BQ31" i="24"/>
  <c r="BR19" i="24"/>
  <c r="BQ19" i="24"/>
  <c r="AV99" i="24"/>
  <c r="AW99" i="24"/>
  <c r="Z85" i="24"/>
  <c r="X85" i="24"/>
  <c r="BR131" i="24"/>
  <c r="BQ131" i="24"/>
  <c r="BR71" i="24"/>
  <c r="BQ71" i="24"/>
  <c r="BR47" i="24"/>
  <c r="BQ47" i="24"/>
  <c r="AW178" i="24"/>
  <c r="AV178" i="24"/>
  <c r="AW166" i="24"/>
  <c r="AV166" i="24"/>
  <c r="AN142" i="24"/>
  <c r="AW130" i="24"/>
  <c r="AV130" i="24"/>
  <c r="AW118" i="24"/>
  <c r="AV118" i="24"/>
  <c r="AW106" i="24"/>
  <c r="AV106" i="24"/>
  <c r="AV94" i="24"/>
  <c r="AW94" i="24"/>
  <c r="AW82" i="24"/>
  <c r="AV82" i="24"/>
  <c r="AW70" i="24"/>
  <c r="AV70" i="24"/>
  <c r="AV58" i="24"/>
  <c r="AW58" i="24"/>
  <c r="AV46" i="24"/>
  <c r="AW46" i="24"/>
  <c r="AW34" i="24"/>
  <c r="AV34" i="24"/>
  <c r="AW22" i="24"/>
  <c r="AV22" i="24"/>
  <c r="AW10" i="24"/>
  <c r="AV10" i="24"/>
  <c r="X176" i="24"/>
  <c r="Z176" i="24"/>
  <c r="Z164" i="24"/>
  <c r="X164" i="24"/>
  <c r="Z128" i="24"/>
  <c r="X128" i="24"/>
  <c r="Z116" i="24"/>
  <c r="X116" i="24"/>
  <c r="Z104" i="24"/>
  <c r="X104" i="24"/>
  <c r="Z92" i="24"/>
  <c r="X92" i="24"/>
  <c r="X80" i="24"/>
  <c r="Z80" i="24"/>
  <c r="X68" i="24"/>
  <c r="Z68" i="24"/>
  <c r="X56" i="24"/>
  <c r="Z56" i="24"/>
  <c r="X44" i="24"/>
  <c r="Z44" i="24"/>
  <c r="Z32" i="24"/>
  <c r="X32" i="24"/>
  <c r="X20" i="24"/>
  <c r="Z20" i="24"/>
  <c r="X8" i="24"/>
  <c r="Z8" i="24"/>
  <c r="BR174" i="24"/>
  <c r="BQ174" i="24"/>
  <c r="BR138" i="24"/>
  <c r="BQ138" i="24"/>
  <c r="BR126" i="24"/>
  <c r="BQ126" i="24"/>
  <c r="BR114" i="24"/>
  <c r="BQ114" i="24"/>
  <c r="BR102" i="24"/>
  <c r="BQ102" i="24"/>
  <c r="BR90" i="24"/>
  <c r="BQ90" i="24"/>
  <c r="BR78" i="24"/>
  <c r="BQ78" i="24"/>
  <c r="BR66" i="24"/>
  <c r="BQ66" i="24"/>
  <c r="BR54" i="24"/>
  <c r="BQ54" i="24"/>
  <c r="BR42" i="24"/>
  <c r="BQ42" i="24"/>
  <c r="BR30" i="24"/>
  <c r="BQ30" i="24"/>
  <c r="BR18" i="24"/>
  <c r="BQ18" i="24"/>
  <c r="AV111" i="24"/>
  <c r="AW111" i="24"/>
  <c r="Z97" i="24"/>
  <c r="X97" i="24"/>
  <c r="X13" i="24"/>
  <c r="Z13" i="24"/>
  <c r="BR179" i="24"/>
  <c r="BQ179" i="24"/>
  <c r="BR119" i="24"/>
  <c r="BQ119" i="24"/>
  <c r="BR59" i="24"/>
  <c r="BQ59" i="24"/>
  <c r="AW177" i="24"/>
  <c r="AV177" i="24"/>
  <c r="AW165" i="24"/>
  <c r="AV165" i="24"/>
  <c r="AN141" i="24"/>
  <c r="AV129" i="24"/>
  <c r="AW129" i="24"/>
  <c r="AW117" i="24"/>
  <c r="AV117" i="24"/>
  <c r="AV105" i="24"/>
  <c r="AW105" i="24"/>
  <c r="AW93" i="24"/>
  <c r="AV93" i="24"/>
  <c r="AV81" i="24"/>
  <c r="AW81" i="24"/>
  <c r="AW69" i="24"/>
  <c r="AV69" i="24"/>
  <c r="AV57" i="24"/>
  <c r="AW57" i="24"/>
  <c r="AW45" i="24"/>
  <c r="AV45" i="24"/>
  <c r="AW33" i="24"/>
  <c r="AV33" i="24"/>
  <c r="AV21" i="24"/>
  <c r="AW21" i="24"/>
  <c r="AW9" i="24"/>
  <c r="AV9" i="24"/>
  <c r="X175" i="24"/>
  <c r="Z175" i="24"/>
  <c r="Z127" i="24"/>
  <c r="X127" i="24"/>
  <c r="Z115" i="24"/>
  <c r="X115" i="24"/>
  <c r="Z103" i="24"/>
  <c r="X103" i="24"/>
  <c r="X91" i="24"/>
  <c r="Z91" i="24"/>
  <c r="X79" i="24"/>
  <c r="Z79" i="24"/>
  <c r="X67" i="24"/>
  <c r="Z67" i="24"/>
  <c r="Z55" i="24"/>
  <c r="X55" i="24"/>
  <c r="X43" i="24"/>
  <c r="Z43" i="24"/>
  <c r="X31" i="24"/>
  <c r="Z31" i="24"/>
  <c r="X19" i="24"/>
  <c r="Z19" i="24"/>
  <c r="BR173" i="24"/>
  <c r="BQ173" i="24"/>
  <c r="BR137" i="24"/>
  <c r="BQ137" i="24"/>
  <c r="BR125" i="24"/>
  <c r="BQ125" i="24"/>
  <c r="BR113" i="24"/>
  <c r="BQ113" i="24"/>
  <c r="BR101" i="24"/>
  <c r="BQ101" i="24"/>
  <c r="BR89" i="24"/>
  <c r="BQ89" i="24"/>
  <c r="BR77" i="24"/>
  <c r="BQ77" i="24"/>
  <c r="BR65" i="24"/>
  <c r="BQ65" i="24"/>
  <c r="BR53" i="24"/>
  <c r="BQ53" i="24"/>
  <c r="BR41" i="24"/>
  <c r="BQ41" i="24"/>
  <c r="BR29" i="24"/>
  <c r="BQ29" i="24"/>
  <c r="BR17" i="24"/>
  <c r="BQ17" i="24"/>
  <c r="AW39" i="24"/>
  <c r="AV39" i="24"/>
  <c r="Z169" i="24"/>
  <c r="X169" i="24"/>
  <c r="AN140" i="24"/>
  <c r="AW128" i="24"/>
  <c r="AV128" i="24"/>
  <c r="AV116" i="24"/>
  <c r="AW116" i="24"/>
  <c r="AW104" i="24"/>
  <c r="AV104" i="24"/>
  <c r="AV92" i="24"/>
  <c r="AW92" i="24"/>
  <c r="AW80" i="24"/>
  <c r="AV80" i="24"/>
  <c r="AW68" i="24"/>
  <c r="AV68" i="24"/>
  <c r="AW56" i="24"/>
  <c r="AV56" i="24"/>
  <c r="AW44" i="24"/>
  <c r="AV44" i="24"/>
  <c r="AW32" i="24"/>
  <c r="AV32" i="24"/>
  <c r="AW20" i="24"/>
  <c r="AV20" i="24"/>
  <c r="AW8" i="24"/>
  <c r="AV8" i="24"/>
  <c r="Z174" i="24"/>
  <c r="X174" i="24"/>
  <c r="X126" i="24"/>
  <c r="Z126" i="24"/>
  <c r="X114" i="24"/>
  <c r="Z114" i="24"/>
  <c r="X102" i="24"/>
  <c r="Z102" i="24"/>
  <c r="X90" i="24"/>
  <c r="Z90" i="24"/>
  <c r="X78" i="24"/>
  <c r="Z78" i="24"/>
  <c r="X66" i="24"/>
  <c r="Z66" i="24"/>
  <c r="Z54" i="24"/>
  <c r="X54" i="24"/>
  <c r="Z42" i="24"/>
  <c r="X42" i="24"/>
  <c r="Z30" i="24"/>
  <c r="X30" i="24"/>
  <c r="Z18" i="24"/>
  <c r="X18" i="24"/>
  <c r="BR184" i="24"/>
  <c r="BQ184" i="24"/>
  <c r="BR172" i="24"/>
  <c r="BQ172" i="24"/>
  <c r="BR136" i="24"/>
  <c r="BQ136" i="24"/>
  <c r="BR124" i="24"/>
  <c r="BQ124" i="24"/>
  <c r="BR112" i="24"/>
  <c r="BQ112" i="24"/>
  <c r="BR100" i="24"/>
  <c r="BQ100" i="24"/>
  <c r="BR88" i="24"/>
  <c r="BQ88" i="24"/>
  <c r="BR76" i="24"/>
  <c r="BQ76" i="24"/>
  <c r="BR64" i="24"/>
  <c r="BQ64" i="24"/>
  <c r="BR52" i="24"/>
  <c r="BQ52" i="24"/>
  <c r="BR40" i="24"/>
  <c r="BQ40" i="24"/>
  <c r="BR28" i="24"/>
  <c r="BQ28" i="24"/>
  <c r="BR16" i="24"/>
  <c r="BQ16" i="24"/>
  <c r="AV51" i="24"/>
  <c r="AW51" i="24"/>
  <c r="X181" i="24"/>
  <c r="Z181" i="24"/>
  <c r="AW103" i="24"/>
  <c r="AV103" i="24"/>
  <c r="AW79" i="24"/>
  <c r="AV79" i="24"/>
  <c r="AV67" i="24"/>
  <c r="AW67" i="24"/>
  <c r="AV55" i="24"/>
  <c r="AW55" i="24"/>
  <c r="AW43" i="24"/>
  <c r="AV43" i="24"/>
  <c r="AV31" i="24"/>
  <c r="AW31" i="24"/>
  <c r="AW19" i="24"/>
  <c r="AV19" i="24"/>
  <c r="Z173" i="24"/>
  <c r="X173" i="24"/>
  <c r="X125" i="24"/>
  <c r="Z125" i="24"/>
  <c r="X113" i="24"/>
  <c r="Z113" i="24"/>
  <c r="X101" i="24"/>
  <c r="Z101" i="24"/>
  <c r="X89" i="24"/>
  <c r="Z89" i="24"/>
  <c r="X77" i="24"/>
  <c r="Z77" i="24"/>
  <c r="X65" i="24"/>
  <c r="Z65" i="24"/>
  <c r="X53" i="24"/>
  <c r="Z53" i="24"/>
  <c r="Z41" i="24"/>
  <c r="X41" i="24"/>
  <c r="Z29" i="24"/>
  <c r="X29" i="24"/>
  <c r="Z17" i="24"/>
  <c r="X17" i="24"/>
  <c r="BR183" i="24"/>
  <c r="BQ183" i="24"/>
  <c r="BR171" i="24"/>
  <c r="BQ171" i="24"/>
  <c r="BR135" i="24"/>
  <c r="BQ135" i="24"/>
  <c r="BR123" i="24"/>
  <c r="BQ123" i="24"/>
  <c r="BR111" i="24"/>
  <c r="BQ111" i="24"/>
  <c r="BR99" i="24"/>
  <c r="BQ99" i="24"/>
  <c r="BR87" i="24"/>
  <c r="BQ87" i="24"/>
  <c r="BR75" i="24"/>
  <c r="BQ75" i="24"/>
  <c r="BR63" i="24"/>
  <c r="BQ63" i="24"/>
  <c r="BR51" i="24"/>
  <c r="BQ51" i="24"/>
  <c r="BR39" i="24"/>
  <c r="BQ39" i="24"/>
  <c r="BR27" i="24"/>
  <c r="BQ27" i="24"/>
  <c r="BR15" i="24"/>
  <c r="BQ15" i="24"/>
  <c r="AV135" i="24"/>
  <c r="AW135" i="24"/>
  <c r="AW15" i="24"/>
  <c r="AV15" i="24"/>
  <c r="Z49" i="24"/>
  <c r="X49" i="24"/>
  <c r="AW163" i="24"/>
  <c r="AV163" i="24"/>
  <c r="AV115" i="24"/>
  <c r="AW115" i="24"/>
  <c r="AV174" i="24"/>
  <c r="AW174" i="24"/>
  <c r="AW138" i="24"/>
  <c r="AV138" i="24"/>
  <c r="AV126" i="24"/>
  <c r="AW126" i="24"/>
  <c r="AW114" i="24"/>
  <c r="AV114" i="24"/>
  <c r="AW102" i="24"/>
  <c r="AV102" i="24"/>
  <c r="AV90" i="24"/>
  <c r="AW90" i="24"/>
  <c r="AW78" i="24"/>
  <c r="AV78" i="24"/>
  <c r="AW66" i="24"/>
  <c r="AV66" i="24"/>
  <c r="AW54" i="24"/>
  <c r="AV54" i="24"/>
  <c r="AW42" i="24"/>
  <c r="AV42" i="24"/>
  <c r="AW30" i="24"/>
  <c r="AV30" i="24"/>
  <c r="AW18" i="24"/>
  <c r="AV18" i="24"/>
  <c r="Z184" i="24"/>
  <c r="X184" i="24"/>
  <c r="X172" i="24"/>
  <c r="Z172" i="24"/>
  <c r="Z124" i="24"/>
  <c r="X124" i="24"/>
  <c r="Z112" i="24"/>
  <c r="X112" i="24"/>
  <c r="Z100" i="24"/>
  <c r="X100" i="24"/>
  <c r="X88" i="24"/>
  <c r="Z88" i="24"/>
  <c r="X76" i="24"/>
  <c r="Z76" i="24"/>
  <c r="Z64" i="24"/>
  <c r="X64" i="24"/>
  <c r="X52" i="24"/>
  <c r="Z52" i="24"/>
  <c r="Z40" i="24"/>
  <c r="X40" i="24"/>
  <c r="Z28" i="24"/>
  <c r="X28" i="24"/>
  <c r="Z16" i="24"/>
  <c r="X16" i="24"/>
  <c r="BR182" i="24"/>
  <c r="BQ182" i="24"/>
  <c r="BR170" i="24"/>
  <c r="BQ170" i="24"/>
  <c r="BR134" i="24"/>
  <c r="BQ134" i="24"/>
  <c r="BR122" i="24"/>
  <c r="BQ122" i="24"/>
  <c r="BR110" i="24"/>
  <c r="BQ110" i="24"/>
  <c r="BR98" i="24"/>
  <c r="BQ98" i="24"/>
  <c r="BR86" i="24"/>
  <c r="BQ86" i="24"/>
  <c r="BR74" i="24"/>
  <c r="BQ74" i="24"/>
  <c r="BR62" i="24"/>
  <c r="BQ62" i="24"/>
  <c r="BR50" i="24"/>
  <c r="BQ50" i="24"/>
  <c r="BR38" i="24"/>
  <c r="BQ38" i="24"/>
  <c r="BR26" i="24"/>
  <c r="BQ26" i="24"/>
  <c r="BR14" i="24"/>
  <c r="BQ14" i="24"/>
  <c r="AW123" i="24"/>
  <c r="AV123" i="24"/>
  <c r="X73" i="24"/>
  <c r="Z73" i="24"/>
  <c r="AV176" i="24"/>
  <c r="AW176" i="24"/>
  <c r="AV175" i="24"/>
  <c r="AW175" i="24"/>
  <c r="AV127" i="24"/>
  <c r="AW127" i="24"/>
  <c r="AV173" i="24"/>
  <c r="AW173" i="24"/>
  <c r="AW137" i="24"/>
  <c r="AV137" i="24"/>
  <c r="AW125" i="24"/>
  <c r="AV125" i="24"/>
  <c r="AW113" i="24"/>
  <c r="AV113" i="24"/>
  <c r="AW101" i="24"/>
  <c r="AV101" i="24"/>
  <c r="AW89" i="24"/>
  <c r="AV89" i="24"/>
  <c r="AW77" i="24"/>
  <c r="AV77" i="24"/>
  <c r="AW65" i="24"/>
  <c r="AV65" i="24"/>
  <c r="AW53" i="24"/>
  <c r="AV53" i="24"/>
  <c r="AW41" i="24"/>
  <c r="AV41" i="24"/>
  <c r="AV29" i="24"/>
  <c r="AW29" i="24"/>
  <c r="AW17" i="24"/>
  <c r="AV17" i="24"/>
  <c r="X183" i="24"/>
  <c r="Z183" i="24"/>
  <c r="Z171" i="24"/>
  <c r="X171" i="24"/>
  <c r="Z135" i="24"/>
  <c r="X135" i="24"/>
  <c r="Z123" i="24"/>
  <c r="X123" i="24"/>
  <c r="X111" i="24"/>
  <c r="Z111" i="24"/>
  <c r="X99" i="24"/>
  <c r="Z99" i="24"/>
  <c r="X87" i="24"/>
  <c r="Z87" i="24"/>
  <c r="X75" i="24"/>
  <c r="Z75" i="24"/>
  <c r="Z63" i="24"/>
  <c r="X63" i="24"/>
  <c r="Z51" i="24"/>
  <c r="X51" i="24"/>
  <c r="Z39" i="24"/>
  <c r="X39" i="24"/>
  <c r="X27" i="24"/>
  <c r="Z27" i="24"/>
  <c r="Z15" i="24"/>
  <c r="X15" i="24"/>
  <c r="BR181" i="24"/>
  <c r="BQ181" i="24"/>
  <c r="BR169" i="24"/>
  <c r="BQ169" i="24"/>
  <c r="BR133" i="24"/>
  <c r="BQ133" i="24"/>
  <c r="BR121" i="24"/>
  <c r="BQ121" i="24"/>
  <c r="BR109" i="24"/>
  <c r="BQ109" i="24"/>
  <c r="BR97" i="24"/>
  <c r="BQ97" i="24"/>
  <c r="BR85" i="24"/>
  <c r="BQ85" i="24"/>
  <c r="BR73" i="24"/>
  <c r="BQ73" i="24"/>
  <c r="BR61" i="24"/>
  <c r="BQ61" i="24"/>
  <c r="BR49" i="24"/>
  <c r="BQ49" i="24"/>
  <c r="BR37" i="24"/>
  <c r="BQ37" i="24"/>
  <c r="BR25" i="24"/>
  <c r="BQ25" i="24"/>
  <c r="BR13" i="24"/>
  <c r="BQ13" i="24"/>
  <c r="AV171" i="24"/>
  <c r="AW171" i="24"/>
  <c r="AW75" i="24"/>
  <c r="AV75" i="24"/>
  <c r="X133" i="24"/>
  <c r="Z133" i="24"/>
  <c r="AV164" i="24"/>
  <c r="AW164" i="24"/>
  <c r="AW91" i="24"/>
  <c r="AV91" i="24"/>
  <c r="AV184" i="24"/>
  <c r="AW184" i="24"/>
  <c r="AV172" i="24"/>
  <c r="AW172" i="24"/>
  <c r="AV136" i="24"/>
  <c r="AW136" i="24"/>
  <c r="AW124" i="24"/>
  <c r="AV124" i="24"/>
  <c r="AW112" i="24"/>
  <c r="AV112" i="24"/>
  <c r="AW100" i="24"/>
  <c r="AV100" i="24"/>
  <c r="AW88" i="24"/>
  <c r="AV88" i="24"/>
  <c r="AW76" i="24"/>
  <c r="AV76" i="24"/>
  <c r="AV64" i="24"/>
  <c r="AW64" i="24"/>
  <c r="AV52" i="24"/>
  <c r="AW52" i="24"/>
  <c r="AV40" i="24"/>
  <c r="AW40" i="24"/>
  <c r="AV28" i="24"/>
  <c r="AW28" i="24"/>
  <c r="AV16" i="24"/>
  <c r="AW16" i="24"/>
  <c r="X182" i="24"/>
  <c r="Z182" i="24"/>
  <c r="Z170" i="24"/>
  <c r="X170" i="24"/>
  <c r="Z158" i="24"/>
  <c r="X134" i="24"/>
  <c r="Z134" i="24"/>
  <c r="X122" i="24"/>
  <c r="Z122" i="24"/>
  <c r="Z110" i="24"/>
  <c r="X110" i="24"/>
  <c r="X98" i="24"/>
  <c r="Z98" i="24"/>
  <c r="Z86" i="24"/>
  <c r="X86" i="24"/>
  <c r="X74" i="24"/>
  <c r="Z74" i="24"/>
  <c r="Z62" i="24"/>
  <c r="X62" i="24"/>
  <c r="X50" i="24"/>
  <c r="Z50" i="24"/>
  <c r="Z38" i="24"/>
  <c r="X38" i="24"/>
  <c r="Z26" i="24"/>
  <c r="X26" i="24"/>
  <c r="Z14" i="24"/>
  <c r="X14" i="24"/>
  <c r="BR180" i="24"/>
  <c r="BQ180" i="24"/>
  <c r="BR168" i="24"/>
  <c r="BQ168" i="24"/>
  <c r="BR132" i="24"/>
  <c r="BQ132" i="24"/>
  <c r="BR120" i="24"/>
  <c r="BQ120" i="24"/>
  <c r="BR108" i="24"/>
  <c r="BQ108" i="24"/>
  <c r="BR96" i="24"/>
  <c r="BQ96" i="24"/>
  <c r="BR84" i="24"/>
  <c r="BQ84" i="24"/>
  <c r="BR72" i="24"/>
  <c r="BQ72" i="24"/>
  <c r="BR60" i="24"/>
  <c r="BQ60" i="24"/>
  <c r="BR48" i="24"/>
  <c r="BQ48" i="24"/>
  <c r="BR36" i="24"/>
  <c r="BQ36" i="24"/>
  <c r="BR24" i="24"/>
  <c r="BQ24" i="24"/>
  <c r="BR12" i="24"/>
  <c r="BQ12" i="24"/>
  <c r="AI124" i="24"/>
  <c r="AI132" i="24"/>
  <c r="AI135" i="24"/>
  <c r="AI134" i="24"/>
  <c r="E137" i="22"/>
  <c r="D137" i="24"/>
  <c r="E138" i="24" s="1"/>
  <c r="F139" i="24" s="1"/>
  <c r="I145" i="22"/>
  <c r="I129" i="22"/>
  <c r="I116" i="22"/>
  <c r="I117" i="22"/>
  <c r="I102" i="22"/>
  <c r="I81" i="22"/>
  <c r="I80" i="22"/>
  <c r="I79" i="22"/>
  <c r="I66" i="22"/>
  <c r="I174" i="22"/>
  <c r="I45" i="22"/>
  <c r="I162" i="22"/>
  <c r="I44" i="22"/>
  <c r="I150" i="22"/>
  <c r="I19" i="22"/>
  <c r="I9" i="22"/>
  <c r="I169" i="22"/>
  <c r="I78" i="22"/>
  <c r="I141" i="22"/>
  <c r="I8" i="22"/>
  <c r="H8" i="24" s="1"/>
  <c r="I8" i="24" s="1"/>
  <c r="I10" i="22"/>
  <c r="P37" i="22"/>
  <c r="P124" i="22"/>
  <c r="P103" i="22"/>
  <c r="P76" i="22"/>
  <c r="P51" i="22"/>
  <c r="P16" i="22"/>
  <c r="P176" i="22"/>
  <c r="P160" i="22"/>
  <c r="P142" i="22"/>
  <c r="P175" i="22"/>
  <c r="P158" i="22"/>
  <c r="P141" i="22"/>
  <c r="R141" i="22" s="1"/>
  <c r="P123" i="22"/>
  <c r="P101" i="22"/>
  <c r="P75" i="22"/>
  <c r="P47" i="22"/>
  <c r="P15" i="22"/>
  <c r="P18" i="22"/>
  <c r="P172" i="22"/>
  <c r="P157" i="22"/>
  <c r="P140" i="22"/>
  <c r="R140" i="22" s="1"/>
  <c r="P119" i="22"/>
  <c r="P100" i="22"/>
  <c r="P74" i="22"/>
  <c r="P46" i="22"/>
  <c r="P14" i="22"/>
  <c r="P20" i="22"/>
  <c r="P171" i="22"/>
  <c r="P155" i="22"/>
  <c r="P139" i="22"/>
  <c r="P118" i="22"/>
  <c r="P99" i="22"/>
  <c r="P73" i="22"/>
  <c r="P43" i="22"/>
  <c r="P13" i="22"/>
  <c r="P22" i="22"/>
  <c r="P170" i="22"/>
  <c r="P154" i="22"/>
  <c r="P137" i="22"/>
  <c r="P117" i="22"/>
  <c r="P97" i="22"/>
  <c r="P70" i="22"/>
  <c r="P41" i="22"/>
  <c r="P9" i="22"/>
  <c r="P184" i="22"/>
  <c r="P169" i="22"/>
  <c r="P153" i="22"/>
  <c r="P134" i="22"/>
  <c r="P116" i="22"/>
  <c r="P95" i="22"/>
  <c r="P68" i="22"/>
  <c r="P39" i="22"/>
  <c r="P183" i="22"/>
  <c r="P167" i="22"/>
  <c r="P152" i="22"/>
  <c r="P133" i="22"/>
  <c r="P115" i="22"/>
  <c r="P94" i="22"/>
  <c r="P67" i="22"/>
  <c r="P38" i="22"/>
  <c r="P182" i="22"/>
  <c r="P166" i="22"/>
  <c r="P151" i="22"/>
  <c r="P131" i="22"/>
  <c r="P113" i="22"/>
  <c r="P91" i="22"/>
  <c r="P61" i="22"/>
  <c r="P33" i="22"/>
  <c r="P181" i="22"/>
  <c r="P165" i="22"/>
  <c r="P148" i="22"/>
  <c r="P130" i="22"/>
  <c r="P111" i="22"/>
  <c r="P88" i="22"/>
  <c r="P58" i="22"/>
  <c r="P31" i="22"/>
  <c r="P179" i="22"/>
  <c r="P164" i="22"/>
  <c r="P147" i="22"/>
  <c r="P129" i="22"/>
  <c r="P110" i="22"/>
  <c r="P86" i="22"/>
  <c r="P57" i="22"/>
  <c r="P29" i="22"/>
  <c r="P178" i="22"/>
  <c r="P163" i="22"/>
  <c r="P146" i="22"/>
  <c r="P128" i="22"/>
  <c r="P105" i="22"/>
  <c r="P81" i="22"/>
  <c r="P56" i="22"/>
  <c r="P28" i="22"/>
  <c r="P177" i="22"/>
  <c r="P161" i="22"/>
  <c r="P145" i="22"/>
  <c r="P125" i="22"/>
  <c r="P104" i="22"/>
  <c r="P80" i="22"/>
  <c r="P53" i="22"/>
  <c r="P17" i="22"/>
  <c r="P173" i="22"/>
  <c r="P159" i="22"/>
  <c r="P143" i="22"/>
  <c r="P127" i="22"/>
  <c r="P109" i="22"/>
  <c r="P87" i="22"/>
  <c r="P59" i="22"/>
  <c r="U138" i="22"/>
  <c r="BB138" i="24" s="1"/>
  <c r="BC139" i="24" s="1"/>
  <c r="BD140" i="24" s="1"/>
  <c r="I140" i="22"/>
  <c r="I49" i="22"/>
  <c r="I43" i="22"/>
  <c r="I176" i="22"/>
  <c r="I115" i="22"/>
  <c r="I32" i="22"/>
  <c r="I175" i="22"/>
  <c r="I114" i="22"/>
  <c r="I164" i="22"/>
  <c r="I138" i="22"/>
  <c r="I104" i="22"/>
  <c r="I68" i="22"/>
  <c r="I37" i="22"/>
  <c r="I163" i="22"/>
  <c r="I133" i="22"/>
  <c r="I103" i="22"/>
  <c r="I67" i="22"/>
  <c r="I33" i="22"/>
  <c r="I57" i="22"/>
  <c r="I153" i="22"/>
  <c r="I56" i="22"/>
  <c r="I181" i="22"/>
  <c r="I152" i="22"/>
  <c r="I126" i="22"/>
  <c r="I91" i="22"/>
  <c r="I55" i="22"/>
  <c r="I20" i="22"/>
  <c r="I157" i="22"/>
  <c r="I128" i="22"/>
  <c r="I93" i="22"/>
  <c r="I30" i="22"/>
  <c r="I127" i="22"/>
  <c r="I92" i="22"/>
  <c r="I25" i="22"/>
  <c r="I177" i="22"/>
  <c r="I151" i="22"/>
  <c r="I121" i="22"/>
  <c r="I90" i="22"/>
  <c r="I54" i="22"/>
  <c r="I18" i="22"/>
  <c r="I165" i="22"/>
  <c r="I139" i="22"/>
  <c r="I105" i="22"/>
  <c r="I69" i="22"/>
  <c r="I31" i="22"/>
  <c r="I21" i="22"/>
  <c r="I173" i="22"/>
  <c r="I161" i="22"/>
  <c r="I149" i="22"/>
  <c r="I137" i="22"/>
  <c r="I125" i="22"/>
  <c r="I113" i="22"/>
  <c r="I101" i="22"/>
  <c r="I89" i="22"/>
  <c r="I77" i="22"/>
  <c r="I65" i="22"/>
  <c r="I53" i="22"/>
  <c r="I41" i="22"/>
  <c r="I29" i="22"/>
  <c r="I17" i="22"/>
  <c r="I184" i="22"/>
  <c r="I172" i="22"/>
  <c r="I160" i="22"/>
  <c r="I148" i="22"/>
  <c r="I136" i="22"/>
  <c r="I124" i="22"/>
  <c r="I112" i="22"/>
  <c r="I100" i="22"/>
  <c r="I88" i="22"/>
  <c r="I76" i="22"/>
  <c r="I64" i="22"/>
  <c r="I52" i="22"/>
  <c r="I40" i="22"/>
  <c r="I28" i="22"/>
  <c r="I16" i="22"/>
  <c r="I183" i="22"/>
  <c r="I171" i="22"/>
  <c r="I159" i="22"/>
  <c r="I147" i="22"/>
  <c r="I135" i="22"/>
  <c r="I123" i="22"/>
  <c r="I111" i="22"/>
  <c r="I99" i="22"/>
  <c r="I87" i="22"/>
  <c r="I75" i="22"/>
  <c r="I63" i="22"/>
  <c r="I51" i="22"/>
  <c r="I39" i="22"/>
  <c r="I27" i="22"/>
  <c r="I15" i="22"/>
  <c r="I182" i="22"/>
  <c r="I170" i="22"/>
  <c r="I158" i="22"/>
  <c r="I146" i="22"/>
  <c r="I134" i="22"/>
  <c r="I122" i="22"/>
  <c r="I110" i="22"/>
  <c r="I98" i="22"/>
  <c r="I86" i="22"/>
  <c r="I74" i="22"/>
  <c r="I62" i="22"/>
  <c r="I50" i="22"/>
  <c r="I38" i="22"/>
  <c r="I26" i="22"/>
  <c r="I14" i="22"/>
  <c r="I109" i="22"/>
  <c r="I97" i="22"/>
  <c r="I85" i="22"/>
  <c r="I73" i="22"/>
  <c r="I61" i="22"/>
  <c r="I13" i="22"/>
  <c r="I180" i="22"/>
  <c r="I168" i="22"/>
  <c r="I156" i="22"/>
  <c r="I144" i="22"/>
  <c r="I132" i="22"/>
  <c r="I120" i="22"/>
  <c r="I108" i="22"/>
  <c r="I96" i="22"/>
  <c r="I84" i="22"/>
  <c r="I72" i="22"/>
  <c r="I60" i="22"/>
  <c r="I48" i="22"/>
  <c r="I36" i="22"/>
  <c r="I24" i="22"/>
  <c r="I12" i="22"/>
  <c r="I179" i="22"/>
  <c r="I167" i="22"/>
  <c r="I155" i="22"/>
  <c r="I143" i="22"/>
  <c r="I131" i="22"/>
  <c r="I119" i="22"/>
  <c r="I107" i="22"/>
  <c r="I95" i="22"/>
  <c r="I83" i="22"/>
  <c r="I71" i="22"/>
  <c r="I59" i="22"/>
  <c r="I47" i="22"/>
  <c r="I35" i="22"/>
  <c r="I23" i="22"/>
  <c r="I11" i="22"/>
  <c r="I178" i="22"/>
  <c r="I166" i="22"/>
  <c r="I154" i="22"/>
  <c r="I142" i="22"/>
  <c r="I130" i="22"/>
  <c r="I118" i="22"/>
  <c r="I106" i="22"/>
  <c r="I94" i="22"/>
  <c r="I82" i="22"/>
  <c r="I70" i="22"/>
  <c r="I58" i="22"/>
  <c r="I46" i="22"/>
  <c r="I34" i="22"/>
  <c r="I22" i="22"/>
  <c r="W36" i="22"/>
  <c r="W108" i="22"/>
  <c r="W157" i="22"/>
  <c r="W180" i="22"/>
  <c r="W60" i="22"/>
  <c r="W156" i="22"/>
  <c r="W121" i="22"/>
  <c r="W120" i="22"/>
  <c r="W84" i="22"/>
  <c r="W49" i="22"/>
  <c r="W37" i="22"/>
  <c r="W48" i="22"/>
  <c r="W85" i="22"/>
  <c r="W181" i="22"/>
  <c r="W169" i="22"/>
  <c r="W167" i="22"/>
  <c r="W109" i="22"/>
  <c r="W132" i="22"/>
  <c r="W12" i="22"/>
  <c r="W96" i="22"/>
  <c r="W168" i="22"/>
  <c r="W97" i="22"/>
  <c r="W24" i="22"/>
  <c r="W145" i="22"/>
  <c r="W73" i="22"/>
  <c r="W144" i="22"/>
  <c r="W72" i="22"/>
  <c r="W133" i="22"/>
  <c r="W61" i="22"/>
  <c r="W13" i="22"/>
  <c r="W178" i="22"/>
  <c r="W166" i="22"/>
  <c r="W154" i="22"/>
  <c r="W142" i="22"/>
  <c r="W130" i="22"/>
  <c r="W118" i="22"/>
  <c r="W106" i="22"/>
  <c r="W94" i="22"/>
  <c r="W82" i="22"/>
  <c r="W70" i="22"/>
  <c r="W58" i="22"/>
  <c r="W46" i="22"/>
  <c r="W34" i="22"/>
  <c r="W22" i="22"/>
  <c r="W10" i="22"/>
  <c r="W155" i="22"/>
  <c r="W119" i="22"/>
  <c r="W107" i="22"/>
  <c r="W95" i="22"/>
  <c r="W83" i="22"/>
  <c r="W71" i="22"/>
  <c r="W59" i="22"/>
  <c r="W47" i="22"/>
  <c r="W35" i="22"/>
  <c r="W23" i="22"/>
  <c r="W11" i="22"/>
  <c r="W177" i="22"/>
  <c r="W165" i="22"/>
  <c r="W153" i="22"/>
  <c r="W141" i="22"/>
  <c r="W129" i="22"/>
  <c r="W117" i="22"/>
  <c r="W105" i="22"/>
  <c r="W93" i="22"/>
  <c r="W81" i="22"/>
  <c r="W69" i="22"/>
  <c r="W57" i="22"/>
  <c r="W45" i="22"/>
  <c r="W33" i="22"/>
  <c r="W21" i="22"/>
  <c r="W9" i="22"/>
  <c r="W179" i="22"/>
  <c r="W176" i="22"/>
  <c r="W164" i="22"/>
  <c r="W152" i="22"/>
  <c r="W140" i="22"/>
  <c r="W128" i="22"/>
  <c r="W116" i="22"/>
  <c r="W104" i="22"/>
  <c r="W92" i="22"/>
  <c r="W80" i="22"/>
  <c r="W68" i="22"/>
  <c r="W56" i="22"/>
  <c r="W44" i="22"/>
  <c r="W32" i="22"/>
  <c r="W20" i="22"/>
  <c r="W8" i="22"/>
  <c r="W175" i="22"/>
  <c r="W163" i="22"/>
  <c r="W151" i="22"/>
  <c r="W139" i="22"/>
  <c r="W127" i="22"/>
  <c r="W115" i="22"/>
  <c r="W103" i="22"/>
  <c r="W91" i="22"/>
  <c r="W79" i="22"/>
  <c r="W67" i="22"/>
  <c r="W55" i="22"/>
  <c r="W43" i="22"/>
  <c r="W31" i="22"/>
  <c r="W19" i="22"/>
  <c r="W143" i="22"/>
  <c r="W174" i="22"/>
  <c r="W162" i="22"/>
  <c r="W150" i="22"/>
  <c r="W138" i="22"/>
  <c r="W126" i="22"/>
  <c r="W114" i="22"/>
  <c r="W102" i="22"/>
  <c r="W90" i="22"/>
  <c r="W78" i="22"/>
  <c r="W66" i="22"/>
  <c r="W54" i="22"/>
  <c r="W42" i="22"/>
  <c r="W30" i="22"/>
  <c r="W18" i="22"/>
  <c r="W131" i="22"/>
  <c r="W173" i="22"/>
  <c r="W161" i="22"/>
  <c r="W149" i="22"/>
  <c r="W137" i="22"/>
  <c r="W125" i="22"/>
  <c r="W113" i="22"/>
  <c r="W101" i="22"/>
  <c r="W89" i="22"/>
  <c r="W77" i="22"/>
  <c r="W65" i="22"/>
  <c r="W53" i="22"/>
  <c r="W41" i="22"/>
  <c r="W29" i="22"/>
  <c r="W17" i="22"/>
  <c r="W184" i="22"/>
  <c r="W172" i="22"/>
  <c r="W160" i="22"/>
  <c r="W148" i="22"/>
  <c r="W136" i="22"/>
  <c r="W124" i="22"/>
  <c r="W112" i="22"/>
  <c r="W100" i="22"/>
  <c r="W88" i="22"/>
  <c r="W76" i="22"/>
  <c r="W64" i="22"/>
  <c r="W52" i="22"/>
  <c r="W40" i="22"/>
  <c r="W28" i="22"/>
  <c r="W16" i="22"/>
  <c r="W183" i="22"/>
  <c r="W171" i="22"/>
  <c r="W159" i="22"/>
  <c r="W147" i="22"/>
  <c r="W135" i="22"/>
  <c r="W123" i="22"/>
  <c r="W111" i="22"/>
  <c r="W99" i="22"/>
  <c r="W87" i="22"/>
  <c r="W75" i="22"/>
  <c r="W63" i="22"/>
  <c r="W51" i="22"/>
  <c r="W39" i="22"/>
  <c r="W27" i="22"/>
  <c r="W15" i="22"/>
  <c r="W182" i="22"/>
  <c r="W170" i="22"/>
  <c r="W158" i="22"/>
  <c r="W146" i="22"/>
  <c r="W134" i="22"/>
  <c r="W122" i="22"/>
  <c r="W110" i="22"/>
  <c r="W98" i="22"/>
  <c r="W86" i="22"/>
  <c r="W74" i="22"/>
  <c r="W62" i="22"/>
  <c r="W50" i="22"/>
  <c r="W38" i="22"/>
  <c r="W26" i="22"/>
  <c r="W14" i="22"/>
  <c r="W25" i="22"/>
  <c r="P89" i="22"/>
  <c r="P71" i="22"/>
  <c r="P52" i="22"/>
  <c r="P32" i="22"/>
  <c r="P11" i="22"/>
  <c r="P85" i="22"/>
  <c r="P65" i="22"/>
  <c r="P45" i="22"/>
  <c r="P27" i="22"/>
  <c r="P82" i="22"/>
  <c r="P62" i="22"/>
  <c r="P44" i="22"/>
  <c r="P25" i="22"/>
  <c r="P112" i="22"/>
  <c r="P98" i="22"/>
  <c r="P83" i="22"/>
  <c r="P69" i="22"/>
  <c r="P55" i="22"/>
  <c r="P40" i="22"/>
  <c r="P26" i="22"/>
  <c r="P10" i="22"/>
  <c r="P23" i="22"/>
  <c r="P8" i="22"/>
  <c r="P136" i="22"/>
  <c r="P122" i="22"/>
  <c r="P107" i="22"/>
  <c r="P93" i="22"/>
  <c r="P79" i="22"/>
  <c r="P64" i="22"/>
  <c r="P50" i="22"/>
  <c r="P35" i="22"/>
  <c r="P21" i="22"/>
  <c r="P149" i="22"/>
  <c r="P135" i="22"/>
  <c r="P121" i="22"/>
  <c r="P106" i="22"/>
  <c r="P92" i="22"/>
  <c r="P77" i="22"/>
  <c r="P63" i="22"/>
  <c r="P49" i="22"/>
  <c r="P34" i="22"/>
  <c r="P180" i="22"/>
  <c r="P168" i="22"/>
  <c r="P156" i="22"/>
  <c r="P144" i="22"/>
  <c r="P132" i="22"/>
  <c r="P120" i="22"/>
  <c r="P108" i="22"/>
  <c r="P96" i="22"/>
  <c r="P84" i="22"/>
  <c r="P72" i="22"/>
  <c r="P60" i="22"/>
  <c r="P48" i="22"/>
  <c r="P36" i="22"/>
  <c r="P24" i="22"/>
  <c r="P12" i="22"/>
  <c r="P19" i="22"/>
  <c r="P174" i="22"/>
  <c r="P162" i="22"/>
  <c r="P150" i="22"/>
  <c r="P138" i="22"/>
  <c r="P126" i="22"/>
  <c r="P114" i="22"/>
  <c r="P102" i="22"/>
  <c r="P90" i="22"/>
  <c r="P78" i="22"/>
  <c r="P66" i="22"/>
  <c r="P54" i="22"/>
  <c r="P42" i="22"/>
  <c r="P30" i="22"/>
  <c r="E138" i="23"/>
  <c r="P138" i="23" s="1"/>
  <c r="D134" i="22"/>
  <c r="D134" i="24" s="1"/>
  <c r="D135" i="22"/>
  <c r="D135" i="24" s="1"/>
  <c r="D136" i="24"/>
  <c r="X137" i="24" l="1"/>
  <c r="X163" i="24"/>
  <c r="X138" i="24"/>
  <c r="BR163" i="24"/>
  <c r="BT163" i="24" s="1"/>
  <c r="BT162" i="24"/>
  <c r="BQ144" i="24"/>
  <c r="BQ156" i="24"/>
  <c r="BR145" i="24"/>
  <c r="BT145" i="24" s="1"/>
  <c r="BQ159" i="24"/>
  <c r="BR158" i="24"/>
  <c r="BT158" i="24" s="1"/>
  <c r="X151" i="24"/>
  <c r="Z153" i="24"/>
  <c r="X147" i="24"/>
  <c r="Z159" i="24"/>
  <c r="Z161" i="24"/>
  <c r="Z160" i="24"/>
  <c r="BR150" i="24"/>
  <c r="BT150" i="24" s="1"/>
  <c r="X136" i="24"/>
  <c r="X156" i="24"/>
  <c r="X162" i="24"/>
  <c r="Z149" i="24"/>
  <c r="X150" i="24"/>
  <c r="Z148" i="24"/>
  <c r="Z154" i="24"/>
  <c r="Z140" i="24"/>
  <c r="X139" i="24"/>
  <c r="Z152" i="24"/>
  <c r="Z157" i="24"/>
  <c r="X155" i="24"/>
  <c r="Z145" i="24"/>
  <c r="AW160" i="24"/>
  <c r="BQ162" i="24"/>
  <c r="BQ157" i="24"/>
  <c r="BQ160" i="24"/>
  <c r="AW156" i="24"/>
  <c r="AV152" i="24"/>
  <c r="AV162" i="24"/>
  <c r="BQ151" i="24"/>
  <c r="AW151" i="24"/>
  <c r="AV161" i="24"/>
  <c r="AW150" i="24"/>
  <c r="BQ148" i="24"/>
  <c r="BQ161" i="24"/>
  <c r="BQ147" i="24"/>
  <c r="BQ154" i="24"/>
  <c r="BR153" i="24"/>
  <c r="BT153" i="24" s="1"/>
  <c r="AW145" i="24"/>
  <c r="AV153" i="24"/>
  <c r="AW154" i="24"/>
  <c r="AW158" i="24"/>
  <c r="AW157" i="24"/>
  <c r="AV155" i="24"/>
  <c r="BQ155" i="24"/>
  <c r="BQ152" i="24"/>
  <c r="AV159" i="24"/>
  <c r="BT159" i="24"/>
  <c r="BT149" i="24"/>
  <c r="BT161" i="24"/>
  <c r="BT160" i="24"/>
  <c r="BT151" i="24"/>
  <c r="BT155" i="24"/>
  <c r="BT152" i="24"/>
  <c r="BT156" i="24"/>
  <c r="BT157" i="24"/>
  <c r="BT154" i="24"/>
  <c r="BQ149" i="24"/>
  <c r="BQ143" i="24"/>
  <c r="AV149" i="24"/>
  <c r="AV148" i="24"/>
  <c r="AW147" i="24"/>
  <c r="AW139" i="24"/>
  <c r="AW143" i="24"/>
  <c r="AW144" i="24"/>
  <c r="AV146" i="24"/>
  <c r="Z144" i="24"/>
  <c r="E137" i="24"/>
  <c r="F138" i="24" s="1"/>
  <c r="Z146" i="24"/>
  <c r="BQ146" i="24"/>
  <c r="R142" i="22"/>
  <c r="BT144" i="24"/>
  <c r="BT147" i="24"/>
  <c r="X143" i="24"/>
  <c r="BT148" i="24"/>
  <c r="BT143" i="24"/>
  <c r="BT146" i="24"/>
  <c r="BR142" i="24"/>
  <c r="BQ142" i="24"/>
  <c r="BR139" i="24"/>
  <c r="BQ139" i="24"/>
  <c r="BR140" i="24"/>
  <c r="BQ140" i="24"/>
  <c r="X142" i="24"/>
  <c r="Z142" i="24"/>
  <c r="AW140" i="24"/>
  <c r="AV140" i="24"/>
  <c r="AW141" i="24"/>
  <c r="AV141" i="24"/>
  <c r="BR141" i="24"/>
  <c r="BQ141" i="24"/>
  <c r="AW142" i="24"/>
  <c r="AV142" i="24"/>
  <c r="Z141" i="24"/>
  <c r="X141" i="24"/>
  <c r="E136" i="24"/>
  <c r="E135" i="24"/>
  <c r="E137" i="23"/>
  <c r="P137" i="23" s="1"/>
  <c r="F138" i="23"/>
  <c r="V139" i="22"/>
  <c r="U139" i="23"/>
  <c r="V138" i="22"/>
  <c r="AG138" i="23"/>
  <c r="AH139" i="23" s="1"/>
  <c r="AN139" i="23" s="1"/>
  <c r="T138" i="23"/>
  <c r="V142" i="23" s="1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E136" i="23" s="1"/>
  <c r="P136" i="23" s="1"/>
  <c r="D62" i="23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2" i="24" s="1"/>
  <c r="D123" i="22"/>
  <c r="D123" i="24" s="1"/>
  <c r="D124" i="22"/>
  <c r="D124" i="24" s="1"/>
  <c r="D125" i="22"/>
  <c r="D125" i="24" s="1"/>
  <c r="D126" i="22"/>
  <c r="D126" i="24" s="1"/>
  <c r="D127" i="22"/>
  <c r="D127" i="24" s="1"/>
  <c r="D128" i="22"/>
  <c r="D128" i="24" s="1"/>
  <c r="D129" i="22"/>
  <c r="D129" i="24" s="1"/>
  <c r="D130" i="22"/>
  <c r="D130" i="24" s="1"/>
  <c r="D131" i="22"/>
  <c r="D131" i="24" s="1"/>
  <c r="D132" i="22"/>
  <c r="D132" i="24" s="1"/>
  <c r="D133" i="22"/>
  <c r="D133" i="24" s="1"/>
  <c r="E134" i="24" s="1"/>
  <c r="F135" i="24" s="1"/>
  <c r="D62" i="22"/>
  <c r="N86" i="22"/>
  <c r="N93" i="22"/>
  <c r="N95" i="22"/>
  <c r="N88" i="22"/>
  <c r="N91" i="22"/>
  <c r="N70" i="22"/>
  <c r="N83" i="22"/>
  <c r="N100" i="22"/>
  <c r="N81" i="22"/>
  <c r="N75" i="22"/>
  <c r="N71" i="22"/>
  <c r="N87" i="22"/>
  <c r="N77" i="22"/>
  <c r="N67" i="22"/>
  <c r="N82" i="22"/>
  <c r="N66" i="22"/>
  <c r="N90" i="22"/>
  <c r="N85" i="22"/>
  <c r="N73" i="22"/>
  <c r="N76" i="22"/>
  <c r="N101" i="22"/>
  <c r="N97" i="22"/>
  <c r="N94" i="22"/>
  <c r="N89" i="22"/>
  <c r="N78" i="22"/>
  <c r="N68" i="22"/>
  <c r="N80" i="22"/>
  <c r="N98" i="22"/>
  <c r="N74" i="22"/>
  <c r="N64" i="22"/>
  <c r="N92" i="22"/>
  <c r="N72" i="22"/>
  <c r="N103" i="22"/>
  <c r="N69" i="22"/>
  <c r="N84" i="22"/>
  <c r="N65" i="22"/>
  <c r="N96" i="22"/>
  <c r="N99" i="22"/>
  <c r="N102" i="22"/>
  <c r="N79" i="22"/>
  <c r="N63" i="22"/>
  <c r="N62" i="22"/>
  <c r="F137" i="24" l="1"/>
  <c r="E128" i="24"/>
  <c r="F136" i="24"/>
  <c r="BT142" i="24"/>
  <c r="BT139" i="24"/>
  <c r="BT141" i="24"/>
  <c r="BT140" i="24"/>
  <c r="E131" i="24"/>
  <c r="AB138" i="23"/>
  <c r="AD23" i="22"/>
  <c r="E133" i="24"/>
  <c r="F134" i="24" s="1"/>
  <c r="E130" i="24"/>
  <c r="E123" i="24"/>
  <c r="E132" i="24"/>
  <c r="E127" i="24"/>
  <c r="E126" i="24"/>
  <c r="AD45" i="22"/>
  <c r="E129" i="24"/>
  <c r="E125" i="24"/>
  <c r="E124" i="24"/>
  <c r="E129" i="23"/>
  <c r="E117" i="23"/>
  <c r="E105" i="23"/>
  <c r="E93" i="23"/>
  <c r="E112" i="23"/>
  <c r="E100" i="23"/>
  <c r="E124" i="23"/>
  <c r="T137" i="23"/>
  <c r="E126" i="23"/>
  <c r="E125" i="23"/>
  <c r="E114" i="23"/>
  <c r="E102" i="23"/>
  <c r="E90" i="23"/>
  <c r="E135" i="23"/>
  <c r="P135" i="23" s="1"/>
  <c r="E123" i="23"/>
  <c r="E111" i="23"/>
  <c r="E99" i="23"/>
  <c r="E134" i="23"/>
  <c r="P134" i="23" s="1"/>
  <c r="E122" i="23"/>
  <c r="E110" i="23"/>
  <c r="E98" i="23"/>
  <c r="E128" i="23"/>
  <c r="E116" i="23"/>
  <c r="E104" i="23"/>
  <c r="E92" i="23"/>
  <c r="S134" i="23"/>
  <c r="T135" i="23" s="1"/>
  <c r="S133" i="23"/>
  <c r="S132" i="23"/>
  <c r="T136" i="23"/>
  <c r="S125" i="23"/>
  <c r="S129" i="23"/>
  <c r="S120" i="23"/>
  <c r="S119" i="23"/>
  <c r="S117" i="23"/>
  <c r="S128" i="23"/>
  <c r="S121" i="23"/>
  <c r="S127" i="23"/>
  <c r="S118" i="23"/>
  <c r="S131" i="23"/>
  <c r="S123" i="23"/>
  <c r="S126" i="23"/>
  <c r="S130" i="23"/>
  <c r="S124" i="23"/>
  <c r="S122" i="23"/>
  <c r="U136" i="22"/>
  <c r="U135" i="22"/>
  <c r="U134" i="22"/>
  <c r="U133" i="22"/>
  <c r="U132" i="22"/>
  <c r="U131" i="22"/>
  <c r="U137" i="22"/>
  <c r="U130" i="22"/>
  <c r="U129" i="22"/>
  <c r="U128" i="22"/>
  <c r="U127" i="22"/>
  <c r="E132" i="23"/>
  <c r="P132" i="23" s="1"/>
  <c r="E120" i="23"/>
  <c r="E108" i="23"/>
  <c r="E96" i="23"/>
  <c r="E121" i="23"/>
  <c r="E131" i="23"/>
  <c r="E119" i="23"/>
  <c r="E107" i="23"/>
  <c r="E95" i="23"/>
  <c r="E113" i="23"/>
  <c r="E130" i="23"/>
  <c r="E118" i="23"/>
  <c r="E106" i="23"/>
  <c r="E94" i="23"/>
  <c r="E109" i="23"/>
  <c r="E101" i="23"/>
  <c r="E97" i="23"/>
  <c r="E127" i="23"/>
  <c r="E115" i="23"/>
  <c r="E103" i="23"/>
  <c r="E91" i="23"/>
  <c r="E133" i="23"/>
  <c r="P133" i="23" s="1"/>
  <c r="F8" i="23"/>
  <c r="F127" i="24" l="1"/>
  <c r="F131" i="24"/>
  <c r="V140" i="23"/>
  <c r="V141" i="23"/>
  <c r="W141" i="23" s="1"/>
  <c r="V139" i="23"/>
  <c r="F130" i="24"/>
  <c r="F128" i="24"/>
  <c r="F133" i="24"/>
  <c r="F126" i="24"/>
  <c r="W142" i="23"/>
  <c r="AD142" i="23"/>
  <c r="AB136" i="23"/>
  <c r="AB137" i="23"/>
  <c r="F125" i="24"/>
  <c r="F129" i="24"/>
  <c r="AG131" i="23"/>
  <c r="BB131" i="24"/>
  <c r="AG132" i="23"/>
  <c r="BB132" i="24"/>
  <c r="AG134" i="23"/>
  <c r="BB134" i="24"/>
  <c r="AG135" i="23"/>
  <c r="BB135" i="24"/>
  <c r="AG136" i="23"/>
  <c r="BB136" i="24"/>
  <c r="AG133" i="23"/>
  <c r="BB133" i="24"/>
  <c r="AG137" i="23"/>
  <c r="AH138" i="23" s="1"/>
  <c r="AN138" i="23" s="1"/>
  <c r="BB137" i="24"/>
  <c r="BC138" i="24" s="1"/>
  <c r="AG127" i="23"/>
  <c r="BB127" i="24"/>
  <c r="F124" i="24"/>
  <c r="AG128" i="23"/>
  <c r="BB128" i="24"/>
  <c r="AG129" i="23"/>
  <c r="BB129" i="24"/>
  <c r="F132" i="24"/>
  <c r="AG130" i="23"/>
  <c r="BB130" i="24"/>
  <c r="AB135" i="23"/>
  <c r="AI139" i="23"/>
  <c r="U138" i="23"/>
  <c r="T120" i="23"/>
  <c r="T122" i="23"/>
  <c r="T133" i="23"/>
  <c r="T130" i="23"/>
  <c r="T121" i="23"/>
  <c r="T132" i="23"/>
  <c r="T134" i="23"/>
  <c r="V138" i="23" s="1"/>
  <c r="T127" i="23"/>
  <c r="T126" i="23"/>
  <c r="T124" i="23"/>
  <c r="T119" i="23"/>
  <c r="T123" i="23"/>
  <c r="T128" i="23"/>
  <c r="T125" i="23"/>
  <c r="T129" i="23"/>
  <c r="T131" i="23"/>
  <c r="T118" i="23"/>
  <c r="AH133" i="23" l="1"/>
  <c r="AI133" i="23" s="1"/>
  <c r="BD139" i="24"/>
  <c r="BT138" i="24"/>
  <c r="AH131" i="23"/>
  <c r="AI131" i="23" s="1"/>
  <c r="AH135" i="23"/>
  <c r="AI135" i="23" s="1"/>
  <c r="AH134" i="23"/>
  <c r="AI134" i="23" s="1"/>
  <c r="BC132" i="24"/>
  <c r="BT132" i="24" s="1"/>
  <c r="AD141" i="23"/>
  <c r="BC130" i="24"/>
  <c r="BT130" i="24" s="1"/>
  <c r="V137" i="23"/>
  <c r="AH130" i="23"/>
  <c r="AN130" i="23" s="1"/>
  <c r="W140" i="23"/>
  <c r="AD140" i="23"/>
  <c r="AH137" i="23"/>
  <c r="AN137" i="23" s="1"/>
  <c r="AI138" i="23"/>
  <c r="AH129" i="23"/>
  <c r="AI129" i="23" s="1"/>
  <c r="AH128" i="23"/>
  <c r="AN128" i="23" s="1"/>
  <c r="AH136" i="23"/>
  <c r="AN136" i="23" s="1"/>
  <c r="BC131" i="24"/>
  <c r="BT131" i="24" s="1"/>
  <c r="BC134" i="24"/>
  <c r="BT134" i="24" s="1"/>
  <c r="AH132" i="23"/>
  <c r="AI132" i="23" s="1"/>
  <c r="BC136" i="24"/>
  <c r="BT136" i="24" s="1"/>
  <c r="BC129" i="24"/>
  <c r="BT129" i="24" s="1"/>
  <c r="BC137" i="24"/>
  <c r="BC135" i="24"/>
  <c r="BT135" i="24" s="1"/>
  <c r="BC128" i="24"/>
  <c r="BC133" i="24"/>
  <c r="BT133" i="24" s="1"/>
  <c r="V124" i="23"/>
  <c r="W124" i="23" s="1"/>
  <c r="V122" i="23"/>
  <c r="W122" i="23" s="1"/>
  <c r="V125" i="23"/>
  <c r="AD125" i="23" s="1"/>
  <c r="V135" i="23"/>
  <c r="V129" i="23"/>
  <c r="V133" i="23"/>
  <c r="W138" i="23"/>
  <c r="AD138" i="23"/>
  <c r="V127" i="23"/>
  <c r="V123" i="23"/>
  <c r="V126" i="23"/>
  <c r="V132" i="23"/>
  <c r="V130" i="23"/>
  <c r="W139" i="23"/>
  <c r="AD139" i="23"/>
  <c r="V136" i="23"/>
  <c r="V134" i="23"/>
  <c r="V128" i="23"/>
  <c r="V131" i="23"/>
  <c r="AB133" i="23"/>
  <c r="AB134" i="23"/>
  <c r="AN133" i="23"/>
  <c r="U126" i="22"/>
  <c r="BB126" i="24" s="1"/>
  <c r="BC127" i="24" s="1"/>
  <c r="F125" i="23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BD138" i="24" l="1"/>
  <c r="BT137" i="24"/>
  <c r="BD132" i="24"/>
  <c r="AN131" i="23"/>
  <c r="AI130" i="23"/>
  <c r="BD129" i="24"/>
  <c r="BD135" i="24"/>
  <c r="BD131" i="24"/>
  <c r="AN134" i="23"/>
  <c r="AN135" i="23"/>
  <c r="BD130" i="24"/>
  <c r="AN129" i="23"/>
  <c r="BD134" i="24"/>
  <c r="AI136" i="23"/>
  <c r="AI137" i="23"/>
  <c r="BD137" i="24"/>
  <c r="AI128" i="23"/>
  <c r="BD136" i="24"/>
  <c r="BD133" i="24"/>
  <c r="BD128" i="24"/>
  <c r="AN132" i="23"/>
  <c r="W125" i="23"/>
  <c r="AD124" i="23"/>
  <c r="AD122" i="23"/>
  <c r="W123" i="23"/>
  <c r="AD123" i="23"/>
  <c r="W131" i="23"/>
  <c r="AD131" i="23"/>
  <c r="W127" i="23"/>
  <c r="AD127" i="23"/>
  <c r="W128" i="23"/>
  <c r="AD128" i="23"/>
  <c r="W136" i="23"/>
  <c r="AD136" i="23"/>
  <c r="W137" i="23"/>
  <c r="AD137" i="23"/>
  <c r="W133" i="23"/>
  <c r="AD133" i="23"/>
  <c r="W134" i="23"/>
  <c r="AD134" i="23"/>
  <c r="W130" i="23"/>
  <c r="AD130" i="23"/>
  <c r="W132" i="23"/>
  <c r="AD132" i="23"/>
  <c r="W129" i="23"/>
  <c r="AD129" i="23"/>
  <c r="W135" i="23"/>
  <c r="AD135" i="23"/>
  <c r="W126" i="23"/>
  <c r="AD126" i="23"/>
  <c r="AG126" i="23"/>
  <c r="AH127" i="23" s="1"/>
  <c r="F124" i="23"/>
  <c r="F123" i="23"/>
  <c r="F122" i="23"/>
  <c r="U125" i="22"/>
  <c r="U124" i="22"/>
  <c r="BB124" i="24" s="1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P8" i="24"/>
  <c r="BP9" i="24"/>
  <c r="BP10" i="24"/>
  <c r="BP11" i="24"/>
  <c r="BP12" i="24"/>
  <c r="BP13" i="24"/>
  <c r="BP14" i="24"/>
  <c r="BP15" i="24"/>
  <c r="BP16" i="24"/>
  <c r="BP17" i="24"/>
  <c r="BP18" i="24"/>
  <c r="BP19" i="24"/>
  <c r="BP20" i="24"/>
  <c r="BP21" i="24"/>
  <c r="BP22" i="24"/>
  <c r="BP23" i="24"/>
  <c r="BP24" i="24"/>
  <c r="BP25" i="24"/>
  <c r="BP26" i="24"/>
  <c r="BP27" i="24"/>
  <c r="BP28" i="24"/>
  <c r="BP29" i="24"/>
  <c r="BP30" i="24"/>
  <c r="BP31" i="24"/>
  <c r="BP32" i="24"/>
  <c r="BP33" i="24"/>
  <c r="BP34" i="24"/>
  <c r="BP35" i="24"/>
  <c r="BP36" i="24"/>
  <c r="BP37" i="24"/>
  <c r="BP38" i="24"/>
  <c r="BP39" i="24"/>
  <c r="BP40" i="24"/>
  <c r="BP41" i="24"/>
  <c r="BP42" i="24"/>
  <c r="BP43" i="24"/>
  <c r="BP44" i="24"/>
  <c r="BP45" i="24"/>
  <c r="BP46" i="24"/>
  <c r="BP47" i="24"/>
  <c r="BP48" i="24"/>
  <c r="BP49" i="24"/>
  <c r="BP50" i="24"/>
  <c r="BP51" i="24"/>
  <c r="BP52" i="24"/>
  <c r="BP53" i="24"/>
  <c r="BP54" i="24"/>
  <c r="BP55" i="24"/>
  <c r="BP56" i="24"/>
  <c r="BP57" i="24"/>
  <c r="BP58" i="24"/>
  <c r="BP59" i="24"/>
  <c r="BP60" i="24"/>
  <c r="BP61" i="24"/>
  <c r="BP62" i="24"/>
  <c r="BP63" i="24"/>
  <c r="BP64" i="24"/>
  <c r="BP65" i="24"/>
  <c r="BP66" i="24"/>
  <c r="BP67" i="24"/>
  <c r="BP68" i="24"/>
  <c r="BP69" i="24"/>
  <c r="BP70" i="24"/>
  <c r="BP71" i="24"/>
  <c r="BP72" i="24"/>
  <c r="BP73" i="24"/>
  <c r="BP74" i="24"/>
  <c r="BP75" i="24"/>
  <c r="BP76" i="24"/>
  <c r="BP77" i="24"/>
  <c r="BP78" i="24"/>
  <c r="BP79" i="24"/>
  <c r="BP80" i="24"/>
  <c r="BP81" i="24"/>
  <c r="BP82" i="24"/>
  <c r="BP83" i="24"/>
  <c r="BP84" i="24"/>
  <c r="BP85" i="24"/>
  <c r="BP86" i="24"/>
  <c r="BP87" i="24"/>
  <c r="BP88" i="24"/>
  <c r="BP89" i="24"/>
  <c r="BP90" i="24"/>
  <c r="BP91" i="24"/>
  <c r="BP92" i="24"/>
  <c r="BP93" i="24"/>
  <c r="BP94" i="24"/>
  <c r="BP95" i="24"/>
  <c r="BP96" i="24"/>
  <c r="BP97" i="24"/>
  <c r="BP98" i="24"/>
  <c r="BP99" i="24"/>
  <c r="BP100" i="24"/>
  <c r="BP101" i="24"/>
  <c r="BP102" i="24"/>
  <c r="BP103" i="24"/>
  <c r="BP104" i="24"/>
  <c r="BP105" i="24"/>
  <c r="BP106" i="24"/>
  <c r="BP107" i="24"/>
  <c r="BP108" i="24"/>
  <c r="BP109" i="24"/>
  <c r="BP110" i="24"/>
  <c r="BP111" i="24"/>
  <c r="BP112" i="24"/>
  <c r="BP113" i="24"/>
  <c r="BP114" i="24"/>
  <c r="BP115" i="24"/>
  <c r="BP116" i="24"/>
  <c r="BP117" i="24"/>
  <c r="BP118" i="24"/>
  <c r="BP119" i="24"/>
  <c r="BP120" i="24"/>
  <c r="BP121" i="24"/>
  <c r="BP122" i="24"/>
  <c r="BP123" i="24"/>
  <c r="BP124" i="24"/>
  <c r="BP125" i="24"/>
  <c r="BP126" i="24"/>
  <c r="BP127" i="24"/>
  <c r="BP128" i="24"/>
  <c r="BP129" i="24"/>
  <c r="BP130" i="24"/>
  <c r="BP131" i="24"/>
  <c r="BP132" i="24"/>
  <c r="BP133" i="24"/>
  <c r="BP134" i="24"/>
  <c r="BP135" i="24"/>
  <c r="BP136" i="24"/>
  <c r="BP137" i="24"/>
  <c r="BP138" i="24"/>
  <c r="BP139" i="24"/>
  <c r="BP140" i="24"/>
  <c r="BP141" i="24"/>
  <c r="BP142" i="24"/>
  <c r="BP143" i="24"/>
  <c r="BP144" i="24"/>
  <c r="BP145" i="24"/>
  <c r="BP146" i="24"/>
  <c r="BP147" i="24"/>
  <c r="BP148" i="24"/>
  <c r="BP149" i="24"/>
  <c r="BP150" i="24"/>
  <c r="BP151" i="24"/>
  <c r="BP152" i="24"/>
  <c r="BP153" i="24"/>
  <c r="BP154" i="24"/>
  <c r="BP155" i="24"/>
  <c r="BP156" i="24"/>
  <c r="BP157" i="24"/>
  <c r="BP158" i="24"/>
  <c r="BP159" i="24"/>
  <c r="BP160" i="24"/>
  <c r="BP161" i="24"/>
  <c r="BP162" i="24"/>
  <c r="BP163" i="24"/>
  <c r="BP164" i="24"/>
  <c r="BP165" i="24"/>
  <c r="BP166" i="24"/>
  <c r="BP167" i="24"/>
  <c r="BP168" i="24"/>
  <c r="BP169" i="24"/>
  <c r="BP170" i="24"/>
  <c r="BP171" i="24"/>
  <c r="BP172" i="24"/>
  <c r="BP173" i="24"/>
  <c r="BP174" i="24"/>
  <c r="BP175" i="24"/>
  <c r="BP176" i="24"/>
  <c r="BP177" i="24"/>
  <c r="BP178" i="24"/>
  <c r="BP179" i="24"/>
  <c r="BP180" i="24"/>
  <c r="BP181" i="24"/>
  <c r="BP182" i="24"/>
  <c r="BP183" i="24"/>
  <c r="BP184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AU8" i="24"/>
  <c r="AU9" i="24"/>
  <c r="AU10" i="24"/>
  <c r="AU11" i="24"/>
  <c r="AU12" i="24"/>
  <c r="AU13" i="24"/>
  <c r="AU14" i="24"/>
  <c r="AU15" i="24"/>
  <c r="AU16" i="24"/>
  <c r="AU17" i="24"/>
  <c r="AU18" i="24"/>
  <c r="AU19" i="24"/>
  <c r="AU20" i="24"/>
  <c r="AU21" i="24"/>
  <c r="AU22" i="24"/>
  <c r="AU23" i="24"/>
  <c r="AU24" i="24"/>
  <c r="AU25" i="24"/>
  <c r="AU26" i="24"/>
  <c r="AU27" i="24"/>
  <c r="AU28" i="24"/>
  <c r="AU29" i="24"/>
  <c r="AU30" i="24"/>
  <c r="AU31" i="24"/>
  <c r="AU32" i="24"/>
  <c r="AU33" i="24"/>
  <c r="AU34" i="24"/>
  <c r="AU35" i="24"/>
  <c r="AU36" i="24"/>
  <c r="AU37" i="24"/>
  <c r="AU38" i="24"/>
  <c r="AU39" i="24"/>
  <c r="AU40" i="24"/>
  <c r="AU41" i="24"/>
  <c r="AU42" i="24"/>
  <c r="AU43" i="24"/>
  <c r="AU44" i="24"/>
  <c r="AU45" i="24"/>
  <c r="AU46" i="24"/>
  <c r="AU47" i="24"/>
  <c r="AU48" i="24"/>
  <c r="AU49" i="24"/>
  <c r="AU50" i="24"/>
  <c r="AU51" i="24"/>
  <c r="AU52" i="24"/>
  <c r="AU53" i="24"/>
  <c r="AU54" i="24"/>
  <c r="AU55" i="24"/>
  <c r="AU56" i="24"/>
  <c r="AU57" i="24"/>
  <c r="AU58" i="24"/>
  <c r="AU59" i="24"/>
  <c r="AU60" i="24"/>
  <c r="AU61" i="24"/>
  <c r="AU62" i="24"/>
  <c r="AU63" i="24"/>
  <c r="AU64" i="24"/>
  <c r="AU65" i="24"/>
  <c r="AU66" i="24"/>
  <c r="AU67" i="24"/>
  <c r="AU68" i="24"/>
  <c r="AU69" i="24"/>
  <c r="AU70" i="24"/>
  <c r="AU71" i="24"/>
  <c r="AU72" i="24"/>
  <c r="AU73" i="24"/>
  <c r="AU74" i="24"/>
  <c r="AU75" i="24"/>
  <c r="AU76" i="24"/>
  <c r="AU77" i="24"/>
  <c r="AU78" i="24"/>
  <c r="AU79" i="24"/>
  <c r="AU80" i="24"/>
  <c r="AU81" i="24"/>
  <c r="AU82" i="24"/>
  <c r="AU83" i="24"/>
  <c r="AU84" i="24"/>
  <c r="AU85" i="24"/>
  <c r="AU86" i="24"/>
  <c r="AU87" i="24"/>
  <c r="AU88" i="24"/>
  <c r="AU89" i="24"/>
  <c r="AU90" i="24"/>
  <c r="AU91" i="24"/>
  <c r="AU92" i="24"/>
  <c r="AU93" i="24"/>
  <c r="AU94" i="24"/>
  <c r="AU95" i="24"/>
  <c r="AU96" i="24"/>
  <c r="AU97" i="24"/>
  <c r="AU98" i="24"/>
  <c r="AU99" i="24"/>
  <c r="AU100" i="24"/>
  <c r="AU101" i="24"/>
  <c r="AU102" i="24"/>
  <c r="AU103" i="24"/>
  <c r="AU104" i="24"/>
  <c r="AU105" i="24"/>
  <c r="AU106" i="24"/>
  <c r="AU107" i="24"/>
  <c r="AU108" i="24"/>
  <c r="AU109" i="24"/>
  <c r="AU110" i="24"/>
  <c r="AU111" i="24"/>
  <c r="AU112" i="24"/>
  <c r="AU113" i="24"/>
  <c r="AU114" i="24"/>
  <c r="AU115" i="24"/>
  <c r="AU116" i="24"/>
  <c r="AU117" i="24"/>
  <c r="AU118" i="24"/>
  <c r="AU119" i="24"/>
  <c r="AU120" i="24"/>
  <c r="AU121" i="24"/>
  <c r="AU122" i="24"/>
  <c r="AU123" i="24"/>
  <c r="AU124" i="24"/>
  <c r="AU125" i="24"/>
  <c r="AU126" i="24"/>
  <c r="AU127" i="24"/>
  <c r="AU128" i="24"/>
  <c r="AU129" i="24"/>
  <c r="AU130" i="24"/>
  <c r="AU131" i="24"/>
  <c r="AU132" i="24"/>
  <c r="AU133" i="24"/>
  <c r="AU134" i="24"/>
  <c r="AU135" i="24"/>
  <c r="AU136" i="24"/>
  <c r="AU137" i="24"/>
  <c r="AU138" i="24"/>
  <c r="AU139" i="24"/>
  <c r="AU140" i="24"/>
  <c r="AU141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60" i="24"/>
  <c r="AU161" i="24"/>
  <c r="AU162" i="24"/>
  <c r="AU163" i="24"/>
  <c r="AU164" i="24"/>
  <c r="AU165" i="24"/>
  <c r="AU166" i="24"/>
  <c r="AU167" i="24"/>
  <c r="AU168" i="24"/>
  <c r="AU169" i="24"/>
  <c r="AU170" i="24"/>
  <c r="AU171" i="24"/>
  <c r="AU172" i="24"/>
  <c r="AU173" i="24"/>
  <c r="AU174" i="24"/>
  <c r="AU175" i="24"/>
  <c r="AU176" i="24"/>
  <c r="AU177" i="24"/>
  <c r="AU178" i="24"/>
  <c r="AU179" i="24"/>
  <c r="AU180" i="24"/>
  <c r="AU181" i="24"/>
  <c r="AU182" i="24"/>
  <c r="AU183" i="24"/>
  <c r="AU184" i="24"/>
  <c r="H9" i="24"/>
  <c r="I9" i="24" s="1"/>
  <c r="H10" i="24"/>
  <c r="I10" i="24" s="1"/>
  <c r="H11" i="24"/>
  <c r="I11" i="24" s="1"/>
  <c r="H12" i="24"/>
  <c r="I12" i="24" s="1"/>
  <c r="H13" i="24"/>
  <c r="I13" i="24" s="1"/>
  <c r="H14" i="24"/>
  <c r="I14" i="24" s="1"/>
  <c r="H15" i="24"/>
  <c r="I15" i="24" s="1"/>
  <c r="H16" i="24"/>
  <c r="I16" i="24" s="1"/>
  <c r="H17" i="24"/>
  <c r="I17" i="24" s="1"/>
  <c r="H18" i="24"/>
  <c r="I18" i="24" s="1"/>
  <c r="H19" i="24"/>
  <c r="I19" i="24" s="1"/>
  <c r="H20" i="24"/>
  <c r="I20" i="24" s="1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H40" i="24"/>
  <c r="I40" i="24" s="1"/>
  <c r="H41" i="24"/>
  <c r="I41" i="24" s="1"/>
  <c r="H42" i="24"/>
  <c r="I42" i="24" s="1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I49" i="24" s="1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H60" i="24"/>
  <c r="I60" i="24" s="1"/>
  <c r="H61" i="24"/>
  <c r="I61" i="24" s="1"/>
  <c r="H62" i="24"/>
  <c r="I62" i="24" s="1"/>
  <c r="H63" i="24"/>
  <c r="I63" i="24" s="1"/>
  <c r="H64" i="24"/>
  <c r="I64" i="24" s="1"/>
  <c r="H65" i="24"/>
  <c r="I65" i="24" s="1"/>
  <c r="H66" i="24"/>
  <c r="I66" i="24" s="1"/>
  <c r="H67" i="24"/>
  <c r="I67" i="24" s="1"/>
  <c r="H68" i="24"/>
  <c r="I68" i="24" s="1"/>
  <c r="H69" i="24"/>
  <c r="I69" i="24" s="1"/>
  <c r="H70" i="24"/>
  <c r="I70" i="24" s="1"/>
  <c r="H71" i="24"/>
  <c r="I71" i="24" s="1"/>
  <c r="H72" i="24"/>
  <c r="I72" i="24" s="1"/>
  <c r="H73" i="24"/>
  <c r="I73" i="24" s="1"/>
  <c r="H74" i="24"/>
  <c r="I74" i="24" s="1"/>
  <c r="H75" i="24"/>
  <c r="I75" i="24" s="1"/>
  <c r="H76" i="24"/>
  <c r="I76" i="24" s="1"/>
  <c r="H77" i="24"/>
  <c r="I77" i="24" s="1"/>
  <c r="H78" i="24"/>
  <c r="I78" i="24" s="1"/>
  <c r="I4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AG125" i="23" l="1"/>
  <c r="AH126" i="23" s="1"/>
  <c r="AI126" i="23" s="1"/>
  <c r="BB125" i="24"/>
  <c r="BC126" i="24" s="1"/>
  <c r="AN127" i="23"/>
  <c r="AI127" i="23"/>
  <c r="V124" i="22"/>
  <c r="V125" i="22"/>
  <c r="BO178" i="24"/>
  <c r="BM178" i="24" s="1"/>
  <c r="BN178" i="24"/>
  <c r="BL178" i="24" s="1"/>
  <c r="BO154" i="24"/>
  <c r="BM154" i="24" s="1"/>
  <c r="BN154" i="24"/>
  <c r="BL154" i="24" s="1"/>
  <c r="BO118" i="24"/>
  <c r="BM118" i="24" s="1"/>
  <c r="BN118" i="24"/>
  <c r="BL118" i="24" s="1"/>
  <c r="BO94" i="24"/>
  <c r="BM94" i="24" s="1"/>
  <c r="BN94" i="24"/>
  <c r="BL94" i="24" s="1"/>
  <c r="BO70" i="24"/>
  <c r="BM70" i="24" s="1"/>
  <c r="BN70" i="24"/>
  <c r="BL70" i="24" s="1"/>
  <c r="BN46" i="24"/>
  <c r="BL46" i="24" s="1"/>
  <c r="BO46" i="24"/>
  <c r="BM46" i="24" s="1"/>
  <c r="BN22" i="24"/>
  <c r="BL22" i="24" s="1"/>
  <c r="BO22" i="24"/>
  <c r="BM22" i="24" s="1"/>
  <c r="BO177" i="24"/>
  <c r="BM177" i="24" s="1"/>
  <c r="BN177" i="24"/>
  <c r="BL177" i="24" s="1"/>
  <c r="BO165" i="24"/>
  <c r="BM165" i="24" s="1"/>
  <c r="BN165" i="24"/>
  <c r="BL165" i="24" s="1"/>
  <c r="BO153" i="24"/>
  <c r="BM153" i="24" s="1"/>
  <c r="BN153" i="24"/>
  <c r="BL153" i="24" s="1"/>
  <c r="BN141" i="24"/>
  <c r="BL141" i="24" s="1"/>
  <c r="BO141" i="24"/>
  <c r="BM141" i="24" s="1"/>
  <c r="BN129" i="24"/>
  <c r="BL129" i="24" s="1"/>
  <c r="BO129" i="24"/>
  <c r="BM129" i="24" s="1"/>
  <c r="BN117" i="24"/>
  <c r="BL117" i="24" s="1"/>
  <c r="BO117" i="24"/>
  <c r="BM117" i="24" s="1"/>
  <c r="BO105" i="24"/>
  <c r="BM105" i="24" s="1"/>
  <c r="BN105" i="24"/>
  <c r="BL105" i="24" s="1"/>
  <c r="BO93" i="24"/>
  <c r="BM93" i="24" s="1"/>
  <c r="BN93" i="24"/>
  <c r="BL93" i="24" s="1"/>
  <c r="BO81" i="24"/>
  <c r="BM81" i="24" s="1"/>
  <c r="BN81" i="24"/>
  <c r="BL81" i="24" s="1"/>
  <c r="BO69" i="24"/>
  <c r="BM69" i="24" s="1"/>
  <c r="BN69" i="24"/>
  <c r="BL69" i="24" s="1"/>
  <c r="BO57" i="24"/>
  <c r="BM57" i="24" s="1"/>
  <c r="BN57" i="24"/>
  <c r="BL57" i="24" s="1"/>
  <c r="BO45" i="24"/>
  <c r="BM45" i="24" s="1"/>
  <c r="BN45" i="24"/>
  <c r="BL45" i="24" s="1"/>
  <c r="BO33" i="24"/>
  <c r="BM33" i="24" s="1"/>
  <c r="BN33" i="24"/>
  <c r="BL33" i="24" s="1"/>
  <c r="BO21" i="24"/>
  <c r="BM21" i="24" s="1"/>
  <c r="BN21" i="24"/>
  <c r="BL21" i="24" s="1"/>
  <c r="BO9" i="24"/>
  <c r="BM9" i="24" s="1"/>
  <c r="BN9" i="24"/>
  <c r="BL9" i="24" s="1"/>
  <c r="BO166" i="24"/>
  <c r="BM166" i="24" s="1"/>
  <c r="BN166" i="24"/>
  <c r="BL166" i="24" s="1"/>
  <c r="BO142" i="24"/>
  <c r="BM142" i="24" s="1"/>
  <c r="BN142" i="24"/>
  <c r="BL142" i="24" s="1"/>
  <c r="BO130" i="24"/>
  <c r="BM130" i="24" s="1"/>
  <c r="BN130" i="24"/>
  <c r="BL130" i="24" s="1"/>
  <c r="BO106" i="24"/>
  <c r="BM106" i="24" s="1"/>
  <c r="BN106" i="24"/>
  <c r="BL106" i="24" s="1"/>
  <c r="BO82" i="24"/>
  <c r="BM82" i="24" s="1"/>
  <c r="BN82" i="24"/>
  <c r="BL82" i="24" s="1"/>
  <c r="BN58" i="24"/>
  <c r="BL58" i="24" s="1"/>
  <c r="BO58" i="24"/>
  <c r="BM58" i="24" s="1"/>
  <c r="BN34" i="24"/>
  <c r="BL34" i="24" s="1"/>
  <c r="BO34" i="24"/>
  <c r="BM34" i="24" s="1"/>
  <c r="BN10" i="24"/>
  <c r="BL10" i="24" s="1"/>
  <c r="BO10" i="24"/>
  <c r="BM10" i="24" s="1"/>
  <c r="BO176" i="24"/>
  <c r="BM176" i="24" s="1"/>
  <c r="BN176" i="24"/>
  <c r="BL176" i="24" s="1"/>
  <c r="BO164" i="24"/>
  <c r="BM164" i="24" s="1"/>
  <c r="BN164" i="24"/>
  <c r="BL164" i="24" s="1"/>
  <c r="BO152" i="24"/>
  <c r="BM152" i="24" s="1"/>
  <c r="BN152" i="24"/>
  <c r="BL152" i="24" s="1"/>
  <c r="BO140" i="24"/>
  <c r="BM140" i="24" s="1"/>
  <c r="BN140" i="24"/>
  <c r="BL140" i="24" s="1"/>
  <c r="BO128" i="24"/>
  <c r="BM128" i="24" s="1"/>
  <c r="BN128" i="24"/>
  <c r="BL128" i="24" s="1"/>
  <c r="BO116" i="24"/>
  <c r="BM116" i="24" s="1"/>
  <c r="BN116" i="24"/>
  <c r="BL116" i="24" s="1"/>
  <c r="BO104" i="24"/>
  <c r="BM104" i="24" s="1"/>
  <c r="BN104" i="24"/>
  <c r="BL104" i="24" s="1"/>
  <c r="BO92" i="24"/>
  <c r="BM92" i="24" s="1"/>
  <c r="BN92" i="24"/>
  <c r="BL92" i="24" s="1"/>
  <c r="BO80" i="24"/>
  <c r="BM80" i="24" s="1"/>
  <c r="BN80" i="24"/>
  <c r="BL80" i="24" s="1"/>
  <c r="BO68" i="24"/>
  <c r="BM68" i="24" s="1"/>
  <c r="BN68" i="24"/>
  <c r="BL68" i="24" s="1"/>
  <c r="BO56" i="24"/>
  <c r="BM56" i="24" s="1"/>
  <c r="BN56" i="24"/>
  <c r="BL56" i="24" s="1"/>
  <c r="BO44" i="24"/>
  <c r="BM44" i="24" s="1"/>
  <c r="BN44" i="24"/>
  <c r="BL44" i="24" s="1"/>
  <c r="BO32" i="24"/>
  <c r="BM32" i="24" s="1"/>
  <c r="BN32" i="24"/>
  <c r="BL32" i="24" s="1"/>
  <c r="BO20" i="24"/>
  <c r="BM20" i="24" s="1"/>
  <c r="BN20" i="24"/>
  <c r="BL20" i="24" s="1"/>
  <c r="BO8" i="24"/>
  <c r="BM8" i="24" s="1"/>
  <c r="BN8" i="24"/>
  <c r="BL8" i="24" s="1"/>
  <c r="BN175" i="24"/>
  <c r="BL175" i="24" s="1"/>
  <c r="BO175" i="24"/>
  <c r="BM175" i="24" s="1"/>
  <c r="BO163" i="24"/>
  <c r="BM163" i="24" s="1"/>
  <c r="BN163" i="24"/>
  <c r="BL163" i="24" s="1"/>
  <c r="BO151" i="24"/>
  <c r="BM151" i="24" s="1"/>
  <c r="BN151" i="24"/>
  <c r="BL151" i="24" s="1"/>
  <c r="BO139" i="24"/>
  <c r="BM139" i="24" s="1"/>
  <c r="BN139" i="24"/>
  <c r="BL139" i="24" s="1"/>
  <c r="BN127" i="24"/>
  <c r="BL127" i="24" s="1"/>
  <c r="BO127" i="24"/>
  <c r="BM127" i="24" s="1"/>
  <c r="BN115" i="24"/>
  <c r="BL115" i="24" s="1"/>
  <c r="BO115" i="24"/>
  <c r="BM115" i="24" s="1"/>
  <c r="BN103" i="24"/>
  <c r="BL103" i="24" s="1"/>
  <c r="BO103" i="24"/>
  <c r="BM103" i="24" s="1"/>
  <c r="BO91" i="24"/>
  <c r="BM91" i="24" s="1"/>
  <c r="BN91" i="24"/>
  <c r="BL91" i="24" s="1"/>
  <c r="BO79" i="24"/>
  <c r="BM79" i="24" s="1"/>
  <c r="BN79" i="24"/>
  <c r="BL79" i="24" s="1"/>
  <c r="BO67" i="24"/>
  <c r="BM67" i="24" s="1"/>
  <c r="BN67" i="24"/>
  <c r="BL67" i="24" s="1"/>
  <c r="BO55" i="24"/>
  <c r="BM55" i="24" s="1"/>
  <c r="BN55" i="24"/>
  <c r="BL55" i="24" s="1"/>
  <c r="BO43" i="24"/>
  <c r="BM43" i="24" s="1"/>
  <c r="BN43" i="24"/>
  <c r="BL43" i="24" s="1"/>
  <c r="BO31" i="24"/>
  <c r="BM31" i="24" s="1"/>
  <c r="BN31" i="24"/>
  <c r="BL31" i="24" s="1"/>
  <c r="BO19" i="24"/>
  <c r="BM19" i="24" s="1"/>
  <c r="BN19" i="24"/>
  <c r="BL19" i="24" s="1"/>
  <c r="BN174" i="24"/>
  <c r="BL174" i="24" s="1"/>
  <c r="BO174" i="24"/>
  <c r="BM174" i="24" s="1"/>
  <c r="BO162" i="24"/>
  <c r="BM162" i="24" s="1"/>
  <c r="BN162" i="24"/>
  <c r="BL162" i="24" s="1"/>
  <c r="BO150" i="24"/>
  <c r="BM150" i="24" s="1"/>
  <c r="BN150" i="24"/>
  <c r="BL150" i="24" s="1"/>
  <c r="BO138" i="24"/>
  <c r="BM138" i="24" s="1"/>
  <c r="BN138" i="24"/>
  <c r="BL138" i="24" s="1"/>
  <c r="BN126" i="24"/>
  <c r="BL126" i="24" s="1"/>
  <c r="BO126" i="24"/>
  <c r="BM126" i="24" s="1"/>
  <c r="BN114" i="24"/>
  <c r="BL114" i="24" s="1"/>
  <c r="BO114" i="24"/>
  <c r="BM114" i="24" s="1"/>
  <c r="BN102" i="24"/>
  <c r="BL102" i="24" s="1"/>
  <c r="BO102" i="24"/>
  <c r="BM102" i="24" s="1"/>
  <c r="BO90" i="24"/>
  <c r="BM90" i="24" s="1"/>
  <c r="BN90" i="24"/>
  <c r="BL90" i="24" s="1"/>
  <c r="BO78" i="24"/>
  <c r="BM78" i="24" s="1"/>
  <c r="BN78" i="24"/>
  <c r="BL78" i="24" s="1"/>
  <c r="BO66" i="24"/>
  <c r="BM66" i="24" s="1"/>
  <c r="BN66" i="24"/>
  <c r="BL66" i="24" s="1"/>
  <c r="BO54" i="24"/>
  <c r="BM54" i="24" s="1"/>
  <c r="BN54" i="24"/>
  <c r="BL54" i="24" s="1"/>
  <c r="BO42" i="24"/>
  <c r="BM42" i="24" s="1"/>
  <c r="BN42" i="24"/>
  <c r="BL42" i="24" s="1"/>
  <c r="BO30" i="24"/>
  <c r="BM30" i="24" s="1"/>
  <c r="BN30" i="24"/>
  <c r="BL30" i="24" s="1"/>
  <c r="BO18" i="24"/>
  <c r="BM18" i="24" s="1"/>
  <c r="BN18" i="24"/>
  <c r="BL18" i="24" s="1"/>
  <c r="BN173" i="24"/>
  <c r="BL173" i="24" s="1"/>
  <c r="BO173" i="24"/>
  <c r="BM173" i="24" s="1"/>
  <c r="BN161" i="24"/>
  <c r="BL161" i="24" s="1"/>
  <c r="BO161" i="24"/>
  <c r="BM161" i="24" s="1"/>
  <c r="BO149" i="24"/>
  <c r="BM149" i="24" s="1"/>
  <c r="BN149" i="24"/>
  <c r="BL149" i="24" s="1"/>
  <c r="BO137" i="24"/>
  <c r="BM137" i="24" s="1"/>
  <c r="BN137" i="24"/>
  <c r="BL137" i="24" s="1"/>
  <c r="BN125" i="24"/>
  <c r="BL125" i="24" s="1"/>
  <c r="BO125" i="24"/>
  <c r="BM125" i="24" s="1"/>
  <c r="BN113" i="24"/>
  <c r="BL113" i="24" s="1"/>
  <c r="BO113" i="24"/>
  <c r="BM113" i="24" s="1"/>
  <c r="BN101" i="24"/>
  <c r="BL101" i="24" s="1"/>
  <c r="BO101" i="24"/>
  <c r="BM101" i="24" s="1"/>
  <c r="BN89" i="24"/>
  <c r="BL89" i="24" s="1"/>
  <c r="BO89" i="24"/>
  <c r="BM89" i="24" s="1"/>
  <c r="BO77" i="24"/>
  <c r="BM77" i="24" s="1"/>
  <c r="BN77" i="24"/>
  <c r="BL77" i="24" s="1"/>
  <c r="BO65" i="24"/>
  <c r="BM65" i="24" s="1"/>
  <c r="BN65" i="24"/>
  <c r="BL65" i="24" s="1"/>
  <c r="BO53" i="24"/>
  <c r="BM53" i="24" s="1"/>
  <c r="BN53" i="24"/>
  <c r="BL53" i="24" s="1"/>
  <c r="BO41" i="24"/>
  <c r="BM41" i="24" s="1"/>
  <c r="BN41" i="24"/>
  <c r="BL41" i="24" s="1"/>
  <c r="BO29" i="24"/>
  <c r="BM29" i="24" s="1"/>
  <c r="BN29" i="24"/>
  <c r="BL29" i="24" s="1"/>
  <c r="BO17" i="24"/>
  <c r="BM17" i="24" s="1"/>
  <c r="BN17" i="24"/>
  <c r="BL17" i="24" s="1"/>
  <c r="BO184" i="24"/>
  <c r="BM184" i="24" s="1"/>
  <c r="BN184" i="24"/>
  <c r="BL184" i="24" s="1"/>
  <c r="BO172" i="24"/>
  <c r="BM172" i="24" s="1"/>
  <c r="BN172" i="24"/>
  <c r="BL172" i="24" s="1"/>
  <c r="BO160" i="24"/>
  <c r="BM160" i="24" s="1"/>
  <c r="BN160" i="24"/>
  <c r="BL160" i="24" s="1"/>
  <c r="BO148" i="24"/>
  <c r="BM148" i="24" s="1"/>
  <c r="BN148" i="24"/>
  <c r="BL148" i="24" s="1"/>
  <c r="BO136" i="24"/>
  <c r="BM136" i="24" s="1"/>
  <c r="BN136" i="24"/>
  <c r="BL136" i="24" s="1"/>
  <c r="BO124" i="24"/>
  <c r="BM124" i="24" s="1"/>
  <c r="BN124" i="24"/>
  <c r="BL124" i="24" s="1"/>
  <c r="BO112" i="24"/>
  <c r="BM112" i="24" s="1"/>
  <c r="BN112" i="24"/>
  <c r="BL112" i="24" s="1"/>
  <c r="BO100" i="24"/>
  <c r="BM100" i="24" s="1"/>
  <c r="BN100" i="24"/>
  <c r="BL100" i="24" s="1"/>
  <c r="BO88" i="24"/>
  <c r="BM88" i="24" s="1"/>
  <c r="BN88" i="24"/>
  <c r="BL88" i="24" s="1"/>
  <c r="BO76" i="24"/>
  <c r="BM76" i="24" s="1"/>
  <c r="BN76" i="24"/>
  <c r="BL76" i="24" s="1"/>
  <c r="BO64" i="24"/>
  <c r="BM64" i="24" s="1"/>
  <c r="BN64" i="24"/>
  <c r="BL64" i="24" s="1"/>
  <c r="BO52" i="24"/>
  <c r="BM52" i="24" s="1"/>
  <c r="BN52" i="24"/>
  <c r="BL52" i="24" s="1"/>
  <c r="BO40" i="24"/>
  <c r="BM40" i="24" s="1"/>
  <c r="BN40" i="24"/>
  <c r="BL40" i="24" s="1"/>
  <c r="BO28" i="24"/>
  <c r="BM28" i="24" s="1"/>
  <c r="BN28" i="24"/>
  <c r="BL28" i="24" s="1"/>
  <c r="BO16" i="24"/>
  <c r="BM16" i="24" s="1"/>
  <c r="BN16" i="24"/>
  <c r="BL16" i="24" s="1"/>
  <c r="BN183" i="24"/>
  <c r="BL183" i="24" s="1"/>
  <c r="BO183" i="24"/>
  <c r="BM183" i="24" s="1"/>
  <c r="BN171" i="24"/>
  <c r="BL171" i="24" s="1"/>
  <c r="BO171" i="24"/>
  <c r="BM171" i="24" s="1"/>
  <c r="BN159" i="24"/>
  <c r="BL159" i="24" s="1"/>
  <c r="BO159" i="24"/>
  <c r="BM159" i="24" s="1"/>
  <c r="BO147" i="24"/>
  <c r="BM147" i="24" s="1"/>
  <c r="BN147" i="24"/>
  <c r="BL147" i="24" s="1"/>
  <c r="BO135" i="24"/>
  <c r="BM135" i="24" s="1"/>
  <c r="BN135" i="24"/>
  <c r="BL135" i="24" s="1"/>
  <c r="BN123" i="24"/>
  <c r="BL123" i="24" s="1"/>
  <c r="BO123" i="24"/>
  <c r="BM123" i="24" s="1"/>
  <c r="BN111" i="24"/>
  <c r="BL111" i="24" s="1"/>
  <c r="BO111" i="24"/>
  <c r="BM111" i="24" s="1"/>
  <c r="BN99" i="24"/>
  <c r="BL99" i="24" s="1"/>
  <c r="BO99" i="24"/>
  <c r="BM99" i="24" s="1"/>
  <c r="BN87" i="24"/>
  <c r="BL87" i="24" s="1"/>
  <c r="BO87" i="24"/>
  <c r="BM87" i="24" s="1"/>
  <c r="BN75" i="24"/>
  <c r="BL75" i="24" s="1"/>
  <c r="BO75" i="24"/>
  <c r="BM75" i="24" s="1"/>
  <c r="BO63" i="24"/>
  <c r="BM63" i="24" s="1"/>
  <c r="BN63" i="24"/>
  <c r="BL63" i="24" s="1"/>
  <c r="BO51" i="24"/>
  <c r="BM51" i="24" s="1"/>
  <c r="BN51" i="24"/>
  <c r="BL51" i="24" s="1"/>
  <c r="BO39" i="24"/>
  <c r="BM39" i="24" s="1"/>
  <c r="BN39" i="24"/>
  <c r="BL39" i="24" s="1"/>
  <c r="BO27" i="24"/>
  <c r="BM27" i="24" s="1"/>
  <c r="BN27" i="24"/>
  <c r="BL27" i="24" s="1"/>
  <c r="BO15" i="24"/>
  <c r="BM15" i="24" s="1"/>
  <c r="BN15" i="24"/>
  <c r="BL15" i="24" s="1"/>
  <c r="BN182" i="24"/>
  <c r="BL182" i="24" s="1"/>
  <c r="BO182" i="24"/>
  <c r="BM182" i="24" s="1"/>
  <c r="BN170" i="24"/>
  <c r="BL170" i="24" s="1"/>
  <c r="BO170" i="24"/>
  <c r="BM170" i="24" s="1"/>
  <c r="BN158" i="24"/>
  <c r="BL158" i="24" s="1"/>
  <c r="BO158" i="24"/>
  <c r="BM158" i="24" s="1"/>
  <c r="BN146" i="24"/>
  <c r="BL146" i="24" s="1"/>
  <c r="BO146" i="24"/>
  <c r="BM146" i="24" s="1"/>
  <c r="BO134" i="24"/>
  <c r="BM134" i="24" s="1"/>
  <c r="BN134" i="24"/>
  <c r="BL134" i="24" s="1"/>
  <c r="BN122" i="24"/>
  <c r="BL122" i="24" s="1"/>
  <c r="BO122" i="24"/>
  <c r="BM122" i="24" s="1"/>
  <c r="BN110" i="24"/>
  <c r="BL110" i="24" s="1"/>
  <c r="BO110" i="24"/>
  <c r="BM110" i="24" s="1"/>
  <c r="BN98" i="24"/>
  <c r="BL98" i="24" s="1"/>
  <c r="BO98" i="24"/>
  <c r="BM98" i="24" s="1"/>
  <c r="BN86" i="24"/>
  <c r="BL86" i="24" s="1"/>
  <c r="BO86" i="24"/>
  <c r="BM86" i="24" s="1"/>
  <c r="BN74" i="24"/>
  <c r="BL74" i="24" s="1"/>
  <c r="BO74" i="24"/>
  <c r="BM74" i="24" s="1"/>
  <c r="BN62" i="24"/>
  <c r="BL62" i="24" s="1"/>
  <c r="BO62" i="24"/>
  <c r="BM62" i="24" s="1"/>
  <c r="BN50" i="24"/>
  <c r="BL50" i="24" s="1"/>
  <c r="BO50" i="24"/>
  <c r="BM50" i="24" s="1"/>
  <c r="BN38" i="24"/>
  <c r="BL38" i="24" s="1"/>
  <c r="BO38" i="24"/>
  <c r="BM38" i="24" s="1"/>
  <c r="BN26" i="24"/>
  <c r="BL26" i="24" s="1"/>
  <c r="BO26" i="24"/>
  <c r="BM26" i="24" s="1"/>
  <c r="BN14" i="24"/>
  <c r="BL14" i="24" s="1"/>
  <c r="BO14" i="24"/>
  <c r="BM14" i="24" s="1"/>
  <c r="BN181" i="24"/>
  <c r="BL181" i="24" s="1"/>
  <c r="BO181" i="24"/>
  <c r="BM181" i="24" s="1"/>
  <c r="BN169" i="24"/>
  <c r="BL169" i="24" s="1"/>
  <c r="BO169" i="24"/>
  <c r="BM169" i="24" s="1"/>
  <c r="BN157" i="24"/>
  <c r="BL157" i="24" s="1"/>
  <c r="BO157" i="24"/>
  <c r="BM157" i="24" s="1"/>
  <c r="BN145" i="24"/>
  <c r="BL145" i="24" s="1"/>
  <c r="BO145" i="24"/>
  <c r="BM145" i="24" s="1"/>
  <c r="BO133" i="24"/>
  <c r="BM133" i="24" s="1"/>
  <c r="BN133" i="24"/>
  <c r="BL133" i="24" s="1"/>
  <c r="BN121" i="24"/>
  <c r="BL121" i="24" s="1"/>
  <c r="BO121" i="24"/>
  <c r="BM121" i="24" s="1"/>
  <c r="BN109" i="24"/>
  <c r="BL109" i="24" s="1"/>
  <c r="BO109" i="24"/>
  <c r="BM109" i="24" s="1"/>
  <c r="BN97" i="24"/>
  <c r="BL97" i="24" s="1"/>
  <c r="BO97" i="24"/>
  <c r="BM97" i="24" s="1"/>
  <c r="BN85" i="24"/>
  <c r="BL85" i="24" s="1"/>
  <c r="BO85" i="24"/>
  <c r="BM85" i="24" s="1"/>
  <c r="BN73" i="24"/>
  <c r="BL73" i="24" s="1"/>
  <c r="BO73" i="24"/>
  <c r="BM73" i="24" s="1"/>
  <c r="BN61" i="24"/>
  <c r="BL61" i="24" s="1"/>
  <c r="BO61" i="24"/>
  <c r="BM61" i="24" s="1"/>
  <c r="BN49" i="24"/>
  <c r="BL49" i="24" s="1"/>
  <c r="BO49" i="24"/>
  <c r="BM49" i="24" s="1"/>
  <c r="BN37" i="24"/>
  <c r="BL37" i="24" s="1"/>
  <c r="BO37" i="24"/>
  <c r="BM37" i="24" s="1"/>
  <c r="BN25" i="24"/>
  <c r="BL25" i="24" s="1"/>
  <c r="BO25" i="24"/>
  <c r="BM25" i="24" s="1"/>
  <c r="BN13" i="24"/>
  <c r="BL13" i="24" s="1"/>
  <c r="BO13" i="24"/>
  <c r="BM13" i="24" s="1"/>
  <c r="BO180" i="24"/>
  <c r="BM180" i="24" s="1"/>
  <c r="BN180" i="24"/>
  <c r="BL180" i="24" s="1"/>
  <c r="BO168" i="24"/>
  <c r="BM168" i="24" s="1"/>
  <c r="BN168" i="24"/>
  <c r="BL168" i="24" s="1"/>
  <c r="BO156" i="24"/>
  <c r="BM156" i="24" s="1"/>
  <c r="BN156" i="24"/>
  <c r="BL156" i="24" s="1"/>
  <c r="BO144" i="24"/>
  <c r="BM144" i="24" s="1"/>
  <c r="BN144" i="24"/>
  <c r="BL144" i="24" s="1"/>
  <c r="BN132" i="24"/>
  <c r="BL132" i="24" s="1"/>
  <c r="BO132" i="24"/>
  <c r="BM132" i="24" s="1"/>
  <c r="BO120" i="24"/>
  <c r="BM120" i="24" s="1"/>
  <c r="BN120" i="24"/>
  <c r="BL120" i="24" s="1"/>
  <c r="BO108" i="24"/>
  <c r="BM108" i="24" s="1"/>
  <c r="BN108" i="24"/>
  <c r="BL108" i="24" s="1"/>
  <c r="BO96" i="24"/>
  <c r="BM96" i="24" s="1"/>
  <c r="BN96" i="24"/>
  <c r="BL96" i="24" s="1"/>
  <c r="BO84" i="24"/>
  <c r="BM84" i="24" s="1"/>
  <c r="BN84" i="24"/>
  <c r="BL84" i="24" s="1"/>
  <c r="BO72" i="24"/>
  <c r="BM72" i="24" s="1"/>
  <c r="BN72" i="24"/>
  <c r="BL72" i="24" s="1"/>
  <c r="BO60" i="24"/>
  <c r="BM60" i="24" s="1"/>
  <c r="BN60" i="24"/>
  <c r="BL60" i="24" s="1"/>
  <c r="BO48" i="24"/>
  <c r="BM48" i="24" s="1"/>
  <c r="BN48" i="24"/>
  <c r="BL48" i="24" s="1"/>
  <c r="BO36" i="24"/>
  <c r="BM36" i="24" s="1"/>
  <c r="BN36" i="24"/>
  <c r="BL36" i="24" s="1"/>
  <c r="BO24" i="24"/>
  <c r="BM24" i="24" s="1"/>
  <c r="BN24" i="24"/>
  <c r="BL24" i="24" s="1"/>
  <c r="BO12" i="24"/>
  <c r="BM12" i="24" s="1"/>
  <c r="BN12" i="24"/>
  <c r="BL12" i="24" s="1"/>
  <c r="BO179" i="24"/>
  <c r="BM179" i="24" s="1"/>
  <c r="BN179" i="24"/>
  <c r="BL179" i="24" s="1"/>
  <c r="BO167" i="24"/>
  <c r="BM167" i="24" s="1"/>
  <c r="BN167" i="24"/>
  <c r="BL167" i="24" s="1"/>
  <c r="BO155" i="24"/>
  <c r="BM155" i="24" s="1"/>
  <c r="BN155" i="24"/>
  <c r="BL155" i="24" s="1"/>
  <c r="BO143" i="24"/>
  <c r="BM143" i="24" s="1"/>
  <c r="BN143" i="24"/>
  <c r="BL143" i="24" s="1"/>
  <c r="BO131" i="24"/>
  <c r="BM131" i="24" s="1"/>
  <c r="BN131" i="24"/>
  <c r="BL131" i="24" s="1"/>
  <c r="BO119" i="24"/>
  <c r="BM119" i="24" s="1"/>
  <c r="BN119" i="24"/>
  <c r="BL119" i="24" s="1"/>
  <c r="BO107" i="24"/>
  <c r="BM107" i="24" s="1"/>
  <c r="BN107" i="24"/>
  <c r="BL107" i="24" s="1"/>
  <c r="BO95" i="24"/>
  <c r="BM95" i="24" s="1"/>
  <c r="BN95" i="24"/>
  <c r="BL95" i="24" s="1"/>
  <c r="BO83" i="24"/>
  <c r="BM83" i="24" s="1"/>
  <c r="BN83" i="24"/>
  <c r="BL83" i="24" s="1"/>
  <c r="BN71" i="24"/>
  <c r="BL71" i="24" s="1"/>
  <c r="BO71" i="24"/>
  <c r="BM71" i="24" s="1"/>
  <c r="BO59" i="24"/>
  <c r="BM59" i="24" s="1"/>
  <c r="BN59" i="24"/>
  <c r="BL59" i="24" s="1"/>
  <c r="BO47" i="24"/>
  <c r="BM47" i="24" s="1"/>
  <c r="BN47" i="24"/>
  <c r="BL47" i="24" s="1"/>
  <c r="BO35" i="24"/>
  <c r="BM35" i="24" s="1"/>
  <c r="BN35" i="24"/>
  <c r="BL35" i="24" s="1"/>
  <c r="BO23" i="24"/>
  <c r="BM23" i="24" s="1"/>
  <c r="BN23" i="24"/>
  <c r="BL23" i="24" s="1"/>
  <c r="BO11" i="24"/>
  <c r="BM11" i="24" s="1"/>
  <c r="BN11" i="24"/>
  <c r="BL11" i="24" s="1"/>
  <c r="AT146" i="24"/>
  <c r="AR146" i="24" s="1"/>
  <c r="AS146" i="24"/>
  <c r="AQ146" i="24" s="1"/>
  <c r="AT184" i="24"/>
  <c r="AR184" i="24" s="1"/>
  <c r="AS184" i="24"/>
  <c r="AQ184" i="24" s="1"/>
  <c r="AT160" i="24"/>
  <c r="AR160" i="24" s="1"/>
  <c r="AS160" i="24"/>
  <c r="AQ160" i="24" s="1"/>
  <c r="AT136" i="24"/>
  <c r="AR136" i="24" s="1"/>
  <c r="AS136" i="24"/>
  <c r="AQ136" i="24" s="1"/>
  <c r="AT112" i="24"/>
  <c r="AR112" i="24" s="1"/>
  <c r="AS112" i="24"/>
  <c r="AQ112" i="24" s="1"/>
  <c r="AT88" i="24"/>
  <c r="AR88" i="24" s="1"/>
  <c r="AS88" i="24"/>
  <c r="AQ88" i="24" s="1"/>
  <c r="AT76" i="24"/>
  <c r="AR76" i="24" s="1"/>
  <c r="AS76" i="24"/>
  <c r="AQ76" i="24" s="1"/>
  <c r="AT52" i="24"/>
  <c r="AR52" i="24" s="1"/>
  <c r="AS52" i="24"/>
  <c r="AQ52" i="24" s="1"/>
  <c r="AT40" i="24"/>
  <c r="AR40" i="24" s="1"/>
  <c r="AS40" i="24"/>
  <c r="AQ40" i="24" s="1"/>
  <c r="AT28" i="24"/>
  <c r="AR28" i="24" s="1"/>
  <c r="AS28" i="24"/>
  <c r="AQ28" i="24" s="1"/>
  <c r="AT16" i="24"/>
  <c r="AR16" i="24" s="1"/>
  <c r="AS16" i="24"/>
  <c r="AQ16" i="24" s="1"/>
  <c r="AT50" i="24"/>
  <c r="AR50" i="24" s="1"/>
  <c r="AS50" i="24"/>
  <c r="AQ50" i="24" s="1"/>
  <c r="AT172" i="24"/>
  <c r="AR172" i="24" s="1"/>
  <c r="AS172" i="24"/>
  <c r="AQ172" i="24" s="1"/>
  <c r="AT148" i="24"/>
  <c r="AR148" i="24" s="1"/>
  <c r="AS148" i="24"/>
  <c r="AQ148" i="24" s="1"/>
  <c r="AT124" i="24"/>
  <c r="AR124" i="24" s="1"/>
  <c r="AS124" i="24"/>
  <c r="AQ124" i="24" s="1"/>
  <c r="AT100" i="24"/>
  <c r="AR100" i="24" s="1"/>
  <c r="AS100" i="24"/>
  <c r="AQ100" i="24" s="1"/>
  <c r="AT64" i="24"/>
  <c r="AR64" i="24" s="1"/>
  <c r="AS64" i="24"/>
  <c r="AQ64" i="24" s="1"/>
  <c r="AT183" i="24"/>
  <c r="AR183" i="24" s="1"/>
  <c r="AS183" i="24"/>
  <c r="AQ183" i="24" s="1"/>
  <c r="AT171" i="24"/>
  <c r="AR171" i="24" s="1"/>
  <c r="AS171" i="24"/>
  <c r="AQ171" i="24" s="1"/>
  <c r="AT159" i="24"/>
  <c r="AR159" i="24" s="1"/>
  <c r="AS159" i="24"/>
  <c r="AQ159" i="24" s="1"/>
  <c r="AT147" i="24"/>
  <c r="AR147" i="24" s="1"/>
  <c r="AS147" i="24"/>
  <c r="AQ147" i="24" s="1"/>
  <c r="AT135" i="24"/>
  <c r="AR135" i="24" s="1"/>
  <c r="AS135" i="24"/>
  <c r="AQ135" i="24" s="1"/>
  <c r="AT123" i="24"/>
  <c r="AR123" i="24" s="1"/>
  <c r="AS123" i="24"/>
  <c r="AQ123" i="24" s="1"/>
  <c r="AT111" i="24"/>
  <c r="AR111" i="24" s="1"/>
  <c r="AS111" i="24"/>
  <c r="AQ111" i="24" s="1"/>
  <c r="AT99" i="24"/>
  <c r="AR99" i="24" s="1"/>
  <c r="AS99" i="24"/>
  <c r="AQ99" i="24" s="1"/>
  <c r="AT87" i="24"/>
  <c r="AR87" i="24" s="1"/>
  <c r="AS87" i="24"/>
  <c r="AQ87" i="24" s="1"/>
  <c r="AT75" i="24"/>
  <c r="AR75" i="24" s="1"/>
  <c r="AS75" i="24"/>
  <c r="AQ75" i="24" s="1"/>
  <c r="AT63" i="24"/>
  <c r="AR63" i="24" s="1"/>
  <c r="AS63" i="24"/>
  <c r="AQ63" i="24" s="1"/>
  <c r="AT51" i="24"/>
  <c r="AR51" i="24" s="1"/>
  <c r="AS51" i="24"/>
  <c r="AQ51" i="24" s="1"/>
  <c r="AT39" i="24"/>
  <c r="AR39" i="24" s="1"/>
  <c r="AS39" i="24"/>
  <c r="AQ39" i="24" s="1"/>
  <c r="AT27" i="24"/>
  <c r="AR27" i="24" s="1"/>
  <c r="AS27" i="24"/>
  <c r="AQ27" i="24" s="1"/>
  <c r="AT15" i="24"/>
  <c r="AR15" i="24" s="1"/>
  <c r="AS15" i="24"/>
  <c r="AQ15" i="24" s="1"/>
  <c r="AT110" i="24"/>
  <c r="AR110" i="24" s="1"/>
  <c r="AS110" i="24"/>
  <c r="AQ110" i="24" s="1"/>
  <c r="AS109" i="24"/>
  <c r="AQ109" i="24" s="1"/>
  <c r="AT109" i="24"/>
  <c r="AR109" i="24" s="1"/>
  <c r="AS180" i="24"/>
  <c r="AQ180" i="24" s="1"/>
  <c r="AT180" i="24"/>
  <c r="AR180" i="24" s="1"/>
  <c r="AS168" i="24"/>
  <c r="AQ168" i="24" s="1"/>
  <c r="AT168" i="24"/>
  <c r="AR168" i="24" s="1"/>
  <c r="AS156" i="24"/>
  <c r="AQ156" i="24" s="1"/>
  <c r="AT156" i="24"/>
  <c r="AR156" i="24" s="1"/>
  <c r="AS144" i="24"/>
  <c r="AQ144" i="24" s="1"/>
  <c r="AT144" i="24"/>
  <c r="AR144" i="24" s="1"/>
  <c r="AS132" i="24"/>
  <c r="AQ132" i="24" s="1"/>
  <c r="AT132" i="24"/>
  <c r="AR132" i="24" s="1"/>
  <c r="AS120" i="24"/>
  <c r="AQ120" i="24" s="1"/>
  <c r="AT120" i="24"/>
  <c r="AR120" i="24" s="1"/>
  <c r="AS108" i="24"/>
  <c r="AQ108" i="24" s="1"/>
  <c r="AT108" i="24"/>
  <c r="AR108" i="24" s="1"/>
  <c r="AS96" i="24"/>
  <c r="AQ96" i="24" s="1"/>
  <c r="AT96" i="24"/>
  <c r="AR96" i="24" s="1"/>
  <c r="AS84" i="24"/>
  <c r="AQ84" i="24" s="1"/>
  <c r="AT84" i="24"/>
  <c r="AR84" i="24" s="1"/>
  <c r="AS72" i="24"/>
  <c r="AQ72" i="24" s="1"/>
  <c r="AT72" i="24"/>
  <c r="AR72" i="24" s="1"/>
  <c r="AS60" i="24"/>
  <c r="AQ60" i="24" s="1"/>
  <c r="AT60" i="24"/>
  <c r="AR60" i="24" s="1"/>
  <c r="AS48" i="24"/>
  <c r="AQ48" i="24" s="1"/>
  <c r="AT48" i="24"/>
  <c r="AR48" i="24" s="1"/>
  <c r="AS36" i="24"/>
  <c r="AQ36" i="24" s="1"/>
  <c r="AT36" i="24"/>
  <c r="AR36" i="24" s="1"/>
  <c r="AS24" i="24"/>
  <c r="AQ24" i="24" s="1"/>
  <c r="AT24" i="24"/>
  <c r="AR24" i="24" s="1"/>
  <c r="AS12" i="24"/>
  <c r="AQ12" i="24" s="1"/>
  <c r="AT12" i="24"/>
  <c r="AR12" i="24" s="1"/>
  <c r="AT98" i="24"/>
  <c r="AR98" i="24" s="1"/>
  <c r="AS98" i="24"/>
  <c r="AQ98" i="24" s="1"/>
  <c r="AS85" i="24"/>
  <c r="AQ85" i="24" s="1"/>
  <c r="AT85" i="24"/>
  <c r="AR85" i="24" s="1"/>
  <c r="AS179" i="24"/>
  <c r="AQ179" i="24" s="1"/>
  <c r="AT179" i="24"/>
  <c r="AR179" i="24" s="1"/>
  <c r="AS167" i="24"/>
  <c r="AQ167" i="24" s="1"/>
  <c r="AT167" i="24"/>
  <c r="AR167" i="24" s="1"/>
  <c r="AS155" i="24"/>
  <c r="AQ155" i="24" s="1"/>
  <c r="AT155" i="24"/>
  <c r="AR155" i="24" s="1"/>
  <c r="AS143" i="24"/>
  <c r="AQ143" i="24" s="1"/>
  <c r="AT143" i="24"/>
  <c r="AR143" i="24" s="1"/>
  <c r="AS131" i="24"/>
  <c r="AQ131" i="24" s="1"/>
  <c r="AT131" i="24"/>
  <c r="AR131" i="24" s="1"/>
  <c r="AS119" i="24"/>
  <c r="AQ119" i="24" s="1"/>
  <c r="AT119" i="24"/>
  <c r="AR119" i="24" s="1"/>
  <c r="AS107" i="24"/>
  <c r="AQ107" i="24" s="1"/>
  <c r="AT107" i="24"/>
  <c r="AR107" i="24" s="1"/>
  <c r="AS95" i="24"/>
  <c r="AQ95" i="24" s="1"/>
  <c r="AT95" i="24"/>
  <c r="AR95" i="24" s="1"/>
  <c r="AS83" i="24"/>
  <c r="AQ83" i="24" s="1"/>
  <c r="AT83" i="24"/>
  <c r="AR83" i="24" s="1"/>
  <c r="AS71" i="24"/>
  <c r="AQ71" i="24" s="1"/>
  <c r="AT71" i="24"/>
  <c r="AR71" i="24" s="1"/>
  <c r="AS59" i="24"/>
  <c r="AQ59" i="24" s="1"/>
  <c r="AT59" i="24"/>
  <c r="AR59" i="24" s="1"/>
  <c r="AS47" i="24"/>
  <c r="AQ47" i="24" s="1"/>
  <c r="AT47" i="24"/>
  <c r="AR47" i="24" s="1"/>
  <c r="AS35" i="24"/>
  <c r="AQ35" i="24" s="1"/>
  <c r="AT35" i="24"/>
  <c r="AR35" i="24" s="1"/>
  <c r="AS23" i="24"/>
  <c r="AQ23" i="24" s="1"/>
  <c r="AT23" i="24"/>
  <c r="AR23" i="24" s="1"/>
  <c r="AS11" i="24"/>
  <c r="AQ11" i="24" s="1"/>
  <c r="AT11" i="24"/>
  <c r="AR11" i="24" s="1"/>
  <c r="AT14" i="24"/>
  <c r="AR14" i="24" s="1"/>
  <c r="AS14" i="24"/>
  <c r="AQ14" i="24" s="1"/>
  <c r="AS169" i="24"/>
  <c r="AQ169" i="24" s="1"/>
  <c r="AT169" i="24"/>
  <c r="AR169" i="24" s="1"/>
  <c r="AS61" i="24"/>
  <c r="AQ61" i="24" s="1"/>
  <c r="AT61" i="24"/>
  <c r="AR61" i="24" s="1"/>
  <c r="AS178" i="24"/>
  <c r="AQ178" i="24" s="1"/>
  <c r="AT178" i="24"/>
  <c r="AR178" i="24" s="1"/>
  <c r="AS94" i="24"/>
  <c r="AQ94" i="24" s="1"/>
  <c r="AT94" i="24"/>
  <c r="AR94" i="24" s="1"/>
  <c r="AS22" i="24"/>
  <c r="AQ22" i="24" s="1"/>
  <c r="AT22" i="24"/>
  <c r="AR22" i="24" s="1"/>
  <c r="AT182" i="24"/>
  <c r="AR182" i="24" s="1"/>
  <c r="AS182" i="24"/>
  <c r="AQ182" i="24" s="1"/>
  <c r="AT86" i="24"/>
  <c r="AR86" i="24" s="1"/>
  <c r="AS86" i="24"/>
  <c r="AQ86" i="24" s="1"/>
  <c r="AS157" i="24"/>
  <c r="AQ157" i="24" s="1"/>
  <c r="AT157" i="24"/>
  <c r="AR157" i="24" s="1"/>
  <c r="AS73" i="24"/>
  <c r="AQ73" i="24" s="1"/>
  <c r="AT73" i="24"/>
  <c r="AR73" i="24" s="1"/>
  <c r="AS118" i="24"/>
  <c r="AQ118" i="24" s="1"/>
  <c r="AT118" i="24"/>
  <c r="AR118" i="24" s="1"/>
  <c r="AS46" i="24"/>
  <c r="AQ46" i="24" s="1"/>
  <c r="AT46" i="24"/>
  <c r="AR46" i="24" s="1"/>
  <c r="AS177" i="24"/>
  <c r="AQ177" i="24" s="1"/>
  <c r="AT177" i="24"/>
  <c r="AR177" i="24" s="1"/>
  <c r="AS165" i="24"/>
  <c r="AQ165" i="24" s="1"/>
  <c r="AT165" i="24"/>
  <c r="AR165" i="24" s="1"/>
  <c r="AS153" i="24"/>
  <c r="AQ153" i="24" s="1"/>
  <c r="AT153" i="24"/>
  <c r="AR153" i="24" s="1"/>
  <c r="AS141" i="24"/>
  <c r="AQ141" i="24" s="1"/>
  <c r="AT141" i="24"/>
  <c r="AR141" i="24" s="1"/>
  <c r="AS129" i="24"/>
  <c r="AQ129" i="24" s="1"/>
  <c r="AT129" i="24"/>
  <c r="AR129" i="24" s="1"/>
  <c r="AS117" i="24"/>
  <c r="AQ117" i="24" s="1"/>
  <c r="AT117" i="24"/>
  <c r="AR117" i="24" s="1"/>
  <c r="AS105" i="24"/>
  <c r="AQ105" i="24" s="1"/>
  <c r="AT105" i="24"/>
  <c r="AR105" i="24" s="1"/>
  <c r="AS93" i="24"/>
  <c r="AQ93" i="24" s="1"/>
  <c r="AT93" i="24"/>
  <c r="AR93" i="24" s="1"/>
  <c r="AS81" i="24"/>
  <c r="AQ81" i="24" s="1"/>
  <c r="AT81" i="24"/>
  <c r="AR81" i="24" s="1"/>
  <c r="AS69" i="24"/>
  <c r="AQ69" i="24" s="1"/>
  <c r="AT69" i="24"/>
  <c r="AR69" i="24" s="1"/>
  <c r="AS57" i="24"/>
  <c r="AQ57" i="24" s="1"/>
  <c r="AT57" i="24"/>
  <c r="AR57" i="24" s="1"/>
  <c r="AS45" i="24"/>
  <c r="AQ45" i="24" s="1"/>
  <c r="AT45" i="24"/>
  <c r="AR45" i="24" s="1"/>
  <c r="AS33" i="24"/>
  <c r="AQ33" i="24" s="1"/>
  <c r="AT33" i="24"/>
  <c r="AR33" i="24" s="1"/>
  <c r="AS21" i="24"/>
  <c r="AQ21" i="24" s="1"/>
  <c r="AT21" i="24"/>
  <c r="AR21" i="24" s="1"/>
  <c r="AS9" i="24"/>
  <c r="AQ9" i="24" s="1"/>
  <c r="AT9" i="24"/>
  <c r="AR9" i="24" s="1"/>
  <c r="AT134" i="24"/>
  <c r="AR134" i="24" s="1"/>
  <c r="AS134" i="24"/>
  <c r="AQ134" i="24" s="1"/>
  <c r="AT38" i="24"/>
  <c r="AR38" i="24" s="1"/>
  <c r="AS38" i="24"/>
  <c r="AQ38" i="24" s="1"/>
  <c r="AS181" i="24"/>
  <c r="AQ181" i="24" s="1"/>
  <c r="AT181" i="24"/>
  <c r="AR181" i="24" s="1"/>
  <c r="AS97" i="24"/>
  <c r="AQ97" i="24" s="1"/>
  <c r="AT97" i="24"/>
  <c r="AR97" i="24" s="1"/>
  <c r="AS13" i="24"/>
  <c r="AQ13" i="24" s="1"/>
  <c r="AT13" i="24"/>
  <c r="AR13" i="24" s="1"/>
  <c r="AS142" i="24"/>
  <c r="AQ142" i="24" s="1"/>
  <c r="AT142" i="24"/>
  <c r="AR142" i="24" s="1"/>
  <c r="AS70" i="24"/>
  <c r="AQ70" i="24" s="1"/>
  <c r="AT70" i="24"/>
  <c r="AR70" i="24" s="1"/>
  <c r="AT176" i="24"/>
  <c r="AR176" i="24" s="1"/>
  <c r="AS176" i="24"/>
  <c r="AQ176" i="24" s="1"/>
  <c r="AS164" i="24"/>
  <c r="AQ164" i="24" s="1"/>
  <c r="AT164" i="24"/>
  <c r="AR164" i="24" s="1"/>
  <c r="AS152" i="24"/>
  <c r="AQ152" i="24" s="1"/>
  <c r="AT152" i="24"/>
  <c r="AR152" i="24" s="1"/>
  <c r="AS140" i="24"/>
  <c r="AQ140" i="24" s="1"/>
  <c r="AT140" i="24"/>
  <c r="AR140" i="24" s="1"/>
  <c r="AS128" i="24"/>
  <c r="AQ128" i="24" s="1"/>
  <c r="AT128" i="24"/>
  <c r="AR128" i="24" s="1"/>
  <c r="AS116" i="24"/>
  <c r="AQ116" i="24" s="1"/>
  <c r="AT116" i="24"/>
  <c r="AR116" i="24" s="1"/>
  <c r="AS104" i="24"/>
  <c r="AQ104" i="24" s="1"/>
  <c r="AT104" i="24"/>
  <c r="AR104" i="24" s="1"/>
  <c r="AS92" i="24"/>
  <c r="AQ92" i="24" s="1"/>
  <c r="AT92" i="24"/>
  <c r="AR92" i="24" s="1"/>
  <c r="AS80" i="24"/>
  <c r="AQ80" i="24" s="1"/>
  <c r="AT80" i="24"/>
  <c r="AR80" i="24" s="1"/>
  <c r="AS68" i="24"/>
  <c r="AQ68" i="24" s="1"/>
  <c r="AT68" i="24"/>
  <c r="AR68" i="24" s="1"/>
  <c r="AS56" i="24"/>
  <c r="AQ56" i="24" s="1"/>
  <c r="AT56" i="24"/>
  <c r="AR56" i="24" s="1"/>
  <c r="AS44" i="24"/>
  <c r="AQ44" i="24" s="1"/>
  <c r="AT44" i="24"/>
  <c r="AR44" i="24" s="1"/>
  <c r="AS32" i="24"/>
  <c r="AQ32" i="24" s="1"/>
  <c r="AT32" i="24"/>
  <c r="AR32" i="24" s="1"/>
  <c r="AS20" i="24"/>
  <c r="AQ20" i="24" s="1"/>
  <c r="AT20" i="24"/>
  <c r="AR20" i="24" s="1"/>
  <c r="AS8" i="24"/>
  <c r="AQ8" i="24" s="1"/>
  <c r="AT8" i="24"/>
  <c r="AR8" i="24" s="1"/>
  <c r="AT170" i="24"/>
  <c r="AR170" i="24" s="1"/>
  <c r="AS170" i="24"/>
  <c r="AQ170" i="24" s="1"/>
  <c r="AT74" i="24"/>
  <c r="AR74" i="24" s="1"/>
  <c r="AS74" i="24"/>
  <c r="AQ74" i="24" s="1"/>
  <c r="AS133" i="24"/>
  <c r="AQ133" i="24" s="1"/>
  <c r="AT133" i="24"/>
  <c r="AR133" i="24" s="1"/>
  <c r="AS25" i="24"/>
  <c r="AQ25" i="24" s="1"/>
  <c r="AT25" i="24"/>
  <c r="AR25" i="24" s="1"/>
  <c r="AS166" i="24"/>
  <c r="AQ166" i="24" s="1"/>
  <c r="AT166" i="24"/>
  <c r="AR166" i="24" s="1"/>
  <c r="AS106" i="24"/>
  <c r="AQ106" i="24" s="1"/>
  <c r="AT106" i="24"/>
  <c r="AR106" i="24" s="1"/>
  <c r="AS34" i="24"/>
  <c r="AQ34" i="24" s="1"/>
  <c r="AT34" i="24"/>
  <c r="AR34" i="24" s="1"/>
  <c r="AS10" i="24"/>
  <c r="AQ10" i="24" s="1"/>
  <c r="AT10" i="24"/>
  <c r="AR10" i="24" s="1"/>
  <c r="AT175" i="24"/>
  <c r="AR175" i="24" s="1"/>
  <c r="AS175" i="24"/>
  <c r="AQ175" i="24" s="1"/>
  <c r="AT163" i="24"/>
  <c r="AR163" i="24" s="1"/>
  <c r="AS163" i="24"/>
  <c r="AQ163" i="24" s="1"/>
  <c r="AT151" i="24"/>
  <c r="AR151" i="24" s="1"/>
  <c r="AS151" i="24"/>
  <c r="AQ151" i="24" s="1"/>
  <c r="AS139" i="24"/>
  <c r="AQ139" i="24" s="1"/>
  <c r="AT139" i="24"/>
  <c r="AR139" i="24" s="1"/>
  <c r="AS127" i="24"/>
  <c r="AQ127" i="24" s="1"/>
  <c r="AT127" i="24"/>
  <c r="AR127" i="24" s="1"/>
  <c r="AS115" i="24"/>
  <c r="AQ115" i="24" s="1"/>
  <c r="AT115" i="24"/>
  <c r="AR115" i="24" s="1"/>
  <c r="AS103" i="24"/>
  <c r="AQ103" i="24" s="1"/>
  <c r="AT103" i="24"/>
  <c r="AR103" i="24" s="1"/>
  <c r="AS91" i="24"/>
  <c r="AQ91" i="24" s="1"/>
  <c r="AT91" i="24"/>
  <c r="AR91" i="24" s="1"/>
  <c r="AS79" i="24"/>
  <c r="AQ79" i="24" s="1"/>
  <c r="AT79" i="24"/>
  <c r="AR79" i="24" s="1"/>
  <c r="AS67" i="24"/>
  <c r="AQ67" i="24" s="1"/>
  <c r="AT67" i="24"/>
  <c r="AR67" i="24" s="1"/>
  <c r="AS55" i="24"/>
  <c r="AQ55" i="24" s="1"/>
  <c r="AT55" i="24"/>
  <c r="AR55" i="24" s="1"/>
  <c r="AS43" i="24"/>
  <c r="AQ43" i="24" s="1"/>
  <c r="AT43" i="24"/>
  <c r="AR43" i="24" s="1"/>
  <c r="AS31" i="24"/>
  <c r="AQ31" i="24" s="1"/>
  <c r="AT31" i="24"/>
  <c r="AR31" i="24" s="1"/>
  <c r="AS19" i="24"/>
  <c r="AQ19" i="24" s="1"/>
  <c r="AT19" i="24"/>
  <c r="AR19" i="24" s="1"/>
  <c r="AT158" i="24"/>
  <c r="AR158" i="24" s="1"/>
  <c r="AS158" i="24"/>
  <c r="AQ158" i="24" s="1"/>
  <c r="AT62" i="24"/>
  <c r="AR62" i="24" s="1"/>
  <c r="AS62" i="24"/>
  <c r="AQ62" i="24" s="1"/>
  <c r="AS145" i="24"/>
  <c r="AQ145" i="24" s="1"/>
  <c r="AT145" i="24"/>
  <c r="AR145" i="24" s="1"/>
  <c r="AS49" i="24"/>
  <c r="AQ49" i="24" s="1"/>
  <c r="AT49" i="24"/>
  <c r="AR49" i="24" s="1"/>
  <c r="AS154" i="24"/>
  <c r="AQ154" i="24" s="1"/>
  <c r="AT154" i="24"/>
  <c r="AR154" i="24" s="1"/>
  <c r="AS82" i="24"/>
  <c r="AQ82" i="24" s="1"/>
  <c r="AT82" i="24"/>
  <c r="AR82" i="24" s="1"/>
  <c r="AT174" i="24"/>
  <c r="AR174" i="24" s="1"/>
  <c r="AS174" i="24"/>
  <c r="AQ174" i="24" s="1"/>
  <c r="AT162" i="24"/>
  <c r="AR162" i="24" s="1"/>
  <c r="AS162" i="24"/>
  <c r="AQ162" i="24" s="1"/>
  <c r="AT150" i="24"/>
  <c r="AR150" i="24" s="1"/>
  <c r="AS150" i="24"/>
  <c r="AQ150" i="24" s="1"/>
  <c r="AT138" i="24"/>
  <c r="AR138" i="24" s="1"/>
  <c r="AS138" i="24"/>
  <c r="AQ138" i="24" s="1"/>
  <c r="AS126" i="24"/>
  <c r="AQ126" i="24" s="1"/>
  <c r="AT126" i="24"/>
  <c r="AR126" i="24" s="1"/>
  <c r="AS114" i="24"/>
  <c r="AQ114" i="24" s="1"/>
  <c r="AT114" i="24"/>
  <c r="AR114" i="24" s="1"/>
  <c r="AS102" i="24"/>
  <c r="AQ102" i="24" s="1"/>
  <c r="AT102" i="24"/>
  <c r="AR102" i="24" s="1"/>
  <c r="AS90" i="24"/>
  <c r="AQ90" i="24" s="1"/>
  <c r="AT90" i="24"/>
  <c r="AR90" i="24" s="1"/>
  <c r="AS78" i="24"/>
  <c r="AQ78" i="24" s="1"/>
  <c r="AT78" i="24"/>
  <c r="AR78" i="24" s="1"/>
  <c r="AS66" i="24"/>
  <c r="AQ66" i="24" s="1"/>
  <c r="AT66" i="24"/>
  <c r="AR66" i="24" s="1"/>
  <c r="AS54" i="24"/>
  <c r="AQ54" i="24" s="1"/>
  <c r="AT54" i="24"/>
  <c r="AR54" i="24" s="1"/>
  <c r="AS42" i="24"/>
  <c r="AQ42" i="24" s="1"/>
  <c r="AT42" i="24"/>
  <c r="AR42" i="24" s="1"/>
  <c r="AS30" i="24"/>
  <c r="AQ30" i="24" s="1"/>
  <c r="AT30" i="24"/>
  <c r="AR30" i="24" s="1"/>
  <c r="AS18" i="24"/>
  <c r="AQ18" i="24" s="1"/>
  <c r="AT18" i="24"/>
  <c r="AR18" i="24" s="1"/>
  <c r="AT122" i="24"/>
  <c r="AR122" i="24" s="1"/>
  <c r="AS122" i="24"/>
  <c r="AQ122" i="24" s="1"/>
  <c r="AT26" i="24"/>
  <c r="AR26" i="24" s="1"/>
  <c r="AS26" i="24"/>
  <c r="AQ26" i="24" s="1"/>
  <c r="AS121" i="24"/>
  <c r="AQ121" i="24" s="1"/>
  <c r="AT121" i="24"/>
  <c r="AR121" i="24" s="1"/>
  <c r="AS37" i="24"/>
  <c r="AQ37" i="24" s="1"/>
  <c r="AT37" i="24"/>
  <c r="AR37" i="24" s="1"/>
  <c r="AS130" i="24"/>
  <c r="AQ130" i="24" s="1"/>
  <c r="AT130" i="24"/>
  <c r="AR130" i="24" s="1"/>
  <c r="AS58" i="24"/>
  <c r="AQ58" i="24" s="1"/>
  <c r="AT58" i="24"/>
  <c r="AR58" i="24" s="1"/>
  <c r="AS173" i="24"/>
  <c r="AQ173" i="24" s="1"/>
  <c r="AT173" i="24"/>
  <c r="AR173" i="24" s="1"/>
  <c r="AS161" i="24"/>
  <c r="AQ161" i="24" s="1"/>
  <c r="AT161" i="24"/>
  <c r="AR161" i="24" s="1"/>
  <c r="AS149" i="24"/>
  <c r="AQ149" i="24" s="1"/>
  <c r="AT149" i="24"/>
  <c r="AR149" i="24" s="1"/>
  <c r="AS137" i="24"/>
  <c r="AQ137" i="24" s="1"/>
  <c r="AT137" i="24"/>
  <c r="AR137" i="24" s="1"/>
  <c r="AS125" i="24"/>
  <c r="AQ125" i="24" s="1"/>
  <c r="AT125" i="24"/>
  <c r="AR125" i="24" s="1"/>
  <c r="AS113" i="24"/>
  <c r="AQ113" i="24" s="1"/>
  <c r="AT113" i="24"/>
  <c r="AR113" i="24" s="1"/>
  <c r="AS101" i="24"/>
  <c r="AQ101" i="24" s="1"/>
  <c r="AT101" i="24"/>
  <c r="AR101" i="24" s="1"/>
  <c r="AS89" i="24"/>
  <c r="AQ89" i="24" s="1"/>
  <c r="AT89" i="24"/>
  <c r="AR89" i="24" s="1"/>
  <c r="AS77" i="24"/>
  <c r="AQ77" i="24" s="1"/>
  <c r="AT77" i="24"/>
  <c r="AR77" i="24" s="1"/>
  <c r="AS65" i="24"/>
  <c r="AQ65" i="24" s="1"/>
  <c r="AT65" i="24"/>
  <c r="AR65" i="24" s="1"/>
  <c r="AS53" i="24"/>
  <c r="AQ53" i="24" s="1"/>
  <c r="AT53" i="24"/>
  <c r="AR53" i="24" s="1"/>
  <c r="AS41" i="24"/>
  <c r="AQ41" i="24" s="1"/>
  <c r="AT41" i="24"/>
  <c r="AR41" i="24" s="1"/>
  <c r="AS29" i="24"/>
  <c r="AQ29" i="24" s="1"/>
  <c r="AT29" i="24"/>
  <c r="AR29" i="24" s="1"/>
  <c r="AS17" i="24"/>
  <c r="AQ17" i="24" s="1"/>
  <c r="AT17" i="24"/>
  <c r="AR17" i="24" s="1"/>
  <c r="U145" i="24"/>
  <c r="T145" i="24"/>
  <c r="U49" i="24"/>
  <c r="T49" i="24"/>
  <c r="U13" i="24"/>
  <c r="T13" i="24"/>
  <c r="U180" i="24"/>
  <c r="T180" i="24"/>
  <c r="U168" i="24"/>
  <c r="T168" i="24"/>
  <c r="U156" i="24"/>
  <c r="T156" i="24"/>
  <c r="U144" i="24"/>
  <c r="T144" i="24"/>
  <c r="U132" i="24"/>
  <c r="T132" i="24"/>
  <c r="U120" i="24"/>
  <c r="T120" i="24"/>
  <c r="U108" i="24"/>
  <c r="T108" i="24"/>
  <c r="U96" i="24"/>
  <c r="T96" i="24"/>
  <c r="U84" i="24"/>
  <c r="T84" i="24"/>
  <c r="U72" i="24"/>
  <c r="T72" i="24"/>
  <c r="U60" i="24"/>
  <c r="T60" i="24"/>
  <c r="U48" i="24"/>
  <c r="T48" i="24"/>
  <c r="U36" i="24"/>
  <c r="T36" i="24"/>
  <c r="U24" i="24"/>
  <c r="T24" i="24"/>
  <c r="U12" i="24"/>
  <c r="T12" i="24"/>
  <c r="U179" i="24"/>
  <c r="T179" i="24"/>
  <c r="U167" i="24"/>
  <c r="T167" i="24"/>
  <c r="U155" i="24"/>
  <c r="T155" i="24"/>
  <c r="U143" i="24"/>
  <c r="T143" i="24"/>
  <c r="U131" i="24"/>
  <c r="T131" i="24"/>
  <c r="U119" i="24"/>
  <c r="T119" i="24"/>
  <c r="U107" i="24"/>
  <c r="T107" i="24"/>
  <c r="U95" i="24"/>
  <c r="T95" i="24"/>
  <c r="U83" i="24"/>
  <c r="T83" i="24"/>
  <c r="U71" i="24"/>
  <c r="T71" i="24"/>
  <c r="U59" i="24"/>
  <c r="T59" i="24"/>
  <c r="U47" i="24"/>
  <c r="T47" i="24"/>
  <c r="U35" i="24"/>
  <c r="T35" i="24"/>
  <c r="U23" i="24"/>
  <c r="T23" i="24"/>
  <c r="U11" i="24"/>
  <c r="T11" i="24"/>
  <c r="U73" i="24"/>
  <c r="T73" i="24"/>
  <c r="U178" i="24"/>
  <c r="T178" i="24"/>
  <c r="U118" i="24"/>
  <c r="T118" i="24"/>
  <c r="U70" i="24"/>
  <c r="T70" i="24"/>
  <c r="U10" i="24"/>
  <c r="T10" i="24"/>
  <c r="U109" i="24"/>
  <c r="T109" i="24"/>
  <c r="U130" i="24"/>
  <c r="T130" i="24"/>
  <c r="U58" i="24"/>
  <c r="T58" i="24"/>
  <c r="U177" i="24"/>
  <c r="T177" i="24"/>
  <c r="U165" i="24"/>
  <c r="T165" i="24"/>
  <c r="U153" i="24"/>
  <c r="T153" i="24"/>
  <c r="U141" i="24"/>
  <c r="T141" i="24"/>
  <c r="U129" i="24"/>
  <c r="T129" i="24"/>
  <c r="U117" i="24"/>
  <c r="T117" i="24"/>
  <c r="U105" i="24"/>
  <c r="T105" i="24"/>
  <c r="U93" i="24"/>
  <c r="T93" i="24"/>
  <c r="U81" i="24"/>
  <c r="T81" i="24"/>
  <c r="U69" i="24"/>
  <c r="T69" i="24"/>
  <c r="U57" i="24"/>
  <c r="T57" i="24"/>
  <c r="U45" i="24"/>
  <c r="T45" i="24"/>
  <c r="U33" i="24"/>
  <c r="T33" i="24"/>
  <c r="U21" i="24"/>
  <c r="T21" i="24"/>
  <c r="U9" i="24"/>
  <c r="T9" i="24"/>
  <c r="U157" i="24"/>
  <c r="T157" i="24"/>
  <c r="U61" i="24"/>
  <c r="T61" i="24"/>
  <c r="U154" i="24"/>
  <c r="T154" i="24"/>
  <c r="U94" i="24"/>
  <c r="T94" i="24"/>
  <c r="U34" i="24"/>
  <c r="T34" i="24"/>
  <c r="U176" i="24"/>
  <c r="T176" i="24"/>
  <c r="U164" i="24"/>
  <c r="T164" i="24"/>
  <c r="U152" i="24"/>
  <c r="T152" i="24"/>
  <c r="U140" i="24"/>
  <c r="T140" i="24"/>
  <c r="U128" i="24"/>
  <c r="T128" i="24"/>
  <c r="U116" i="24"/>
  <c r="T116" i="24"/>
  <c r="U104" i="24"/>
  <c r="T104" i="24"/>
  <c r="U92" i="24"/>
  <c r="T92" i="24"/>
  <c r="U80" i="24"/>
  <c r="T80" i="24"/>
  <c r="U68" i="24"/>
  <c r="T68" i="24"/>
  <c r="U56" i="24"/>
  <c r="T56" i="24"/>
  <c r="U44" i="24"/>
  <c r="T44" i="24"/>
  <c r="U32" i="24"/>
  <c r="T32" i="24"/>
  <c r="U20" i="24"/>
  <c r="T20" i="24"/>
  <c r="U8" i="24"/>
  <c r="T8" i="24"/>
  <c r="U121" i="24"/>
  <c r="T121" i="24"/>
  <c r="U166" i="24"/>
  <c r="T166" i="24"/>
  <c r="U106" i="24"/>
  <c r="T106" i="24"/>
  <c r="U46" i="24"/>
  <c r="T46" i="24"/>
  <c r="U175" i="24"/>
  <c r="T175" i="24"/>
  <c r="U163" i="24"/>
  <c r="T163" i="24"/>
  <c r="U151" i="24"/>
  <c r="T151" i="24"/>
  <c r="U139" i="24"/>
  <c r="T139" i="24"/>
  <c r="U127" i="24"/>
  <c r="T127" i="24"/>
  <c r="U115" i="24"/>
  <c r="T115" i="24"/>
  <c r="U103" i="24"/>
  <c r="T103" i="24"/>
  <c r="U91" i="24"/>
  <c r="T91" i="24"/>
  <c r="U79" i="24"/>
  <c r="T79" i="24"/>
  <c r="U67" i="24"/>
  <c r="T67" i="24"/>
  <c r="U55" i="24"/>
  <c r="T55" i="24"/>
  <c r="U43" i="24"/>
  <c r="T43" i="24"/>
  <c r="U31" i="24"/>
  <c r="T31" i="24"/>
  <c r="U19" i="24"/>
  <c r="T19" i="24"/>
  <c r="U85" i="24"/>
  <c r="T85" i="24"/>
  <c r="U142" i="24"/>
  <c r="T142" i="24"/>
  <c r="U82" i="24"/>
  <c r="T82" i="24"/>
  <c r="U22" i="24"/>
  <c r="T22" i="24"/>
  <c r="U174" i="24"/>
  <c r="T174" i="24"/>
  <c r="U162" i="24"/>
  <c r="T162" i="24"/>
  <c r="U150" i="24"/>
  <c r="T150" i="24"/>
  <c r="U138" i="24"/>
  <c r="T138" i="24"/>
  <c r="U126" i="24"/>
  <c r="T126" i="24"/>
  <c r="U114" i="24"/>
  <c r="T114" i="24"/>
  <c r="U102" i="24"/>
  <c r="T102" i="24"/>
  <c r="U90" i="24"/>
  <c r="T90" i="24"/>
  <c r="U78" i="24"/>
  <c r="T78" i="24"/>
  <c r="U66" i="24"/>
  <c r="T66" i="24"/>
  <c r="U54" i="24"/>
  <c r="T54" i="24"/>
  <c r="U42" i="24"/>
  <c r="T42" i="24"/>
  <c r="U30" i="24"/>
  <c r="T30" i="24"/>
  <c r="U18" i="24"/>
  <c r="T18" i="24"/>
  <c r="U97" i="24"/>
  <c r="T97" i="24"/>
  <c r="U173" i="24"/>
  <c r="T173" i="24"/>
  <c r="U161" i="24"/>
  <c r="T161" i="24"/>
  <c r="U149" i="24"/>
  <c r="T149" i="24"/>
  <c r="U137" i="24"/>
  <c r="T137" i="24"/>
  <c r="U125" i="24"/>
  <c r="T125" i="24"/>
  <c r="U113" i="24"/>
  <c r="T113" i="24"/>
  <c r="U101" i="24"/>
  <c r="T101" i="24"/>
  <c r="U89" i="24"/>
  <c r="T89" i="24"/>
  <c r="U77" i="24"/>
  <c r="T77" i="24"/>
  <c r="U65" i="24"/>
  <c r="T65" i="24"/>
  <c r="U53" i="24"/>
  <c r="T53" i="24"/>
  <c r="U41" i="24"/>
  <c r="T41" i="24"/>
  <c r="U29" i="24"/>
  <c r="T29" i="24"/>
  <c r="U17" i="24"/>
  <c r="T17" i="24"/>
  <c r="U133" i="24"/>
  <c r="T133" i="24"/>
  <c r="U184" i="24"/>
  <c r="T184" i="24"/>
  <c r="U172" i="24"/>
  <c r="T172" i="24"/>
  <c r="U160" i="24"/>
  <c r="T160" i="24"/>
  <c r="U148" i="24"/>
  <c r="T148" i="24"/>
  <c r="U136" i="24"/>
  <c r="T136" i="24"/>
  <c r="U124" i="24"/>
  <c r="T124" i="24"/>
  <c r="U112" i="24"/>
  <c r="T112" i="24"/>
  <c r="U100" i="24"/>
  <c r="T100" i="24"/>
  <c r="U88" i="24"/>
  <c r="T88" i="24"/>
  <c r="U76" i="24"/>
  <c r="T76" i="24"/>
  <c r="U64" i="24"/>
  <c r="T64" i="24"/>
  <c r="U52" i="24"/>
  <c r="T52" i="24"/>
  <c r="U40" i="24"/>
  <c r="T40" i="24"/>
  <c r="U28" i="24"/>
  <c r="T28" i="24"/>
  <c r="U16" i="24"/>
  <c r="T16" i="24"/>
  <c r="U169" i="24"/>
  <c r="T169" i="24"/>
  <c r="U37" i="24"/>
  <c r="T37" i="24"/>
  <c r="U183" i="24"/>
  <c r="T183" i="24"/>
  <c r="U171" i="24"/>
  <c r="T171" i="24"/>
  <c r="U159" i="24"/>
  <c r="T159" i="24"/>
  <c r="U147" i="24"/>
  <c r="T147" i="24"/>
  <c r="U135" i="24"/>
  <c r="T135" i="24"/>
  <c r="U123" i="24"/>
  <c r="T123" i="24"/>
  <c r="U111" i="24"/>
  <c r="T111" i="24"/>
  <c r="U99" i="24"/>
  <c r="T99" i="24"/>
  <c r="U87" i="24"/>
  <c r="T87" i="24"/>
  <c r="U75" i="24"/>
  <c r="T75" i="24"/>
  <c r="U63" i="24"/>
  <c r="T63" i="24"/>
  <c r="U51" i="24"/>
  <c r="T51" i="24"/>
  <c r="U39" i="24"/>
  <c r="T39" i="24"/>
  <c r="U27" i="24"/>
  <c r="T27" i="24"/>
  <c r="U15" i="24"/>
  <c r="T15" i="24"/>
  <c r="U181" i="24"/>
  <c r="T181" i="24"/>
  <c r="U25" i="24"/>
  <c r="T25" i="24"/>
  <c r="U182" i="24"/>
  <c r="T182" i="24"/>
  <c r="U170" i="24"/>
  <c r="T170" i="24"/>
  <c r="U158" i="24"/>
  <c r="T158" i="24"/>
  <c r="U146" i="24"/>
  <c r="T146" i="24"/>
  <c r="U134" i="24"/>
  <c r="T134" i="24"/>
  <c r="U122" i="24"/>
  <c r="T122" i="24"/>
  <c r="U110" i="24"/>
  <c r="T110" i="24"/>
  <c r="U98" i="24"/>
  <c r="T98" i="24"/>
  <c r="U86" i="24"/>
  <c r="T86" i="24"/>
  <c r="U74" i="24"/>
  <c r="T74" i="24"/>
  <c r="U62" i="24"/>
  <c r="T62" i="24"/>
  <c r="U50" i="24"/>
  <c r="T50" i="24"/>
  <c r="U38" i="24"/>
  <c r="T38" i="24"/>
  <c r="U26" i="24"/>
  <c r="T26" i="24"/>
  <c r="U14" i="24"/>
  <c r="T14" i="24"/>
  <c r="P29" i="24"/>
  <c r="P183" i="24"/>
  <c r="P27" i="24"/>
  <c r="P164" i="24"/>
  <c r="P40" i="24"/>
  <c r="P37" i="24"/>
  <c r="P175" i="24"/>
  <c r="P163" i="24"/>
  <c r="P151" i="24"/>
  <c r="P139" i="24"/>
  <c r="P127" i="24"/>
  <c r="P115" i="24"/>
  <c r="P103" i="24"/>
  <c r="P91" i="24"/>
  <c r="P67" i="24"/>
  <c r="P55" i="24"/>
  <c r="P43" i="24"/>
  <c r="P31" i="24"/>
  <c r="P19" i="24"/>
  <c r="P145" i="24"/>
  <c r="P25" i="24"/>
  <c r="P126" i="24"/>
  <c r="P24" i="24"/>
  <c r="P111" i="24"/>
  <c r="P15" i="24"/>
  <c r="P96" i="24"/>
  <c r="P14" i="24"/>
  <c r="P81" i="24"/>
  <c r="P11" i="24"/>
  <c r="P65" i="24"/>
  <c r="P54" i="24"/>
  <c r="P51" i="24"/>
  <c r="P182" i="24"/>
  <c r="P161" i="24"/>
  <c r="P144" i="24"/>
  <c r="P125" i="24"/>
  <c r="P110" i="24"/>
  <c r="P95" i="24"/>
  <c r="P80" i="24"/>
  <c r="P64" i="24"/>
  <c r="P50" i="24"/>
  <c r="P36" i="24"/>
  <c r="P23" i="24"/>
  <c r="P10" i="24"/>
  <c r="P162" i="24"/>
  <c r="P150" i="24"/>
  <c r="P102" i="24"/>
  <c r="P180" i="24"/>
  <c r="P160" i="24"/>
  <c r="P141" i="24"/>
  <c r="P124" i="24"/>
  <c r="P109" i="24"/>
  <c r="P94" i="24"/>
  <c r="P78" i="24"/>
  <c r="P63" i="24"/>
  <c r="P49" i="24"/>
  <c r="P35" i="24"/>
  <c r="P22" i="24"/>
  <c r="P9" i="24"/>
  <c r="P149" i="24"/>
  <c r="P89" i="24"/>
  <c r="P179" i="24"/>
  <c r="P159" i="24"/>
  <c r="P140" i="24"/>
  <c r="P122" i="24"/>
  <c r="P108" i="24"/>
  <c r="P93" i="24"/>
  <c r="P77" i="24"/>
  <c r="P62" i="24"/>
  <c r="P48" i="24"/>
  <c r="P34" i="24"/>
  <c r="P21" i="24"/>
  <c r="P8" i="24"/>
  <c r="P136" i="24"/>
  <c r="P76" i="24"/>
  <c r="P174" i="24"/>
  <c r="P158" i="24"/>
  <c r="P138" i="24"/>
  <c r="P121" i="24"/>
  <c r="P107" i="24"/>
  <c r="P92" i="24"/>
  <c r="P75" i="24"/>
  <c r="P61" i="24"/>
  <c r="P47" i="24"/>
  <c r="P33" i="24"/>
  <c r="P20" i="24"/>
  <c r="P123" i="24"/>
  <c r="P173" i="24"/>
  <c r="P157" i="24"/>
  <c r="P137" i="24"/>
  <c r="P120" i="24"/>
  <c r="P106" i="24"/>
  <c r="P90" i="24"/>
  <c r="P74" i="24"/>
  <c r="P60" i="24"/>
  <c r="P46" i="24"/>
  <c r="P32" i="24"/>
  <c r="P18" i="24"/>
  <c r="P172" i="24"/>
  <c r="P154" i="24"/>
  <c r="P135" i="24"/>
  <c r="P119" i="24"/>
  <c r="P105" i="24"/>
  <c r="P88" i="24"/>
  <c r="P73" i="24"/>
  <c r="P59" i="24"/>
  <c r="P44" i="24"/>
  <c r="P30" i="24"/>
  <c r="P17" i="24"/>
  <c r="P181" i="24"/>
  <c r="P169" i="24"/>
  <c r="P97" i="24"/>
  <c r="P171" i="24"/>
  <c r="P153" i="24"/>
  <c r="P134" i="24"/>
  <c r="P118" i="24"/>
  <c r="P104" i="24"/>
  <c r="P87" i="24"/>
  <c r="P72" i="24"/>
  <c r="P57" i="24"/>
  <c r="P42" i="24"/>
  <c r="P16" i="24"/>
  <c r="P168" i="24"/>
  <c r="P156" i="24"/>
  <c r="P84" i="24"/>
  <c r="P170" i="24"/>
  <c r="P152" i="24"/>
  <c r="P133" i="24"/>
  <c r="P117" i="24"/>
  <c r="P101" i="24"/>
  <c r="P86" i="24"/>
  <c r="P70" i="24"/>
  <c r="P56" i="24"/>
  <c r="P41" i="24"/>
  <c r="P28" i="24"/>
  <c r="P155" i="24"/>
  <c r="P143" i="24"/>
  <c r="P71" i="24"/>
  <c r="P167" i="24"/>
  <c r="P148" i="24"/>
  <c r="P132" i="24"/>
  <c r="P114" i="24"/>
  <c r="P100" i="24"/>
  <c r="P85" i="24"/>
  <c r="P69" i="24"/>
  <c r="P178" i="24"/>
  <c r="P142" i="24"/>
  <c r="P130" i="24"/>
  <c r="P58" i="24"/>
  <c r="P79" i="24"/>
  <c r="P166" i="24"/>
  <c r="P147" i="24"/>
  <c r="P131" i="24"/>
  <c r="P113" i="24"/>
  <c r="P99" i="24"/>
  <c r="P83" i="24"/>
  <c r="P68" i="24"/>
  <c r="P53" i="24"/>
  <c r="P39" i="24"/>
  <c r="P26" i="24"/>
  <c r="P13" i="24"/>
  <c r="P177" i="24"/>
  <c r="P129" i="24"/>
  <c r="P45" i="24"/>
  <c r="P184" i="24"/>
  <c r="P165" i="24"/>
  <c r="P146" i="24"/>
  <c r="P128" i="24"/>
  <c r="P112" i="24"/>
  <c r="P98" i="24"/>
  <c r="P82" i="24"/>
  <c r="P66" i="24"/>
  <c r="P52" i="24"/>
  <c r="P38" i="24"/>
  <c r="P12" i="24"/>
  <c r="P176" i="24"/>
  <c r="P116" i="24"/>
  <c r="X185" i="23"/>
  <c r="X186" i="23"/>
  <c r="X187" i="23"/>
  <c r="X188" i="23"/>
  <c r="X189" i="23"/>
  <c r="X190" i="23"/>
  <c r="X191" i="23"/>
  <c r="X192" i="23"/>
  <c r="X193" i="23"/>
  <c r="X194" i="23"/>
  <c r="X195" i="23"/>
  <c r="X196" i="23"/>
  <c r="X197" i="23"/>
  <c r="X198" i="23"/>
  <c r="X199" i="23"/>
  <c r="X200" i="23"/>
  <c r="X201" i="23"/>
  <c r="X202" i="23"/>
  <c r="X203" i="23"/>
  <c r="X204" i="23"/>
  <c r="X205" i="23"/>
  <c r="X206" i="23"/>
  <c r="X207" i="23"/>
  <c r="X208" i="23"/>
  <c r="X209" i="23"/>
  <c r="X210" i="23"/>
  <c r="X211" i="23"/>
  <c r="X212" i="23"/>
  <c r="X213" i="23"/>
  <c r="X214" i="23"/>
  <c r="X215" i="23"/>
  <c r="X216" i="23"/>
  <c r="X217" i="23"/>
  <c r="X218" i="23"/>
  <c r="X219" i="23"/>
  <c r="X220" i="23"/>
  <c r="X221" i="23"/>
  <c r="X222" i="23"/>
  <c r="X223" i="23"/>
  <c r="X224" i="23"/>
  <c r="X225" i="23"/>
  <c r="X226" i="23"/>
  <c r="X227" i="23"/>
  <c r="X228" i="23"/>
  <c r="X229" i="23"/>
  <c r="X230" i="23"/>
  <c r="X231" i="23"/>
  <c r="X232" i="23"/>
  <c r="X233" i="23"/>
  <c r="X234" i="23"/>
  <c r="X235" i="23"/>
  <c r="X236" i="23"/>
  <c r="X237" i="23"/>
  <c r="X238" i="23"/>
  <c r="X239" i="23"/>
  <c r="X240" i="23"/>
  <c r="X241" i="23"/>
  <c r="X242" i="23"/>
  <c r="X243" i="23"/>
  <c r="X244" i="23"/>
  <c r="X245" i="23"/>
  <c r="X246" i="23"/>
  <c r="X247" i="23"/>
  <c r="X248" i="23"/>
  <c r="X249" i="23"/>
  <c r="X250" i="23"/>
  <c r="X251" i="23"/>
  <c r="X252" i="23"/>
  <c r="X253" i="23"/>
  <c r="X254" i="23"/>
  <c r="X255" i="23"/>
  <c r="X256" i="23"/>
  <c r="X257" i="23"/>
  <c r="X258" i="23"/>
  <c r="X259" i="23"/>
  <c r="X260" i="23"/>
  <c r="X261" i="23"/>
  <c r="X262" i="23"/>
  <c r="X263" i="23"/>
  <c r="X264" i="23"/>
  <c r="X265" i="23"/>
  <c r="X266" i="23"/>
  <c r="X267" i="23"/>
  <c r="X268" i="23"/>
  <c r="X269" i="23"/>
  <c r="X270" i="23"/>
  <c r="X271" i="23"/>
  <c r="X272" i="23"/>
  <c r="X273" i="23"/>
  <c r="X274" i="23"/>
  <c r="X275" i="23"/>
  <c r="X276" i="23"/>
  <c r="X277" i="23"/>
  <c r="X278" i="23"/>
  <c r="X279" i="23"/>
  <c r="X280" i="23"/>
  <c r="X281" i="23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K9" i="24"/>
  <c r="AJ8" i="24"/>
  <c r="AJ9" i="24"/>
  <c r="AJ10" i="24"/>
  <c r="AJ11" i="24"/>
  <c r="AJ12" i="24"/>
  <c r="AJ13" i="24"/>
  <c r="AJ14" i="24"/>
  <c r="AJ15" i="24"/>
  <c r="AJ16" i="24"/>
  <c r="AJ17" i="24"/>
  <c r="AK8" i="24"/>
  <c r="AL8" i="24" s="1"/>
  <c r="AK9" i="24"/>
  <c r="AL9" i="24" s="1"/>
  <c r="AK10" i="24"/>
  <c r="AL10" i="24" s="1"/>
  <c r="AK11" i="24"/>
  <c r="AL11" i="24" s="1"/>
  <c r="AK12" i="24"/>
  <c r="AL12" i="24" s="1"/>
  <c r="AK13" i="24"/>
  <c r="AL13" i="24" s="1"/>
  <c r="AK14" i="24"/>
  <c r="AL14" i="24" s="1"/>
  <c r="AK15" i="24"/>
  <c r="AL15" i="24" s="1"/>
  <c r="AK16" i="24"/>
  <c r="AL16" i="24" s="1"/>
  <c r="AK17" i="24"/>
  <c r="AL17" i="24" s="1"/>
  <c r="BE8" i="24"/>
  <c r="BE9" i="24"/>
  <c r="BE10" i="24"/>
  <c r="BE11" i="24"/>
  <c r="BE12" i="24"/>
  <c r="BE13" i="24"/>
  <c r="BE14" i="24"/>
  <c r="BE15" i="24"/>
  <c r="BE16" i="24"/>
  <c r="BE17" i="24"/>
  <c r="BF8" i="24"/>
  <c r="BF9" i="24"/>
  <c r="BF10" i="24"/>
  <c r="BF11" i="24"/>
  <c r="BF12" i="24"/>
  <c r="BF13" i="24"/>
  <c r="BF14" i="24"/>
  <c r="BF15" i="24"/>
  <c r="BF16" i="24"/>
  <c r="BF17" i="24"/>
  <c r="AJ18" i="24"/>
  <c r="AK18" i="24"/>
  <c r="AL18" i="24" s="1"/>
  <c r="BE18" i="24"/>
  <c r="BF18" i="24"/>
  <c r="G20" i="24"/>
  <c r="G21" i="24"/>
  <c r="G22" i="24"/>
  <c r="G23" i="24"/>
  <c r="G24" i="24"/>
  <c r="G25" i="24"/>
  <c r="G26" i="24"/>
  <c r="G27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K19" i="24"/>
  <c r="AL19" i="24" s="1"/>
  <c r="AK20" i="24"/>
  <c r="AL20" i="24" s="1"/>
  <c r="AK21" i="24"/>
  <c r="AL21" i="24" s="1"/>
  <c r="AK22" i="24"/>
  <c r="AL22" i="24" s="1"/>
  <c r="AK23" i="24"/>
  <c r="AL23" i="24" s="1"/>
  <c r="AK24" i="24"/>
  <c r="AL24" i="24" s="1"/>
  <c r="AK25" i="24"/>
  <c r="AL25" i="24" s="1"/>
  <c r="AK26" i="24"/>
  <c r="AL26" i="24" s="1"/>
  <c r="AK27" i="24"/>
  <c r="AL27" i="24" s="1"/>
  <c r="AK28" i="24"/>
  <c r="AL28" i="24" s="1"/>
  <c r="AK29" i="24"/>
  <c r="AL29" i="24" s="1"/>
  <c r="AK30" i="24"/>
  <c r="AL30" i="24" s="1"/>
  <c r="AK31" i="24"/>
  <c r="AL31" i="24" s="1"/>
  <c r="AK32" i="24"/>
  <c r="AL32" i="24" s="1"/>
  <c r="AK33" i="24"/>
  <c r="AL33" i="24" s="1"/>
  <c r="AK34" i="24"/>
  <c r="AL34" i="24" s="1"/>
  <c r="AK35" i="24"/>
  <c r="AL35" i="24" s="1"/>
  <c r="AK36" i="24"/>
  <c r="AL36" i="24" s="1"/>
  <c r="AK37" i="24"/>
  <c r="AL37" i="24" s="1"/>
  <c r="AK38" i="24"/>
  <c r="AL38" i="24" s="1"/>
  <c r="AK39" i="24"/>
  <c r="AL39" i="24" s="1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BF19" i="24"/>
  <c r="BF20" i="24"/>
  <c r="BF21" i="24"/>
  <c r="BF22" i="24"/>
  <c r="BF23" i="24"/>
  <c r="BF24" i="24"/>
  <c r="BF25" i="24"/>
  <c r="BF26" i="24"/>
  <c r="BF27" i="24"/>
  <c r="BF28" i="24"/>
  <c r="BF29" i="24"/>
  <c r="BF30" i="24"/>
  <c r="BF31" i="24"/>
  <c r="BF32" i="24"/>
  <c r="BF33" i="24"/>
  <c r="BF34" i="24"/>
  <c r="BF35" i="24"/>
  <c r="BF36" i="24"/>
  <c r="BF37" i="24"/>
  <c r="BF38" i="24"/>
  <c r="BF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K40" i="24"/>
  <c r="AL40" i="24" s="1"/>
  <c r="AK41" i="24"/>
  <c r="AL41" i="24" s="1"/>
  <c r="AK42" i="24"/>
  <c r="AL42" i="24" s="1"/>
  <c r="AK43" i="24"/>
  <c r="AL43" i="24" s="1"/>
  <c r="AK44" i="24"/>
  <c r="AL44" i="24" s="1"/>
  <c r="AK45" i="24"/>
  <c r="AL45" i="24" s="1"/>
  <c r="AK46" i="24"/>
  <c r="AL46" i="24" s="1"/>
  <c r="AK47" i="24"/>
  <c r="AL47" i="24" s="1"/>
  <c r="AK48" i="24"/>
  <c r="AL48" i="24" s="1"/>
  <c r="AK49" i="24"/>
  <c r="AL49" i="24" s="1"/>
  <c r="AK50" i="24"/>
  <c r="AL50" i="24" s="1"/>
  <c r="AK51" i="24"/>
  <c r="AL51" i="24" s="1"/>
  <c r="AK52" i="24"/>
  <c r="AL52" i="24" s="1"/>
  <c r="AK53" i="24"/>
  <c r="AL53" i="24" s="1"/>
  <c r="AK54" i="24"/>
  <c r="AL54" i="24" s="1"/>
  <c r="AK55" i="24"/>
  <c r="AL55" i="24" s="1"/>
  <c r="AK56" i="24"/>
  <c r="AL56" i="24" s="1"/>
  <c r="AK57" i="24"/>
  <c r="AL57" i="24" s="1"/>
  <c r="AK58" i="24"/>
  <c r="AL58" i="24" s="1"/>
  <c r="AK59" i="24"/>
  <c r="AL59" i="24" s="1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BF40" i="24"/>
  <c r="BF41" i="24"/>
  <c r="BF42" i="24"/>
  <c r="BF43" i="24"/>
  <c r="BF44" i="24"/>
  <c r="BF45" i="24"/>
  <c r="BF46" i="24"/>
  <c r="BF47" i="24"/>
  <c r="BF48" i="24"/>
  <c r="BF49" i="24"/>
  <c r="BF50" i="24"/>
  <c r="BF51" i="24"/>
  <c r="BF52" i="24"/>
  <c r="BF53" i="24"/>
  <c r="BF54" i="24"/>
  <c r="BF55" i="24"/>
  <c r="BF56" i="24"/>
  <c r="BF57" i="24"/>
  <c r="BF58" i="24"/>
  <c r="BF59" i="24"/>
  <c r="AJ60" i="24"/>
  <c r="AK60" i="24"/>
  <c r="AL60" i="24" s="1"/>
  <c r="BE60" i="24"/>
  <c r="BF60" i="24"/>
  <c r="AJ61" i="24"/>
  <c r="AK61" i="24"/>
  <c r="AL61" i="24" s="1"/>
  <c r="BE61" i="24"/>
  <c r="BF61" i="24"/>
  <c r="F280" i="23"/>
  <c r="G280" i="23"/>
  <c r="U280" i="23"/>
  <c r="AI280" i="23"/>
  <c r="AJ280" i="23"/>
  <c r="F281" i="23"/>
  <c r="G281" i="23"/>
  <c r="U281" i="23"/>
  <c r="AI281" i="23"/>
  <c r="AJ281" i="23"/>
  <c r="F247" i="23"/>
  <c r="G247" i="23"/>
  <c r="U247" i="23"/>
  <c r="AI247" i="23"/>
  <c r="AJ247" i="23"/>
  <c r="F248" i="23"/>
  <c r="G248" i="23"/>
  <c r="U248" i="23"/>
  <c r="AI248" i="23"/>
  <c r="AJ248" i="23"/>
  <c r="F249" i="23"/>
  <c r="G249" i="23"/>
  <c r="U249" i="23"/>
  <c r="AI249" i="23"/>
  <c r="AJ249" i="23"/>
  <c r="F250" i="23"/>
  <c r="G250" i="23"/>
  <c r="U250" i="23"/>
  <c r="AI250" i="23"/>
  <c r="AJ250" i="23"/>
  <c r="F251" i="23"/>
  <c r="G251" i="23"/>
  <c r="U251" i="23"/>
  <c r="AI251" i="23"/>
  <c r="AJ251" i="23"/>
  <c r="F252" i="23"/>
  <c r="G252" i="23"/>
  <c r="U252" i="23"/>
  <c r="AI252" i="23"/>
  <c r="AJ252" i="23"/>
  <c r="F253" i="23"/>
  <c r="G253" i="23"/>
  <c r="U253" i="23"/>
  <c r="AI253" i="23"/>
  <c r="AJ253" i="23"/>
  <c r="F254" i="23"/>
  <c r="G254" i="23"/>
  <c r="U254" i="23"/>
  <c r="AI254" i="23"/>
  <c r="AJ254" i="23"/>
  <c r="F255" i="23"/>
  <c r="G255" i="23"/>
  <c r="U255" i="23"/>
  <c r="AI255" i="23"/>
  <c r="AJ255" i="23"/>
  <c r="F256" i="23"/>
  <c r="G256" i="23"/>
  <c r="U256" i="23"/>
  <c r="AI256" i="23"/>
  <c r="AJ256" i="23"/>
  <c r="F257" i="23"/>
  <c r="G257" i="23"/>
  <c r="U257" i="23"/>
  <c r="AI257" i="23"/>
  <c r="AJ257" i="23"/>
  <c r="F258" i="23"/>
  <c r="G258" i="23"/>
  <c r="U258" i="23"/>
  <c r="AI258" i="23"/>
  <c r="AJ258" i="23"/>
  <c r="F259" i="23"/>
  <c r="G259" i="23"/>
  <c r="U259" i="23"/>
  <c r="AI259" i="23"/>
  <c r="AJ259" i="23"/>
  <c r="F260" i="23"/>
  <c r="G260" i="23"/>
  <c r="U260" i="23"/>
  <c r="AI260" i="23"/>
  <c r="AJ260" i="23"/>
  <c r="F261" i="23"/>
  <c r="G261" i="23"/>
  <c r="H261" i="23" s="1"/>
  <c r="U261" i="23"/>
  <c r="AI261" i="23"/>
  <c r="AJ261" i="23"/>
  <c r="F262" i="23"/>
  <c r="G262" i="23"/>
  <c r="U262" i="23"/>
  <c r="AI262" i="23"/>
  <c r="AJ262" i="23"/>
  <c r="F263" i="23"/>
  <c r="G263" i="23"/>
  <c r="U263" i="23"/>
  <c r="AI263" i="23"/>
  <c r="AJ263" i="23"/>
  <c r="F264" i="23"/>
  <c r="G264" i="23"/>
  <c r="U264" i="23"/>
  <c r="AI264" i="23"/>
  <c r="AJ264" i="23"/>
  <c r="F265" i="23"/>
  <c r="G265" i="23"/>
  <c r="H265" i="23"/>
  <c r="U265" i="23"/>
  <c r="AI265" i="23"/>
  <c r="AJ265" i="23"/>
  <c r="F266" i="23"/>
  <c r="G266" i="23"/>
  <c r="U266" i="23"/>
  <c r="AI266" i="23"/>
  <c r="AJ266" i="23"/>
  <c r="F267" i="23"/>
  <c r="G267" i="23"/>
  <c r="U267" i="23"/>
  <c r="AI267" i="23"/>
  <c r="AJ267" i="23"/>
  <c r="F268" i="23"/>
  <c r="G268" i="23"/>
  <c r="U268" i="23"/>
  <c r="AI268" i="23"/>
  <c r="AJ268" i="23"/>
  <c r="F269" i="23"/>
  <c r="G269" i="23"/>
  <c r="U269" i="23"/>
  <c r="AI269" i="23"/>
  <c r="AJ269" i="23"/>
  <c r="F270" i="23"/>
  <c r="G270" i="23"/>
  <c r="U270" i="23"/>
  <c r="AI270" i="23"/>
  <c r="AJ270" i="23"/>
  <c r="F271" i="23"/>
  <c r="G271" i="23"/>
  <c r="U271" i="23"/>
  <c r="AI271" i="23"/>
  <c r="AJ271" i="23"/>
  <c r="F272" i="23"/>
  <c r="G272" i="23"/>
  <c r="U272" i="23"/>
  <c r="AI272" i="23"/>
  <c r="AJ272" i="23"/>
  <c r="F273" i="23"/>
  <c r="G273" i="23"/>
  <c r="U273" i="23"/>
  <c r="AI273" i="23"/>
  <c r="AJ273" i="23"/>
  <c r="F274" i="23"/>
  <c r="G274" i="23"/>
  <c r="U274" i="23"/>
  <c r="AI274" i="23"/>
  <c r="AJ274" i="23"/>
  <c r="F275" i="23"/>
  <c r="G275" i="23"/>
  <c r="U275" i="23"/>
  <c r="AI275" i="23"/>
  <c r="AJ275" i="23"/>
  <c r="F276" i="23"/>
  <c r="G276" i="23"/>
  <c r="U276" i="23"/>
  <c r="AI276" i="23"/>
  <c r="AJ276" i="23"/>
  <c r="F277" i="23"/>
  <c r="G277" i="23"/>
  <c r="U277" i="23"/>
  <c r="AI277" i="23"/>
  <c r="AJ277" i="23"/>
  <c r="F278" i="23"/>
  <c r="G278" i="23"/>
  <c r="U278" i="23"/>
  <c r="AI278" i="23"/>
  <c r="AJ278" i="23"/>
  <c r="F279" i="23"/>
  <c r="G279" i="23"/>
  <c r="U279" i="23"/>
  <c r="AI279" i="23"/>
  <c r="AJ279" i="23"/>
  <c r="F222" i="23"/>
  <c r="G222" i="23"/>
  <c r="H222" i="23" s="1"/>
  <c r="U222" i="23"/>
  <c r="AI222" i="23"/>
  <c r="AJ222" i="23"/>
  <c r="F223" i="23"/>
  <c r="G223" i="23"/>
  <c r="U223" i="23"/>
  <c r="AI223" i="23"/>
  <c r="AJ223" i="23"/>
  <c r="F224" i="23"/>
  <c r="G224" i="23"/>
  <c r="U224" i="23"/>
  <c r="AI224" i="23"/>
  <c r="AJ224" i="23"/>
  <c r="F225" i="23"/>
  <c r="G225" i="23"/>
  <c r="U225" i="23"/>
  <c r="AI225" i="23"/>
  <c r="AJ225" i="23"/>
  <c r="F226" i="23"/>
  <c r="G226" i="23"/>
  <c r="H226" i="23"/>
  <c r="U226" i="23"/>
  <c r="AI226" i="23"/>
  <c r="AJ226" i="23"/>
  <c r="F227" i="23"/>
  <c r="G227" i="23"/>
  <c r="U227" i="23"/>
  <c r="AI227" i="23"/>
  <c r="AJ227" i="23"/>
  <c r="F228" i="23"/>
  <c r="G228" i="23"/>
  <c r="U228" i="23"/>
  <c r="AI228" i="23"/>
  <c r="AJ228" i="23"/>
  <c r="F229" i="23"/>
  <c r="G229" i="23"/>
  <c r="U229" i="23"/>
  <c r="AI229" i="23"/>
  <c r="AJ229" i="23"/>
  <c r="F230" i="23"/>
  <c r="G230" i="23"/>
  <c r="U230" i="23"/>
  <c r="AI230" i="23"/>
  <c r="AJ230" i="23"/>
  <c r="F231" i="23"/>
  <c r="G231" i="23"/>
  <c r="U231" i="23"/>
  <c r="AI231" i="23"/>
  <c r="AJ231" i="23"/>
  <c r="F232" i="23"/>
  <c r="G232" i="23"/>
  <c r="U232" i="23"/>
  <c r="AI232" i="23"/>
  <c r="AJ232" i="23"/>
  <c r="F233" i="23"/>
  <c r="G233" i="23"/>
  <c r="U233" i="23"/>
  <c r="AI233" i="23"/>
  <c r="AJ233" i="23"/>
  <c r="F234" i="23"/>
  <c r="G234" i="23"/>
  <c r="U234" i="23"/>
  <c r="AI234" i="23"/>
  <c r="AJ234" i="23"/>
  <c r="F235" i="23"/>
  <c r="G235" i="23"/>
  <c r="U235" i="23"/>
  <c r="AI235" i="23"/>
  <c r="AJ235" i="23"/>
  <c r="F236" i="23"/>
  <c r="G236" i="23"/>
  <c r="U236" i="23"/>
  <c r="AI236" i="23"/>
  <c r="AJ236" i="23"/>
  <c r="F237" i="23"/>
  <c r="G237" i="23"/>
  <c r="U237" i="23"/>
  <c r="AI237" i="23"/>
  <c r="AJ237" i="23"/>
  <c r="F238" i="23"/>
  <c r="G238" i="23"/>
  <c r="H238" i="23" s="1"/>
  <c r="U238" i="23"/>
  <c r="AI238" i="23"/>
  <c r="AJ238" i="23"/>
  <c r="F239" i="23"/>
  <c r="G239" i="23"/>
  <c r="H239" i="23" s="1"/>
  <c r="U239" i="23"/>
  <c r="AI239" i="23"/>
  <c r="AJ239" i="23"/>
  <c r="F240" i="23"/>
  <c r="G240" i="23"/>
  <c r="U240" i="23"/>
  <c r="AI240" i="23"/>
  <c r="AJ240" i="23"/>
  <c r="F241" i="23"/>
  <c r="G241" i="23"/>
  <c r="U241" i="23"/>
  <c r="AI241" i="23"/>
  <c r="AJ241" i="23"/>
  <c r="F242" i="23"/>
  <c r="G242" i="23"/>
  <c r="U242" i="23"/>
  <c r="AI242" i="23"/>
  <c r="AJ242" i="23"/>
  <c r="F243" i="23"/>
  <c r="G243" i="23"/>
  <c r="U243" i="23"/>
  <c r="AI243" i="23"/>
  <c r="AJ243" i="23"/>
  <c r="F244" i="23"/>
  <c r="G244" i="23"/>
  <c r="H244" i="23" s="1"/>
  <c r="U244" i="23"/>
  <c r="AI244" i="23"/>
  <c r="AJ244" i="23"/>
  <c r="F245" i="23"/>
  <c r="G245" i="23"/>
  <c r="U245" i="23"/>
  <c r="AI245" i="23"/>
  <c r="AJ245" i="23"/>
  <c r="F246" i="23"/>
  <c r="G246" i="23"/>
  <c r="U246" i="23"/>
  <c r="AI246" i="23"/>
  <c r="AJ246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H203" i="23" s="1"/>
  <c r="G204" i="23"/>
  <c r="G205" i="23"/>
  <c r="G206" i="23"/>
  <c r="G207" i="23"/>
  <c r="G208" i="23"/>
  <c r="G209" i="23"/>
  <c r="G210" i="23"/>
  <c r="G211" i="23"/>
  <c r="G212" i="23"/>
  <c r="H212" i="23" s="1"/>
  <c r="G213" i="23"/>
  <c r="G214" i="23"/>
  <c r="G215" i="23"/>
  <c r="H215" i="23" s="1"/>
  <c r="G216" i="23"/>
  <c r="G217" i="23"/>
  <c r="G218" i="23"/>
  <c r="H218" i="23" s="1"/>
  <c r="G219" i="23"/>
  <c r="H219" i="23" s="1"/>
  <c r="G220" i="23"/>
  <c r="H220" i="23" s="1"/>
  <c r="G221" i="23"/>
  <c r="F185" i="23"/>
  <c r="U185" i="23"/>
  <c r="AI185" i="23"/>
  <c r="AJ185" i="23"/>
  <c r="F186" i="23"/>
  <c r="U186" i="23"/>
  <c r="AI186" i="23"/>
  <c r="AJ186" i="23"/>
  <c r="F187" i="23"/>
  <c r="U187" i="23"/>
  <c r="AI187" i="23"/>
  <c r="AJ187" i="23"/>
  <c r="F188" i="23"/>
  <c r="U188" i="23"/>
  <c r="AI188" i="23"/>
  <c r="AJ188" i="23"/>
  <c r="F189" i="23"/>
  <c r="U189" i="23"/>
  <c r="AI189" i="23"/>
  <c r="AJ189" i="23"/>
  <c r="F190" i="23"/>
  <c r="U190" i="23"/>
  <c r="AI190" i="23"/>
  <c r="AJ190" i="23"/>
  <c r="F191" i="23"/>
  <c r="U191" i="23"/>
  <c r="AI191" i="23"/>
  <c r="AJ191" i="23"/>
  <c r="F192" i="23"/>
  <c r="U192" i="23"/>
  <c r="AI192" i="23"/>
  <c r="AJ192" i="23"/>
  <c r="F193" i="23"/>
  <c r="U193" i="23"/>
  <c r="AI193" i="23"/>
  <c r="AJ193" i="23"/>
  <c r="F194" i="23"/>
  <c r="U194" i="23"/>
  <c r="AI194" i="23"/>
  <c r="AJ194" i="23"/>
  <c r="F195" i="23"/>
  <c r="U195" i="23"/>
  <c r="AI195" i="23"/>
  <c r="AJ195" i="23"/>
  <c r="F196" i="23"/>
  <c r="U196" i="23"/>
  <c r="AI196" i="23"/>
  <c r="AJ196" i="23"/>
  <c r="F197" i="23"/>
  <c r="U197" i="23"/>
  <c r="AI197" i="23"/>
  <c r="AJ197" i="23"/>
  <c r="F198" i="23"/>
  <c r="U198" i="23"/>
  <c r="AI198" i="23"/>
  <c r="AJ198" i="23"/>
  <c r="F199" i="23"/>
  <c r="U199" i="23"/>
  <c r="AI199" i="23"/>
  <c r="AJ199" i="23"/>
  <c r="F200" i="23"/>
  <c r="U200" i="23"/>
  <c r="AI200" i="23"/>
  <c r="AJ200" i="23"/>
  <c r="F201" i="23"/>
  <c r="U201" i="23"/>
  <c r="AI201" i="23"/>
  <c r="AJ201" i="23"/>
  <c r="F202" i="23"/>
  <c r="U202" i="23"/>
  <c r="AI202" i="23"/>
  <c r="AJ202" i="23"/>
  <c r="F203" i="23"/>
  <c r="U203" i="23"/>
  <c r="AI203" i="23"/>
  <c r="AJ203" i="23"/>
  <c r="F204" i="23"/>
  <c r="U204" i="23"/>
  <c r="AI204" i="23"/>
  <c r="AJ204" i="23"/>
  <c r="F205" i="23"/>
  <c r="U205" i="23"/>
  <c r="AI205" i="23"/>
  <c r="AJ205" i="23"/>
  <c r="F206" i="23"/>
  <c r="U206" i="23"/>
  <c r="AI206" i="23"/>
  <c r="AJ206" i="23"/>
  <c r="F207" i="23"/>
  <c r="U207" i="23"/>
  <c r="AI207" i="23"/>
  <c r="AJ207" i="23"/>
  <c r="F208" i="23"/>
  <c r="U208" i="23"/>
  <c r="AI208" i="23"/>
  <c r="AJ208" i="23"/>
  <c r="F209" i="23"/>
  <c r="U209" i="23"/>
  <c r="AI209" i="23"/>
  <c r="AJ209" i="23"/>
  <c r="F210" i="23"/>
  <c r="U210" i="23"/>
  <c r="AI210" i="23"/>
  <c r="AJ210" i="23"/>
  <c r="F211" i="23"/>
  <c r="U211" i="23"/>
  <c r="AI211" i="23"/>
  <c r="AJ211" i="23"/>
  <c r="F212" i="23"/>
  <c r="U212" i="23"/>
  <c r="AI212" i="23"/>
  <c r="AJ212" i="23"/>
  <c r="F213" i="23"/>
  <c r="U213" i="23"/>
  <c r="AI213" i="23"/>
  <c r="AJ213" i="23"/>
  <c r="F214" i="23"/>
  <c r="U214" i="23"/>
  <c r="AI214" i="23"/>
  <c r="AJ214" i="23"/>
  <c r="F215" i="23"/>
  <c r="U215" i="23"/>
  <c r="AI215" i="23"/>
  <c r="AJ215" i="23"/>
  <c r="F216" i="23"/>
  <c r="U216" i="23"/>
  <c r="AI216" i="23"/>
  <c r="AJ216" i="23"/>
  <c r="F217" i="23"/>
  <c r="U217" i="23"/>
  <c r="AI217" i="23"/>
  <c r="AJ217" i="23"/>
  <c r="F218" i="23"/>
  <c r="U218" i="23"/>
  <c r="AI218" i="23"/>
  <c r="AJ218" i="23"/>
  <c r="F219" i="23"/>
  <c r="U219" i="23"/>
  <c r="AI219" i="23"/>
  <c r="AJ219" i="23"/>
  <c r="F220" i="23"/>
  <c r="U220" i="23"/>
  <c r="AI220" i="23"/>
  <c r="AJ220" i="23"/>
  <c r="F221" i="23"/>
  <c r="U221" i="23"/>
  <c r="AI221" i="23"/>
  <c r="AJ221" i="23"/>
  <c r="K11" i="24"/>
  <c r="AI15" i="23"/>
  <c r="AI19" i="23"/>
  <c r="AI27" i="23"/>
  <c r="AI31" i="23"/>
  <c r="AI43" i="23"/>
  <c r="AI44" i="23"/>
  <c r="AI45" i="23"/>
  <c r="AI55" i="23"/>
  <c r="AI56" i="23"/>
  <c r="AI57" i="23"/>
  <c r="U8" i="23"/>
  <c r="U19" i="23"/>
  <c r="U20" i="23"/>
  <c r="U31" i="23"/>
  <c r="U32" i="23"/>
  <c r="U43" i="23"/>
  <c r="U55" i="23"/>
  <c r="F17" i="23"/>
  <c r="F19" i="23"/>
  <c r="F29" i="23"/>
  <c r="F34" i="23"/>
  <c r="F32" i="23"/>
  <c r="F33" i="23"/>
  <c r="F44" i="23"/>
  <c r="F54" i="23"/>
  <c r="F57" i="23"/>
  <c r="F5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U9" i="23"/>
  <c r="U10" i="23"/>
  <c r="U11" i="23"/>
  <c r="U12" i="23"/>
  <c r="U13" i="23"/>
  <c r="U14" i="23"/>
  <c r="U15" i="23"/>
  <c r="U16" i="23"/>
  <c r="U17" i="23"/>
  <c r="U18" i="23"/>
  <c r="U21" i="23"/>
  <c r="U22" i="23"/>
  <c r="U23" i="23"/>
  <c r="U24" i="23"/>
  <c r="U25" i="23"/>
  <c r="U26" i="23"/>
  <c r="U27" i="23"/>
  <c r="U28" i="23"/>
  <c r="U29" i="23"/>
  <c r="U30" i="23"/>
  <c r="U33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AI8" i="23"/>
  <c r="AI9" i="23"/>
  <c r="AI10" i="23"/>
  <c r="AI11" i="23"/>
  <c r="AI12" i="23"/>
  <c r="AI13" i="23"/>
  <c r="AI14" i="23"/>
  <c r="AI16" i="23"/>
  <c r="AI17" i="23"/>
  <c r="AI18" i="23"/>
  <c r="AI20" i="23"/>
  <c r="AI21" i="23"/>
  <c r="AI22" i="23"/>
  <c r="AI23" i="23"/>
  <c r="AI24" i="23"/>
  <c r="AI25" i="23"/>
  <c r="AI26" i="23"/>
  <c r="AI28" i="23"/>
  <c r="AI29" i="23"/>
  <c r="AI30" i="23"/>
  <c r="AI32" i="23"/>
  <c r="AI33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U34" i="23"/>
  <c r="U35" i="23"/>
  <c r="U36" i="23"/>
  <c r="U37" i="23"/>
  <c r="U38" i="23"/>
  <c r="U39" i="23"/>
  <c r="U40" i="23"/>
  <c r="U41" i="23"/>
  <c r="U42" i="23"/>
  <c r="U44" i="23"/>
  <c r="U45" i="23"/>
  <c r="U46" i="23"/>
  <c r="U47" i="23"/>
  <c r="U48" i="23"/>
  <c r="U49" i="23"/>
  <c r="U50" i="23"/>
  <c r="U51" i="23"/>
  <c r="U52" i="23"/>
  <c r="U53" i="23"/>
  <c r="U54" i="23"/>
  <c r="U56" i="23"/>
  <c r="U57" i="23"/>
  <c r="U58" i="23"/>
  <c r="U59" i="23"/>
  <c r="U60" i="23"/>
  <c r="U61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AI34" i="23"/>
  <c r="AI35" i="23"/>
  <c r="AI36" i="23"/>
  <c r="AI37" i="23"/>
  <c r="AI38" i="23"/>
  <c r="AI39" i="23"/>
  <c r="AI40" i="23"/>
  <c r="AI41" i="23"/>
  <c r="AI42" i="23"/>
  <c r="AI46" i="23"/>
  <c r="AI47" i="23"/>
  <c r="AI48" i="23"/>
  <c r="AI49" i="23"/>
  <c r="AI50" i="23"/>
  <c r="AI51" i="23"/>
  <c r="AI52" i="23"/>
  <c r="AI53" i="23"/>
  <c r="AI54" i="23"/>
  <c r="AI58" i="23"/>
  <c r="AI59" i="23"/>
  <c r="AI60" i="23"/>
  <c r="AI61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D121" i="24"/>
  <c r="E122" i="24" s="1"/>
  <c r="F123" i="24" s="1"/>
  <c r="AR32" i="22"/>
  <c r="AR31" i="22"/>
  <c r="AR30" i="22"/>
  <c r="AR29" i="22"/>
  <c r="BJ49" i="24" l="1"/>
  <c r="BG49" i="24"/>
  <c r="BJ37" i="24"/>
  <c r="BG37" i="24"/>
  <c r="BJ25" i="24"/>
  <c r="BG25" i="24"/>
  <c r="BJ15" i="24"/>
  <c r="BG15" i="24"/>
  <c r="BJ16" i="24"/>
  <c r="BG16" i="24"/>
  <c r="BJ48" i="24"/>
  <c r="BG48" i="24"/>
  <c r="BJ36" i="24"/>
  <c r="BG36" i="24"/>
  <c r="BJ24" i="24"/>
  <c r="BG24" i="24"/>
  <c r="BJ14" i="24"/>
  <c r="BG14" i="24"/>
  <c r="BJ59" i="24"/>
  <c r="BG59" i="24"/>
  <c r="BJ47" i="24"/>
  <c r="BG47" i="24"/>
  <c r="BJ35" i="24"/>
  <c r="BG35" i="24"/>
  <c r="BJ23" i="24"/>
  <c r="BG23" i="24"/>
  <c r="BJ13" i="24"/>
  <c r="BG13" i="24"/>
  <c r="BJ50" i="24"/>
  <c r="BG50" i="24"/>
  <c r="BJ58" i="24"/>
  <c r="BG58" i="24"/>
  <c r="BJ46" i="24"/>
  <c r="BG46" i="24"/>
  <c r="BJ34" i="24"/>
  <c r="BG34" i="24"/>
  <c r="BJ22" i="24"/>
  <c r="BG22" i="24"/>
  <c r="BJ12" i="24"/>
  <c r="BG12" i="24"/>
  <c r="BJ57" i="24"/>
  <c r="BG57" i="24"/>
  <c r="BJ45" i="24"/>
  <c r="BG45" i="24"/>
  <c r="BJ33" i="24"/>
  <c r="BG33" i="24"/>
  <c r="BJ21" i="24"/>
  <c r="BG21" i="24"/>
  <c r="BJ11" i="24"/>
  <c r="BG11" i="24"/>
  <c r="BJ56" i="24"/>
  <c r="BG56" i="24"/>
  <c r="BJ44" i="24"/>
  <c r="BG44" i="24"/>
  <c r="BJ32" i="24"/>
  <c r="BG32" i="24"/>
  <c r="BJ20" i="24"/>
  <c r="BG20" i="24"/>
  <c r="BJ10" i="24"/>
  <c r="BG10" i="24"/>
  <c r="BJ61" i="24"/>
  <c r="BG61" i="24"/>
  <c r="BJ55" i="24"/>
  <c r="BG55" i="24"/>
  <c r="BJ43" i="24"/>
  <c r="BG43" i="24"/>
  <c r="BJ31" i="24"/>
  <c r="BG31" i="24"/>
  <c r="BJ19" i="24"/>
  <c r="BG19" i="24"/>
  <c r="BJ18" i="24"/>
  <c r="BG18" i="24"/>
  <c r="BJ9" i="24"/>
  <c r="BG9" i="24"/>
  <c r="BJ54" i="24"/>
  <c r="BG54" i="24"/>
  <c r="BJ42" i="24"/>
  <c r="BG42" i="24"/>
  <c r="BJ30" i="24"/>
  <c r="BG30" i="24"/>
  <c r="BJ8" i="24"/>
  <c r="BG8" i="24"/>
  <c r="BJ53" i="24"/>
  <c r="BG53" i="24"/>
  <c r="BJ41" i="24"/>
  <c r="BG41" i="24"/>
  <c r="BJ29" i="24"/>
  <c r="BG29" i="24"/>
  <c r="BJ26" i="24"/>
  <c r="BG26" i="24"/>
  <c r="BJ52" i="24"/>
  <c r="BG52" i="24"/>
  <c r="BJ40" i="24"/>
  <c r="BG40" i="24"/>
  <c r="BJ28" i="24"/>
  <c r="BG28" i="24"/>
  <c r="BJ38" i="24"/>
  <c r="BG38" i="24"/>
  <c r="BJ60" i="24"/>
  <c r="BG60" i="24"/>
  <c r="BJ51" i="24"/>
  <c r="BG51" i="24"/>
  <c r="BJ39" i="24"/>
  <c r="BG39" i="24"/>
  <c r="BJ27" i="24"/>
  <c r="BG27" i="24"/>
  <c r="BJ17" i="24"/>
  <c r="BG17" i="24"/>
  <c r="BE126" i="24"/>
  <c r="BD127" i="24"/>
  <c r="J129" i="24"/>
  <c r="J141" i="24"/>
  <c r="J153" i="24"/>
  <c r="J165" i="24"/>
  <c r="J177" i="24"/>
  <c r="J130" i="24"/>
  <c r="J142" i="24"/>
  <c r="J154" i="24"/>
  <c r="J166" i="24"/>
  <c r="J178" i="24"/>
  <c r="J131" i="24"/>
  <c r="J143" i="24"/>
  <c r="J155" i="24"/>
  <c r="J167" i="24"/>
  <c r="J179" i="24"/>
  <c r="J139" i="24"/>
  <c r="J140" i="24"/>
  <c r="J132" i="24"/>
  <c r="J144" i="24"/>
  <c r="J156" i="24"/>
  <c r="J168" i="24"/>
  <c r="J180" i="24"/>
  <c r="J151" i="24"/>
  <c r="J133" i="24"/>
  <c r="J145" i="24"/>
  <c r="J157" i="24"/>
  <c r="J169" i="24"/>
  <c r="J181" i="24"/>
  <c r="J163" i="24"/>
  <c r="J176" i="24"/>
  <c r="J134" i="24"/>
  <c r="J146" i="24"/>
  <c r="J158" i="24"/>
  <c r="J170" i="24"/>
  <c r="J182" i="24"/>
  <c r="J135" i="24"/>
  <c r="J147" i="24"/>
  <c r="J159" i="24"/>
  <c r="J171" i="24"/>
  <c r="J183" i="24"/>
  <c r="J127" i="24"/>
  <c r="J152" i="24"/>
  <c r="J136" i="24"/>
  <c r="J148" i="24"/>
  <c r="J160" i="24"/>
  <c r="J172" i="24"/>
  <c r="J184" i="24"/>
  <c r="J137" i="24"/>
  <c r="J149" i="24"/>
  <c r="J161" i="24"/>
  <c r="J173" i="24"/>
  <c r="J175" i="24"/>
  <c r="J164" i="24"/>
  <c r="J126" i="24"/>
  <c r="J138" i="24"/>
  <c r="J150" i="24"/>
  <c r="J162" i="24"/>
  <c r="J174" i="24"/>
  <c r="J128" i="24"/>
  <c r="J121" i="24"/>
  <c r="J47" i="24"/>
  <c r="J89" i="24"/>
  <c r="J57" i="24"/>
  <c r="J69" i="24"/>
  <c r="J106" i="24"/>
  <c r="J118" i="24"/>
  <c r="J111" i="24"/>
  <c r="J23" i="24"/>
  <c r="J113" i="24"/>
  <c r="J95" i="24"/>
  <c r="J36" i="24"/>
  <c r="J61" i="24"/>
  <c r="J73" i="24"/>
  <c r="J98" i="24"/>
  <c r="J9" i="24"/>
  <c r="J107" i="24"/>
  <c r="J32" i="24"/>
  <c r="J21" i="24"/>
  <c r="J110" i="24"/>
  <c r="J104" i="24"/>
  <c r="J10" i="24"/>
  <c r="J38" i="24"/>
  <c r="J114" i="24"/>
  <c r="J39" i="24"/>
  <c r="BC125" i="24"/>
  <c r="BE125" i="24" s="1"/>
  <c r="F53" i="23"/>
  <c r="F41" i="23"/>
  <c r="F42" i="23"/>
  <c r="F59" i="23"/>
  <c r="F46" i="23"/>
  <c r="F31" i="23"/>
  <c r="K61" i="24"/>
  <c r="H198" i="23"/>
  <c r="H216" i="23"/>
  <c r="H204" i="23"/>
  <c r="H192" i="23"/>
  <c r="K49" i="24"/>
  <c r="H191" i="23"/>
  <c r="K33" i="24"/>
  <c r="H232" i="23"/>
  <c r="H262" i="23"/>
  <c r="K32" i="24"/>
  <c r="F43" i="23"/>
  <c r="F52" i="23"/>
  <c r="F51" i="23"/>
  <c r="H213" i="23"/>
  <c r="K27" i="24"/>
  <c r="F40" i="23"/>
  <c r="H209" i="23"/>
  <c r="F39" i="23"/>
  <c r="F56" i="23"/>
  <c r="F50" i="23"/>
  <c r="F38" i="23"/>
  <c r="H211" i="23"/>
  <c r="H197" i="23"/>
  <c r="H243" i="23"/>
  <c r="H229" i="23"/>
  <c r="F60" i="23"/>
  <c r="F47" i="23"/>
  <c r="F35" i="23"/>
  <c r="F55" i="23"/>
  <c r="F30" i="23"/>
  <c r="F45" i="23"/>
  <c r="H208" i="23"/>
  <c r="G24" i="23"/>
  <c r="H24" i="23" s="1"/>
  <c r="H221" i="23"/>
  <c r="F61" i="23"/>
  <c r="F49" i="23"/>
  <c r="F37" i="23"/>
  <c r="G12" i="23"/>
  <c r="H12" i="23" s="1"/>
  <c r="G39" i="23"/>
  <c r="H39" i="23" s="1"/>
  <c r="G49" i="23"/>
  <c r="H49" i="23" s="1"/>
  <c r="G32" i="23"/>
  <c r="H32" i="23" s="1"/>
  <c r="G20" i="23"/>
  <c r="H20" i="23" s="1"/>
  <c r="G8" i="23"/>
  <c r="H8" i="23" s="1"/>
  <c r="G61" i="23"/>
  <c r="H61" i="23" s="1"/>
  <c r="G29" i="23"/>
  <c r="H29" i="23" s="1"/>
  <c r="G17" i="23"/>
  <c r="H17" i="23" s="1"/>
  <c r="G51" i="23"/>
  <c r="H51" i="23" s="1"/>
  <c r="G37" i="23"/>
  <c r="H37" i="23" s="1"/>
  <c r="F48" i="23"/>
  <c r="F36" i="23"/>
  <c r="G27" i="23"/>
  <c r="H27" i="23" s="1"/>
  <c r="G15" i="23"/>
  <c r="H15" i="23" s="1"/>
  <c r="H207" i="23"/>
  <c r="H196" i="23"/>
  <c r="H189" i="23"/>
  <c r="H202" i="23"/>
  <c r="H190" i="23"/>
  <c r="H233" i="23"/>
  <c r="H258" i="23"/>
  <c r="K19" i="24"/>
  <c r="H245" i="23"/>
  <c r="H234" i="23"/>
  <c r="H230" i="23"/>
  <c r="H227" i="23"/>
  <c r="K54" i="24"/>
  <c r="H194" i="23"/>
  <c r="H187" i="23"/>
  <c r="H235" i="23"/>
  <c r="H259" i="23"/>
  <c r="H280" i="23"/>
  <c r="K51" i="24"/>
  <c r="H186" i="23"/>
  <c r="H246" i="23"/>
  <c r="H240" i="23"/>
  <c r="H263" i="23"/>
  <c r="K48" i="24"/>
  <c r="H256" i="23"/>
  <c r="H253" i="23"/>
  <c r="H248" i="23"/>
  <c r="K47" i="24"/>
  <c r="H241" i="23"/>
  <c r="H236" i="23"/>
  <c r="H231" i="23"/>
  <c r="H266" i="23"/>
  <c r="K41" i="24"/>
  <c r="K23" i="24"/>
  <c r="K35" i="24"/>
  <c r="K44" i="24"/>
  <c r="K57" i="24"/>
  <c r="H249" i="23"/>
  <c r="K8" i="24"/>
  <c r="K24" i="24"/>
  <c r="K36" i="24"/>
  <c r="K45" i="24"/>
  <c r="K58" i="24"/>
  <c r="K13" i="24"/>
  <c r="K28" i="24"/>
  <c r="K20" i="24"/>
  <c r="K50" i="24"/>
  <c r="K16" i="24"/>
  <c r="K18" i="24"/>
  <c r="K31" i="24"/>
  <c r="K53" i="24"/>
  <c r="K15" i="24"/>
  <c r="K21" i="24"/>
  <c r="K39" i="24"/>
  <c r="K55" i="24"/>
  <c r="H247" i="23"/>
  <c r="H269" i="23"/>
  <c r="H270" i="23"/>
  <c r="H274" i="23"/>
  <c r="K10" i="24"/>
  <c r="K22" i="24"/>
  <c r="K56" i="24"/>
  <c r="H272" i="23"/>
  <c r="H273" i="23"/>
  <c r="H275" i="23"/>
  <c r="H278" i="23"/>
  <c r="H224" i="23"/>
  <c r="H201" i="23"/>
  <c r="K17" i="24"/>
  <c r="K25" i="24"/>
  <c r="K59" i="24"/>
  <c r="H281" i="23"/>
  <c r="H271" i="23"/>
  <c r="H276" i="23"/>
  <c r="H277" i="23"/>
  <c r="K26" i="24"/>
  <c r="K40" i="24"/>
  <c r="K42" i="24"/>
  <c r="K60" i="24"/>
  <c r="H279" i="23"/>
  <c r="H223" i="23"/>
  <c r="H200" i="23"/>
  <c r="K29" i="24"/>
  <c r="K43" i="24"/>
  <c r="H250" i="23"/>
  <c r="H251" i="23"/>
  <c r="H255" i="23"/>
  <c r="K30" i="24"/>
  <c r="K46" i="24"/>
  <c r="H252" i="23"/>
  <c r="H254" i="23"/>
  <c r="H185" i="23"/>
  <c r="H199" i="23"/>
  <c r="H206" i="23"/>
  <c r="H210" i="23"/>
  <c r="H214" i="23"/>
  <c r="K12" i="24"/>
  <c r="K37" i="24"/>
  <c r="K52" i="24"/>
  <c r="H268" i="23"/>
  <c r="H217" i="23"/>
  <c r="H195" i="23"/>
  <c r="H188" i="23"/>
  <c r="H228" i="23"/>
  <c r="H260" i="23"/>
  <c r="K38" i="24"/>
  <c r="H242" i="23"/>
  <c r="H237" i="23"/>
  <c r="H225" i="23"/>
  <c r="H267" i="23"/>
  <c r="H264" i="23"/>
  <c r="H257" i="23"/>
  <c r="K34" i="24"/>
  <c r="K14" i="24"/>
  <c r="H205" i="23"/>
  <c r="H193" i="23"/>
  <c r="J87" i="24"/>
  <c r="J22" i="24"/>
  <c r="J48" i="24"/>
  <c r="J92" i="24"/>
  <c r="J117" i="24"/>
  <c r="J70" i="24"/>
  <c r="J120" i="24"/>
  <c r="J13" i="24"/>
  <c r="J122" i="24"/>
  <c r="J43" i="24"/>
  <c r="J82" i="24"/>
  <c r="J80" i="24"/>
  <c r="J25" i="24"/>
  <c r="J115" i="24"/>
  <c r="J52" i="24"/>
  <c r="J30" i="24"/>
  <c r="J94" i="24"/>
  <c r="J11" i="24"/>
  <c r="J50" i="24"/>
  <c r="J37" i="24"/>
  <c r="J15" i="24"/>
  <c r="J88" i="24"/>
  <c r="J54" i="24"/>
  <c r="J27" i="24"/>
  <c r="J124" i="24"/>
  <c r="J103" i="24"/>
  <c r="J78" i="24"/>
  <c r="J33" i="24"/>
  <c r="J59" i="24"/>
  <c r="J68" i="24"/>
  <c r="J85" i="24"/>
  <c r="J51" i="24"/>
  <c r="J17" i="24"/>
  <c r="J90" i="24"/>
  <c r="J45" i="24"/>
  <c r="J71" i="24"/>
  <c r="J24" i="24"/>
  <c r="J109" i="24"/>
  <c r="J62" i="24"/>
  <c r="J63" i="24"/>
  <c r="J79" i="24"/>
  <c r="J65" i="24"/>
  <c r="J102" i="24"/>
  <c r="J81" i="24"/>
  <c r="J34" i="24"/>
  <c r="J119" i="24"/>
  <c r="J60" i="24"/>
  <c r="J125" i="24"/>
  <c r="J19" i="24"/>
  <c r="J93" i="24"/>
  <c r="J46" i="24"/>
  <c r="J72" i="24"/>
  <c r="J20" i="24"/>
  <c r="J16" i="24"/>
  <c r="J44" i="24"/>
  <c r="J105" i="24"/>
  <c r="J58" i="24"/>
  <c r="J67" i="24"/>
  <c r="J96" i="24"/>
  <c r="J14" i="24"/>
  <c r="J76" i="24"/>
  <c r="J8" i="24"/>
  <c r="J35" i="24"/>
  <c r="J84" i="24"/>
  <c r="J49" i="24"/>
  <c r="J116" i="24"/>
  <c r="J75" i="24"/>
  <c r="J100" i="24"/>
  <c r="J28" i="24"/>
  <c r="J29" i="24"/>
  <c r="J40" i="24"/>
  <c r="J41" i="24"/>
  <c r="J56" i="24"/>
  <c r="J108" i="24"/>
  <c r="J97" i="24"/>
  <c r="J74" i="24"/>
  <c r="J99" i="24"/>
  <c r="J64" i="24"/>
  <c r="J53" i="24"/>
  <c r="J18" i="24"/>
  <c r="P4" i="24"/>
  <c r="W184" i="24" s="1"/>
  <c r="J83" i="24"/>
  <c r="J86" i="24"/>
  <c r="J123" i="24"/>
  <c r="J112" i="24"/>
  <c r="J77" i="24"/>
  <c r="J42" i="24"/>
  <c r="J12" i="24"/>
  <c r="J55" i="24"/>
  <c r="J26" i="24"/>
  <c r="J31" i="24"/>
  <c r="J101" i="24"/>
  <c r="J66" i="24"/>
  <c r="J91" i="24"/>
  <c r="U123" i="22"/>
  <c r="BB123" i="24" s="1"/>
  <c r="AO61" i="24"/>
  <c r="AO16" i="24"/>
  <c r="AO21" i="24"/>
  <c r="AO45" i="24"/>
  <c r="AO10" i="24"/>
  <c r="AO56" i="24"/>
  <c r="AO18" i="24"/>
  <c r="AO53" i="24"/>
  <c r="AO41" i="24"/>
  <c r="AO29" i="24"/>
  <c r="AO17" i="24"/>
  <c r="AO28" i="24"/>
  <c r="AO30" i="24"/>
  <c r="AO57" i="24"/>
  <c r="AO22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39" i="24"/>
  <c r="AO25" i="24"/>
  <c r="AO51" i="24"/>
  <c r="AO24" i="24"/>
  <c r="AO12" i="24"/>
  <c r="AO37" i="24"/>
  <c r="AO8" i="24"/>
  <c r="AO9" i="24"/>
  <c r="AO13" i="24"/>
  <c r="AO20" i="24"/>
  <c r="AO44" i="24"/>
  <c r="AO32" i="24"/>
  <c r="AO49" i="24"/>
  <c r="AO33" i="24"/>
  <c r="E49" i="24"/>
  <c r="G49" i="24" s="1"/>
  <c r="E58" i="24"/>
  <c r="G58" i="24" s="1"/>
  <c r="E46" i="24"/>
  <c r="G46" i="24" s="1"/>
  <c r="E34" i="24"/>
  <c r="E56" i="24"/>
  <c r="G56" i="24" s="1"/>
  <c r="E44" i="24"/>
  <c r="G44" i="24" s="1"/>
  <c r="E32" i="24"/>
  <c r="G32" i="24" s="1"/>
  <c r="E60" i="24"/>
  <c r="E48" i="24"/>
  <c r="E36" i="24"/>
  <c r="E61" i="24"/>
  <c r="E53" i="24"/>
  <c r="G53" i="24" s="1"/>
  <c r="E41" i="24"/>
  <c r="G41" i="24" s="1"/>
  <c r="E51" i="24"/>
  <c r="G51" i="24" s="1"/>
  <c r="E39" i="24"/>
  <c r="E55" i="24"/>
  <c r="G55" i="24" s="1"/>
  <c r="E43" i="24"/>
  <c r="G43" i="24" s="1"/>
  <c r="E31" i="24"/>
  <c r="G31" i="24" s="1"/>
  <c r="E57" i="24"/>
  <c r="E52" i="24"/>
  <c r="G52" i="24" s="1"/>
  <c r="E40" i="24"/>
  <c r="G40" i="24" s="1"/>
  <c r="E30" i="24"/>
  <c r="E50" i="24"/>
  <c r="G50" i="24" s="1"/>
  <c r="E38" i="24"/>
  <c r="G38" i="24" s="1"/>
  <c r="E45" i="24"/>
  <c r="G45" i="24" s="1"/>
  <c r="E37" i="24"/>
  <c r="E59" i="24"/>
  <c r="E47" i="24"/>
  <c r="G47" i="24" s="1"/>
  <c r="E35" i="24"/>
  <c r="E33" i="24"/>
  <c r="E54" i="24"/>
  <c r="E42" i="24"/>
  <c r="G29" i="24"/>
  <c r="G28" i="24"/>
  <c r="G18" i="24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W113" i="24" l="1"/>
  <c r="W86" i="24"/>
  <c r="BD126" i="24"/>
  <c r="W30" i="24"/>
  <c r="W160" i="24"/>
  <c r="W74" i="24"/>
  <c r="W22" i="24"/>
  <c r="W144" i="24"/>
  <c r="W115" i="24"/>
  <c r="W128" i="24"/>
  <c r="W42" i="24"/>
  <c r="W183" i="24"/>
  <c r="W36" i="24"/>
  <c r="W27" i="24"/>
  <c r="W122" i="24"/>
  <c r="W88" i="24"/>
  <c r="W134" i="24"/>
  <c r="W48" i="24"/>
  <c r="W102" i="24"/>
  <c r="W111" i="24"/>
  <c r="W23" i="24"/>
  <c r="W56" i="24"/>
  <c r="W91" i="24"/>
  <c r="W54" i="24"/>
  <c r="W14" i="24"/>
  <c r="W158" i="24"/>
  <c r="W118" i="24"/>
  <c r="W75" i="24"/>
  <c r="W9" i="24"/>
  <c r="W180" i="24"/>
  <c r="W129" i="24"/>
  <c r="W69" i="24"/>
  <c r="W96" i="24"/>
  <c r="W124" i="24"/>
  <c r="W55" i="24"/>
  <c r="W135" i="24"/>
  <c r="W148" i="24"/>
  <c r="W61" i="24"/>
  <c r="W149" i="24"/>
  <c r="W29" i="24"/>
  <c r="W68" i="24"/>
  <c r="W95" i="24"/>
  <c r="W76" i="24"/>
  <c r="W140" i="24"/>
  <c r="W58" i="24"/>
  <c r="W79" i="24"/>
  <c r="W87" i="24"/>
  <c r="W60" i="24"/>
  <c r="W21" i="24"/>
  <c r="W103" i="24"/>
  <c r="W112" i="24"/>
  <c r="W179" i="24"/>
  <c r="W123" i="24"/>
  <c r="W173" i="24"/>
  <c r="W52" i="24"/>
  <c r="W151" i="24"/>
  <c r="W101" i="24"/>
  <c r="W44" i="24"/>
  <c r="W47" i="24"/>
  <c r="W15" i="24"/>
  <c r="W37" i="24"/>
  <c r="W20" i="24"/>
  <c r="W172" i="24"/>
  <c r="W97" i="24"/>
  <c r="W108" i="24"/>
  <c r="W182" i="24"/>
  <c r="W114" i="24"/>
  <c r="W72" i="24"/>
  <c r="W46" i="24"/>
  <c r="W110" i="24"/>
  <c r="W78" i="24"/>
  <c r="W18" i="24"/>
  <c r="W168" i="24"/>
  <c r="W156" i="24"/>
  <c r="W177" i="24"/>
  <c r="W162" i="24"/>
  <c r="W181" i="24"/>
  <c r="W142" i="24"/>
  <c r="W155" i="24"/>
  <c r="W175" i="24"/>
  <c r="W35" i="24"/>
  <c r="W139" i="24"/>
  <c r="W165" i="24"/>
  <c r="W100" i="24"/>
  <c r="W57" i="24"/>
  <c r="W89" i="24"/>
  <c r="W137" i="24"/>
  <c r="W41" i="24"/>
  <c r="W82" i="24"/>
  <c r="W26" i="24"/>
  <c r="W152" i="24"/>
  <c r="W92" i="24"/>
  <c r="W126" i="24"/>
  <c r="W170" i="24"/>
  <c r="W99" i="24"/>
  <c r="W70" i="24"/>
  <c r="W8" i="24"/>
  <c r="W38" i="24"/>
  <c r="W178" i="24"/>
  <c r="W119" i="24"/>
  <c r="W40" i="24"/>
  <c r="W10" i="24"/>
  <c r="W117" i="24"/>
  <c r="W161" i="24"/>
  <c r="W93" i="24"/>
  <c r="W127" i="24"/>
  <c r="W146" i="24"/>
  <c r="W85" i="24"/>
  <c r="W33" i="24"/>
  <c r="W19" i="24"/>
  <c r="W53" i="24"/>
  <c r="W11" i="24"/>
  <c r="W77" i="24"/>
  <c r="W131" i="24"/>
  <c r="W150" i="24"/>
  <c r="W24" i="24"/>
  <c r="W166" i="24"/>
  <c r="W83" i="24"/>
  <c r="W32" i="24"/>
  <c r="W12" i="24"/>
  <c r="W98" i="24"/>
  <c r="W94" i="24"/>
  <c r="W106" i="24"/>
  <c r="W116" i="24"/>
  <c r="W169" i="24"/>
  <c r="W164" i="24"/>
  <c r="W130" i="24"/>
  <c r="W157" i="24"/>
  <c r="W63" i="24"/>
  <c r="W133" i="24"/>
  <c r="W62" i="24"/>
  <c r="W141" i="24"/>
  <c r="W71" i="24"/>
  <c r="W28" i="24"/>
  <c r="W81" i="24"/>
  <c r="W66" i="24"/>
  <c r="W171" i="24"/>
  <c r="W163" i="24"/>
  <c r="W147" i="24"/>
  <c r="W90" i="24"/>
  <c r="W64" i="24"/>
  <c r="W138" i="24"/>
  <c r="W84" i="24"/>
  <c r="W145" i="24"/>
  <c r="W45" i="24"/>
  <c r="W73" i="24"/>
  <c r="W136" i="24"/>
  <c r="W167" i="24"/>
  <c r="W67" i="24"/>
  <c r="W39" i="24"/>
  <c r="W109" i="24"/>
  <c r="W105" i="24"/>
  <c r="W143" i="24"/>
  <c r="W51" i="24"/>
  <c r="W176" i="24"/>
  <c r="W104" i="24"/>
  <c r="W80" i="24"/>
  <c r="W65" i="24"/>
  <c r="W174" i="24"/>
  <c r="W43" i="24"/>
  <c r="W13" i="24"/>
  <c r="W49" i="24"/>
  <c r="W120" i="24"/>
  <c r="W132" i="24"/>
  <c r="W59" i="24"/>
  <c r="W34" i="24"/>
  <c r="W125" i="24"/>
  <c r="W153" i="24"/>
  <c r="W17" i="24"/>
  <c r="W121" i="24"/>
  <c r="W16" i="24"/>
  <c r="W159" i="24"/>
  <c r="W154" i="24"/>
  <c r="W50" i="24"/>
  <c r="W31" i="24"/>
  <c r="W107" i="24"/>
  <c r="W25" i="24"/>
  <c r="V123" i="22"/>
  <c r="BC124" i="24"/>
  <c r="BD125" i="24" s="1"/>
  <c r="AG124" i="23"/>
  <c r="AH125" i="23" s="1"/>
  <c r="G36" i="24"/>
  <c r="F36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AR22" i="22" l="1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E62" i="22" l="1"/>
  <c r="D62" i="24"/>
  <c r="J37" i="22"/>
  <c r="J49" i="22"/>
  <c r="K61" i="22"/>
  <c r="J50" i="22"/>
  <c r="J38" i="22"/>
  <c r="J39" i="22"/>
  <c r="J51" i="22"/>
  <c r="J40" i="22"/>
  <c r="J52" i="22"/>
  <c r="J29" i="22"/>
  <c r="K53" i="22"/>
  <c r="J30" i="22"/>
  <c r="J54" i="22"/>
  <c r="J31" i="22"/>
  <c r="J55" i="22"/>
  <c r="J32" i="22"/>
  <c r="J44" i="22"/>
  <c r="J56" i="22"/>
  <c r="K57" i="22"/>
  <c r="K34" i="22"/>
  <c r="J46" i="22"/>
  <c r="J58" i="22"/>
  <c r="J35" i="22"/>
  <c r="J59" i="22"/>
  <c r="J36" i="22"/>
  <c r="K48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4"/>
  <c r="E63" i="24" l="1"/>
  <c r="E62" i="24"/>
  <c r="K39" i="22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4"/>
  <c r="E64" i="24" s="1"/>
  <c r="F64" i="24" l="1"/>
  <c r="F63" i="24"/>
  <c r="F62" i="24"/>
  <c r="E64" i="22"/>
  <c r="Y63" i="22"/>
  <c r="H62" i="22"/>
  <c r="F63" i="22"/>
  <c r="Q63" i="22"/>
  <c r="O64" i="22"/>
  <c r="R64" i="22"/>
  <c r="U64" i="22"/>
  <c r="D65" i="24"/>
  <c r="E65" i="22" l="1"/>
  <c r="E65" i="24"/>
  <c r="V64" i="22"/>
  <c r="Q64" i="22"/>
  <c r="Y64" i="22"/>
  <c r="H63" i="22"/>
  <c r="F64" i="22"/>
  <c r="O65" i="22"/>
  <c r="U65" i="22"/>
  <c r="V65" i="22" s="1"/>
  <c r="D66" i="24"/>
  <c r="E66" i="24" s="1"/>
  <c r="E66" i="22" l="1"/>
  <c r="F66" i="24"/>
  <c r="F65" i="24"/>
  <c r="F65" i="22"/>
  <c r="Y65" i="22"/>
  <c r="H64" i="22"/>
  <c r="R65" i="22"/>
  <c r="Q65" i="22"/>
  <c r="O66" i="22"/>
  <c r="U66" i="22"/>
  <c r="D67" i="24"/>
  <c r="E67" i="24" l="1"/>
  <c r="E67" i="22"/>
  <c r="V66" i="22"/>
  <c r="H65" i="22"/>
  <c r="F66" i="22"/>
  <c r="R66" i="22"/>
  <c r="Y66" i="22"/>
  <c r="Q66" i="22"/>
  <c r="O67" i="22"/>
  <c r="U67" i="22"/>
  <c r="V67" i="22" s="1"/>
  <c r="E68" i="22" l="1"/>
  <c r="D68" i="24"/>
  <c r="F67" i="22"/>
  <c r="H67" i="22" s="1"/>
  <c r="Y67" i="22"/>
  <c r="Q67" i="22"/>
  <c r="R67" i="22"/>
  <c r="H66" i="22"/>
  <c r="O68" i="22"/>
  <c r="Q68" i="22"/>
  <c r="U68" i="22"/>
  <c r="Y68" i="22" s="1"/>
  <c r="E69" i="22" l="1"/>
  <c r="D69" i="24"/>
  <c r="E68" i="24"/>
  <c r="V68" i="22"/>
  <c r="R68" i="22"/>
  <c r="F68" i="22"/>
  <c r="O69" i="22"/>
  <c r="U69" i="22"/>
  <c r="V69" i="22" s="1"/>
  <c r="E69" i="24" l="1"/>
  <c r="E70" i="22"/>
  <c r="D70" i="24"/>
  <c r="E70" i="24" s="1"/>
  <c r="F69" i="22"/>
  <c r="H69" i="22" s="1"/>
  <c r="R69" i="22"/>
  <c r="Q69" i="22"/>
  <c r="Y69" i="22"/>
  <c r="H68" i="22"/>
  <c r="O70" i="22"/>
  <c r="Q70" i="22"/>
  <c r="U70" i="22"/>
  <c r="Y70" i="22" s="1"/>
  <c r="E71" i="22" l="1"/>
  <c r="D71" i="24"/>
  <c r="E71" i="24" s="1"/>
  <c r="V70" i="22"/>
  <c r="R70" i="22"/>
  <c r="F70" i="22"/>
  <c r="O71" i="22"/>
  <c r="Q71" i="22"/>
  <c r="U71" i="22"/>
  <c r="V71" i="22" s="1"/>
  <c r="E72" i="22" l="1"/>
  <c r="D72" i="24"/>
  <c r="R71" i="22"/>
  <c r="H70" i="22"/>
  <c r="F71" i="22"/>
  <c r="Y71" i="22"/>
  <c r="O72" i="22"/>
  <c r="Q72" i="22"/>
  <c r="U72" i="22"/>
  <c r="V72" i="22" s="1"/>
  <c r="D73" i="24"/>
  <c r="E73" i="22" l="1"/>
  <c r="Y72" i="22"/>
  <c r="H71" i="22"/>
  <c r="R72" i="22"/>
  <c r="F72" i="22"/>
  <c r="O73" i="22"/>
  <c r="U73" i="22"/>
  <c r="V73" i="22" s="1"/>
  <c r="E74" i="22" l="1"/>
  <c r="D74" i="24"/>
  <c r="F73" i="22"/>
  <c r="H73" i="22" s="1"/>
  <c r="H72" i="22"/>
  <c r="Q73" i="22"/>
  <c r="Y73" i="22"/>
  <c r="R73" i="22"/>
  <c r="O74" i="22"/>
  <c r="Q74" i="22"/>
  <c r="U74" i="22"/>
  <c r="V74" i="22" s="1"/>
  <c r="D75" i="24"/>
  <c r="E75" i="22" l="1"/>
  <c r="R74" i="22"/>
  <c r="F74" i="22"/>
  <c r="Y74" i="22"/>
  <c r="O75" i="22"/>
  <c r="U75" i="22"/>
  <c r="V75" i="22" s="1"/>
  <c r="E76" i="22" l="1"/>
  <c r="D76" i="24"/>
  <c r="Y75" i="22"/>
  <c r="F75" i="22"/>
  <c r="H75" i="22" s="1"/>
  <c r="R75" i="22"/>
  <c r="Q75" i="22"/>
  <c r="H74" i="22"/>
  <c r="O76" i="22"/>
  <c r="Q76" i="22"/>
  <c r="U76" i="22"/>
  <c r="V76" i="22" s="1"/>
  <c r="E77" i="22" l="1"/>
  <c r="D77" i="24"/>
  <c r="R76" i="22"/>
  <c r="Y76" i="22"/>
  <c r="F76" i="22"/>
  <c r="O77" i="22"/>
  <c r="U77" i="22"/>
  <c r="V77" i="22" s="1"/>
  <c r="D78" i="24"/>
  <c r="E78" i="22" l="1"/>
  <c r="F77" i="22"/>
  <c r="H76" i="22"/>
  <c r="R77" i="22"/>
  <c r="Q77" i="22"/>
  <c r="Y77" i="22"/>
  <c r="O78" i="22"/>
  <c r="R78" i="22"/>
  <c r="U78" i="22"/>
  <c r="V78" i="22" s="1"/>
  <c r="D79" i="24"/>
  <c r="E79" i="22" l="1"/>
  <c r="H77" i="22"/>
  <c r="Y78" i="22"/>
  <c r="F78" i="22"/>
  <c r="Q78" i="22"/>
  <c r="O79" i="22"/>
  <c r="U79" i="22"/>
  <c r="V79" i="22" s="1"/>
  <c r="E80" i="22" l="1"/>
  <c r="D80" i="24"/>
  <c r="F79" i="22"/>
  <c r="H79" i="22" s="1"/>
  <c r="Y79" i="22"/>
  <c r="R79" i="22"/>
  <c r="H78" i="22"/>
  <c r="Q79" i="22"/>
  <c r="O80" i="22"/>
  <c r="U80" i="22"/>
  <c r="V80" i="22" s="1"/>
  <c r="D81" i="24"/>
  <c r="E81" i="22" l="1"/>
  <c r="Y80" i="22"/>
  <c r="F80" i="22"/>
  <c r="R80" i="22"/>
  <c r="Q80" i="22"/>
  <c r="O81" i="22"/>
  <c r="R81" i="22"/>
  <c r="U81" i="22"/>
  <c r="V81" i="22" s="1"/>
  <c r="E82" i="22" l="1"/>
  <c r="D82" i="24"/>
  <c r="F81" i="22"/>
  <c r="H81" i="22" s="1"/>
  <c r="Q81" i="22"/>
  <c r="Y81" i="22"/>
  <c r="H80" i="22"/>
  <c r="O82" i="22"/>
  <c r="R82" i="22"/>
  <c r="U82" i="22"/>
  <c r="V82" i="22" s="1"/>
  <c r="E83" i="22" l="1"/>
  <c r="D83" i="24"/>
  <c r="Y82" i="22"/>
  <c r="F82" i="22"/>
  <c r="Q82" i="22"/>
  <c r="O83" i="22"/>
  <c r="U83" i="22"/>
  <c r="V83" i="22" s="1"/>
  <c r="D84" i="24"/>
  <c r="E84" i="22" l="1"/>
  <c r="F83" i="22"/>
  <c r="H83" i="22" s="1"/>
  <c r="R83" i="22"/>
  <c r="Q83" i="22"/>
  <c r="Y83" i="22"/>
  <c r="H82" i="22"/>
  <c r="O84" i="22"/>
  <c r="U84" i="22"/>
  <c r="V84" i="22" s="1"/>
  <c r="E85" i="22" l="1"/>
  <c r="D85" i="24"/>
  <c r="F84" i="22"/>
  <c r="R84" i="22"/>
  <c r="Q84" i="22"/>
  <c r="Y84" i="22"/>
  <c r="O85" i="22"/>
  <c r="U85" i="22"/>
  <c r="V85" i="22" s="1"/>
  <c r="E86" i="22" l="1"/>
  <c r="D86" i="24"/>
  <c r="F85" i="22"/>
  <c r="H85" i="22" s="1"/>
  <c r="H84" i="22"/>
  <c r="Y85" i="22"/>
  <c r="Q85" i="22"/>
  <c r="R85" i="22"/>
  <c r="O86" i="22"/>
  <c r="R86" i="22"/>
  <c r="U86" i="22"/>
  <c r="V86" i="22" s="1"/>
  <c r="E87" i="22" l="1"/>
  <c r="D87" i="24"/>
  <c r="Y86" i="22"/>
  <c r="F86" i="22"/>
  <c r="Q86" i="22"/>
  <c r="O87" i="22"/>
  <c r="U87" i="22"/>
  <c r="V87" i="22" s="1"/>
  <c r="E88" i="22" l="1"/>
  <c r="D88" i="24"/>
  <c r="Y87" i="22"/>
  <c r="F87" i="22"/>
  <c r="R87" i="22"/>
  <c r="H86" i="22"/>
  <c r="Q87" i="22"/>
  <c r="O88" i="22"/>
  <c r="Q88" i="22"/>
  <c r="U88" i="22"/>
  <c r="V88" i="22" s="1"/>
  <c r="E89" i="22" l="1"/>
  <c r="D89" i="24"/>
  <c r="R88" i="22"/>
  <c r="H87" i="22"/>
  <c r="Y88" i="22"/>
  <c r="F88" i="22"/>
  <c r="O89" i="22"/>
  <c r="U89" i="22"/>
  <c r="V89" i="22" s="1"/>
  <c r="D90" i="24"/>
  <c r="E90" i="22" l="1"/>
  <c r="F89" i="22"/>
  <c r="H89" i="22" s="1"/>
  <c r="Q89" i="22"/>
  <c r="Y89" i="22"/>
  <c r="H88" i="22"/>
  <c r="R89" i="22"/>
  <c r="O90" i="22"/>
  <c r="U90" i="22"/>
  <c r="V90" i="22" s="1"/>
  <c r="E91" i="22" l="1"/>
  <c r="D91" i="24"/>
  <c r="F90" i="22"/>
  <c r="H90" i="22" s="1"/>
  <c r="Q90" i="22"/>
  <c r="Y90" i="22"/>
  <c r="R90" i="22"/>
  <c r="O91" i="22"/>
  <c r="U91" i="22"/>
  <c r="V91" i="22" s="1"/>
  <c r="E92" i="22" l="1"/>
  <c r="D92" i="24"/>
  <c r="F91" i="22"/>
  <c r="H91" i="22" s="1"/>
  <c r="Y91" i="22"/>
  <c r="Q91" i="22"/>
  <c r="R91" i="22"/>
  <c r="O92" i="22"/>
  <c r="U92" i="22"/>
  <c r="V92" i="22" s="1"/>
  <c r="E93" i="22" l="1"/>
  <c r="D93" i="24"/>
  <c r="Y92" i="22"/>
  <c r="F92" i="22"/>
  <c r="H92" i="22" s="1"/>
  <c r="Q92" i="22"/>
  <c r="R92" i="22"/>
  <c r="O93" i="22"/>
  <c r="R93" i="22"/>
  <c r="U93" i="22"/>
  <c r="V93" i="22" s="1"/>
  <c r="E94" i="22" l="1"/>
  <c r="D94" i="24"/>
  <c r="Y93" i="22"/>
  <c r="F93" i="22"/>
  <c r="Q93" i="22"/>
  <c r="O94" i="22"/>
  <c r="U94" i="22"/>
  <c r="V94" i="22" s="1"/>
  <c r="E95" i="22" l="1"/>
  <c r="D95" i="24"/>
  <c r="F94" i="22"/>
  <c r="H94" i="22" s="1"/>
  <c r="H93" i="22"/>
  <c r="Y94" i="22"/>
  <c r="R94" i="22"/>
  <c r="Q94" i="22"/>
  <c r="O95" i="22"/>
  <c r="Q95" i="22"/>
  <c r="U95" i="22"/>
  <c r="V95" i="22" s="1"/>
  <c r="E96" i="22" l="1"/>
  <c r="D96" i="24"/>
  <c r="Y95" i="22"/>
  <c r="R95" i="22"/>
  <c r="F95" i="22"/>
  <c r="O96" i="22"/>
  <c r="R96" i="22"/>
  <c r="U96" i="22"/>
  <c r="V96" i="22" s="1"/>
  <c r="E97" i="22" l="1"/>
  <c r="D97" i="24"/>
  <c r="Q96" i="22"/>
  <c r="Y96" i="22"/>
  <c r="F96" i="22"/>
  <c r="H95" i="22"/>
  <c r="O97" i="22"/>
  <c r="U97" i="22"/>
  <c r="V97" i="22" s="1"/>
  <c r="E98" i="22" l="1"/>
  <c r="D98" i="24"/>
  <c r="F97" i="22"/>
  <c r="H97" i="22" s="1"/>
  <c r="Y97" i="22"/>
  <c r="H96" i="22"/>
  <c r="R97" i="22"/>
  <c r="Q97" i="22"/>
  <c r="O98" i="22"/>
  <c r="U98" i="22"/>
  <c r="V98" i="22" s="1"/>
  <c r="D99" i="24"/>
  <c r="E99" i="22" l="1"/>
  <c r="F98" i="22"/>
  <c r="R98" i="22"/>
  <c r="Q98" i="22"/>
  <c r="Y98" i="22"/>
  <c r="O99" i="22"/>
  <c r="U99" i="22"/>
  <c r="V99" i="22" s="1"/>
  <c r="Y99" i="22" l="1"/>
  <c r="E100" i="22"/>
  <c r="D100" i="24"/>
  <c r="F99" i="22"/>
  <c r="H99" i="22" s="1"/>
  <c r="R99" i="22"/>
  <c r="Q99" i="22"/>
  <c r="H98" i="22"/>
  <c r="O100" i="22"/>
  <c r="U100" i="22"/>
  <c r="V100" i="22" s="1"/>
  <c r="E101" i="22" l="1"/>
  <c r="D101" i="24"/>
  <c r="F100" i="22"/>
  <c r="R100" i="22"/>
  <c r="Q100" i="22"/>
  <c r="Y100" i="22"/>
  <c r="O101" i="22"/>
  <c r="U101" i="22"/>
  <c r="V101" i="22" s="1"/>
  <c r="E102" i="22" l="1"/>
  <c r="D102" i="24"/>
  <c r="F101" i="22"/>
  <c r="H101" i="22" s="1"/>
  <c r="R101" i="22"/>
  <c r="Q101" i="22"/>
  <c r="Y101" i="22"/>
  <c r="H100" i="22"/>
  <c r="O102" i="22"/>
  <c r="R102" i="22"/>
  <c r="U102" i="22"/>
  <c r="V102" i="22" s="1"/>
  <c r="E103" i="22" l="1"/>
  <c r="D103" i="24"/>
  <c r="Y102" i="22"/>
  <c r="F102" i="22"/>
  <c r="Q102" i="22"/>
  <c r="O103" i="22"/>
  <c r="U103" i="22"/>
  <c r="V103" i="22" s="1"/>
  <c r="E104" i="22" l="1"/>
  <c r="D104" i="24"/>
  <c r="F103" i="22"/>
  <c r="H103" i="22" s="1"/>
  <c r="R103" i="22"/>
  <c r="Q103" i="22"/>
  <c r="H102" i="22"/>
  <c r="Y103" i="22"/>
  <c r="O104" i="22"/>
  <c r="R104" i="22"/>
  <c r="U104" i="22"/>
  <c r="V104" i="22" s="1"/>
  <c r="E105" i="22" l="1"/>
  <c r="D105" i="24"/>
  <c r="Q104" i="22"/>
  <c r="F104" i="22"/>
  <c r="Y104" i="22"/>
  <c r="O105" i="22"/>
  <c r="U105" i="22"/>
  <c r="V105" i="22" s="1"/>
  <c r="E106" i="22" l="1"/>
  <c r="D106" i="24"/>
  <c r="F105" i="22"/>
  <c r="H105" i="22" s="1"/>
  <c r="Q105" i="22"/>
  <c r="R105" i="22"/>
  <c r="Y105" i="22"/>
  <c r="H104" i="22"/>
  <c r="O106" i="22"/>
  <c r="U106" i="22"/>
  <c r="V106" i="22" s="1"/>
  <c r="E107" i="22" l="1"/>
  <c r="D107" i="24"/>
  <c r="F106" i="22"/>
  <c r="H106" i="22" s="1"/>
  <c r="R106" i="22"/>
  <c r="Q106" i="22"/>
  <c r="Y106" i="22"/>
  <c r="O107" i="22"/>
  <c r="U107" i="22"/>
  <c r="V107" i="22" s="1"/>
  <c r="E108" i="22" l="1"/>
  <c r="D108" i="24"/>
  <c r="F107" i="22"/>
  <c r="H107" i="22" s="1"/>
  <c r="Y107" i="22"/>
  <c r="R107" i="22"/>
  <c r="Q107" i="22"/>
  <c r="O108" i="22"/>
  <c r="U108" i="22"/>
  <c r="E109" i="22" l="1"/>
  <c r="D109" i="24"/>
  <c r="F108" i="22"/>
  <c r="H108" i="22" s="1"/>
  <c r="Y108" i="22"/>
  <c r="V108" i="22"/>
  <c r="R108" i="22"/>
  <c r="Q108" i="22"/>
  <c r="O109" i="22"/>
  <c r="U109" i="22"/>
  <c r="V109" i="22" s="1"/>
  <c r="E110" i="22" l="1"/>
  <c r="D110" i="24"/>
  <c r="F109" i="22"/>
  <c r="Y109" i="22"/>
  <c r="R109" i="22"/>
  <c r="Q109" i="22"/>
  <c r="O110" i="22"/>
  <c r="U110" i="22"/>
  <c r="V110" i="22" s="1"/>
  <c r="D111" i="24"/>
  <c r="E111" i="22" l="1"/>
  <c r="F110" i="22"/>
  <c r="H110" i="22" s="1"/>
  <c r="H109" i="22"/>
  <c r="Y110" i="22"/>
  <c r="R110" i="22"/>
  <c r="Q110" i="22"/>
  <c r="O111" i="22"/>
  <c r="Q111" i="22"/>
  <c r="U111" i="22"/>
  <c r="V111" i="22" s="1"/>
  <c r="E112" i="22" l="1"/>
  <c r="D112" i="24"/>
  <c r="R111" i="22"/>
  <c r="Y111" i="22"/>
  <c r="F111" i="22"/>
  <c r="O112" i="22"/>
  <c r="U112" i="22"/>
  <c r="V112" i="22" s="1"/>
  <c r="E113" i="22" l="1"/>
  <c r="D113" i="24"/>
  <c r="AG113" i="24"/>
  <c r="F112" i="22"/>
  <c r="H112" i="22" s="1"/>
  <c r="R112" i="22"/>
  <c r="Q112" i="22"/>
  <c r="Y112" i="22"/>
  <c r="H111" i="22"/>
  <c r="O113" i="22"/>
  <c r="Q113" i="22"/>
  <c r="U113" i="22"/>
  <c r="V113" i="22" s="1"/>
  <c r="E114" i="22" l="1"/>
  <c r="D114" i="24"/>
  <c r="AG114" i="24"/>
  <c r="AH114" i="24" s="1"/>
  <c r="R113" i="22"/>
  <c r="F113" i="22"/>
  <c r="Y113" i="22"/>
  <c r="O114" i="22"/>
  <c r="R114" i="22"/>
  <c r="U114" i="22"/>
  <c r="V114" i="22" s="1"/>
  <c r="E115" i="22" l="1"/>
  <c r="D115" i="24"/>
  <c r="AG115" i="24"/>
  <c r="AH115" i="24" s="1"/>
  <c r="AI115" i="24" s="1"/>
  <c r="F114" i="22"/>
  <c r="H114" i="22" s="1"/>
  <c r="Q114" i="22"/>
  <c r="Y114" i="22"/>
  <c r="H113" i="22"/>
  <c r="O115" i="22"/>
  <c r="Q115" i="22"/>
  <c r="U115" i="22"/>
  <c r="V115" i="22" s="1"/>
  <c r="E116" i="22" l="1"/>
  <c r="D116" i="24"/>
  <c r="AG116" i="24"/>
  <c r="AH116" i="24" s="1"/>
  <c r="AI116" i="24" s="1"/>
  <c r="R115" i="22"/>
  <c r="Y115" i="22"/>
  <c r="F115" i="22"/>
  <c r="O116" i="22"/>
  <c r="R116" i="22"/>
  <c r="U116" i="22"/>
  <c r="V116" i="22" s="1"/>
  <c r="E117" i="22" l="1"/>
  <c r="D117" i="24"/>
  <c r="AG117" i="24"/>
  <c r="F116" i="22"/>
  <c r="H116" i="22" s="1"/>
  <c r="Q116" i="22"/>
  <c r="H115" i="22"/>
  <c r="Y116" i="22"/>
  <c r="O117" i="22"/>
  <c r="Q117" i="22"/>
  <c r="U117" i="22"/>
  <c r="V117" i="22" s="1"/>
  <c r="AH117" i="24" l="1"/>
  <c r="AI117" i="24" s="1"/>
  <c r="E118" i="22"/>
  <c r="D118" i="24"/>
  <c r="AG118" i="24"/>
  <c r="R117" i="22"/>
  <c r="Y117" i="22"/>
  <c r="F117" i="22"/>
  <c r="O118" i="22"/>
  <c r="U118" i="22"/>
  <c r="V118" i="22" s="1"/>
  <c r="AH118" i="24" l="1"/>
  <c r="E119" i="22"/>
  <c r="D119" i="24"/>
  <c r="E119" i="24" s="1"/>
  <c r="E118" i="24"/>
  <c r="AG119" i="24"/>
  <c r="AH119" i="24" s="1"/>
  <c r="F118" i="22"/>
  <c r="H118" i="22" s="1"/>
  <c r="Q118" i="22"/>
  <c r="Y118" i="22"/>
  <c r="R118" i="22"/>
  <c r="H117" i="22"/>
  <c r="O119" i="22"/>
  <c r="U119" i="22"/>
  <c r="AI119" i="24" l="1"/>
  <c r="V119" i="22"/>
  <c r="BB119" i="24"/>
  <c r="E120" i="22"/>
  <c r="D120" i="24"/>
  <c r="E121" i="24" s="1"/>
  <c r="F122" i="24" s="1"/>
  <c r="F119" i="24"/>
  <c r="AG120" i="24"/>
  <c r="AH121" i="24" s="1"/>
  <c r="AI122" i="24" s="1"/>
  <c r="AI118" i="24"/>
  <c r="Y119" i="22"/>
  <c r="F119" i="22"/>
  <c r="R119" i="22"/>
  <c r="Q119" i="22"/>
  <c r="O120" i="22"/>
  <c r="U120" i="22"/>
  <c r="E121" i="22"/>
  <c r="AH120" i="24" l="1"/>
  <c r="AI121" i="24" s="1"/>
  <c r="V120" i="22"/>
  <c r="BB120" i="24"/>
  <c r="E120" i="24"/>
  <c r="Y120" i="22"/>
  <c r="F120" i="22"/>
  <c r="H120" i="22" s="1"/>
  <c r="R120" i="22"/>
  <c r="Q120" i="22"/>
  <c r="H119" i="22"/>
  <c r="O121" i="22"/>
  <c r="Q121" i="22"/>
  <c r="U121" i="22"/>
  <c r="BB121" i="24" s="1"/>
  <c r="E122" i="22"/>
  <c r="AI120" i="24" l="1"/>
  <c r="F121" i="24"/>
  <c r="F120" i="24"/>
  <c r="V121" i="22"/>
  <c r="Y121" i="22"/>
  <c r="R121" i="22"/>
  <c r="F121" i="22"/>
  <c r="O122" i="22"/>
  <c r="U122" i="22"/>
  <c r="BB122" i="24" l="1"/>
  <c r="BC123" i="24" s="1"/>
  <c r="BD124" i="24" s="1"/>
  <c r="AD34" i="22"/>
  <c r="V122" i="22"/>
  <c r="E123" i="22"/>
  <c r="AD44" i="22"/>
  <c r="AD48" i="22"/>
  <c r="F122" i="22"/>
  <c r="Y122" i="22"/>
  <c r="R122" i="22"/>
  <c r="Q122" i="22"/>
  <c r="H121" i="22"/>
  <c r="O123" i="22"/>
  <c r="Q123" i="22"/>
  <c r="E124" i="22"/>
  <c r="O124" i="22"/>
  <c r="E125" i="22"/>
  <c r="O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O137" i="22"/>
  <c r="V137" i="22"/>
  <c r="O138" i="22"/>
  <c r="O139" i="22"/>
  <c r="E140" i="22"/>
  <c r="O140" i="22"/>
  <c r="E141" i="22"/>
  <c r="O141" i="22"/>
  <c r="E142" i="22"/>
  <c r="O142" i="22"/>
  <c r="E143" i="22"/>
  <c r="O143" i="22"/>
  <c r="E144" i="22"/>
  <c r="O144" i="22"/>
  <c r="E145" i="22"/>
  <c r="O145" i="22"/>
  <c r="E146" i="22"/>
  <c r="O146" i="22"/>
  <c r="E147" i="22"/>
  <c r="O147" i="22"/>
  <c r="E148" i="22"/>
  <c r="O148" i="22"/>
  <c r="E149" i="22"/>
  <c r="O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BC122" i="24" l="1"/>
  <c r="BD123" i="24" s="1"/>
  <c r="AD37" i="22"/>
  <c r="AD33" i="22"/>
  <c r="Q125" i="22"/>
  <c r="Y123" i="22"/>
  <c r="H122" i="22"/>
  <c r="Q124" i="22"/>
  <c r="R124" i="22"/>
  <c r="R123" i="22"/>
  <c r="F123" i="22"/>
  <c r="R5" i="22"/>
  <c r="Y5" i="22"/>
  <c r="F121" i="23"/>
  <c r="E62" i="23"/>
  <c r="Y124" i="22" l="1"/>
  <c r="Y125" i="22"/>
  <c r="R125" i="22"/>
  <c r="F125" i="22"/>
  <c r="H125" i="22" s="1"/>
  <c r="F124" i="22"/>
  <c r="F126" i="22"/>
  <c r="Q126" i="22"/>
  <c r="R126" i="22"/>
  <c r="H123" i="22"/>
  <c r="BF62" i="24"/>
  <c r="BG62" i="24" s="1"/>
  <c r="AK62" i="24"/>
  <c r="AL62" i="24" s="1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E111" i="24"/>
  <c r="CL48" i="24"/>
  <c r="CL47" i="24"/>
  <c r="CL33" i="24"/>
  <c r="CL32" i="24"/>
  <c r="E79" i="24"/>
  <c r="CL23" i="24"/>
  <c r="CL22" i="24"/>
  <c r="E73" i="24"/>
  <c r="G65" i="24"/>
  <c r="G64" i="24"/>
  <c r="BE62" i="24"/>
  <c r="AJ62" i="24"/>
  <c r="G62" i="24"/>
  <c r="B6" i="24"/>
  <c r="BF48" i="23"/>
  <c r="BF33" i="23"/>
  <c r="BF23" i="23"/>
  <c r="AR33" i="22"/>
  <c r="AR23" i="22"/>
  <c r="Y6" i="22"/>
  <c r="AM5" i="23"/>
  <c r="R6" i="22"/>
  <c r="AX5" i="24"/>
  <c r="H5" i="22"/>
  <c r="J5" i="23" s="1"/>
  <c r="BS6" i="24"/>
  <c r="AA6" i="23"/>
  <c r="G79" i="24" l="1"/>
  <c r="G111" i="24"/>
  <c r="G73" i="24"/>
  <c r="BJ62" i="24"/>
  <c r="AO62" i="24"/>
  <c r="H124" i="22"/>
  <c r="Y126" i="22"/>
  <c r="H126" i="22"/>
  <c r="U124" i="23"/>
  <c r="BF63" i="24"/>
  <c r="BG63" i="24" s="1"/>
  <c r="CL30" i="24"/>
  <c r="AJ63" i="23"/>
  <c r="AM6" i="23"/>
  <c r="AX6" i="24"/>
  <c r="AK63" i="24"/>
  <c r="AL63" i="24" s="1"/>
  <c r="CL20" i="24"/>
  <c r="CL19" i="24"/>
  <c r="E90" i="24"/>
  <c r="E106" i="24"/>
  <c r="E97" i="24"/>
  <c r="G119" i="24"/>
  <c r="G68" i="24"/>
  <c r="E115" i="24"/>
  <c r="E104" i="24"/>
  <c r="AA5" i="23"/>
  <c r="CL45" i="24"/>
  <c r="M5" i="24"/>
  <c r="J6" i="23"/>
  <c r="BS5" i="24"/>
  <c r="M6" i="24"/>
  <c r="E109" i="24"/>
  <c r="E95" i="24"/>
  <c r="G120" i="24"/>
  <c r="E85" i="24"/>
  <c r="CL29" i="24"/>
  <c r="E99" i="24"/>
  <c r="E87" i="24"/>
  <c r="E89" i="24"/>
  <c r="G122" i="24"/>
  <c r="E93" i="24"/>
  <c r="E98" i="24"/>
  <c r="E100" i="24"/>
  <c r="E113" i="24"/>
  <c r="E72" i="24"/>
  <c r="E96" i="24"/>
  <c r="C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Q19" i="24" l="1"/>
  <c r="O19" i="24" s="1"/>
  <c r="Q31" i="24"/>
  <c r="O31" i="24" s="1"/>
  <c r="Q43" i="24"/>
  <c r="O43" i="24" s="1"/>
  <c r="Q55" i="24"/>
  <c r="O55" i="24" s="1"/>
  <c r="Q67" i="24"/>
  <c r="O67" i="24" s="1"/>
  <c r="Q79" i="24"/>
  <c r="O79" i="24" s="1"/>
  <c r="Q91" i="24"/>
  <c r="O91" i="24" s="1"/>
  <c r="Q103" i="24"/>
  <c r="O103" i="24" s="1"/>
  <c r="Q115" i="24"/>
  <c r="O115" i="24" s="1"/>
  <c r="Q127" i="24"/>
  <c r="O127" i="24" s="1"/>
  <c r="Q139" i="24"/>
  <c r="O139" i="24" s="1"/>
  <c r="Q151" i="24"/>
  <c r="O151" i="24" s="1"/>
  <c r="Q163" i="24"/>
  <c r="O163" i="24" s="1"/>
  <c r="Q175" i="24"/>
  <c r="O175" i="24" s="1"/>
  <c r="Q104" i="24"/>
  <c r="O104" i="24" s="1"/>
  <c r="Q140" i="24"/>
  <c r="O140" i="24" s="1"/>
  <c r="Q164" i="24"/>
  <c r="O164" i="24" s="1"/>
  <c r="Q176" i="24"/>
  <c r="O176" i="24" s="1"/>
  <c r="Q129" i="24"/>
  <c r="O129" i="24" s="1"/>
  <c r="Q165" i="24"/>
  <c r="O165" i="24" s="1"/>
  <c r="Q23" i="24"/>
  <c r="O23" i="24" s="1"/>
  <c r="Q95" i="24"/>
  <c r="O95" i="24" s="1"/>
  <c r="Q143" i="24"/>
  <c r="O143" i="24" s="1"/>
  <c r="Q77" i="24"/>
  <c r="O77" i="24" s="1"/>
  <c r="Q173" i="24"/>
  <c r="O173" i="24" s="1"/>
  <c r="Q54" i="24"/>
  <c r="O54" i="24" s="1"/>
  <c r="Q162" i="24"/>
  <c r="O162" i="24" s="1"/>
  <c r="Q20" i="24"/>
  <c r="O20" i="24" s="1"/>
  <c r="Q32" i="24"/>
  <c r="O32" i="24" s="1"/>
  <c r="Q44" i="24"/>
  <c r="O44" i="24" s="1"/>
  <c r="Q56" i="24"/>
  <c r="O56" i="24" s="1"/>
  <c r="Q68" i="24"/>
  <c r="O68" i="24" s="1"/>
  <c r="Q80" i="24"/>
  <c r="O80" i="24" s="1"/>
  <c r="Q92" i="24"/>
  <c r="O92" i="24" s="1"/>
  <c r="Q116" i="24"/>
  <c r="O116" i="24" s="1"/>
  <c r="Q128" i="24"/>
  <c r="O128" i="24" s="1"/>
  <c r="Q152" i="24"/>
  <c r="O152" i="24" s="1"/>
  <c r="Q153" i="24"/>
  <c r="Q177" i="24"/>
  <c r="O177" i="24" s="1"/>
  <c r="Q35" i="24"/>
  <c r="O35" i="24" s="1"/>
  <c r="Q107" i="24"/>
  <c r="O107" i="24" s="1"/>
  <c r="Q131" i="24"/>
  <c r="O131" i="24" s="1"/>
  <c r="Q29" i="24"/>
  <c r="O29" i="24" s="1"/>
  <c r="Q161" i="24"/>
  <c r="O161" i="24" s="1"/>
  <c r="Q102" i="24"/>
  <c r="O102" i="24" s="1"/>
  <c r="Q9" i="24"/>
  <c r="O9" i="24" s="1"/>
  <c r="Q21" i="24"/>
  <c r="O21" i="24" s="1"/>
  <c r="Q33" i="24"/>
  <c r="O33" i="24" s="1"/>
  <c r="Q45" i="24"/>
  <c r="O45" i="24" s="1"/>
  <c r="Q57" i="24"/>
  <c r="O57" i="24" s="1"/>
  <c r="Q69" i="24"/>
  <c r="Q81" i="24"/>
  <c r="O81" i="24" s="1"/>
  <c r="Q93" i="24"/>
  <c r="O93" i="24" s="1"/>
  <c r="Q105" i="24"/>
  <c r="O105" i="24" s="1"/>
  <c r="Q117" i="24"/>
  <c r="O117" i="24" s="1"/>
  <c r="Q141" i="24"/>
  <c r="O141" i="24" s="1"/>
  <c r="Q59" i="24"/>
  <c r="O59" i="24" s="1"/>
  <c r="Q155" i="24"/>
  <c r="O155" i="24" s="1"/>
  <c r="Q89" i="24"/>
  <c r="O89" i="24" s="1"/>
  <c r="Q137" i="24"/>
  <c r="O137" i="24" s="1"/>
  <c r="Q30" i="24"/>
  <c r="O30" i="24" s="1"/>
  <c r="Q150" i="24"/>
  <c r="O150" i="24" s="1"/>
  <c r="Q10" i="24"/>
  <c r="O10" i="24" s="1"/>
  <c r="Q22" i="24"/>
  <c r="O22" i="24" s="1"/>
  <c r="Q34" i="24"/>
  <c r="O34" i="24" s="1"/>
  <c r="Q46" i="24"/>
  <c r="O46" i="24" s="1"/>
  <c r="Q58" i="24"/>
  <c r="O58" i="24" s="1"/>
  <c r="Q70" i="24"/>
  <c r="O70" i="24" s="1"/>
  <c r="Q82" i="24"/>
  <c r="Q94" i="24"/>
  <c r="O94" i="24" s="1"/>
  <c r="Q106" i="24"/>
  <c r="O106" i="24" s="1"/>
  <c r="Q118" i="24"/>
  <c r="O118" i="24" s="1"/>
  <c r="Q130" i="24"/>
  <c r="O130" i="24" s="1"/>
  <c r="Q142" i="24"/>
  <c r="O142" i="24" s="1"/>
  <c r="Q154" i="24"/>
  <c r="O154" i="24" s="1"/>
  <c r="Q166" i="24"/>
  <c r="O166" i="24" s="1"/>
  <c r="Q178" i="24"/>
  <c r="O178" i="24" s="1"/>
  <c r="Q47" i="24"/>
  <c r="O47" i="24" s="1"/>
  <c r="Q83" i="24"/>
  <c r="O83" i="24" s="1"/>
  <c r="Q119" i="24"/>
  <c r="O119" i="24" s="1"/>
  <c r="Q179" i="24"/>
  <c r="O179" i="24" s="1"/>
  <c r="Q17" i="24"/>
  <c r="O17" i="24" s="1"/>
  <c r="Q8" i="24"/>
  <c r="O8" i="24" s="1"/>
  <c r="Q126" i="24"/>
  <c r="O126" i="24" s="1"/>
  <c r="Q11" i="24"/>
  <c r="O11" i="24" s="1"/>
  <c r="Q71" i="24"/>
  <c r="O71" i="24" s="1"/>
  <c r="Q167" i="24"/>
  <c r="O167" i="24" s="1"/>
  <c r="Q101" i="24"/>
  <c r="O101" i="24" s="1"/>
  <c r="Q149" i="24"/>
  <c r="O149" i="24" s="1"/>
  <c r="Q78" i="24"/>
  <c r="O78" i="24" s="1"/>
  <c r="Q12" i="24"/>
  <c r="O12" i="24" s="1"/>
  <c r="Q24" i="24"/>
  <c r="O24" i="24" s="1"/>
  <c r="Q36" i="24"/>
  <c r="O36" i="24" s="1"/>
  <c r="Q48" i="24"/>
  <c r="O48" i="24" s="1"/>
  <c r="Q60" i="24"/>
  <c r="O60" i="24" s="1"/>
  <c r="Q72" i="24"/>
  <c r="O72" i="24" s="1"/>
  <c r="Q84" i="24"/>
  <c r="O84" i="24" s="1"/>
  <c r="Q96" i="24"/>
  <c r="O96" i="24" s="1"/>
  <c r="Q108" i="24"/>
  <c r="O108" i="24" s="1"/>
  <c r="Q120" i="24"/>
  <c r="O120" i="24" s="1"/>
  <c r="Q132" i="24"/>
  <c r="O132" i="24" s="1"/>
  <c r="Q144" i="24"/>
  <c r="O144" i="24" s="1"/>
  <c r="Q156" i="24"/>
  <c r="O156" i="24" s="1"/>
  <c r="Q168" i="24"/>
  <c r="O168" i="24" s="1"/>
  <c r="Q180" i="24"/>
  <c r="O180" i="24" s="1"/>
  <c r="Q13" i="24"/>
  <c r="O13" i="24" s="1"/>
  <c r="Q25" i="24"/>
  <c r="O25" i="24" s="1"/>
  <c r="Q37" i="24"/>
  <c r="O37" i="24" s="1"/>
  <c r="Q49" i="24"/>
  <c r="O49" i="24" s="1"/>
  <c r="Q61" i="24"/>
  <c r="O61" i="24" s="1"/>
  <c r="Q73" i="24"/>
  <c r="O73" i="24" s="1"/>
  <c r="Q85" i="24"/>
  <c r="O85" i="24" s="1"/>
  <c r="Q97" i="24"/>
  <c r="O97" i="24" s="1"/>
  <c r="Q109" i="24"/>
  <c r="O109" i="24" s="1"/>
  <c r="Q121" i="24"/>
  <c r="O121" i="24" s="1"/>
  <c r="Q133" i="24"/>
  <c r="O133" i="24" s="1"/>
  <c r="Q145" i="24"/>
  <c r="O145" i="24" s="1"/>
  <c r="Q157" i="24"/>
  <c r="O157" i="24" s="1"/>
  <c r="Q169" i="24"/>
  <c r="O169" i="24" s="1"/>
  <c r="Q181" i="24"/>
  <c r="O181" i="24" s="1"/>
  <c r="Q123" i="24"/>
  <c r="O123" i="24" s="1"/>
  <c r="Q135" i="24"/>
  <c r="O135" i="24" s="1"/>
  <c r="Q171" i="24"/>
  <c r="O171" i="24" s="1"/>
  <c r="Q14" i="24"/>
  <c r="O14" i="24" s="1"/>
  <c r="Q26" i="24"/>
  <c r="O26" i="24" s="1"/>
  <c r="Q38" i="24"/>
  <c r="O38" i="24" s="1"/>
  <c r="Q50" i="24"/>
  <c r="O50" i="24" s="1"/>
  <c r="Q62" i="24"/>
  <c r="O62" i="24" s="1"/>
  <c r="Q74" i="24"/>
  <c r="O74" i="24" s="1"/>
  <c r="Q86" i="24"/>
  <c r="O86" i="24" s="1"/>
  <c r="Q98" i="24"/>
  <c r="O98" i="24" s="1"/>
  <c r="Q110" i="24"/>
  <c r="O110" i="24" s="1"/>
  <c r="Q122" i="24"/>
  <c r="O122" i="24" s="1"/>
  <c r="Q134" i="24"/>
  <c r="O134" i="24" s="1"/>
  <c r="Q146" i="24"/>
  <c r="O146" i="24" s="1"/>
  <c r="Q158" i="24"/>
  <c r="O158" i="24" s="1"/>
  <c r="Q170" i="24"/>
  <c r="O170" i="24" s="1"/>
  <c r="Q182" i="24"/>
  <c r="O182" i="24" s="1"/>
  <c r="Q111" i="24"/>
  <c r="O111" i="24" s="1"/>
  <c r="Q147" i="24"/>
  <c r="O147" i="24" s="1"/>
  <c r="Q183" i="24"/>
  <c r="O183" i="24" s="1"/>
  <c r="Q65" i="24"/>
  <c r="O65" i="24" s="1"/>
  <c r="Q125" i="24"/>
  <c r="O125" i="24" s="1"/>
  <c r="Q18" i="24"/>
  <c r="O18" i="24" s="1"/>
  <c r="Q66" i="24"/>
  <c r="O66" i="24" s="1"/>
  <c r="Q138" i="24"/>
  <c r="O138" i="24" s="1"/>
  <c r="Q15" i="24"/>
  <c r="O15" i="24" s="1"/>
  <c r="Q27" i="24"/>
  <c r="O27" i="24" s="1"/>
  <c r="Q39" i="24"/>
  <c r="O39" i="24" s="1"/>
  <c r="Q51" i="24"/>
  <c r="O51" i="24" s="1"/>
  <c r="Q63" i="24"/>
  <c r="O63" i="24" s="1"/>
  <c r="Q75" i="24"/>
  <c r="O75" i="24" s="1"/>
  <c r="Q87" i="24"/>
  <c r="O87" i="24" s="1"/>
  <c r="Q99" i="24"/>
  <c r="O99" i="24" s="1"/>
  <c r="Q159" i="24"/>
  <c r="O159" i="24" s="1"/>
  <c r="Q41" i="24"/>
  <c r="O41" i="24" s="1"/>
  <c r="Q114" i="24"/>
  <c r="O114" i="24" s="1"/>
  <c r="Q16" i="24"/>
  <c r="O16" i="24" s="1"/>
  <c r="Q28" i="24"/>
  <c r="O28" i="24" s="1"/>
  <c r="Q40" i="24"/>
  <c r="O40" i="24" s="1"/>
  <c r="Q52" i="24"/>
  <c r="O52" i="24" s="1"/>
  <c r="Q64" i="24"/>
  <c r="O64" i="24" s="1"/>
  <c r="Q76" i="24"/>
  <c r="O76" i="24" s="1"/>
  <c r="Q88" i="24"/>
  <c r="O88" i="24" s="1"/>
  <c r="Q100" i="24"/>
  <c r="O100" i="24" s="1"/>
  <c r="Q112" i="24"/>
  <c r="O112" i="24" s="1"/>
  <c r="Q124" i="24"/>
  <c r="O124" i="24" s="1"/>
  <c r="Q136" i="24"/>
  <c r="O136" i="24" s="1"/>
  <c r="Q148" i="24"/>
  <c r="O148" i="24" s="1"/>
  <c r="Q160" i="24"/>
  <c r="O160" i="24" s="1"/>
  <c r="Q172" i="24"/>
  <c r="O172" i="24" s="1"/>
  <c r="Q184" i="24"/>
  <c r="O184" i="24" s="1"/>
  <c r="Q53" i="24"/>
  <c r="O53" i="24" s="1"/>
  <c r="Q113" i="24"/>
  <c r="O113" i="24" s="1"/>
  <c r="Q42" i="24"/>
  <c r="O42" i="24" s="1"/>
  <c r="Q90" i="24"/>
  <c r="O90" i="24" s="1"/>
  <c r="Q174" i="24"/>
  <c r="O174" i="24" s="1"/>
  <c r="O82" i="24"/>
  <c r="O153" i="24"/>
  <c r="O69" i="24"/>
  <c r="L126" i="23"/>
  <c r="M126" i="23" s="1"/>
  <c r="L129" i="23"/>
  <c r="M129" i="23" s="1"/>
  <c r="L130" i="23"/>
  <c r="M130" i="23" s="1"/>
  <c r="L211" i="23"/>
  <c r="M211" i="23" s="1"/>
  <c r="L134" i="23"/>
  <c r="M134" i="23" s="1"/>
  <c r="AD26" i="24"/>
  <c r="AD174" i="24"/>
  <c r="L131" i="23"/>
  <c r="M131" i="23" s="1"/>
  <c r="L150" i="23"/>
  <c r="M150" i="23" s="1"/>
  <c r="L167" i="23"/>
  <c r="M167" i="23" s="1"/>
  <c r="L184" i="23"/>
  <c r="M184" i="23" s="1"/>
  <c r="AD34" i="24"/>
  <c r="AD178" i="24"/>
  <c r="L222" i="23"/>
  <c r="M222" i="23" s="1"/>
  <c r="L230" i="23"/>
  <c r="M230" i="23" s="1"/>
  <c r="L132" i="23"/>
  <c r="M132" i="23" s="1"/>
  <c r="L152" i="23"/>
  <c r="M152" i="23" s="1"/>
  <c r="L168" i="23"/>
  <c r="M168" i="23" s="1"/>
  <c r="L160" i="23"/>
  <c r="M160" i="23" s="1"/>
  <c r="L182" i="23"/>
  <c r="M182" i="23" s="1"/>
  <c r="AD163" i="24"/>
  <c r="L166" i="23"/>
  <c r="M166" i="23" s="1"/>
  <c r="AD39" i="24"/>
  <c r="AD179" i="24"/>
  <c r="L245" i="23"/>
  <c r="M245" i="23" s="1"/>
  <c r="L136" i="23"/>
  <c r="M136" i="23" s="1"/>
  <c r="L153" i="23"/>
  <c r="M153" i="23" s="1"/>
  <c r="L170" i="23"/>
  <c r="M170" i="23" s="1"/>
  <c r="AD66" i="24"/>
  <c r="L207" i="23"/>
  <c r="M207" i="23" s="1"/>
  <c r="L137" i="23"/>
  <c r="M137" i="23" s="1"/>
  <c r="L154" i="23"/>
  <c r="M154" i="23" s="1"/>
  <c r="L172" i="23"/>
  <c r="M172" i="23" s="1"/>
  <c r="L124" i="23"/>
  <c r="M124" i="23" s="1"/>
  <c r="L254" i="23"/>
  <c r="M254" i="23" s="1"/>
  <c r="L183" i="23"/>
  <c r="M183" i="23" s="1"/>
  <c r="AD81" i="24"/>
  <c r="L138" i="23"/>
  <c r="M138" i="23" s="1"/>
  <c r="L155" i="23"/>
  <c r="M155" i="23" s="1"/>
  <c r="L173" i="23"/>
  <c r="M173" i="23" s="1"/>
  <c r="L261" i="23"/>
  <c r="M261" i="23" s="1"/>
  <c r="L201" i="23"/>
  <c r="M201" i="23" s="1"/>
  <c r="L258" i="23"/>
  <c r="M258" i="23" s="1"/>
  <c r="AD82" i="24"/>
  <c r="L238" i="23"/>
  <c r="M238" i="23" s="1"/>
  <c r="L140" i="23"/>
  <c r="M140" i="23" s="1"/>
  <c r="L158" i="23"/>
  <c r="M158" i="23" s="1"/>
  <c r="L174" i="23"/>
  <c r="M174" i="23" s="1"/>
  <c r="L143" i="23"/>
  <c r="M143" i="23" s="1"/>
  <c r="AD83" i="24"/>
  <c r="L249" i="23"/>
  <c r="M249" i="23" s="1"/>
  <c r="L189" i="23"/>
  <c r="M189" i="23" s="1"/>
  <c r="L141" i="23"/>
  <c r="M141" i="23" s="1"/>
  <c r="L159" i="23"/>
  <c r="M159" i="23" s="1"/>
  <c r="L176" i="23"/>
  <c r="M176" i="23" s="1"/>
  <c r="AD122" i="24"/>
  <c r="L177" i="23"/>
  <c r="M177" i="23" s="1"/>
  <c r="L147" i="23"/>
  <c r="M147" i="23" s="1"/>
  <c r="AD21" i="24"/>
  <c r="L125" i="23"/>
  <c r="M125" i="23" s="1"/>
  <c r="AD124" i="24"/>
  <c r="L244" i="23"/>
  <c r="M244" i="23" s="1"/>
  <c r="L122" i="23"/>
  <c r="M122" i="23" s="1"/>
  <c r="L144" i="23"/>
  <c r="M144" i="23" s="1"/>
  <c r="L161" i="23"/>
  <c r="M161" i="23" s="1"/>
  <c r="L179" i="23"/>
  <c r="M179" i="23" s="1"/>
  <c r="AD129" i="24"/>
  <c r="L215" i="23"/>
  <c r="M215" i="23" s="1"/>
  <c r="L123" i="23"/>
  <c r="M123" i="23" s="1"/>
  <c r="L146" i="23"/>
  <c r="M146" i="23" s="1"/>
  <c r="L162" i="23"/>
  <c r="M162" i="23" s="1"/>
  <c r="L180" i="23"/>
  <c r="M180" i="23" s="1"/>
  <c r="AD136" i="24"/>
  <c r="L165" i="23"/>
  <c r="M165" i="23" s="1"/>
  <c r="L213" i="23"/>
  <c r="M213" i="23" s="1"/>
  <c r="L148" i="23"/>
  <c r="M148" i="23" s="1"/>
  <c r="L62" i="23"/>
  <c r="M62" i="23" s="1"/>
  <c r="S144" i="24"/>
  <c r="S107" i="24"/>
  <c r="L187" i="23"/>
  <c r="M187" i="23" s="1"/>
  <c r="AD18" i="24"/>
  <c r="AD160" i="24"/>
  <c r="AD155" i="24"/>
  <c r="AD148" i="24"/>
  <c r="L260" i="23"/>
  <c r="M260" i="23" s="1"/>
  <c r="AD108" i="24"/>
  <c r="AD157" i="24"/>
  <c r="AD65" i="24"/>
  <c r="AD103" i="24"/>
  <c r="AD104" i="24"/>
  <c r="AD47" i="24"/>
  <c r="AD90" i="24"/>
  <c r="AD93" i="24"/>
  <c r="L275" i="23"/>
  <c r="M275" i="23" s="1"/>
  <c r="AD154" i="24"/>
  <c r="L209" i="23"/>
  <c r="M209" i="23" s="1"/>
  <c r="AD182" i="24"/>
  <c r="R25" i="24"/>
  <c r="R67" i="24"/>
  <c r="R12" i="24"/>
  <c r="S113" i="24"/>
  <c r="S117" i="24"/>
  <c r="S53" i="24"/>
  <c r="S57" i="24"/>
  <c r="S29" i="24"/>
  <c r="S33" i="24"/>
  <c r="R75" i="24"/>
  <c r="R151" i="24"/>
  <c r="R96" i="24"/>
  <c r="R18" i="24"/>
  <c r="R130" i="24"/>
  <c r="R171" i="24"/>
  <c r="R20" i="24"/>
  <c r="R13" i="24"/>
  <c r="S40" i="24"/>
  <c r="S92" i="24"/>
  <c r="S182" i="24"/>
  <c r="L277" i="23"/>
  <c r="M277" i="23" s="1"/>
  <c r="L235" i="23"/>
  <c r="M235" i="23" s="1"/>
  <c r="AD62" i="24"/>
  <c r="AD59" i="24"/>
  <c r="AD54" i="24"/>
  <c r="AD146" i="24"/>
  <c r="AD132" i="24"/>
  <c r="AD37" i="24"/>
  <c r="AD181" i="24"/>
  <c r="AD89" i="24"/>
  <c r="L280" i="23"/>
  <c r="M280" i="23" s="1"/>
  <c r="AD127" i="24"/>
  <c r="AD128" i="24"/>
  <c r="AD88" i="24"/>
  <c r="AD131" i="24"/>
  <c r="AD134" i="24"/>
  <c r="AD35" i="24"/>
  <c r="L250" i="23"/>
  <c r="M250" i="23" s="1"/>
  <c r="AD23" i="24"/>
  <c r="L248" i="23"/>
  <c r="M248" i="23" s="1"/>
  <c r="L243" i="23"/>
  <c r="M243" i="23" s="1"/>
  <c r="AD87" i="24"/>
  <c r="R135" i="24"/>
  <c r="R166" i="24"/>
  <c r="R156" i="24"/>
  <c r="S78" i="24"/>
  <c r="S178" i="24"/>
  <c r="S18" i="24"/>
  <c r="S130" i="24"/>
  <c r="S173" i="24"/>
  <c r="S177" i="24"/>
  <c r="R16" i="24"/>
  <c r="R68" i="24"/>
  <c r="R74" i="24"/>
  <c r="R162" i="24"/>
  <c r="R71" i="24"/>
  <c r="R112" i="24"/>
  <c r="R164" i="24"/>
  <c r="S184" i="24"/>
  <c r="S157" i="24"/>
  <c r="R133" i="24"/>
  <c r="R9" i="24"/>
  <c r="S170" i="24"/>
  <c r="S43" i="24"/>
  <c r="S167" i="24"/>
  <c r="R17" i="24"/>
  <c r="R21" i="24"/>
  <c r="S123" i="24"/>
  <c r="AD46" i="24"/>
  <c r="S136" i="24"/>
  <c r="AD14" i="24"/>
  <c r="L217" i="23"/>
  <c r="M217" i="23" s="1"/>
  <c r="AD100" i="24"/>
  <c r="AD144" i="24"/>
  <c r="AD49" i="24"/>
  <c r="AD101" i="24"/>
  <c r="L281" i="23"/>
  <c r="M281" i="23" s="1"/>
  <c r="AD139" i="24"/>
  <c r="AD140" i="24"/>
  <c r="AD110" i="24"/>
  <c r="L225" i="23"/>
  <c r="M225" i="23" s="1"/>
  <c r="AD151" i="24"/>
  <c r="AD153" i="24"/>
  <c r="L278" i="23"/>
  <c r="M278" i="23" s="1"/>
  <c r="AD57" i="24"/>
  <c r="AD16" i="24"/>
  <c r="L251" i="23"/>
  <c r="M251" i="23" s="1"/>
  <c r="AD45" i="24"/>
  <c r="L257" i="23"/>
  <c r="M257" i="23" s="1"/>
  <c r="AD40" i="24"/>
  <c r="R169" i="24"/>
  <c r="R56" i="24"/>
  <c r="S62" i="24"/>
  <c r="S150" i="24"/>
  <c r="S59" i="24"/>
  <c r="S90" i="24"/>
  <c r="S73" i="24"/>
  <c r="S66" i="24"/>
  <c r="S118" i="24"/>
  <c r="R88" i="24"/>
  <c r="R140" i="24"/>
  <c r="R146" i="24"/>
  <c r="R19" i="24"/>
  <c r="R143" i="24"/>
  <c r="R184" i="24"/>
  <c r="R157" i="24"/>
  <c r="S65" i="24"/>
  <c r="S69" i="24"/>
  <c r="S126" i="24"/>
  <c r="S51" i="24"/>
  <c r="S82" i="24"/>
  <c r="L210" i="23"/>
  <c r="M210" i="23" s="1"/>
  <c r="L185" i="23"/>
  <c r="M185" i="23" s="1"/>
  <c r="L188" i="23"/>
  <c r="M188" i="23" s="1"/>
  <c r="AD156" i="24"/>
  <c r="AD61" i="24"/>
  <c r="AD113" i="24"/>
  <c r="L247" i="23"/>
  <c r="M247" i="23" s="1"/>
  <c r="AD8" i="24"/>
  <c r="AD152" i="24"/>
  <c r="AD130" i="24"/>
  <c r="L226" i="23"/>
  <c r="M226" i="23" s="1"/>
  <c r="AD170" i="24"/>
  <c r="AD171" i="24"/>
  <c r="L224" i="23"/>
  <c r="M224" i="23" s="1"/>
  <c r="AD76" i="24"/>
  <c r="AD38" i="24"/>
  <c r="AD64" i="24"/>
  <c r="L264" i="23"/>
  <c r="M264" i="23" s="1"/>
  <c r="R76" i="24"/>
  <c r="R128" i="24"/>
  <c r="S134" i="24"/>
  <c r="S85" i="24"/>
  <c r="S131" i="24"/>
  <c r="S74" i="24"/>
  <c r="S162" i="24"/>
  <c r="S71" i="24"/>
  <c r="S50" i="24"/>
  <c r="S138" i="24"/>
  <c r="S47" i="24"/>
  <c r="R160" i="24"/>
  <c r="R154" i="24"/>
  <c r="R15" i="24"/>
  <c r="R91" i="24"/>
  <c r="R36" i="24"/>
  <c r="R65" i="24"/>
  <c r="R69" i="24"/>
  <c r="S137" i="24"/>
  <c r="S141" i="24"/>
  <c r="R149" i="24"/>
  <c r="R153" i="24"/>
  <c r="S111" i="24"/>
  <c r="S46" i="24"/>
  <c r="S132" i="24"/>
  <c r="R161" i="24"/>
  <c r="R165" i="24"/>
  <c r="S35" i="24"/>
  <c r="S17" i="24"/>
  <c r="S44" i="24"/>
  <c r="S64" i="24"/>
  <c r="L246" i="23"/>
  <c r="M246" i="23" s="1"/>
  <c r="L236" i="23"/>
  <c r="M236" i="23" s="1"/>
  <c r="AD24" i="24"/>
  <c r="AD168" i="24"/>
  <c r="AD73" i="24"/>
  <c r="AD125" i="24"/>
  <c r="AD19" i="24"/>
  <c r="AD20" i="24"/>
  <c r="AD164" i="24"/>
  <c r="AD150" i="24"/>
  <c r="L227" i="23"/>
  <c r="M227" i="23" s="1"/>
  <c r="AD98" i="24"/>
  <c r="AD58" i="24"/>
  <c r="AD86" i="24"/>
  <c r="L265" i="23"/>
  <c r="M265" i="23" s="1"/>
  <c r="L232" i="23"/>
  <c r="M232" i="23" s="1"/>
  <c r="R148" i="24"/>
  <c r="R94" i="24"/>
  <c r="S181" i="24"/>
  <c r="S79" i="24"/>
  <c r="S24" i="24"/>
  <c r="S146" i="24"/>
  <c r="S19" i="24"/>
  <c r="S143" i="24"/>
  <c r="S122" i="24"/>
  <c r="S142" i="24"/>
  <c r="S119" i="24"/>
  <c r="R41" i="24"/>
  <c r="R45" i="24"/>
  <c r="R87" i="24"/>
  <c r="R163" i="24"/>
  <c r="R108" i="24"/>
  <c r="R137" i="24"/>
  <c r="R141" i="24"/>
  <c r="S30" i="24"/>
  <c r="S109" i="24"/>
  <c r="R42" i="24"/>
  <c r="R10" i="24"/>
  <c r="S183" i="24"/>
  <c r="S32" i="24"/>
  <c r="S49" i="24"/>
  <c r="R54" i="24"/>
  <c r="R70" i="24"/>
  <c r="S55" i="24"/>
  <c r="S21" i="24"/>
  <c r="S161" i="24"/>
  <c r="AD166" i="24"/>
  <c r="L240" i="23"/>
  <c r="M240" i="23" s="1"/>
  <c r="L242" i="23"/>
  <c r="M242" i="23" s="1"/>
  <c r="AD36" i="24"/>
  <c r="AD180" i="24"/>
  <c r="AD85" i="24"/>
  <c r="AD137" i="24"/>
  <c r="AD31" i="24"/>
  <c r="AD32" i="24"/>
  <c r="AD176" i="24"/>
  <c r="AD167" i="24"/>
  <c r="L193" i="23"/>
  <c r="M193" i="23" s="1"/>
  <c r="AD33" i="24"/>
  <c r="L271" i="23"/>
  <c r="M271" i="23" s="1"/>
  <c r="AD118" i="24"/>
  <c r="Z4" i="24"/>
  <c r="AD106" i="24"/>
  <c r="R29" i="24"/>
  <c r="R33" i="24"/>
  <c r="S75" i="24"/>
  <c r="S151" i="24"/>
  <c r="S96" i="24"/>
  <c r="S15" i="24"/>
  <c r="S91" i="24"/>
  <c r="S36" i="24"/>
  <c r="S25" i="24"/>
  <c r="S67" i="24"/>
  <c r="S12" i="24"/>
  <c r="R113" i="24"/>
  <c r="R117" i="24"/>
  <c r="R159" i="24"/>
  <c r="R8" i="24"/>
  <c r="R180" i="24"/>
  <c r="R30" i="24"/>
  <c r="R109" i="24"/>
  <c r="S14" i="24"/>
  <c r="S102" i="24"/>
  <c r="S11" i="24"/>
  <c r="R26" i="24"/>
  <c r="R114" i="24"/>
  <c r="R23" i="24"/>
  <c r="S52" i="24"/>
  <c r="S104" i="24"/>
  <c r="R38" i="24"/>
  <c r="R126" i="24"/>
  <c r="R35" i="24"/>
  <c r="S38" i="24"/>
  <c r="S116" i="24"/>
  <c r="S179" i="24"/>
  <c r="S106" i="24"/>
  <c r="AD123" i="24"/>
  <c r="L252" i="23"/>
  <c r="M252" i="23" s="1"/>
  <c r="L266" i="23"/>
  <c r="M266" i="23" s="1"/>
  <c r="AD48" i="24"/>
  <c r="AD97" i="24"/>
  <c r="AD149" i="24"/>
  <c r="AD43" i="24"/>
  <c r="AD44" i="24"/>
  <c r="L197" i="23"/>
  <c r="M197" i="23" s="1"/>
  <c r="AD52" i="24"/>
  <c r="AD138" i="24"/>
  <c r="AD99" i="24"/>
  <c r="AD126" i="24"/>
  <c r="AD184" i="24"/>
  <c r="R101" i="24"/>
  <c r="R105" i="24"/>
  <c r="S147" i="24"/>
  <c r="S121" i="24"/>
  <c r="S168" i="24"/>
  <c r="S87" i="24"/>
  <c r="S163" i="24"/>
  <c r="S108" i="24"/>
  <c r="S63" i="24"/>
  <c r="S139" i="24"/>
  <c r="S84" i="24"/>
  <c r="R97" i="24"/>
  <c r="R58" i="24"/>
  <c r="R28" i="24"/>
  <c r="R80" i="24"/>
  <c r="R14" i="24"/>
  <c r="R102" i="24"/>
  <c r="R11" i="24"/>
  <c r="S86" i="24"/>
  <c r="S174" i="24"/>
  <c r="S83" i="24"/>
  <c r="R98" i="24"/>
  <c r="R22" i="24"/>
  <c r="R95" i="24"/>
  <c r="S124" i="24"/>
  <c r="S176" i="24"/>
  <c r="R110" i="24"/>
  <c r="R82" i="24"/>
  <c r="R107" i="24"/>
  <c r="S37" i="24"/>
  <c r="S93" i="24"/>
  <c r="S165" i="24"/>
  <c r="AD75" i="24"/>
  <c r="L263" i="23"/>
  <c r="M263" i="23" s="1"/>
  <c r="AD60" i="24"/>
  <c r="AD109" i="24"/>
  <c r="AD17" i="24"/>
  <c r="AD161" i="24"/>
  <c r="AD55" i="24"/>
  <c r="AD56" i="24"/>
  <c r="AD9" i="24"/>
  <c r="L269" i="23"/>
  <c r="M269" i="23" s="1"/>
  <c r="AD10" i="24"/>
  <c r="AD74" i="24"/>
  <c r="AD158" i="24"/>
  <c r="AD119" i="24"/>
  <c r="L195" i="23"/>
  <c r="M195" i="23" s="1"/>
  <c r="AD147" i="24"/>
  <c r="AD143" i="24"/>
  <c r="R173" i="24"/>
  <c r="R177" i="24"/>
  <c r="S16" i="24"/>
  <c r="S68" i="24"/>
  <c r="S159" i="24"/>
  <c r="S8" i="24"/>
  <c r="S180" i="24"/>
  <c r="S135" i="24"/>
  <c r="S166" i="24"/>
  <c r="S156" i="24"/>
  <c r="R78" i="24"/>
  <c r="X4" i="24" s="1"/>
  <c r="R178" i="24"/>
  <c r="R100" i="24"/>
  <c r="R152" i="24"/>
  <c r="R86" i="24"/>
  <c r="R174" i="24"/>
  <c r="R83" i="24"/>
  <c r="S158" i="24"/>
  <c r="S31" i="24"/>
  <c r="S155" i="24"/>
  <c r="R170" i="24"/>
  <c r="R43" i="24"/>
  <c r="R167" i="24"/>
  <c r="S133" i="24"/>
  <c r="S9" i="24"/>
  <c r="R182" i="24"/>
  <c r="R55" i="24"/>
  <c r="R179" i="24"/>
  <c r="L223" i="23"/>
  <c r="M223" i="23" s="1"/>
  <c r="AD117" i="24"/>
  <c r="AD29" i="24"/>
  <c r="AD115" i="24"/>
  <c r="AD112" i="24"/>
  <c r="AD135" i="24"/>
  <c r="AD175" i="24"/>
  <c r="R50" i="24"/>
  <c r="S160" i="24"/>
  <c r="S100" i="24"/>
  <c r="R147" i="24"/>
  <c r="R90" i="24"/>
  <c r="R92" i="24"/>
  <c r="S164" i="24"/>
  <c r="R46" i="24"/>
  <c r="S149" i="24"/>
  <c r="R123" i="24"/>
  <c r="R144" i="24"/>
  <c r="AD63" i="24"/>
  <c r="AD41" i="24"/>
  <c r="AD68" i="24"/>
  <c r="AD172" i="24"/>
  <c r="R122" i="24"/>
  <c r="S41" i="24"/>
  <c r="S172" i="24"/>
  <c r="S169" i="24"/>
  <c r="R150" i="24"/>
  <c r="R61" i="24"/>
  <c r="R155" i="24"/>
  <c r="S48" i="24"/>
  <c r="R32" i="24"/>
  <c r="S42" i="24"/>
  <c r="R37" i="24"/>
  <c r="R145" i="24"/>
  <c r="L205" i="23"/>
  <c r="M205" i="23" s="1"/>
  <c r="L228" i="23"/>
  <c r="M228" i="23" s="1"/>
  <c r="AD25" i="24"/>
  <c r="AD53" i="24"/>
  <c r="AD80" i="24"/>
  <c r="L206" i="23"/>
  <c r="M206" i="23" s="1"/>
  <c r="R63" i="24"/>
  <c r="S97" i="24"/>
  <c r="S125" i="24"/>
  <c r="S76" i="24"/>
  <c r="R85" i="24"/>
  <c r="R57" i="24"/>
  <c r="R48" i="24"/>
  <c r="S120" i="24"/>
  <c r="R104" i="24"/>
  <c r="S114" i="24"/>
  <c r="R64" i="24"/>
  <c r="AD22" i="24"/>
  <c r="L253" i="23"/>
  <c r="M253" i="23" s="1"/>
  <c r="AD121" i="24"/>
  <c r="AD77" i="24"/>
  <c r="AD92" i="24"/>
  <c r="R66" i="24"/>
  <c r="S140" i="24"/>
  <c r="S80" i="24"/>
  <c r="S148" i="24"/>
  <c r="R79" i="24"/>
  <c r="R129" i="24"/>
  <c r="R120" i="24"/>
  <c r="S13" i="24"/>
  <c r="R176" i="24"/>
  <c r="S22" i="24"/>
  <c r="R136" i="24"/>
  <c r="S89" i="24"/>
  <c r="S110" i="24"/>
  <c r="L202" i="23"/>
  <c r="M202" i="23" s="1"/>
  <c r="AD133" i="24"/>
  <c r="AD173" i="24"/>
  <c r="AD116" i="24"/>
  <c r="R138" i="24"/>
  <c r="S154" i="24"/>
  <c r="S152" i="24"/>
  <c r="S101" i="24"/>
  <c r="R121" i="24"/>
  <c r="R73" i="24"/>
  <c r="R81" i="24"/>
  <c r="S115" i="24"/>
  <c r="R89" i="24"/>
  <c r="S127" i="24"/>
  <c r="S54" i="24"/>
  <c r="L194" i="23"/>
  <c r="M194" i="23" s="1"/>
  <c r="AD105" i="24"/>
  <c r="AD72" i="24"/>
  <c r="AD145" i="24"/>
  <c r="R142" i="24"/>
  <c r="S45" i="24"/>
  <c r="S61" i="24"/>
  <c r="S56" i="24"/>
  <c r="R59" i="24"/>
  <c r="R158" i="24"/>
  <c r="S27" i="24"/>
  <c r="R39" i="24"/>
  <c r="R60" i="24"/>
  <c r="S81" i="24"/>
  <c r="R127" i="24"/>
  <c r="L181" i="23"/>
  <c r="M181" i="23" s="1"/>
  <c r="S70" i="24"/>
  <c r="S34" i="24"/>
  <c r="AD84" i="24"/>
  <c r="AD169" i="24"/>
  <c r="L272" i="23"/>
  <c r="M272" i="23" s="1"/>
  <c r="AD141" i="24"/>
  <c r="L237" i="23"/>
  <c r="M237" i="23" s="1"/>
  <c r="R139" i="24"/>
  <c r="S58" i="24"/>
  <c r="S129" i="24"/>
  <c r="S128" i="24"/>
  <c r="R131" i="24"/>
  <c r="R27" i="24"/>
  <c r="S99" i="24"/>
  <c r="R111" i="24"/>
  <c r="R132" i="24"/>
  <c r="S153" i="24"/>
  <c r="R106" i="24"/>
  <c r="L171" i="23"/>
  <c r="M171" i="23" s="1"/>
  <c r="L178" i="23"/>
  <c r="M178" i="23" s="1"/>
  <c r="L169" i="23"/>
  <c r="M169" i="23" s="1"/>
  <c r="AD96" i="24"/>
  <c r="AD28" i="24"/>
  <c r="L273" i="23"/>
  <c r="M273" i="23" s="1"/>
  <c r="AD159" i="24"/>
  <c r="AD165" i="24"/>
  <c r="R118" i="24"/>
  <c r="S94" i="24"/>
  <c r="R24" i="24"/>
  <c r="R99" i="24"/>
  <c r="S171" i="24"/>
  <c r="R183" i="24"/>
  <c r="R49" i="24"/>
  <c r="S10" i="24"/>
  <c r="R44" i="24"/>
  <c r="AD120" i="24"/>
  <c r="AD50" i="24"/>
  <c r="L186" i="23"/>
  <c r="M186" i="23" s="1"/>
  <c r="AD177" i="24"/>
  <c r="AD183" i="24"/>
  <c r="R47" i="24"/>
  <c r="S105" i="24"/>
  <c r="R168" i="24"/>
  <c r="R40" i="24"/>
  <c r="S112" i="24"/>
  <c r="R52" i="24"/>
  <c r="S26" i="24"/>
  <c r="S23" i="24"/>
  <c r="R116" i="24"/>
  <c r="S72" i="24"/>
  <c r="S145" i="24"/>
  <c r="L239" i="23"/>
  <c r="M239" i="23" s="1"/>
  <c r="AD107" i="24"/>
  <c r="AD67" i="24"/>
  <c r="AD27" i="24"/>
  <c r="AD70" i="24"/>
  <c r="AD30" i="24"/>
  <c r="R119" i="24"/>
  <c r="R62" i="24"/>
  <c r="R172" i="24"/>
  <c r="R31" i="24"/>
  <c r="S103" i="24"/>
  <c r="R124" i="24"/>
  <c r="S98" i="24"/>
  <c r="S95" i="24"/>
  <c r="R34" i="24"/>
  <c r="L234" i="23"/>
  <c r="M234" i="23" s="1"/>
  <c r="AD102" i="24"/>
  <c r="AD79" i="24"/>
  <c r="AD69" i="24"/>
  <c r="AD111" i="24"/>
  <c r="AD51" i="24"/>
  <c r="AD94" i="24"/>
  <c r="AD95" i="24"/>
  <c r="AD142" i="24"/>
  <c r="R84" i="24"/>
  <c r="R134" i="24"/>
  <c r="R53" i="24"/>
  <c r="R103" i="24"/>
  <c r="S175" i="24"/>
  <c r="R77" i="24"/>
  <c r="S39" i="24"/>
  <c r="S60" i="24"/>
  <c r="R93" i="24"/>
  <c r="L121" i="23"/>
  <c r="M121" i="23" s="1"/>
  <c r="L151" i="23"/>
  <c r="M151" i="23" s="1"/>
  <c r="R181" i="24"/>
  <c r="L175" i="23"/>
  <c r="M175" i="23" s="1"/>
  <c r="AD114" i="24"/>
  <c r="R125" i="24"/>
  <c r="R175" i="24"/>
  <c r="L142" i="23"/>
  <c r="M142" i="23" s="1"/>
  <c r="L139" i="23"/>
  <c r="M139" i="23" s="1"/>
  <c r="L128" i="23"/>
  <c r="M128" i="23" s="1"/>
  <c r="L127" i="23"/>
  <c r="M127" i="23" s="1"/>
  <c r="S20" i="24"/>
  <c r="L157" i="23"/>
  <c r="M157" i="23" s="1"/>
  <c r="R115" i="24"/>
  <c r="L145" i="23"/>
  <c r="M145" i="23" s="1"/>
  <c r="L133" i="23"/>
  <c r="M133" i="23" s="1"/>
  <c r="AD71" i="24"/>
  <c r="S77" i="24"/>
  <c r="R51" i="24"/>
  <c r="L164" i="23"/>
  <c r="M164" i="23" s="1"/>
  <c r="AD91" i="24"/>
  <c r="R72" i="24"/>
  <c r="L149" i="23"/>
  <c r="M149" i="23" s="1"/>
  <c r="AD162" i="24"/>
  <c r="S88" i="24"/>
  <c r="AD15" i="24"/>
  <c r="S28" i="24"/>
  <c r="AD42" i="24"/>
  <c r="L135" i="23"/>
  <c r="M135" i="23" s="1"/>
  <c r="L156" i="23"/>
  <c r="M156" i="23" s="1"/>
  <c r="L163" i="23"/>
  <c r="M163" i="23" s="1"/>
  <c r="G99" i="24"/>
  <c r="G115" i="24"/>
  <c r="G104" i="24"/>
  <c r="F79" i="24"/>
  <c r="G97" i="24"/>
  <c r="G106" i="24"/>
  <c r="G109" i="24"/>
  <c r="G95" i="24"/>
  <c r="F73" i="24"/>
  <c r="G90" i="24"/>
  <c r="G89" i="24"/>
  <c r="F118" i="24"/>
  <c r="G85" i="24"/>
  <c r="G87" i="24"/>
  <c r="BJ63" i="24"/>
  <c r="AO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BY50" i="24"/>
  <c r="BY12" i="24"/>
  <c r="BY49" i="24"/>
  <c r="BY11" i="24"/>
  <c r="AD78" i="24" l="1"/>
  <c r="P27" i="23"/>
  <c r="L27" i="23"/>
  <c r="M27" i="23" s="1"/>
  <c r="P218" i="23"/>
  <c r="L218" i="23"/>
  <c r="M218" i="23" s="1"/>
  <c r="P17" i="23"/>
  <c r="L17" i="23"/>
  <c r="M17" i="23" s="1"/>
  <c r="P19" i="23"/>
  <c r="L19" i="23"/>
  <c r="M19" i="23" s="1"/>
  <c r="P204" i="23"/>
  <c r="L204" i="23"/>
  <c r="M204" i="23" s="1"/>
  <c r="P39" i="23"/>
  <c r="L39" i="23"/>
  <c r="M39" i="23" s="1"/>
  <c r="P44" i="23"/>
  <c r="L44" i="23"/>
  <c r="M44" i="23" s="1"/>
  <c r="P11" i="23"/>
  <c r="L11" i="23"/>
  <c r="M11" i="23" s="1"/>
  <c r="P191" i="23"/>
  <c r="L191" i="23"/>
  <c r="M191" i="23" s="1"/>
  <c r="P55" i="23"/>
  <c r="L55" i="23"/>
  <c r="M55" i="23" s="1"/>
  <c r="P196" i="23"/>
  <c r="L196" i="23"/>
  <c r="M196" i="23" s="1"/>
  <c r="P200" i="23"/>
  <c r="L200" i="23"/>
  <c r="M200" i="23" s="1"/>
  <c r="P221" i="23"/>
  <c r="L221" i="23"/>
  <c r="M221" i="23" s="1"/>
  <c r="P192" i="23"/>
  <c r="L192" i="23"/>
  <c r="M192" i="23" s="1"/>
  <c r="P30" i="23"/>
  <c r="L30" i="23"/>
  <c r="M30" i="23" s="1"/>
  <c r="P9" i="23"/>
  <c r="L9" i="23"/>
  <c r="M9" i="23" s="1"/>
  <c r="P58" i="23"/>
  <c r="L58" i="23"/>
  <c r="M58" i="23" s="1"/>
  <c r="P38" i="23"/>
  <c r="L38" i="23"/>
  <c r="M38" i="23" s="1"/>
  <c r="P25" i="23"/>
  <c r="L25" i="23"/>
  <c r="M25" i="23" s="1"/>
  <c r="P12" i="23"/>
  <c r="L12" i="23"/>
  <c r="M12" i="23" s="1"/>
  <c r="P203" i="23"/>
  <c r="L203" i="23"/>
  <c r="M203" i="23" s="1"/>
  <c r="P256" i="23"/>
  <c r="L256" i="23"/>
  <c r="M256" i="23" s="1"/>
  <c r="P279" i="23"/>
  <c r="L279" i="23"/>
  <c r="M279" i="23" s="1"/>
  <c r="P274" i="23"/>
  <c r="L274" i="23"/>
  <c r="M274" i="23" s="1"/>
  <c r="P22" i="23"/>
  <c r="L22" i="23"/>
  <c r="M22" i="23" s="1"/>
  <c r="P33" i="23"/>
  <c r="L33" i="23"/>
  <c r="M33" i="23" s="1"/>
  <c r="P29" i="23"/>
  <c r="L29" i="23"/>
  <c r="M29" i="23" s="1"/>
  <c r="P14" i="23"/>
  <c r="L14" i="23"/>
  <c r="M14" i="23" s="1"/>
  <c r="P40" i="23"/>
  <c r="L40" i="23"/>
  <c r="M40" i="23" s="1"/>
  <c r="P49" i="23"/>
  <c r="L49" i="23"/>
  <c r="M49" i="23" s="1"/>
  <c r="P37" i="23"/>
  <c r="L37" i="23"/>
  <c r="M37" i="23" s="1"/>
  <c r="P190" i="23"/>
  <c r="L190" i="23"/>
  <c r="M190" i="23" s="1"/>
  <c r="P41" i="23"/>
  <c r="L41" i="23"/>
  <c r="M41" i="23" s="1"/>
  <c r="P8" i="23"/>
  <c r="L8" i="23"/>
  <c r="M8" i="23" s="1"/>
  <c r="P255" i="23"/>
  <c r="L255" i="23"/>
  <c r="M255" i="23" s="1"/>
  <c r="P53" i="23"/>
  <c r="L53" i="23"/>
  <c r="M53" i="23" s="1"/>
  <c r="P51" i="23"/>
  <c r="L51" i="23"/>
  <c r="M51" i="23" s="1"/>
  <c r="P28" i="23"/>
  <c r="L28" i="23"/>
  <c r="M28" i="23" s="1"/>
  <c r="P50" i="23"/>
  <c r="L50" i="23"/>
  <c r="M50" i="23" s="1"/>
  <c r="P220" i="23"/>
  <c r="L220" i="23"/>
  <c r="M220" i="23" s="1"/>
  <c r="P23" i="23"/>
  <c r="L23" i="23"/>
  <c r="M23" i="23" s="1"/>
  <c r="P26" i="23"/>
  <c r="L26" i="23"/>
  <c r="M26" i="23" s="1"/>
  <c r="P61" i="23"/>
  <c r="L61" i="23"/>
  <c r="M61" i="23" s="1"/>
  <c r="P198" i="23"/>
  <c r="L198" i="23"/>
  <c r="M198" i="23" s="1"/>
  <c r="P18" i="23"/>
  <c r="L18" i="23"/>
  <c r="M18" i="23" s="1"/>
  <c r="P32" i="23"/>
  <c r="L32" i="23"/>
  <c r="M32" i="23" s="1"/>
  <c r="P10" i="23"/>
  <c r="L10" i="23"/>
  <c r="M10" i="23" s="1"/>
  <c r="P276" i="23"/>
  <c r="L276" i="23"/>
  <c r="M276" i="23" s="1"/>
  <c r="P267" i="23"/>
  <c r="L267" i="23"/>
  <c r="M267" i="23" s="1"/>
  <c r="P219" i="23"/>
  <c r="L219" i="23"/>
  <c r="M219" i="23" s="1"/>
  <c r="P268" i="23"/>
  <c r="L268" i="23"/>
  <c r="M268" i="23" s="1"/>
  <c r="P15" i="23"/>
  <c r="L15" i="23"/>
  <c r="M15" i="23" s="1"/>
  <c r="P214" i="23"/>
  <c r="L214" i="23"/>
  <c r="M214" i="23" s="1"/>
  <c r="P60" i="23"/>
  <c r="L60" i="23"/>
  <c r="M60" i="23" s="1"/>
  <c r="P13" i="23"/>
  <c r="L13" i="23"/>
  <c r="M13" i="23" s="1"/>
  <c r="P56" i="23"/>
  <c r="L56" i="23"/>
  <c r="M56" i="23" s="1"/>
  <c r="P54" i="23"/>
  <c r="L54" i="23"/>
  <c r="M54" i="23" s="1"/>
  <c r="P199" i="23"/>
  <c r="L199" i="23"/>
  <c r="M199" i="23" s="1"/>
  <c r="P229" i="23"/>
  <c r="L229" i="23"/>
  <c r="M229" i="23" s="1"/>
  <c r="P57" i="23"/>
  <c r="L57" i="23"/>
  <c r="M57" i="23" s="1"/>
  <c r="P216" i="23"/>
  <c r="L216" i="23"/>
  <c r="M216" i="23" s="1"/>
  <c r="P59" i="23"/>
  <c r="L59" i="23"/>
  <c r="M59" i="23" s="1"/>
  <c r="P262" i="23"/>
  <c r="L262" i="23"/>
  <c r="M262" i="23" s="1"/>
  <c r="P212" i="23"/>
  <c r="L212" i="23"/>
  <c r="M212" i="23" s="1"/>
  <c r="P231" i="23"/>
  <c r="L231" i="23"/>
  <c r="M231" i="23" s="1"/>
  <c r="P21" i="23"/>
  <c r="L21" i="23"/>
  <c r="M21" i="23" s="1"/>
  <c r="P42" i="23"/>
  <c r="L42" i="23"/>
  <c r="M42" i="23" s="1"/>
  <c r="P47" i="23"/>
  <c r="L47" i="23"/>
  <c r="M47" i="23" s="1"/>
  <c r="P31" i="23"/>
  <c r="L31" i="23"/>
  <c r="M31" i="23" s="1"/>
  <c r="P20" i="23"/>
  <c r="L20" i="23"/>
  <c r="M20" i="23" s="1"/>
  <c r="P208" i="23"/>
  <c r="L208" i="23"/>
  <c r="M208" i="23" s="1"/>
  <c r="P233" i="23"/>
  <c r="L233" i="23"/>
  <c r="M233" i="23" s="1"/>
  <c r="P16" i="23"/>
  <c r="L16" i="23"/>
  <c r="M16" i="23" s="1"/>
  <c r="P52" i="23"/>
  <c r="L52" i="23"/>
  <c r="M52" i="23" s="1"/>
  <c r="P24" i="23"/>
  <c r="L24" i="23"/>
  <c r="M24" i="23" s="1"/>
  <c r="P48" i="23"/>
  <c r="L48" i="23"/>
  <c r="M48" i="23" s="1"/>
  <c r="P241" i="23"/>
  <c r="L241" i="23"/>
  <c r="M241" i="23" s="1"/>
  <c r="P43" i="23"/>
  <c r="L43" i="23"/>
  <c r="M43" i="23" s="1"/>
  <c r="P34" i="23"/>
  <c r="L34" i="23"/>
  <c r="M34" i="23" s="1"/>
  <c r="P270" i="23"/>
  <c r="L270" i="23"/>
  <c r="M270" i="23" s="1"/>
  <c r="P259" i="23"/>
  <c r="L259" i="23"/>
  <c r="M259" i="23" s="1"/>
  <c r="P46" i="23"/>
  <c r="L46" i="23"/>
  <c r="M46" i="23" s="1"/>
  <c r="P45" i="23"/>
  <c r="L45" i="23"/>
  <c r="M45" i="23" s="1"/>
  <c r="P36" i="23"/>
  <c r="L36" i="23"/>
  <c r="M36" i="23" s="1"/>
  <c r="P35" i="23"/>
  <c r="L35" i="23"/>
  <c r="M35" i="23" s="1"/>
  <c r="P224" i="23"/>
  <c r="P209" i="23"/>
  <c r="P273" i="23"/>
  <c r="P202" i="23"/>
  <c r="P227" i="23"/>
  <c r="P188" i="23"/>
  <c r="P225" i="23"/>
  <c r="P235" i="23"/>
  <c r="P260" i="23"/>
  <c r="P189" i="23"/>
  <c r="P238" i="23"/>
  <c r="P245" i="23"/>
  <c r="Y76" i="24"/>
  <c r="Y91" i="24"/>
  <c r="Y115" i="24"/>
  <c r="Y114" i="24"/>
  <c r="Y92" i="24"/>
  <c r="Y62" i="24"/>
  <c r="Y78" i="24"/>
  <c r="Y25" i="24"/>
  <c r="Y184" i="24"/>
  <c r="Y31" i="24"/>
  <c r="Y19" i="24"/>
  <c r="Y166" i="24"/>
  <c r="Y156" i="24"/>
  <c r="Y51" i="24"/>
  <c r="Y170" i="24"/>
  <c r="Y177" i="24"/>
  <c r="Y72" i="24"/>
  <c r="Y9" i="24"/>
  <c r="Y75" i="24"/>
  <c r="Y118" i="24"/>
  <c r="Y124" i="24"/>
  <c r="Y86" i="24"/>
  <c r="Y85" i="24"/>
  <c r="Y49" i="24"/>
  <c r="Y17" i="24"/>
  <c r="Y43" i="24"/>
  <c r="Y55" i="24"/>
  <c r="Y178" i="24"/>
  <c r="Y180" i="24"/>
  <c r="Y159" i="24"/>
  <c r="Y27" i="24"/>
  <c r="Y38" i="24"/>
  <c r="Y88" i="24"/>
  <c r="Y126" i="24"/>
  <c r="Y90" i="24"/>
  <c r="Y119" i="24"/>
  <c r="Y145" i="24"/>
  <c r="Y29" i="24"/>
  <c r="Y127" i="24"/>
  <c r="Y139" i="24"/>
  <c r="Y23" i="24"/>
  <c r="Y13" i="24"/>
  <c r="Y20" i="24"/>
  <c r="Y135" i="24"/>
  <c r="Y146" i="24"/>
  <c r="Y122" i="24"/>
  <c r="Y84" i="24"/>
  <c r="Y68" i="24"/>
  <c r="Y120" i="24"/>
  <c r="Y165" i="24"/>
  <c r="Y106" i="24"/>
  <c r="Y101" i="24"/>
  <c r="Y169" i="24"/>
  <c r="Y53" i="24"/>
  <c r="Y151" i="24"/>
  <c r="Y163" i="24"/>
  <c r="Y35" i="24"/>
  <c r="Y37" i="24"/>
  <c r="Y56" i="24"/>
  <c r="Y171" i="24"/>
  <c r="Y182" i="24"/>
  <c r="Y107" i="24"/>
  <c r="Y113" i="24"/>
  <c r="Y109" i="24"/>
  <c r="Y80" i="24"/>
  <c r="Y116" i="24"/>
  <c r="Y117" i="24"/>
  <c r="Y108" i="24"/>
  <c r="Y11" i="24"/>
  <c r="Y16" i="24"/>
  <c r="Y137" i="24"/>
  <c r="Y175" i="24"/>
  <c r="Y10" i="24"/>
  <c r="Y47" i="24"/>
  <c r="Y61" i="24"/>
  <c r="Y128" i="24"/>
  <c r="Y152" i="24"/>
  <c r="Y39" i="24"/>
  <c r="Y93" i="24"/>
  <c r="Y148" i="24"/>
  <c r="Y36" i="24"/>
  <c r="Y67" i="24"/>
  <c r="Y110" i="24"/>
  <c r="Y131" i="24"/>
  <c r="Y28" i="24"/>
  <c r="Y149" i="24"/>
  <c r="Y41" i="24"/>
  <c r="Y22" i="24"/>
  <c r="Y59" i="24"/>
  <c r="Y133" i="24"/>
  <c r="Y164" i="24"/>
  <c r="Y45" i="24"/>
  <c r="Y147" i="24"/>
  <c r="Y94" i="24"/>
  <c r="Y176" i="24"/>
  <c r="Y97" i="24"/>
  <c r="Y69" i="24"/>
  <c r="Y104" i="24"/>
  <c r="Y105" i="24"/>
  <c r="Y79" i="24"/>
  <c r="Y64" i="24"/>
  <c r="Y155" i="24"/>
  <c r="Y40" i="24"/>
  <c r="Y173" i="24"/>
  <c r="Y125" i="24"/>
  <c r="Y34" i="24"/>
  <c r="Y143" i="24"/>
  <c r="Y157" i="24"/>
  <c r="Y21" i="24"/>
  <c r="Y153" i="24"/>
  <c r="Y183" i="24"/>
  <c r="Y70" i="24"/>
  <c r="Y54" i="24"/>
  <c r="Y103" i="24"/>
  <c r="Y81" i="24"/>
  <c r="Y98" i="24"/>
  <c r="Y179" i="24"/>
  <c r="Y52" i="24"/>
  <c r="Y18" i="24"/>
  <c r="Y161" i="24"/>
  <c r="Y46" i="24"/>
  <c r="Y167" i="24"/>
  <c r="Y181" i="24"/>
  <c r="Y57" i="24"/>
  <c r="Y32" i="24"/>
  <c r="Y8" i="24"/>
  <c r="Y95" i="24"/>
  <c r="Y48" i="24"/>
  <c r="Y50" i="24"/>
  <c r="Y112" i="24"/>
  <c r="Y65" i="24"/>
  <c r="Y82" i="24"/>
  <c r="Y66" i="24"/>
  <c r="Y111" i="24"/>
  <c r="Y83" i="24"/>
  <c r="Y24" i="24"/>
  <c r="Y136" i="24"/>
  <c r="Y42" i="24"/>
  <c r="Y30" i="24"/>
  <c r="Y58" i="24"/>
  <c r="Y12" i="24"/>
  <c r="Y14" i="24"/>
  <c r="Y129" i="24"/>
  <c r="Y140" i="24"/>
  <c r="Y44" i="24"/>
  <c r="Y102" i="24"/>
  <c r="Y130" i="24"/>
  <c r="Y99" i="24"/>
  <c r="Y74" i="24"/>
  <c r="Y123" i="24"/>
  <c r="Y73" i="24"/>
  <c r="Y144" i="24"/>
  <c r="Y160" i="24"/>
  <c r="Y150" i="24"/>
  <c r="Y138" i="24"/>
  <c r="Y142" i="24"/>
  <c r="Y60" i="24"/>
  <c r="Y158" i="24"/>
  <c r="Y26" i="24"/>
  <c r="Y33" i="24"/>
  <c r="Y121" i="24"/>
  <c r="Y87" i="24"/>
  <c r="Y89" i="24"/>
  <c r="Y77" i="24"/>
  <c r="Y71" i="24"/>
  <c r="Y168" i="24"/>
  <c r="Y172" i="24"/>
  <c r="Y162" i="24"/>
  <c r="Y154" i="24"/>
  <c r="Y15" i="24"/>
  <c r="Y141" i="24"/>
  <c r="Y63" i="24"/>
  <c r="Y96" i="24"/>
  <c r="Y174" i="24"/>
  <c r="Y132" i="24"/>
  <c r="Y134" i="24"/>
  <c r="Y100" i="24"/>
  <c r="P277" i="23"/>
  <c r="P275" i="23"/>
  <c r="P249" i="23"/>
  <c r="P258" i="23"/>
  <c r="P207" i="23"/>
  <c r="P195" i="23"/>
  <c r="P263" i="23"/>
  <c r="P266" i="23"/>
  <c r="P226" i="23"/>
  <c r="P185" i="23"/>
  <c r="P280" i="23"/>
  <c r="P234" i="23"/>
  <c r="P205" i="23"/>
  <c r="P252" i="23"/>
  <c r="P210" i="23"/>
  <c r="P257" i="23"/>
  <c r="P281" i="23"/>
  <c r="P230" i="23"/>
  <c r="AA104" i="24"/>
  <c r="AA85" i="24"/>
  <c r="AA34" i="24"/>
  <c r="AA133" i="24"/>
  <c r="AA170" i="24"/>
  <c r="AA39" i="24"/>
  <c r="AA31" i="24"/>
  <c r="AA56" i="24"/>
  <c r="AA142" i="24"/>
  <c r="AA126" i="24"/>
  <c r="AA138" i="24"/>
  <c r="AA114" i="24"/>
  <c r="AA82" i="24"/>
  <c r="AA110" i="24"/>
  <c r="AA113" i="24"/>
  <c r="AA102" i="24"/>
  <c r="AA153" i="24"/>
  <c r="AA87" i="24"/>
  <c r="AA112" i="24"/>
  <c r="AA58" i="24"/>
  <c r="AA145" i="24"/>
  <c r="AA182" i="24"/>
  <c r="AA135" i="24"/>
  <c r="AA43" i="24"/>
  <c r="AA128" i="24"/>
  <c r="AA166" i="24"/>
  <c r="AA162" i="24"/>
  <c r="AA174" i="24"/>
  <c r="AA123" i="24"/>
  <c r="AA80" i="24"/>
  <c r="AA83" i="24"/>
  <c r="AA86" i="24"/>
  <c r="AA79" i="24"/>
  <c r="AA130" i="24"/>
  <c r="AA157" i="24"/>
  <c r="AA27" i="24"/>
  <c r="AA159" i="24"/>
  <c r="AA55" i="24"/>
  <c r="AA140" i="24"/>
  <c r="AA23" i="24"/>
  <c r="AA59" i="24"/>
  <c r="AA18" i="24"/>
  <c r="AA105" i="24"/>
  <c r="AA122" i="24"/>
  <c r="AA124" i="24"/>
  <c r="AA68" i="24"/>
  <c r="AA118" i="24"/>
  <c r="AA111" i="24"/>
  <c r="AA100" i="24"/>
  <c r="AA77" i="24"/>
  <c r="AA65" i="24"/>
  <c r="AA73" i="24"/>
  <c r="AA154" i="24"/>
  <c r="AA169" i="24"/>
  <c r="AA51" i="24"/>
  <c r="AA183" i="24"/>
  <c r="AA127" i="24"/>
  <c r="AA152" i="24"/>
  <c r="AA47" i="24"/>
  <c r="AA131" i="24"/>
  <c r="AA143" i="24"/>
  <c r="AA90" i="24"/>
  <c r="AA93" i="24"/>
  <c r="AA63" i="24"/>
  <c r="AA89" i="24"/>
  <c r="AA71" i="24"/>
  <c r="AA81" i="24"/>
  <c r="AA17" i="24"/>
  <c r="AA108" i="24"/>
  <c r="AA178" i="24"/>
  <c r="AA181" i="24"/>
  <c r="AA147" i="24"/>
  <c r="AA16" i="24"/>
  <c r="AA139" i="24"/>
  <c r="AA164" i="24"/>
  <c r="AA42" i="24"/>
  <c r="AA167" i="24"/>
  <c r="AA179" i="24"/>
  <c r="AA116" i="24"/>
  <c r="AA103" i="24"/>
  <c r="AA106" i="24"/>
  <c r="AA95" i="24"/>
  <c r="AA37" i="24"/>
  <c r="AA184" i="24"/>
  <c r="AA20" i="24"/>
  <c r="AA165" i="24"/>
  <c r="AA149" i="24"/>
  <c r="AA94" i="24"/>
  <c r="AA96" i="24"/>
  <c r="AA66" i="24"/>
  <c r="AA21" i="24"/>
  <c r="AA14" i="24"/>
  <c r="AA171" i="24"/>
  <c r="AA40" i="24"/>
  <c r="AA151" i="24"/>
  <c r="AA176" i="24"/>
  <c r="AA155" i="24"/>
  <c r="AA60" i="24"/>
  <c r="AA24" i="24"/>
  <c r="AA69" i="24"/>
  <c r="AA97" i="24"/>
  <c r="AA67" i="24"/>
  <c r="AA101" i="24"/>
  <c r="AA120" i="24"/>
  <c r="AA119" i="24"/>
  <c r="AA33" i="24"/>
  <c r="AA35" i="24"/>
  <c r="AA26" i="24"/>
  <c r="AA28" i="24"/>
  <c r="AA52" i="24"/>
  <c r="AA163" i="24"/>
  <c r="AA9" i="24"/>
  <c r="AA48" i="24"/>
  <c r="AA132" i="24"/>
  <c r="AA144" i="24"/>
  <c r="AA107" i="24"/>
  <c r="AA84" i="24"/>
  <c r="AA137" i="24"/>
  <c r="AA78" i="24"/>
  <c r="AA57" i="24"/>
  <c r="AA38" i="24"/>
  <c r="AA136" i="24"/>
  <c r="AA148" i="24"/>
  <c r="AA175" i="24"/>
  <c r="AA45" i="24"/>
  <c r="AA156" i="24"/>
  <c r="AA168" i="24"/>
  <c r="AA180" i="24"/>
  <c r="AA74" i="24"/>
  <c r="AA117" i="24"/>
  <c r="AA115" i="24"/>
  <c r="AA72" i="24"/>
  <c r="AA134" i="24"/>
  <c r="AA125" i="24"/>
  <c r="AA88" i="24"/>
  <c r="AA129" i="24"/>
  <c r="AA25" i="24"/>
  <c r="AA50" i="24"/>
  <c r="AA160" i="24"/>
  <c r="AA172" i="24"/>
  <c r="AA8" i="24"/>
  <c r="AA141" i="24"/>
  <c r="AA53" i="24"/>
  <c r="AA150" i="24"/>
  <c r="AA30" i="24"/>
  <c r="AA62" i="24"/>
  <c r="AA121" i="24"/>
  <c r="AA99" i="24"/>
  <c r="AA177" i="24"/>
  <c r="AA49" i="24"/>
  <c r="AA146" i="24"/>
  <c r="AA29" i="24"/>
  <c r="AA41" i="24"/>
  <c r="AA32" i="24"/>
  <c r="AA22" i="24"/>
  <c r="AA161" i="24"/>
  <c r="AA173" i="24"/>
  <c r="AA36" i="24"/>
  <c r="AA76" i="24"/>
  <c r="AA70" i="24"/>
  <c r="AA75" i="24"/>
  <c r="AA92" i="24"/>
  <c r="AA64" i="24"/>
  <c r="AA98" i="24"/>
  <c r="AA61" i="24"/>
  <c r="AA158" i="24"/>
  <c r="AA15" i="24"/>
  <c r="AA44" i="24"/>
  <c r="AA46" i="24"/>
  <c r="AA54" i="24"/>
  <c r="AA109" i="24"/>
  <c r="AA10" i="24"/>
  <c r="AA19" i="24"/>
  <c r="AA91" i="24"/>
  <c r="P243" i="23"/>
  <c r="P187" i="23"/>
  <c r="P201" i="23"/>
  <c r="P254" i="23"/>
  <c r="P222" i="23"/>
  <c r="P211" i="23"/>
  <c r="P232" i="23"/>
  <c r="P251" i="23"/>
  <c r="P248" i="23"/>
  <c r="P261" i="23"/>
  <c r="P194" i="23"/>
  <c r="P253" i="23"/>
  <c r="P223" i="23"/>
  <c r="P269" i="23"/>
  <c r="P271" i="23"/>
  <c r="P242" i="23"/>
  <c r="P265" i="23"/>
  <c r="P264" i="23"/>
  <c r="P247" i="23"/>
  <c r="P228" i="23"/>
  <c r="P237" i="23"/>
  <c r="P239" i="23"/>
  <c r="P272" i="23"/>
  <c r="P250" i="23"/>
  <c r="P244" i="23"/>
  <c r="P206" i="23"/>
  <c r="P197" i="23"/>
  <c r="P240" i="23"/>
  <c r="P236" i="23"/>
  <c r="P278" i="23"/>
  <c r="P217" i="23"/>
  <c r="P215" i="23"/>
  <c r="P186" i="23"/>
  <c r="P193" i="23"/>
  <c r="P246" i="23"/>
  <c r="P213" i="23"/>
  <c r="K128" i="22"/>
  <c r="J128" i="22"/>
  <c r="Y128" i="22"/>
  <c r="Q128" i="22"/>
  <c r="R128" i="22"/>
  <c r="F128" i="22"/>
  <c r="H127" i="22"/>
  <c r="L119" i="23"/>
  <c r="M119" i="23" s="1"/>
  <c r="F120" i="23"/>
  <c r="B6" i="23"/>
  <c r="B6" i="22"/>
  <c r="L120" i="23" l="1"/>
  <c r="M120" i="23" s="1"/>
  <c r="J129" i="22"/>
  <c r="K129" i="22"/>
  <c r="Y129" i="22"/>
  <c r="Q129" i="22"/>
  <c r="F129" i="22"/>
  <c r="R129" i="22"/>
  <c r="H128" i="22"/>
  <c r="AJ122" i="24"/>
  <c r="L117" i="23"/>
  <c r="M117" i="23" s="1"/>
  <c r="U122" i="23"/>
  <c r="C6" i="22"/>
  <c r="C6" i="24"/>
  <c r="L118" i="23"/>
  <c r="M118" i="23" s="1"/>
  <c r="S116" i="23"/>
  <c r="T117" i="23" s="1"/>
  <c r="V121" i="23" s="1"/>
  <c r="C6" i="23"/>
  <c r="F183" i="23"/>
  <c r="F184" i="23"/>
  <c r="U183" i="23"/>
  <c r="U184" i="23"/>
  <c r="AI183" i="23"/>
  <c r="AI184" i="23"/>
  <c r="F178" i="23"/>
  <c r="F179" i="23"/>
  <c r="F180" i="23"/>
  <c r="F181" i="23"/>
  <c r="F182" i="23"/>
  <c r="U178" i="23"/>
  <c r="U179" i="23"/>
  <c r="U180" i="23"/>
  <c r="U181" i="23"/>
  <c r="U182" i="23"/>
  <c r="AI178" i="23"/>
  <c r="AI179" i="23"/>
  <c r="AI180" i="23"/>
  <c r="AI181" i="23"/>
  <c r="AI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AI164" i="23"/>
  <c r="AI165" i="23"/>
  <c r="AI166" i="23"/>
  <c r="AI167" i="23"/>
  <c r="AI168" i="23"/>
  <c r="AI169" i="23"/>
  <c r="AI170" i="23"/>
  <c r="AI171" i="23"/>
  <c r="AI172" i="23"/>
  <c r="AI173" i="23"/>
  <c r="AI174" i="23"/>
  <c r="AI175" i="23"/>
  <c r="AI176" i="23"/>
  <c r="AI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U133" i="23"/>
  <c r="U134" i="23"/>
  <c r="U135" i="23"/>
  <c r="U136" i="23"/>
  <c r="U137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AI150" i="23"/>
  <c r="AI151" i="23"/>
  <c r="AI152" i="23"/>
  <c r="AI153" i="23"/>
  <c r="AI154" i="23"/>
  <c r="AI155" i="23"/>
  <c r="AI156" i="23"/>
  <c r="AI157" i="23"/>
  <c r="AI158" i="23"/>
  <c r="AI159" i="23"/>
  <c r="AI160" i="23"/>
  <c r="AI161" i="23"/>
  <c r="AI162" i="23"/>
  <c r="AI163" i="23"/>
  <c r="U123" i="23"/>
  <c r="U125" i="23"/>
  <c r="U126" i="23"/>
  <c r="U127" i="23"/>
  <c r="U128" i="23"/>
  <c r="U129" i="23"/>
  <c r="U130" i="23"/>
  <c r="U131" i="23"/>
  <c r="U132" i="23"/>
  <c r="F126" i="23"/>
  <c r="F127" i="23"/>
  <c r="F128" i="23"/>
  <c r="F129" i="23"/>
  <c r="F130" i="23"/>
  <c r="F131" i="23"/>
  <c r="F132" i="23"/>
  <c r="L116" i="23"/>
  <c r="M116" i="23" s="1"/>
  <c r="W121" i="23" l="1"/>
  <c r="AD121" i="23"/>
  <c r="BT29" i="24"/>
  <c r="BT18" i="24"/>
  <c r="AK280" i="23"/>
  <c r="AN281" i="23"/>
  <c r="BT19" i="24"/>
  <c r="BT31" i="24"/>
  <c r="BT55" i="24"/>
  <c r="BT8" i="24"/>
  <c r="BT44" i="24"/>
  <c r="BT11" i="24"/>
  <c r="BT23" i="24"/>
  <c r="BT35" i="24"/>
  <c r="BT47" i="24"/>
  <c r="BT13" i="24"/>
  <c r="BT25" i="24"/>
  <c r="BT37" i="24"/>
  <c r="BT49" i="24"/>
  <c r="BT14" i="24"/>
  <c r="BT38" i="24"/>
  <c r="BT50" i="24"/>
  <c r="BT62" i="24"/>
  <c r="BT28" i="24"/>
  <c r="BT58" i="24"/>
  <c r="AK250" i="23"/>
  <c r="AK279" i="23"/>
  <c r="AN222" i="23"/>
  <c r="AK185" i="23"/>
  <c r="AK199" i="23"/>
  <c r="BT33" i="24"/>
  <c r="BT60" i="24"/>
  <c r="AK249" i="23"/>
  <c r="AK251" i="23"/>
  <c r="AK254" i="23"/>
  <c r="AK188" i="23"/>
  <c r="AK191" i="23"/>
  <c r="AK217" i="23"/>
  <c r="BT34" i="24"/>
  <c r="AK248" i="23"/>
  <c r="AK252" i="23"/>
  <c r="AK253" i="23"/>
  <c r="AN254" i="23"/>
  <c r="AK255" i="23"/>
  <c r="AK260" i="23"/>
  <c r="AK240" i="23"/>
  <c r="AK245" i="23"/>
  <c r="BT36" i="24"/>
  <c r="AK258" i="23"/>
  <c r="AK259" i="23"/>
  <c r="AK261" i="23"/>
  <c r="AK265" i="23"/>
  <c r="AK266" i="23"/>
  <c r="AK232" i="23"/>
  <c r="AK233" i="23"/>
  <c r="AK236" i="23"/>
  <c r="AK239" i="23"/>
  <c r="AN240" i="23"/>
  <c r="AK241" i="23"/>
  <c r="AK242" i="23"/>
  <c r="AK244" i="23"/>
  <c r="AK246" i="23"/>
  <c r="AK198" i="23"/>
  <c r="BT12" i="24"/>
  <c r="BT40" i="24"/>
  <c r="AK247" i="23"/>
  <c r="AN262" i="23"/>
  <c r="AK264" i="23"/>
  <c r="AK267" i="23"/>
  <c r="AK227" i="23"/>
  <c r="AN228" i="23"/>
  <c r="AN230" i="23"/>
  <c r="AK208" i="23"/>
  <c r="AK212" i="23"/>
  <c r="BT46" i="24"/>
  <c r="BT24" i="24"/>
  <c r="BT52" i="24"/>
  <c r="AK270" i="23"/>
  <c r="AK271" i="23"/>
  <c r="AN274" i="23"/>
  <c r="AK277" i="23"/>
  <c r="AK223" i="23"/>
  <c r="AK213" i="23"/>
  <c r="AK219" i="23"/>
  <c r="AN19" i="23"/>
  <c r="AK9" i="23"/>
  <c r="AK21" i="23"/>
  <c r="AK33" i="23"/>
  <c r="AK262" i="23"/>
  <c r="AN223" i="23"/>
  <c r="AK234" i="23"/>
  <c r="AK196" i="23"/>
  <c r="AK207" i="23"/>
  <c r="AK210" i="23"/>
  <c r="AK10" i="23"/>
  <c r="AK22" i="23"/>
  <c r="AK34" i="23"/>
  <c r="AK268" i="23"/>
  <c r="AK226" i="23"/>
  <c r="AN234" i="23"/>
  <c r="AK189" i="23"/>
  <c r="AK204" i="23"/>
  <c r="AN21" i="23"/>
  <c r="AN33" i="23"/>
  <c r="AN45" i="23"/>
  <c r="AK11" i="23"/>
  <c r="AK23" i="23"/>
  <c r="AK35" i="23"/>
  <c r="BT10" i="24"/>
  <c r="AK273" i="23"/>
  <c r="AN226" i="23"/>
  <c r="AK229" i="23"/>
  <c r="AK238" i="23"/>
  <c r="AK193" i="23"/>
  <c r="AK201" i="23"/>
  <c r="AK215" i="23"/>
  <c r="AK218" i="23"/>
  <c r="AN34" i="23"/>
  <c r="AN58" i="23"/>
  <c r="AK12" i="23"/>
  <c r="AK24" i="23"/>
  <c r="AK36" i="23"/>
  <c r="BT21" i="24"/>
  <c r="AK276" i="23"/>
  <c r="AN238" i="23"/>
  <c r="AN11" i="23"/>
  <c r="AK13" i="23"/>
  <c r="AK25" i="23"/>
  <c r="AK37" i="23"/>
  <c r="AK257" i="23"/>
  <c r="AK222" i="23"/>
  <c r="AK225" i="23"/>
  <c r="AN232" i="23"/>
  <c r="AK237" i="23"/>
  <c r="AK243" i="23"/>
  <c r="AK209" i="23"/>
  <c r="AK14" i="23"/>
  <c r="AK26" i="23"/>
  <c r="AK38" i="23"/>
  <c r="BT27" i="24"/>
  <c r="AK281" i="23"/>
  <c r="AK228" i="23"/>
  <c r="AK195" i="23"/>
  <c r="AK203" i="23"/>
  <c r="AK206" i="23"/>
  <c r="AK221" i="23"/>
  <c r="AN13" i="23"/>
  <c r="AK15" i="23"/>
  <c r="AK27" i="23"/>
  <c r="AK39" i="23"/>
  <c r="BT48" i="24"/>
  <c r="AK224" i="23"/>
  <c r="AN231" i="23"/>
  <c r="AN236" i="23"/>
  <c r="AK192" i="23"/>
  <c r="AK211" i="23"/>
  <c r="AK214" i="23"/>
  <c r="AK17" i="23"/>
  <c r="AK29" i="23"/>
  <c r="AK41" i="23"/>
  <c r="AK269" i="23"/>
  <c r="AK30" i="23"/>
  <c r="AK235" i="23"/>
  <c r="AK197" i="23"/>
  <c r="AN29" i="23"/>
  <c r="AK31" i="23"/>
  <c r="AK194" i="23"/>
  <c r="AK187" i="23"/>
  <c r="AN246" i="23"/>
  <c r="AK32" i="23"/>
  <c r="BT39" i="24"/>
  <c r="AK256" i="23"/>
  <c r="AK278" i="23"/>
  <c r="AK202" i="23"/>
  <c r="AK40" i="23"/>
  <c r="AK275" i="23"/>
  <c r="AN242" i="23"/>
  <c r="AN54" i="23"/>
  <c r="AK20" i="23"/>
  <c r="AK28" i="23"/>
  <c r="BT51" i="24"/>
  <c r="AK274" i="23"/>
  <c r="AK42" i="23"/>
  <c r="AK272" i="23"/>
  <c r="AK230" i="23"/>
  <c r="AK200" i="23"/>
  <c r="AK216" i="23"/>
  <c r="AN41" i="23"/>
  <c r="AK43" i="23"/>
  <c r="AK16" i="23"/>
  <c r="AK220" i="23"/>
  <c r="AN42" i="23"/>
  <c r="AK8" i="23"/>
  <c r="AK44" i="23"/>
  <c r="AK205" i="23"/>
  <c r="AK18" i="23"/>
  <c r="AN227" i="23"/>
  <c r="AN17" i="23"/>
  <c r="AN53" i="23"/>
  <c r="AK19" i="23"/>
  <c r="AK263" i="23"/>
  <c r="AK231" i="23"/>
  <c r="BH40" i="24"/>
  <c r="BH32" i="24"/>
  <c r="BH19" i="24"/>
  <c r="BH29" i="24"/>
  <c r="BH46" i="24"/>
  <c r="AK190" i="23"/>
  <c r="BH34" i="24"/>
  <c r="BH20" i="24"/>
  <c r="BH11" i="24"/>
  <c r="BH18" i="24"/>
  <c r="BH28" i="24"/>
  <c r="AK186" i="23"/>
  <c r="BH22" i="24"/>
  <c r="BH12" i="24"/>
  <c r="BH41" i="24"/>
  <c r="BH9" i="24"/>
  <c r="BH8" i="24"/>
  <c r="BH14" i="24"/>
  <c r="BH53" i="24"/>
  <c r="BH23" i="24"/>
  <c r="BH35" i="24"/>
  <c r="BH31" i="24"/>
  <c r="BH56" i="24"/>
  <c r="BH43" i="24"/>
  <c r="BH24" i="24"/>
  <c r="BH13" i="24"/>
  <c r="BH45" i="24"/>
  <c r="BH10" i="24"/>
  <c r="BH44" i="24"/>
  <c r="BH25" i="24"/>
  <c r="BH16" i="24"/>
  <c r="BH39" i="24"/>
  <c r="BH50" i="24"/>
  <c r="BH58" i="24"/>
  <c r="BH38" i="24"/>
  <c r="BH17" i="24"/>
  <c r="BH61" i="24"/>
  <c r="BH27" i="24"/>
  <c r="BH15" i="24"/>
  <c r="BH59" i="24"/>
  <c r="BH26" i="24"/>
  <c r="BH54" i="24"/>
  <c r="BH51" i="24"/>
  <c r="BH52" i="24"/>
  <c r="BH47" i="24"/>
  <c r="BH48" i="24"/>
  <c r="BH37" i="24"/>
  <c r="BH42" i="24"/>
  <c r="BH33" i="24"/>
  <c r="BH30" i="24"/>
  <c r="BH49" i="24"/>
  <c r="BH60" i="24"/>
  <c r="BH55" i="24"/>
  <c r="BH21" i="24"/>
  <c r="BH57" i="24"/>
  <c r="BH36" i="24"/>
  <c r="AY117" i="24"/>
  <c r="AY129" i="24"/>
  <c r="AY141" i="24"/>
  <c r="AY153" i="24"/>
  <c r="AY165" i="24"/>
  <c r="AY177" i="24"/>
  <c r="AY118" i="24"/>
  <c r="AY130" i="24"/>
  <c r="AY142" i="24"/>
  <c r="AY154" i="24"/>
  <c r="AY166" i="24"/>
  <c r="AY178" i="24"/>
  <c r="AY62" i="24"/>
  <c r="AY122" i="24"/>
  <c r="AY134" i="24"/>
  <c r="AY146" i="24"/>
  <c r="AY158" i="24"/>
  <c r="AY170" i="24"/>
  <c r="AY182" i="24"/>
  <c r="AY124" i="24"/>
  <c r="AY136" i="24"/>
  <c r="AY148" i="24"/>
  <c r="AY160" i="24"/>
  <c r="AY172" i="24"/>
  <c r="AY184" i="24"/>
  <c r="AY125" i="24"/>
  <c r="AY137" i="24"/>
  <c r="AY149" i="24"/>
  <c r="AY161" i="24"/>
  <c r="AY173" i="24"/>
  <c r="AY121" i="24"/>
  <c r="AY143" i="24"/>
  <c r="AY163" i="24"/>
  <c r="AY183" i="24"/>
  <c r="Y256" i="23"/>
  <c r="Y262" i="23"/>
  <c r="Y263" i="23"/>
  <c r="Y230" i="23"/>
  <c r="Y231" i="23"/>
  <c r="Y235" i="23"/>
  <c r="Y237" i="23"/>
  <c r="Y201" i="23"/>
  <c r="Y219" i="23"/>
  <c r="AY123" i="24"/>
  <c r="AY144" i="24"/>
  <c r="AY164" i="24"/>
  <c r="Y264" i="23"/>
  <c r="Y267" i="23"/>
  <c r="Y228" i="23"/>
  <c r="Y202" i="23"/>
  <c r="Y220" i="23"/>
  <c r="AY126" i="24"/>
  <c r="AY145" i="24"/>
  <c r="AY167" i="24"/>
  <c r="Y226" i="23"/>
  <c r="Y227" i="23"/>
  <c r="Y203" i="23"/>
  <c r="AY127" i="24"/>
  <c r="AY147" i="24"/>
  <c r="AY168" i="24"/>
  <c r="Y268" i="23"/>
  <c r="Y269" i="23"/>
  <c r="Y225" i="23"/>
  <c r="Y204" i="23"/>
  <c r="AY131" i="24"/>
  <c r="AY151" i="24"/>
  <c r="AY171" i="24"/>
  <c r="Y270" i="23"/>
  <c r="Y271" i="23"/>
  <c r="AY132" i="24"/>
  <c r="AY152" i="24"/>
  <c r="AY174" i="24"/>
  <c r="Y280" i="23"/>
  <c r="Y276" i="23"/>
  <c r="Y190" i="23"/>
  <c r="Y208" i="23"/>
  <c r="AY119" i="24"/>
  <c r="AY139" i="24"/>
  <c r="AY159" i="24"/>
  <c r="AY180" i="24"/>
  <c r="Y253" i="23"/>
  <c r="Y255" i="23"/>
  <c r="Y261" i="23"/>
  <c r="AY116" i="24"/>
  <c r="AY169" i="24"/>
  <c r="Y273" i="23"/>
  <c r="Y233" i="23"/>
  <c r="Y238" i="23"/>
  <c r="Y244" i="23"/>
  <c r="Y189" i="23"/>
  <c r="Y218" i="23"/>
  <c r="AY120" i="24"/>
  <c r="AY175" i="24"/>
  <c r="Y251" i="23"/>
  <c r="Y254" i="23"/>
  <c r="Y191" i="23"/>
  <c r="AY128" i="24"/>
  <c r="AY176" i="24"/>
  <c r="Y232" i="23"/>
  <c r="Y243" i="23"/>
  <c r="Y192" i="23"/>
  <c r="AY133" i="24"/>
  <c r="AY179" i="24"/>
  <c r="Y194" i="23"/>
  <c r="AY135" i="24"/>
  <c r="AY181" i="24"/>
  <c r="Y275" i="23"/>
  <c r="Y279" i="23"/>
  <c r="Y242" i="23"/>
  <c r="Y195" i="23"/>
  <c r="AY138" i="24"/>
  <c r="Y250" i="23"/>
  <c r="Y278" i="23"/>
  <c r="Y196" i="23"/>
  <c r="AY140" i="24"/>
  <c r="Y266" i="23"/>
  <c r="Y241" i="23"/>
  <c r="Y206" i="23"/>
  <c r="AY155" i="24"/>
  <c r="Y252" i="23"/>
  <c r="Y274" i="23"/>
  <c r="Y213" i="23"/>
  <c r="Y239" i="23"/>
  <c r="Y240" i="23"/>
  <c r="Y207" i="23"/>
  <c r="AY150" i="24"/>
  <c r="Y246" i="23"/>
  <c r="Y245" i="23"/>
  <c r="Y214" i="23"/>
  <c r="AY114" i="24"/>
  <c r="Y234" i="23"/>
  <c r="Y215" i="23"/>
  <c r="AY115" i="24"/>
  <c r="Y216" i="23"/>
  <c r="AY162" i="24"/>
  <c r="AY156" i="24"/>
  <c r="Y249" i="23"/>
  <c r="AY157" i="24"/>
  <c r="Y224" i="23"/>
  <c r="Y199" i="23"/>
  <c r="Y281" i="23"/>
  <c r="Y200" i="23"/>
  <c r="Y222" i="23"/>
  <c r="Y221" i="23"/>
  <c r="AM58" i="24"/>
  <c r="AM16" i="24"/>
  <c r="AM48" i="24"/>
  <c r="AM13" i="24"/>
  <c r="Y259" i="23"/>
  <c r="Y188" i="23"/>
  <c r="Y210" i="23"/>
  <c r="Y209" i="23"/>
  <c r="Y277" i="23"/>
  <c r="Y198" i="23"/>
  <c r="Y197" i="23"/>
  <c r="AM36" i="24"/>
  <c r="AM21" i="24"/>
  <c r="AM43" i="24"/>
  <c r="AM41" i="24"/>
  <c r="AM24" i="24"/>
  <c r="Y265" i="23"/>
  <c r="Y186" i="23"/>
  <c r="Y185" i="23"/>
  <c r="Y229" i="23"/>
  <c r="AM17" i="24"/>
  <c r="AM44" i="24"/>
  <c r="AM26" i="24"/>
  <c r="AM53" i="24"/>
  <c r="AM34" i="24"/>
  <c r="Y217" i="23"/>
  <c r="Y205" i="23"/>
  <c r="Y272" i="23"/>
  <c r="AM60" i="24"/>
  <c r="AM27" i="24"/>
  <c r="AM14" i="24"/>
  <c r="AM10" i="24"/>
  <c r="AM18" i="24"/>
  <c r="AM25" i="24"/>
  <c r="AM22" i="24"/>
  <c r="AM46" i="24"/>
  <c r="AM15" i="24"/>
  <c r="AM49" i="24"/>
  <c r="AM29" i="24"/>
  <c r="AM12" i="24"/>
  <c r="AM8" i="24"/>
  <c r="AM31" i="24"/>
  <c r="AM50" i="24"/>
  <c r="AM61" i="24"/>
  <c r="AM32" i="24"/>
  <c r="Y258" i="23"/>
  <c r="Y257" i="23"/>
  <c r="AM57" i="24"/>
  <c r="AM33" i="24"/>
  <c r="AM52" i="24"/>
  <c r="AM20" i="24"/>
  <c r="AM45" i="24"/>
  <c r="AM55" i="24"/>
  <c r="AM40" i="24"/>
  <c r="AM38" i="24"/>
  <c r="AM35" i="24"/>
  <c r="Y260" i="23"/>
  <c r="Y247" i="23"/>
  <c r="AM19" i="24"/>
  <c r="AM23" i="24"/>
  <c r="Y248" i="23"/>
  <c r="Y223" i="23"/>
  <c r="AM9" i="24"/>
  <c r="AM28" i="24"/>
  <c r="AM11" i="24"/>
  <c r="Y236" i="23"/>
  <c r="Y211" i="23"/>
  <c r="AM59" i="24"/>
  <c r="AM54" i="24"/>
  <c r="Y212" i="23"/>
  <c r="Y187" i="23"/>
  <c r="AM47" i="24"/>
  <c r="AM56" i="24"/>
  <c r="AM42" i="24"/>
  <c r="AM30" i="24"/>
  <c r="AM39" i="24"/>
  <c r="AM37" i="24"/>
  <c r="Y193" i="23"/>
  <c r="AM51" i="24"/>
  <c r="Y10" i="23"/>
  <c r="Y22" i="23"/>
  <c r="Y11" i="23"/>
  <c r="Y23" i="23"/>
  <c r="Y12" i="23"/>
  <c r="Y24" i="23"/>
  <c r="Y13" i="23"/>
  <c r="Y25" i="23"/>
  <c r="Y14" i="23"/>
  <c r="Y26" i="23"/>
  <c r="Y15" i="23"/>
  <c r="Y27" i="23"/>
  <c r="Y16" i="23"/>
  <c r="Y28" i="23"/>
  <c r="Y17" i="23"/>
  <c r="Y29" i="23"/>
  <c r="Y18" i="23"/>
  <c r="Y30" i="23"/>
  <c r="Y19" i="23"/>
  <c r="Y31" i="23"/>
  <c r="Y8" i="23"/>
  <c r="Y20" i="23"/>
  <c r="Y32" i="23"/>
  <c r="Y9" i="23"/>
  <c r="Y21" i="23"/>
  <c r="Y33" i="23"/>
  <c r="AN18" i="23"/>
  <c r="AN30" i="23"/>
  <c r="AN8" i="23"/>
  <c r="AN20" i="23"/>
  <c r="AN32" i="23"/>
  <c r="AN9" i="23"/>
  <c r="AN10" i="23"/>
  <c r="AN22" i="23"/>
  <c r="AN23" i="23"/>
  <c r="AN26" i="23"/>
  <c r="AN12" i="23"/>
  <c r="AN24" i="23"/>
  <c r="AN25" i="23"/>
  <c r="AN14" i="23"/>
  <c r="AN15" i="23"/>
  <c r="AN27" i="23"/>
  <c r="AN31" i="23"/>
  <c r="AN16" i="23"/>
  <c r="AN28" i="23"/>
  <c r="AN46" i="23"/>
  <c r="AN40" i="23"/>
  <c r="AK51" i="23"/>
  <c r="AN35" i="23"/>
  <c r="AN47" i="23"/>
  <c r="AN59" i="23"/>
  <c r="AK52" i="23"/>
  <c r="AN36" i="23"/>
  <c r="AN48" i="23"/>
  <c r="AN60" i="23"/>
  <c r="AK53" i="23"/>
  <c r="AN37" i="23"/>
  <c r="AN49" i="23"/>
  <c r="AN61" i="23"/>
  <c r="AN51" i="23"/>
  <c r="AN52" i="23"/>
  <c r="AK54" i="23"/>
  <c r="AN38" i="23"/>
  <c r="AN50" i="23"/>
  <c r="AN39" i="23"/>
  <c r="AK45" i="23"/>
  <c r="AK57" i="23"/>
  <c r="AK46" i="23"/>
  <c r="AK58" i="23"/>
  <c r="AK47" i="23"/>
  <c r="AK59" i="23"/>
  <c r="AN43" i="23"/>
  <c r="AN55" i="23"/>
  <c r="AK55" i="23"/>
  <c r="AK56" i="23"/>
  <c r="AK48" i="23"/>
  <c r="AK60" i="23"/>
  <c r="AN44" i="23"/>
  <c r="AN56" i="23"/>
  <c r="AK50" i="23"/>
  <c r="AK49" i="23"/>
  <c r="AK61" i="23"/>
  <c r="AN57" i="23"/>
  <c r="Y38" i="23"/>
  <c r="Y50" i="23"/>
  <c r="Y55" i="23"/>
  <c r="Y39" i="23"/>
  <c r="Y51" i="23"/>
  <c r="Y40" i="23"/>
  <c r="Y52" i="23"/>
  <c r="Y41" i="23"/>
  <c r="Y53" i="23"/>
  <c r="Y42" i="23"/>
  <c r="Y54" i="23"/>
  <c r="Y43" i="23"/>
  <c r="Y44" i="23"/>
  <c r="Y56" i="23"/>
  <c r="Y45" i="23"/>
  <c r="Y57" i="23"/>
  <c r="Y34" i="23"/>
  <c r="Y46" i="23"/>
  <c r="Y58" i="23"/>
  <c r="Y35" i="23"/>
  <c r="Y47" i="23"/>
  <c r="Y59" i="23"/>
  <c r="Y36" i="23"/>
  <c r="Y48" i="23"/>
  <c r="Y60" i="23"/>
  <c r="Y37" i="23"/>
  <c r="Y49" i="23"/>
  <c r="Y61" i="23"/>
  <c r="H129" i="22"/>
  <c r="F130" i="22"/>
  <c r="Q130" i="22"/>
  <c r="R130" i="22"/>
  <c r="J130" i="22"/>
  <c r="K130" i="22"/>
  <c r="Y130" i="22"/>
  <c r="U121" i="23"/>
  <c r="CL31" i="24"/>
  <c r="CL21" i="24"/>
  <c r="BY42" i="24"/>
  <c r="BH63" i="24"/>
  <c r="BH62" i="24"/>
  <c r="BY29" i="24"/>
  <c r="AM63" i="24"/>
  <c r="AM62" i="24"/>
  <c r="AJ121" i="24"/>
  <c r="AJ120" i="24"/>
  <c r="AJ116" i="24"/>
  <c r="CL46" i="24"/>
  <c r="BY55" i="24"/>
  <c r="K62" i="24"/>
  <c r="E77" i="23"/>
  <c r="E89" i="23"/>
  <c r="E84" i="23"/>
  <c r="E72" i="23"/>
  <c r="E79" i="23"/>
  <c r="E67" i="23"/>
  <c r="E65" i="23"/>
  <c r="E85" i="23"/>
  <c r="E73" i="23"/>
  <c r="E68" i="23"/>
  <c r="E63" i="23"/>
  <c r="E86" i="23"/>
  <c r="E74" i="23"/>
  <c r="E82" i="23"/>
  <c r="F117" i="23"/>
  <c r="E81" i="23"/>
  <c r="E69" i="23"/>
  <c r="E78" i="23"/>
  <c r="E66" i="23"/>
  <c r="E80" i="23"/>
  <c r="F119" i="23"/>
  <c r="E71" i="23"/>
  <c r="E76" i="23"/>
  <c r="E83" i="23"/>
  <c r="E70" i="23"/>
  <c r="F118" i="23"/>
  <c r="E64" i="23"/>
  <c r="F116" i="23"/>
  <c r="E88" i="23"/>
  <c r="E87" i="23"/>
  <c r="E75" i="23"/>
  <c r="AS50" i="23" l="1"/>
  <c r="BT127" i="24"/>
  <c r="F96" i="23"/>
  <c r="L96" i="23"/>
  <c r="M96" i="23" s="1"/>
  <c r="F101" i="23"/>
  <c r="L101" i="23"/>
  <c r="M101" i="23" s="1"/>
  <c r="F64" i="23"/>
  <c r="L64" i="23"/>
  <c r="M64" i="23" s="1"/>
  <c r="F108" i="23"/>
  <c r="L108" i="23"/>
  <c r="M108" i="23" s="1"/>
  <c r="F111" i="23"/>
  <c r="L111" i="23"/>
  <c r="M111" i="23" s="1"/>
  <c r="F66" i="23"/>
  <c r="L66" i="23"/>
  <c r="M66" i="23" s="1"/>
  <c r="F112" i="23"/>
  <c r="L112" i="23"/>
  <c r="M112" i="23" s="1"/>
  <c r="F65" i="23"/>
  <c r="L65" i="23"/>
  <c r="M65" i="23" s="1"/>
  <c r="F109" i="23"/>
  <c r="L109" i="23"/>
  <c r="M109" i="23" s="1"/>
  <c r="F70" i="23"/>
  <c r="L70" i="23"/>
  <c r="M70" i="23" s="1"/>
  <c r="F78" i="23"/>
  <c r="L78" i="23"/>
  <c r="M78" i="23" s="1"/>
  <c r="F74" i="23"/>
  <c r="L74" i="23"/>
  <c r="M74" i="23" s="1"/>
  <c r="F67" i="23"/>
  <c r="L67" i="23"/>
  <c r="M67" i="23" s="1"/>
  <c r="F113" i="23"/>
  <c r="L113" i="23"/>
  <c r="M113" i="23" s="1"/>
  <c r="F107" i="23"/>
  <c r="L107" i="23"/>
  <c r="M107" i="23" s="1"/>
  <c r="F77" i="23"/>
  <c r="L77" i="23"/>
  <c r="M77" i="23" s="1"/>
  <c r="F86" i="23"/>
  <c r="L86" i="23"/>
  <c r="M86" i="23" s="1"/>
  <c r="F102" i="23"/>
  <c r="L102" i="23"/>
  <c r="M102" i="23" s="1"/>
  <c r="F79" i="23"/>
  <c r="L79" i="23"/>
  <c r="M79" i="23" s="1"/>
  <c r="F83" i="23"/>
  <c r="L83" i="23"/>
  <c r="M83" i="23" s="1"/>
  <c r="F98" i="23"/>
  <c r="L98" i="23"/>
  <c r="M98" i="23" s="1"/>
  <c r="F91" i="23"/>
  <c r="L91" i="23"/>
  <c r="M91" i="23" s="1"/>
  <c r="F75" i="23"/>
  <c r="L75" i="23"/>
  <c r="M75" i="23" s="1"/>
  <c r="F103" i="23"/>
  <c r="L103" i="23"/>
  <c r="M103" i="23" s="1"/>
  <c r="F114" i="23"/>
  <c r="L114" i="23"/>
  <c r="M114" i="23" s="1"/>
  <c r="F110" i="23"/>
  <c r="L110" i="23"/>
  <c r="M110" i="23" s="1"/>
  <c r="F104" i="23"/>
  <c r="L104" i="23"/>
  <c r="M104" i="23" s="1"/>
  <c r="F94" i="23"/>
  <c r="L94" i="23"/>
  <c r="M94" i="23" s="1"/>
  <c r="F90" i="23"/>
  <c r="L90" i="23"/>
  <c r="M90" i="23" s="1"/>
  <c r="F95" i="23"/>
  <c r="L95" i="23"/>
  <c r="M95" i="23" s="1"/>
  <c r="F63" i="23"/>
  <c r="L63" i="23"/>
  <c r="M63" i="23" s="1"/>
  <c r="F82" i="23"/>
  <c r="L82" i="23"/>
  <c r="M82" i="23" s="1"/>
  <c r="F99" i="23"/>
  <c r="L99" i="23"/>
  <c r="M99" i="23" s="1"/>
  <c r="F76" i="23"/>
  <c r="L76" i="23"/>
  <c r="M76" i="23" s="1"/>
  <c r="F81" i="23"/>
  <c r="L81" i="23"/>
  <c r="M81" i="23" s="1"/>
  <c r="F68" i="23"/>
  <c r="L68" i="23"/>
  <c r="M68" i="23" s="1"/>
  <c r="F72" i="23"/>
  <c r="L72" i="23"/>
  <c r="M72" i="23" s="1"/>
  <c r="F85" i="23"/>
  <c r="L85" i="23"/>
  <c r="M85" i="23" s="1"/>
  <c r="F97" i="23"/>
  <c r="L97" i="23"/>
  <c r="M97" i="23" s="1"/>
  <c r="F87" i="23"/>
  <c r="L87" i="23"/>
  <c r="M87" i="23" s="1"/>
  <c r="F69" i="23"/>
  <c r="L69" i="23"/>
  <c r="M69" i="23" s="1"/>
  <c r="F115" i="23"/>
  <c r="L115" i="23"/>
  <c r="M115" i="23" s="1"/>
  <c r="F88" i="23"/>
  <c r="L88" i="23"/>
  <c r="M88" i="23" s="1"/>
  <c r="F71" i="23"/>
  <c r="L71" i="23"/>
  <c r="M71" i="23" s="1"/>
  <c r="F93" i="23"/>
  <c r="L93" i="23"/>
  <c r="M93" i="23" s="1"/>
  <c r="F92" i="23"/>
  <c r="L92" i="23"/>
  <c r="M92" i="23" s="1"/>
  <c r="F84" i="23"/>
  <c r="L84" i="23"/>
  <c r="M84" i="23" s="1"/>
  <c r="F80" i="23"/>
  <c r="L80" i="23"/>
  <c r="M80" i="23" s="1"/>
  <c r="F100" i="23"/>
  <c r="L100" i="23"/>
  <c r="M100" i="23" s="1"/>
  <c r="F106" i="23"/>
  <c r="L106" i="23"/>
  <c r="M106" i="23" s="1"/>
  <c r="F105" i="23"/>
  <c r="L105" i="23"/>
  <c r="M105" i="23" s="1"/>
  <c r="F73" i="23"/>
  <c r="L73" i="23"/>
  <c r="M73" i="23" s="1"/>
  <c r="F89" i="23"/>
  <c r="L89" i="23"/>
  <c r="M89" i="23" s="1"/>
  <c r="AA269" i="23"/>
  <c r="AB269" i="23"/>
  <c r="I269" i="23"/>
  <c r="O269" i="23" s="1"/>
  <c r="N268" i="23"/>
  <c r="N229" i="23"/>
  <c r="N270" i="23"/>
  <c r="N274" i="23"/>
  <c r="N218" i="23"/>
  <c r="N259" i="23"/>
  <c r="N267" i="23"/>
  <c r="N198" i="23"/>
  <c r="N279" i="23"/>
  <c r="N200" i="23"/>
  <c r="N241" i="23"/>
  <c r="N256" i="23"/>
  <c r="N255" i="23"/>
  <c r="N276" i="23"/>
  <c r="N262" i="23"/>
  <c r="N233" i="23"/>
  <c r="AB59" i="24"/>
  <c r="AB58" i="24"/>
  <c r="AB26" i="24"/>
  <c r="AB41" i="24"/>
  <c r="AB25" i="24"/>
  <c r="AB22" i="24"/>
  <c r="AB8" i="24"/>
  <c r="AB60" i="24"/>
  <c r="AB49" i="24"/>
  <c r="AB32" i="24"/>
  <c r="AB27" i="24"/>
  <c r="AB35" i="24"/>
  <c r="AB29" i="24"/>
  <c r="AB55" i="24"/>
  <c r="AB39" i="24"/>
  <c r="AB33" i="24"/>
  <c r="AB31" i="24"/>
  <c r="AB10" i="24"/>
  <c r="AB30" i="24"/>
  <c r="AB54" i="24"/>
  <c r="AB19" i="24"/>
  <c r="N214" i="23"/>
  <c r="AB47" i="24"/>
  <c r="AB52" i="24"/>
  <c r="AB61" i="24"/>
  <c r="AB37" i="24"/>
  <c r="AB36" i="24"/>
  <c r="N191" i="23"/>
  <c r="N221" i="23"/>
  <c r="N208" i="23"/>
  <c r="AB23" i="24"/>
  <c r="AB40" i="24"/>
  <c r="AB45" i="24"/>
  <c r="AB42" i="24"/>
  <c r="AB34" i="24"/>
  <c r="AB24" i="24"/>
  <c r="N216" i="23"/>
  <c r="N204" i="23"/>
  <c r="AB28" i="24"/>
  <c r="AB48" i="24"/>
  <c r="AB9" i="24"/>
  <c r="AB16" i="24"/>
  <c r="AB57" i="24"/>
  <c r="AB44" i="24"/>
  <c r="AB50" i="24"/>
  <c r="AB18" i="24"/>
  <c r="AB56" i="24"/>
  <c r="N231" i="23"/>
  <c r="N212" i="23"/>
  <c r="AB38" i="24"/>
  <c r="AB51" i="24"/>
  <c r="AB17" i="24"/>
  <c r="AB21" i="24"/>
  <c r="N199" i="23"/>
  <c r="N219" i="23"/>
  <c r="N196" i="23"/>
  <c r="AB20" i="24"/>
  <c r="AB15" i="24"/>
  <c r="AB43" i="24"/>
  <c r="N203" i="23"/>
  <c r="N192" i="23"/>
  <c r="AB53" i="24"/>
  <c r="AB46" i="24"/>
  <c r="N190" i="23"/>
  <c r="AB14" i="24"/>
  <c r="N220" i="23"/>
  <c r="N224" i="23"/>
  <c r="N225" i="23"/>
  <c r="N254" i="23"/>
  <c r="N261" i="23"/>
  <c r="N242" i="23"/>
  <c r="N239" i="23"/>
  <c r="N240" i="23"/>
  <c r="N193" i="23"/>
  <c r="N223" i="23"/>
  <c r="N215" i="23"/>
  <c r="N249" i="23"/>
  <c r="N226" i="23"/>
  <c r="N210" i="23"/>
  <c r="N217" i="23"/>
  <c r="N197" i="23"/>
  <c r="N209" i="23"/>
  <c r="N235" i="23"/>
  <c r="N222" i="23"/>
  <c r="N194" i="23"/>
  <c r="N265" i="23"/>
  <c r="N272" i="23"/>
  <c r="N236" i="23"/>
  <c r="N246" i="23"/>
  <c r="N247" i="23"/>
  <c r="N206" i="23"/>
  <c r="N201" i="23"/>
  <c r="N258" i="23"/>
  <c r="N185" i="23"/>
  <c r="N257" i="23"/>
  <c r="N244" i="23"/>
  <c r="N269" i="23"/>
  <c r="N245" i="23"/>
  <c r="N273" i="23"/>
  <c r="N260" i="23"/>
  <c r="N211" i="23"/>
  <c r="N253" i="23"/>
  <c r="N264" i="23"/>
  <c r="N250" i="23"/>
  <c r="N278" i="23"/>
  <c r="N213" i="23"/>
  <c r="N232" i="23"/>
  <c r="N187" i="23"/>
  <c r="N186" i="23"/>
  <c r="N266" i="23"/>
  <c r="N207" i="23"/>
  <c r="N280" i="23"/>
  <c r="N281" i="23"/>
  <c r="N251" i="23"/>
  <c r="N188" i="23"/>
  <c r="N248" i="23"/>
  <c r="N252" i="23"/>
  <c r="N202" i="23"/>
  <c r="N189" i="23"/>
  <c r="N243" i="23"/>
  <c r="N195" i="23"/>
  <c r="N234" i="23"/>
  <c r="N230" i="23"/>
  <c r="N227" i="23"/>
  <c r="N238" i="23"/>
  <c r="N228" i="23"/>
  <c r="N271" i="23"/>
  <c r="N275" i="23"/>
  <c r="N277" i="23"/>
  <c r="N263" i="23"/>
  <c r="N205" i="23"/>
  <c r="N237" i="23"/>
  <c r="AA210" i="23"/>
  <c r="AB210" i="23"/>
  <c r="I210" i="23"/>
  <c r="AX48" i="24"/>
  <c r="AY48" i="24"/>
  <c r="L48" i="24"/>
  <c r="AC48" i="24" s="1"/>
  <c r="L43" i="24"/>
  <c r="AC43" i="24" s="1"/>
  <c r="AY43" i="24"/>
  <c r="AA188" i="23"/>
  <c r="I188" i="23"/>
  <c r="O188" i="23" s="1"/>
  <c r="AB188" i="23"/>
  <c r="AA267" i="23"/>
  <c r="I267" i="23"/>
  <c r="O267" i="23" s="1"/>
  <c r="AB267" i="23"/>
  <c r="AA242" i="23"/>
  <c r="I242" i="23"/>
  <c r="AB242" i="23"/>
  <c r="AA265" i="23"/>
  <c r="I265" i="23"/>
  <c r="O265" i="23" s="1"/>
  <c r="AB265" i="23"/>
  <c r="AX54" i="24"/>
  <c r="AY54" i="24"/>
  <c r="L54" i="24"/>
  <c r="AC54" i="24" s="1"/>
  <c r="AY53" i="24"/>
  <c r="L53" i="24"/>
  <c r="AC53" i="24" s="1"/>
  <c r="AY14" i="24"/>
  <c r="L14" i="24"/>
  <c r="AC14" i="24" s="1"/>
  <c r="AY9" i="24"/>
  <c r="L9" i="24"/>
  <c r="AC9" i="24" s="1"/>
  <c r="AM224" i="23"/>
  <c r="AN224" i="23"/>
  <c r="AM200" i="23"/>
  <c r="AN200" i="23"/>
  <c r="AM186" i="23"/>
  <c r="AN186" i="23"/>
  <c r="AM271" i="23"/>
  <c r="AN271" i="23"/>
  <c r="AM264" i="23"/>
  <c r="AN264" i="23"/>
  <c r="AM257" i="23"/>
  <c r="AN257" i="23"/>
  <c r="AM249" i="23"/>
  <c r="AN249" i="23"/>
  <c r="AM199" i="23"/>
  <c r="AN199" i="23"/>
  <c r="BS32" i="24"/>
  <c r="BT32" i="24"/>
  <c r="AA215" i="23"/>
  <c r="I215" i="23"/>
  <c r="O215" i="23" s="1"/>
  <c r="AB215" i="23"/>
  <c r="AM205" i="23"/>
  <c r="AN205" i="23"/>
  <c r="AA189" i="23"/>
  <c r="I189" i="23"/>
  <c r="O189" i="23" s="1"/>
  <c r="AB189" i="23"/>
  <c r="AB268" i="23"/>
  <c r="I268" i="23"/>
  <c r="AA258" i="23"/>
  <c r="AB258" i="23"/>
  <c r="L24" i="24"/>
  <c r="AC24" i="24" s="1"/>
  <c r="AY24" i="24"/>
  <c r="AA212" i="23"/>
  <c r="I212" i="23"/>
  <c r="O212" i="23" s="1"/>
  <c r="AB212" i="23"/>
  <c r="AB264" i="23"/>
  <c r="I264" i="23"/>
  <c r="O264" i="23" s="1"/>
  <c r="AA241" i="23"/>
  <c r="AB241" i="23"/>
  <c r="I241" i="23"/>
  <c r="O241" i="23" s="1"/>
  <c r="AY25" i="24"/>
  <c r="L25" i="24"/>
  <c r="AC25" i="24" s="1"/>
  <c r="AX41" i="24"/>
  <c r="AY41" i="24"/>
  <c r="L41" i="24"/>
  <c r="AC41" i="24" s="1"/>
  <c r="AM208" i="23"/>
  <c r="AN208" i="23"/>
  <c r="AM244" i="23"/>
  <c r="AN244" i="23"/>
  <c r="I258" i="23"/>
  <c r="O258" i="23" s="1"/>
  <c r="AN258" i="23"/>
  <c r="BS16" i="24"/>
  <c r="BT16" i="24"/>
  <c r="AM247" i="23"/>
  <c r="AN247" i="23"/>
  <c r="AM256" i="23"/>
  <c r="AN256" i="23"/>
  <c r="AM245" i="23"/>
  <c r="AN245" i="23"/>
  <c r="AM260" i="23"/>
  <c r="AN260" i="23"/>
  <c r="BS20" i="24"/>
  <c r="BT20" i="24"/>
  <c r="AA199" i="23"/>
  <c r="AB199" i="23"/>
  <c r="I199" i="23"/>
  <c r="O199" i="23" s="1"/>
  <c r="AA238" i="23"/>
  <c r="AB238" i="23"/>
  <c r="I238" i="23"/>
  <c r="AY36" i="24"/>
  <c r="L36" i="24"/>
  <c r="AC36" i="24" s="1"/>
  <c r="AY51" i="24"/>
  <c r="L51" i="24"/>
  <c r="AC51" i="24" s="1"/>
  <c r="AX18" i="24"/>
  <c r="L18" i="24"/>
  <c r="AC18" i="24" s="1"/>
  <c r="AY18" i="24"/>
  <c r="AA221" i="23"/>
  <c r="AB221" i="23"/>
  <c r="I221" i="23"/>
  <c r="O221" i="23" s="1"/>
  <c r="AA209" i="23"/>
  <c r="AB209" i="23"/>
  <c r="I209" i="23"/>
  <c r="O209" i="23" s="1"/>
  <c r="AA218" i="23"/>
  <c r="I218" i="23"/>
  <c r="AB218" i="23"/>
  <c r="AA223" i="23"/>
  <c r="AB223" i="23"/>
  <c r="I223" i="23"/>
  <c r="AA247" i="23"/>
  <c r="AB247" i="23"/>
  <c r="I247" i="23"/>
  <c r="O247" i="23" s="1"/>
  <c r="AA237" i="23"/>
  <c r="I237" i="23"/>
  <c r="O237" i="23" s="1"/>
  <c r="AB237" i="23"/>
  <c r="AB239" i="23"/>
  <c r="I239" i="23"/>
  <c r="O239" i="23" s="1"/>
  <c r="AX29" i="24"/>
  <c r="L29" i="24"/>
  <c r="AC29" i="24" s="1"/>
  <c r="AY29" i="24"/>
  <c r="AY59" i="24"/>
  <c r="L59" i="24"/>
  <c r="AC59" i="24" s="1"/>
  <c r="L56" i="24"/>
  <c r="AC56" i="24" s="1"/>
  <c r="AY56" i="24"/>
  <c r="AM203" i="23"/>
  <c r="AN203" i="23"/>
  <c r="AM265" i="23"/>
  <c r="AN265" i="23"/>
  <c r="AM221" i="23"/>
  <c r="AN221" i="23"/>
  <c r="AM187" i="23"/>
  <c r="AN187" i="23"/>
  <c r="AM218" i="23"/>
  <c r="AN218" i="23"/>
  <c r="AM239" i="23"/>
  <c r="AN239" i="23"/>
  <c r="BS9" i="24"/>
  <c r="BT9" i="24"/>
  <c r="BS43" i="24"/>
  <c r="BT43" i="24"/>
  <c r="AA280" i="23"/>
  <c r="AB280" i="23"/>
  <c r="I280" i="23"/>
  <c r="O280" i="23" s="1"/>
  <c r="AA202" i="23"/>
  <c r="AB202" i="23"/>
  <c r="I202" i="23"/>
  <c r="AA206" i="23"/>
  <c r="I206" i="23"/>
  <c r="AB206" i="23"/>
  <c r="AA278" i="23"/>
  <c r="AB278" i="23"/>
  <c r="AY17" i="24"/>
  <c r="L17" i="24"/>
  <c r="AC17" i="24" s="1"/>
  <c r="AM215" i="23"/>
  <c r="AN215" i="23"/>
  <c r="AM233" i="23"/>
  <c r="AN233" i="23"/>
  <c r="AA255" i="23"/>
  <c r="I255" i="23"/>
  <c r="O255" i="23" s="1"/>
  <c r="AB255" i="23"/>
  <c r="AA194" i="23"/>
  <c r="I194" i="23"/>
  <c r="AB194" i="23"/>
  <c r="AA220" i="23"/>
  <c r="I220" i="23"/>
  <c r="O220" i="23" s="1"/>
  <c r="AB220" i="23"/>
  <c r="AA203" i="23"/>
  <c r="I203" i="23"/>
  <c r="O203" i="23" s="1"/>
  <c r="AB203" i="23"/>
  <c r="I276" i="23"/>
  <c r="O276" i="23" s="1"/>
  <c r="AB276" i="23"/>
  <c r="AA201" i="23"/>
  <c r="AB201" i="23"/>
  <c r="I201" i="23"/>
  <c r="O201" i="23" s="1"/>
  <c r="AA277" i="23"/>
  <c r="I277" i="23"/>
  <c r="O277" i="23" s="1"/>
  <c r="AB277" i="23"/>
  <c r="L39" i="24"/>
  <c r="AC39" i="24" s="1"/>
  <c r="AY39" i="24"/>
  <c r="AY37" i="24"/>
  <c r="L37" i="24"/>
  <c r="AC37" i="24" s="1"/>
  <c r="AA231" i="23"/>
  <c r="AB231" i="23"/>
  <c r="I231" i="23"/>
  <c r="O231" i="23" s="1"/>
  <c r="AA257" i="23"/>
  <c r="AB257" i="23"/>
  <c r="I257" i="23"/>
  <c r="O257" i="23" s="1"/>
  <c r="L40" i="24"/>
  <c r="AC40" i="24" s="1"/>
  <c r="AY40" i="24"/>
  <c r="AY35" i="24"/>
  <c r="L35" i="24"/>
  <c r="AC35" i="24" s="1"/>
  <c r="AY32" i="24"/>
  <c r="L32" i="24"/>
  <c r="AC32" i="24" s="1"/>
  <c r="AM192" i="23"/>
  <c r="AN192" i="23"/>
  <c r="AM276" i="23"/>
  <c r="AN276" i="23"/>
  <c r="AM212" i="23"/>
  <c r="AN212" i="23"/>
  <c r="AM202" i="23"/>
  <c r="AN202" i="23"/>
  <c r="AM197" i="23"/>
  <c r="AN197" i="23"/>
  <c r="AM255" i="23"/>
  <c r="AN255" i="23"/>
  <c r="AM279" i="23"/>
  <c r="AN279" i="23"/>
  <c r="AM195" i="23"/>
  <c r="AN195" i="23"/>
  <c r="BS26" i="24"/>
  <c r="BT26" i="24"/>
  <c r="BS61" i="24"/>
  <c r="BT61" i="24"/>
  <c r="AA236" i="23"/>
  <c r="AA246" i="23"/>
  <c r="AA234" i="23"/>
  <c r="AX51" i="24"/>
  <c r="AA226" i="23"/>
  <c r="AX15" i="24"/>
  <c r="AX60" i="24"/>
  <c r="AX49" i="24"/>
  <c r="AX32" i="24"/>
  <c r="AX8" i="24"/>
  <c r="AX11" i="24"/>
  <c r="AX61" i="24"/>
  <c r="AX57" i="24"/>
  <c r="AX10" i="24"/>
  <c r="AX35" i="24"/>
  <c r="AX21" i="24"/>
  <c r="AX25" i="24"/>
  <c r="AX52" i="24"/>
  <c r="AX46" i="24"/>
  <c r="AX33" i="24"/>
  <c r="AX9" i="24"/>
  <c r="AX30" i="24"/>
  <c r="AX40" i="24"/>
  <c r="AX34" i="24"/>
  <c r="AX56" i="24"/>
  <c r="AA235" i="23"/>
  <c r="AX43" i="24"/>
  <c r="AX36" i="24"/>
  <c r="AX44" i="24"/>
  <c r="AA240" i="23"/>
  <c r="AX23" i="24"/>
  <c r="AX24" i="24"/>
  <c r="AA224" i="23"/>
  <c r="AA268" i="23"/>
  <c r="AA252" i="23"/>
  <c r="AA222" i="23"/>
  <c r="AX55" i="24"/>
  <c r="AX16" i="24"/>
  <c r="AX39" i="24"/>
  <c r="AX22" i="24"/>
  <c r="AX50" i="24"/>
  <c r="AA244" i="23"/>
  <c r="AA232" i="23"/>
  <c r="AX27" i="24"/>
  <c r="AX38" i="24"/>
  <c r="AA230" i="23"/>
  <c r="AA228" i="23"/>
  <c r="AA264" i="23"/>
  <c r="AA248" i="23"/>
  <c r="AX58" i="24"/>
  <c r="AX26" i="24"/>
  <c r="AX42" i="24"/>
  <c r="AX37" i="24"/>
  <c r="AX45" i="24"/>
  <c r="AA260" i="23"/>
  <c r="AX53" i="24"/>
  <c r="AX20" i="24"/>
  <c r="AX19" i="24"/>
  <c r="AA276" i="23"/>
  <c r="AX17" i="24"/>
  <c r="AX14" i="24"/>
  <c r="AX31" i="24"/>
  <c r="AX59" i="24"/>
  <c r="AA281" i="23"/>
  <c r="AA243" i="23"/>
  <c r="AA272" i="23"/>
  <c r="AA256" i="23"/>
  <c r="AX47" i="24"/>
  <c r="AX12" i="24"/>
  <c r="AA239" i="23"/>
  <c r="AY52" i="24"/>
  <c r="L52" i="24"/>
  <c r="AC52" i="24" s="1"/>
  <c r="AM185" i="23"/>
  <c r="AN185" i="23"/>
  <c r="AA208" i="23"/>
  <c r="I208" i="23"/>
  <c r="O208" i="23" s="1"/>
  <c r="AB208" i="23"/>
  <c r="AA214" i="23"/>
  <c r="I214" i="23"/>
  <c r="AB214" i="23"/>
  <c r="I272" i="23"/>
  <c r="O272" i="23" s="1"/>
  <c r="AB272" i="23"/>
  <c r="AA195" i="23"/>
  <c r="AB195" i="23"/>
  <c r="I195" i="23"/>
  <c r="O195" i="23" s="1"/>
  <c r="AA261" i="23"/>
  <c r="AB261" i="23"/>
  <c r="I261" i="23"/>
  <c r="O261" i="23" s="1"/>
  <c r="AA193" i="23"/>
  <c r="I193" i="23"/>
  <c r="O193" i="23" s="1"/>
  <c r="AB193" i="23"/>
  <c r="AB260" i="23"/>
  <c r="I260" i="23"/>
  <c r="O260" i="23" s="1"/>
  <c r="AY49" i="24"/>
  <c r="L49" i="24"/>
  <c r="AC49" i="24" s="1"/>
  <c r="AY12" i="24"/>
  <c r="L12" i="24"/>
  <c r="AC12" i="24" s="1"/>
  <c r="AA190" i="23"/>
  <c r="I190" i="23"/>
  <c r="AB190" i="23"/>
  <c r="AY61" i="24"/>
  <c r="L61" i="24"/>
  <c r="AC61" i="24" s="1"/>
  <c r="I230" i="23"/>
  <c r="AB230" i="23"/>
  <c r="L55" i="24"/>
  <c r="AC55" i="24" s="1"/>
  <c r="AY55" i="24"/>
  <c r="AX28" i="24"/>
  <c r="L28" i="24"/>
  <c r="AC28" i="24" s="1"/>
  <c r="AY28" i="24"/>
  <c r="L23" i="24"/>
  <c r="AC23" i="24" s="1"/>
  <c r="AY23" i="24"/>
  <c r="L58" i="24"/>
  <c r="AC58" i="24" s="1"/>
  <c r="AY58" i="24"/>
  <c r="L20" i="24"/>
  <c r="AC20" i="24" s="1"/>
  <c r="AY20" i="24"/>
  <c r="AM259" i="23"/>
  <c r="AN259" i="23"/>
  <c r="AM216" i="23"/>
  <c r="AN216" i="23"/>
  <c r="AM211" i="23"/>
  <c r="AN211" i="23"/>
  <c r="AM272" i="23"/>
  <c r="AN272" i="23"/>
  <c r="AM201" i="23"/>
  <c r="AN201" i="23"/>
  <c r="AM207" i="23"/>
  <c r="AN207" i="23"/>
  <c r="AM277" i="23"/>
  <c r="AN277" i="23"/>
  <c r="AM193" i="23"/>
  <c r="AN193" i="23"/>
  <c r="AM253" i="23"/>
  <c r="AN253" i="23"/>
  <c r="BS54" i="24"/>
  <c r="BT54" i="24"/>
  <c r="AA259" i="23"/>
  <c r="AB259" i="23"/>
  <c r="I259" i="23"/>
  <c r="O259" i="23" s="1"/>
  <c r="AY44" i="24"/>
  <c r="L44" i="24"/>
  <c r="AC44" i="24" s="1"/>
  <c r="AM188" i="23"/>
  <c r="AN188" i="23"/>
  <c r="BS11" i="24"/>
  <c r="BS38" i="24"/>
  <c r="AM234" i="23"/>
  <c r="BS10" i="24"/>
  <c r="AM242" i="23"/>
  <c r="AM228" i="23"/>
  <c r="AM240" i="23"/>
  <c r="AM281" i="23"/>
  <c r="BS12" i="24"/>
  <c r="AM236" i="23"/>
  <c r="BS60" i="24"/>
  <c r="BS27" i="24"/>
  <c r="BS34" i="24"/>
  <c r="BS39" i="24"/>
  <c r="BS44" i="24"/>
  <c r="BS13" i="24"/>
  <c r="BS47" i="24"/>
  <c r="BS50" i="24"/>
  <c r="BS14" i="24"/>
  <c r="BS55" i="24"/>
  <c r="AM270" i="23"/>
  <c r="AM254" i="23"/>
  <c r="AM227" i="23"/>
  <c r="BS18" i="24"/>
  <c r="AM223" i="23"/>
  <c r="BS35" i="24"/>
  <c r="AM238" i="23"/>
  <c r="BS23" i="24"/>
  <c r="AM266" i="23"/>
  <c r="AM250" i="23"/>
  <c r="BS48" i="24"/>
  <c r="BS52" i="24"/>
  <c r="BS36" i="24"/>
  <c r="AM262" i="23"/>
  <c r="BS37" i="24"/>
  <c r="BS24" i="24"/>
  <c r="AM230" i="23"/>
  <c r="AM278" i="23"/>
  <c r="AM222" i="23"/>
  <c r="BS29" i="24"/>
  <c r="BS40" i="24"/>
  <c r="BS33" i="24"/>
  <c r="BS51" i="24"/>
  <c r="AM258" i="23"/>
  <c r="BS49" i="24"/>
  <c r="BS28" i="24"/>
  <c r="BS21" i="24"/>
  <c r="BS31" i="24"/>
  <c r="AM232" i="23"/>
  <c r="AM274" i="23"/>
  <c r="AM246" i="23"/>
  <c r="BS58" i="24"/>
  <c r="BS19" i="24"/>
  <c r="BS46" i="24"/>
  <c r="AM231" i="23"/>
  <c r="BS8" i="24"/>
  <c r="BS25" i="24"/>
  <c r="AM226" i="23"/>
  <c r="AA205" i="23"/>
  <c r="AB205" i="23"/>
  <c r="I205" i="23"/>
  <c r="O205" i="23" s="1"/>
  <c r="I246" i="23"/>
  <c r="AB246" i="23"/>
  <c r="AA197" i="23"/>
  <c r="I197" i="23"/>
  <c r="O197" i="23" s="1"/>
  <c r="AB197" i="23"/>
  <c r="AA225" i="23"/>
  <c r="AB225" i="23"/>
  <c r="I225" i="23"/>
  <c r="O225" i="23" s="1"/>
  <c r="AA186" i="23"/>
  <c r="I186" i="23"/>
  <c r="AB186" i="23"/>
  <c r="AY19" i="24"/>
  <c r="L19" i="24"/>
  <c r="AC19" i="24" s="1"/>
  <c r="AA275" i="23"/>
  <c r="I275" i="23"/>
  <c r="O275" i="23" s="1"/>
  <c r="AB275" i="23"/>
  <c r="AA274" i="23"/>
  <c r="AB274" i="23"/>
  <c r="I274" i="23"/>
  <c r="L31" i="24"/>
  <c r="AC31" i="24" s="1"/>
  <c r="AY31" i="24"/>
  <c r="AY27" i="24"/>
  <c r="L27" i="24"/>
  <c r="AC27" i="24" s="1"/>
  <c r="AB234" i="23"/>
  <c r="I234" i="23"/>
  <c r="L16" i="24"/>
  <c r="AC16" i="24" s="1"/>
  <c r="AY16" i="24"/>
  <c r="L11" i="24"/>
  <c r="AC11" i="24" s="1"/>
  <c r="AY11" i="24"/>
  <c r="AY46" i="24"/>
  <c r="L46" i="24"/>
  <c r="AC46" i="24" s="1"/>
  <c r="L8" i="24"/>
  <c r="AC8" i="24" s="1"/>
  <c r="AY8" i="24"/>
  <c r="AM217" i="23"/>
  <c r="AN217" i="23"/>
  <c r="AM241" i="23"/>
  <c r="AN241" i="23"/>
  <c r="AM220" i="23"/>
  <c r="AN220" i="23"/>
  <c r="AM269" i="23"/>
  <c r="AN269" i="23"/>
  <c r="AM190" i="23"/>
  <c r="AN190" i="23"/>
  <c r="BS45" i="24"/>
  <c r="BT45" i="24"/>
  <c r="AM252" i="23"/>
  <c r="AN252" i="23"/>
  <c r="BS42" i="24"/>
  <c r="BT42" i="24"/>
  <c r="AM209" i="23"/>
  <c r="AN209" i="23"/>
  <c r="AA191" i="23"/>
  <c r="I191" i="23"/>
  <c r="O191" i="23" s="1"/>
  <c r="AB191" i="23"/>
  <c r="AA271" i="23"/>
  <c r="I271" i="23"/>
  <c r="O271" i="23" s="1"/>
  <c r="AB271" i="23"/>
  <c r="AA198" i="23"/>
  <c r="AB198" i="23"/>
  <c r="I198" i="23"/>
  <c r="AA250" i="23"/>
  <c r="AB250" i="23"/>
  <c r="L34" i="24"/>
  <c r="AC34" i="24" s="1"/>
  <c r="AY34" i="24"/>
  <c r="AM280" i="23"/>
  <c r="AN280" i="23"/>
  <c r="I278" i="23"/>
  <c r="O278" i="23" s="1"/>
  <c r="AN278" i="23"/>
  <c r="AM243" i="23"/>
  <c r="AN243" i="23"/>
  <c r="BS22" i="24"/>
  <c r="BT22" i="24"/>
  <c r="AM268" i="23"/>
  <c r="AN268" i="23"/>
  <c r="AM196" i="23"/>
  <c r="AN196" i="23"/>
  <c r="BS15" i="24"/>
  <c r="BT15" i="24"/>
  <c r="AM248" i="23"/>
  <c r="AN248" i="23"/>
  <c r="I250" i="23"/>
  <c r="O250" i="23" s="1"/>
  <c r="AN250" i="23"/>
  <c r="BS59" i="24"/>
  <c r="BT59" i="24"/>
  <c r="BS30" i="24"/>
  <c r="BT30" i="24"/>
  <c r="BS53" i="24"/>
  <c r="BT53" i="24"/>
  <c r="AY47" i="24"/>
  <c r="L47" i="24"/>
  <c r="AC47" i="24" s="1"/>
  <c r="AB240" i="23"/>
  <c r="I240" i="23"/>
  <c r="O240" i="23" s="1"/>
  <c r="AB236" i="23"/>
  <c r="I236" i="23"/>
  <c r="O236" i="23" s="1"/>
  <c r="I281" i="23"/>
  <c r="O281" i="23" s="1"/>
  <c r="AB281" i="23"/>
  <c r="AA273" i="23"/>
  <c r="I273" i="23"/>
  <c r="O273" i="23" s="1"/>
  <c r="AB273" i="23"/>
  <c r="AA227" i="23"/>
  <c r="I227" i="23"/>
  <c r="AB227" i="23"/>
  <c r="AA233" i="23"/>
  <c r="I233" i="23"/>
  <c r="O233" i="23" s="1"/>
  <c r="AB233" i="23"/>
  <c r="AA219" i="23"/>
  <c r="AB219" i="23"/>
  <c r="I219" i="23"/>
  <c r="O219" i="23" s="1"/>
  <c r="AB224" i="23"/>
  <c r="I224" i="23"/>
  <c r="O224" i="23" s="1"/>
  <c r="AX13" i="24"/>
  <c r="AY13" i="24"/>
  <c r="L13" i="24"/>
  <c r="AC13" i="24" s="1"/>
  <c r="AA270" i="23"/>
  <c r="AB270" i="23"/>
  <c r="AB226" i="23"/>
  <c r="I226" i="23"/>
  <c r="AA229" i="23"/>
  <c r="AB229" i="23"/>
  <c r="I229" i="23"/>
  <c r="O229" i="23" s="1"/>
  <c r="AY60" i="24"/>
  <c r="L60" i="24"/>
  <c r="AC60" i="24" s="1"/>
  <c r="AB232" i="23"/>
  <c r="I232" i="23"/>
  <c r="O232" i="23" s="1"/>
  <c r="AA249" i="23"/>
  <c r="I249" i="23"/>
  <c r="O249" i="23" s="1"/>
  <c r="AB249" i="23"/>
  <c r="AY22" i="24"/>
  <c r="L22" i="24"/>
  <c r="AC22" i="24" s="1"/>
  <c r="L57" i="24"/>
  <c r="AC57" i="24" s="1"/>
  <c r="AY57" i="24"/>
  <c r="I266" i="23"/>
  <c r="O266" i="23" s="1"/>
  <c r="AN266" i="23"/>
  <c r="AM237" i="23"/>
  <c r="AN237" i="23"/>
  <c r="AM273" i="23"/>
  <c r="AN273" i="23"/>
  <c r="AM204" i="23"/>
  <c r="AN204" i="23"/>
  <c r="AM191" i="23"/>
  <c r="AN191" i="23"/>
  <c r="AM229" i="23"/>
  <c r="AN229" i="23"/>
  <c r="BS41" i="24"/>
  <c r="BT41" i="24"/>
  <c r="AA245" i="23"/>
  <c r="AB245" i="23"/>
  <c r="I245" i="23"/>
  <c r="O245" i="23" s="1"/>
  <c r="AA279" i="23"/>
  <c r="I279" i="23"/>
  <c r="O279" i="23" s="1"/>
  <c r="AB279" i="23"/>
  <c r="AY15" i="24"/>
  <c r="L15" i="24"/>
  <c r="AC15" i="24" s="1"/>
  <c r="AB252" i="23"/>
  <c r="I252" i="23"/>
  <c r="O252" i="23" s="1"/>
  <c r="AA211" i="23"/>
  <c r="AB211" i="23"/>
  <c r="I211" i="23"/>
  <c r="O211" i="23" s="1"/>
  <c r="AB228" i="23"/>
  <c r="I228" i="23"/>
  <c r="O228" i="23" s="1"/>
  <c r="AY30" i="24"/>
  <c r="L30" i="24"/>
  <c r="AC30" i="24" s="1"/>
  <c r="AA263" i="23"/>
  <c r="AB263" i="23"/>
  <c r="I263" i="23"/>
  <c r="O263" i="23" s="1"/>
  <c r="AB248" i="23"/>
  <c r="I248" i="23"/>
  <c r="AY50" i="24"/>
  <c r="L50" i="24"/>
  <c r="AC50" i="24" s="1"/>
  <c r="L10" i="24"/>
  <c r="AC10" i="24" s="1"/>
  <c r="AY10" i="24"/>
  <c r="L45" i="24"/>
  <c r="AC45" i="24" s="1"/>
  <c r="AY45" i="24"/>
  <c r="BS57" i="24"/>
  <c r="BT57" i="24"/>
  <c r="AM261" i="23"/>
  <c r="AN261" i="23"/>
  <c r="AM219" i="23"/>
  <c r="AN219" i="23"/>
  <c r="AM214" i="23"/>
  <c r="AN214" i="23"/>
  <c r="I222" i="23"/>
  <c r="O222" i="23" s="1"/>
  <c r="AB222" i="23"/>
  <c r="AA196" i="23"/>
  <c r="I196" i="23"/>
  <c r="O196" i="23" s="1"/>
  <c r="AB196" i="23"/>
  <c r="AA254" i="23"/>
  <c r="I254" i="23"/>
  <c r="AB254" i="23"/>
  <c r="AA204" i="23"/>
  <c r="I204" i="23"/>
  <c r="O204" i="23" s="1"/>
  <c r="AB204" i="23"/>
  <c r="AA253" i="23"/>
  <c r="I253" i="23"/>
  <c r="O253" i="23" s="1"/>
  <c r="AB253" i="23"/>
  <c r="AA217" i="23"/>
  <c r="I217" i="23"/>
  <c r="O217" i="23" s="1"/>
  <c r="AB217" i="23"/>
  <c r="AA251" i="23"/>
  <c r="I251" i="23"/>
  <c r="O251" i="23" s="1"/>
  <c r="AB251" i="23"/>
  <c r="AA207" i="23"/>
  <c r="I207" i="23"/>
  <c r="O207" i="23" s="1"/>
  <c r="AB207" i="23"/>
  <c r="AA216" i="23"/>
  <c r="I216" i="23"/>
  <c r="O216" i="23" s="1"/>
  <c r="AB216" i="23"/>
  <c r="AA262" i="23"/>
  <c r="I262" i="23"/>
  <c r="O262" i="23" s="1"/>
  <c r="AB262" i="23"/>
  <c r="AB244" i="23"/>
  <c r="I244" i="23"/>
  <c r="O244" i="23" s="1"/>
  <c r="L38" i="24"/>
  <c r="AC38" i="24" s="1"/>
  <c r="AY38" i="24"/>
  <c r="L33" i="24"/>
  <c r="AY33" i="24"/>
  <c r="AM225" i="23"/>
  <c r="AN225" i="23"/>
  <c r="AM198" i="23"/>
  <c r="AN198" i="23"/>
  <c r="AM213" i="23"/>
  <c r="AN213" i="23"/>
  <c r="AM263" i="23"/>
  <c r="AN263" i="23"/>
  <c r="AM210" i="23"/>
  <c r="AN210" i="23"/>
  <c r="BS56" i="24"/>
  <c r="BT56" i="24"/>
  <c r="BS17" i="24"/>
  <c r="BT17" i="24"/>
  <c r="AB235" i="23"/>
  <c r="I235" i="23"/>
  <c r="O235" i="23" s="1"/>
  <c r="L42" i="24"/>
  <c r="AC42" i="24" s="1"/>
  <c r="AY42" i="24"/>
  <c r="AA213" i="23"/>
  <c r="I213" i="23"/>
  <c r="O213" i="23" s="1"/>
  <c r="AB213" i="23"/>
  <c r="AA185" i="23"/>
  <c r="I185" i="23"/>
  <c r="O185" i="23" s="1"/>
  <c r="AB185" i="23"/>
  <c r="AA200" i="23"/>
  <c r="I200" i="23"/>
  <c r="O200" i="23" s="1"/>
  <c r="AB200" i="23"/>
  <c r="AA192" i="23"/>
  <c r="AB192" i="23"/>
  <c r="I192" i="23"/>
  <c r="O192" i="23" s="1"/>
  <c r="AA187" i="23"/>
  <c r="I187" i="23"/>
  <c r="O187" i="23" s="1"/>
  <c r="AB187" i="23"/>
  <c r="AB256" i="23"/>
  <c r="I256" i="23"/>
  <c r="O256" i="23" s="1"/>
  <c r="AB243" i="23"/>
  <c r="I243" i="23"/>
  <c r="AA266" i="23"/>
  <c r="AB266" i="23"/>
  <c r="L26" i="24"/>
  <c r="AC26" i="24" s="1"/>
  <c r="AY26" i="24"/>
  <c r="AY21" i="24"/>
  <c r="L21" i="24"/>
  <c r="AC21" i="24" s="1"/>
  <c r="AM235" i="23"/>
  <c r="AN235" i="23"/>
  <c r="I270" i="23"/>
  <c r="O270" i="23" s="1"/>
  <c r="AN270" i="23"/>
  <c r="AM189" i="23"/>
  <c r="AN189" i="23"/>
  <c r="AM275" i="23"/>
  <c r="AN275" i="23"/>
  <c r="AM267" i="23"/>
  <c r="AN267" i="23"/>
  <c r="AM194" i="23"/>
  <c r="AN194" i="23"/>
  <c r="AM251" i="23"/>
  <c r="AN251" i="23"/>
  <c r="AM206" i="23"/>
  <c r="AN206" i="23"/>
  <c r="AB27" i="23"/>
  <c r="I27" i="23"/>
  <c r="O27" i="23" s="1"/>
  <c r="I31" i="23"/>
  <c r="O31" i="23" s="1"/>
  <c r="AB31" i="23"/>
  <c r="AM14" i="23"/>
  <c r="AM26" i="23"/>
  <c r="AM27" i="23"/>
  <c r="AM16" i="23"/>
  <c r="AM28" i="23"/>
  <c r="AM17" i="23"/>
  <c r="AM29" i="23"/>
  <c r="AM15" i="23"/>
  <c r="AM18" i="23"/>
  <c r="AM30" i="23"/>
  <c r="AM10" i="23"/>
  <c r="AM19" i="23"/>
  <c r="AM31" i="23"/>
  <c r="AM25" i="23"/>
  <c r="AM8" i="23"/>
  <c r="AM20" i="23"/>
  <c r="AM32" i="23"/>
  <c r="AM22" i="23"/>
  <c r="AM9" i="23"/>
  <c r="AM21" i="23"/>
  <c r="AM33" i="23"/>
  <c r="AM11" i="23"/>
  <c r="AM23" i="23"/>
  <c r="AM12" i="23"/>
  <c r="AM24" i="23"/>
  <c r="AM13" i="23"/>
  <c r="AB15" i="23"/>
  <c r="I15" i="23"/>
  <c r="O15" i="23" s="1"/>
  <c r="I19" i="23"/>
  <c r="O19" i="23" s="1"/>
  <c r="AB19" i="23"/>
  <c r="AB29" i="23"/>
  <c r="I29" i="23"/>
  <c r="O29" i="23" s="1"/>
  <c r="AB24" i="23"/>
  <c r="I24" i="23"/>
  <c r="O24" i="23" s="1"/>
  <c r="I33" i="23"/>
  <c r="O33" i="23" s="1"/>
  <c r="AB33" i="23"/>
  <c r="AB17" i="23"/>
  <c r="I17" i="23"/>
  <c r="O17" i="23" s="1"/>
  <c r="AB12" i="23"/>
  <c r="I12" i="23"/>
  <c r="O12" i="23" s="1"/>
  <c r="I21" i="23"/>
  <c r="O21" i="23" s="1"/>
  <c r="AB21" i="23"/>
  <c r="AA14" i="23"/>
  <c r="AA26" i="23"/>
  <c r="AA15" i="23"/>
  <c r="AA27" i="23"/>
  <c r="AA16" i="23"/>
  <c r="AA28" i="23"/>
  <c r="AA17" i="23"/>
  <c r="AA29" i="23"/>
  <c r="AA18" i="23"/>
  <c r="AA30" i="23"/>
  <c r="AA10" i="23"/>
  <c r="AA19" i="23"/>
  <c r="AA31" i="23"/>
  <c r="AA22" i="23"/>
  <c r="AA8" i="23"/>
  <c r="AA20" i="23"/>
  <c r="AA32" i="23"/>
  <c r="AA9" i="23"/>
  <c r="AA21" i="23"/>
  <c r="AA33" i="23"/>
  <c r="AA11" i="23"/>
  <c r="AA23" i="23"/>
  <c r="AA12" i="23"/>
  <c r="AA24" i="23"/>
  <c r="AA13" i="23"/>
  <c r="AA25" i="23"/>
  <c r="AB10" i="23"/>
  <c r="I10" i="23"/>
  <c r="O10" i="23" s="1"/>
  <c r="I9" i="23"/>
  <c r="O9" i="23" s="1"/>
  <c r="AB9" i="23"/>
  <c r="AB13" i="23"/>
  <c r="I13" i="23"/>
  <c r="O13" i="23" s="1"/>
  <c r="AB26" i="23"/>
  <c r="I26" i="23"/>
  <c r="O26" i="23" s="1"/>
  <c r="I30" i="23"/>
  <c r="O30" i="23" s="1"/>
  <c r="AB30" i="23"/>
  <c r="AB25" i="23"/>
  <c r="I25" i="23"/>
  <c r="O25" i="23" s="1"/>
  <c r="AB14" i="23"/>
  <c r="I14" i="23"/>
  <c r="O14" i="23" s="1"/>
  <c r="AB23" i="23"/>
  <c r="I23" i="23"/>
  <c r="O23" i="23" s="1"/>
  <c r="I18" i="23"/>
  <c r="O18" i="23" s="1"/>
  <c r="AB18" i="23"/>
  <c r="AB22" i="23"/>
  <c r="I22" i="23"/>
  <c r="O22" i="23" s="1"/>
  <c r="N18" i="23"/>
  <c r="N30" i="23"/>
  <c r="N19" i="23"/>
  <c r="N31" i="23"/>
  <c r="N8" i="23"/>
  <c r="N20" i="23"/>
  <c r="N32" i="23"/>
  <c r="N9" i="23"/>
  <c r="N21" i="23"/>
  <c r="N33" i="23"/>
  <c r="N10" i="23"/>
  <c r="N22" i="23"/>
  <c r="N11" i="23"/>
  <c r="N23" i="23"/>
  <c r="N12" i="23"/>
  <c r="N24" i="23"/>
  <c r="N13" i="23"/>
  <c r="N25" i="23"/>
  <c r="N14" i="23"/>
  <c r="N26" i="23"/>
  <c r="N15" i="23"/>
  <c r="N27" i="23"/>
  <c r="N16" i="23"/>
  <c r="N28" i="23"/>
  <c r="N17" i="23"/>
  <c r="N29" i="23"/>
  <c r="AB28" i="23"/>
  <c r="I28" i="23"/>
  <c r="O28" i="23" s="1"/>
  <c r="AB11" i="23"/>
  <c r="I11" i="23"/>
  <c r="O11" i="23" s="1"/>
  <c r="I32" i="23"/>
  <c r="O32" i="23" s="1"/>
  <c r="AB32" i="23"/>
  <c r="AB16" i="23"/>
  <c r="I16" i="23"/>
  <c r="O16" i="23" s="1"/>
  <c r="I20" i="23"/>
  <c r="O20" i="23" s="1"/>
  <c r="AB20" i="23"/>
  <c r="I8" i="23"/>
  <c r="O8" i="23" s="1"/>
  <c r="AB8" i="23"/>
  <c r="I60" i="23"/>
  <c r="O60" i="23" s="1"/>
  <c r="AB60" i="23"/>
  <c r="I46" i="23"/>
  <c r="O46" i="23" s="1"/>
  <c r="AB46" i="23"/>
  <c r="AM49" i="23"/>
  <c r="AM43" i="23"/>
  <c r="AM55" i="23"/>
  <c r="AM44" i="23"/>
  <c r="AM56" i="23"/>
  <c r="AM45" i="23"/>
  <c r="AM57" i="23"/>
  <c r="AM61" i="23"/>
  <c r="AM34" i="23"/>
  <c r="AM46" i="23"/>
  <c r="AM58" i="23"/>
  <c r="AM47" i="23"/>
  <c r="AM59" i="23"/>
  <c r="AM36" i="23"/>
  <c r="AM48" i="23"/>
  <c r="AM60" i="23"/>
  <c r="AM38" i="23"/>
  <c r="AM50" i="23"/>
  <c r="AM39" i="23"/>
  <c r="AM51" i="23"/>
  <c r="AM37" i="23"/>
  <c r="AM40" i="23"/>
  <c r="AM52" i="23"/>
  <c r="AM42" i="23"/>
  <c r="AM35" i="23"/>
  <c r="AM41" i="23"/>
  <c r="AM53" i="23"/>
  <c r="AM54" i="23"/>
  <c r="AB54" i="23"/>
  <c r="I54" i="23"/>
  <c r="O54" i="23" s="1"/>
  <c r="I48" i="23"/>
  <c r="O48" i="23" s="1"/>
  <c r="AB48" i="23"/>
  <c r="I34" i="23"/>
  <c r="O34" i="23" s="1"/>
  <c r="AB34" i="23"/>
  <c r="I36" i="23"/>
  <c r="O36" i="23" s="1"/>
  <c r="AB36" i="23"/>
  <c r="AB56" i="23"/>
  <c r="I56" i="23"/>
  <c r="O56" i="23" s="1"/>
  <c r="AB50" i="23"/>
  <c r="I50" i="23"/>
  <c r="O50" i="23" s="1"/>
  <c r="AB44" i="23"/>
  <c r="I44" i="23"/>
  <c r="O44" i="23" s="1"/>
  <c r="AB38" i="23"/>
  <c r="I38" i="23"/>
  <c r="O38" i="23" s="1"/>
  <c r="AB42" i="23"/>
  <c r="I42" i="23"/>
  <c r="O42" i="23" s="1"/>
  <c r="AB51" i="23"/>
  <c r="I51" i="23"/>
  <c r="O51" i="23" s="1"/>
  <c r="AB53" i="23"/>
  <c r="I53" i="23"/>
  <c r="O53" i="23" s="1"/>
  <c r="I59" i="23"/>
  <c r="O59" i="23" s="1"/>
  <c r="AB59" i="23"/>
  <c r="AB41" i="23"/>
  <c r="I41" i="23"/>
  <c r="O41" i="23" s="1"/>
  <c r="I61" i="23"/>
  <c r="O61" i="23" s="1"/>
  <c r="AB61" i="23"/>
  <c r="I47" i="23"/>
  <c r="O47" i="23" s="1"/>
  <c r="AB47" i="23"/>
  <c r="AB39" i="23"/>
  <c r="I39" i="23"/>
  <c r="O39" i="23" s="1"/>
  <c r="AB55" i="23"/>
  <c r="I55" i="23"/>
  <c r="O55" i="23" s="1"/>
  <c r="I49" i="23"/>
  <c r="O49" i="23" s="1"/>
  <c r="AB49" i="23"/>
  <c r="I35" i="23"/>
  <c r="O35" i="23" s="1"/>
  <c r="AB35" i="23"/>
  <c r="AA42" i="23"/>
  <c r="AA43" i="23"/>
  <c r="AA55" i="23"/>
  <c r="AA44" i="23"/>
  <c r="AA56" i="23"/>
  <c r="AA35" i="23"/>
  <c r="AA45" i="23"/>
  <c r="AA57" i="23"/>
  <c r="AA34" i="23"/>
  <c r="AA46" i="23"/>
  <c r="AA58" i="23"/>
  <c r="AA47" i="23"/>
  <c r="AA59" i="23"/>
  <c r="AA36" i="23"/>
  <c r="AA48" i="23"/>
  <c r="AA60" i="23"/>
  <c r="AA37" i="23"/>
  <c r="AA49" i="23"/>
  <c r="AA61" i="23"/>
  <c r="AA38" i="23"/>
  <c r="AA50" i="23"/>
  <c r="AA39" i="23"/>
  <c r="AA51" i="23"/>
  <c r="AA40" i="23"/>
  <c r="AA52" i="23"/>
  <c r="AA54" i="23"/>
  <c r="AA41" i="23"/>
  <c r="AA53" i="23"/>
  <c r="I58" i="23"/>
  <c r="O58" i="23" s="1"/>
  <c r="AB58" i="23"/>
  <c r="AB43" i="23"/>
  <c r="I43" i="23"/>
  <c r="O43" i="23" s="1"/>
  <c r="I37" i="23"/>
  <c r="O37" i="23" s="1"/>
  <c r="AB37" i="23"/>
  <c r="N34" i="23"/>
  <c r="N46" i="23"/>
  <c r="N58" i="23"/>
  <c r="N35" i="23"/>
  <c r="N47" i="23"/>
  <c r="N59" i="23"/>
  <c r="N36" i="23"/>
  <c r="N48" i="23"/>
  <c r="N60" i="23"/>
  <c r="N37" i="23"/>
  <c r="N49" i="23"/>
  <c r="N61" i="23"/>
  <c r="N38" i="23"/>
  <c r="N50" i="23"/>
  <c r="N39" i="23"/>
  <c r="N51" i="23"/>
  <c r="N40" i="23"/>
  <c r="N52" i="23"/>
  <c r="N41" i="23"/>
  <c r="N53" i="23"/>
  <c r="N42" i="23"/>
  <c r="N54" i="23"/>
  <c r="N43" i="23"/>
  <c r="N55" i="23"/>
  <c r="N44" i="23"/>
  <c r="N56" i="23"/>
  <c r="N45" i="23"/>
  <c r="N57" i="23"/>
  <c r="AB57" i="23"/>
  <c r="I57" i="23"/>
  <c r="O57" i="23" s="1"/>
  <c r="AB52" i="23"/>
  <c r="I52" i="23"/>
  <c r="O52" i="23" s="1"/>
  <c r="AB45" i="23"/>
  <c r="I45" i="23"/>
  <c r="O45" i="23" s="1"/>
  <c r="AB40" i="23"/>
  <c r="I40" i="23"/>
  <c r="O40" i="23" s="1"/>
  <c r="R131" i="22"/>
  <c r="F131" i="22"/>
  <c r="Q131" i="22"/>
  <c r="J131" i="22"/>
  <c r="K131" i="22"/>
  <c r="Y131" i="22"/>
  <c r="H130" i="22"/>
  <c r="BS67" i="24"/>
  <c r="AJ119" i="24"/>
  <c r="L67" i="24"/>
  <c r="AC67" i="24" s="1"/>
  <c r="L66" i="24"/>
  <c r="AM62" i="23"/>
  <c r="AB67" i="24"/>
  <c r="BS62" i="24"/>
  <c r="BS63" i="24"/>
  <c r="BS64" i="24"/>
  <c r="BS65" i="24"/>
  <c r="BS66" i="24"/>
  <c r="L63" i="24"/>
  <c r="AC63" i="24" s="1"/>
  <c r="L64" i="24"/>
  <c r="AC64" i="24" s="1"/>
  <c r="L65" i="24"/>
  <c r="AC65" i="24" s="1"/>
  <c r="AX67" i="24"/>
  <c r="L62" i="24"/>
  <c r="AC62" i="24" s="1"/>
  <c r="AX62" i="24"/>
  <c r="AX63" i="24"/>
  <c r="AX64" i="24"/>
  <c r="AX65" i="24"/>
  <c r="AX66" i="24"/>
  <c r="AJ115" i="24"/>
  <c r="AJ117" i="24"/>
  <c r="AJ118" i="24"/>
  <c r="AB62" i="24"/>
  <c r="AB63" i="24"/>
  <c r="AB64" i="24"/>
  <c r="AB65" i="24"/>
  <c r="AB66" i="24"/>
  <c r="AB68" i="24"/>
  <c r="L68" i="24"/>
  <c r="AC68" i="24" s="1"/>
  <c r="AX68" i="24"/>
  <c r="BS68" i="24"/>
  <c r="N62" i="23"/>
  <c r="AA62" i="23"/>
  <c r="U120" i="23"/>
  <c r="U119" i="23"/>
  <c r="J264" i="23" l="1"/>
  <c r="M43" i="24"/>
  <c r="M48" i="24"/>
  <c r="M51" i="24"/>
  <c r="J189" i="23"/>
  <c r="J269" i="23"/>
  <c r="M9" i="24"/>
  <c r="M53" i="24"/>
  <c r="J215" i="23"/>
  <c r="J267" i="23"/>
  <c r="M17" i="24"/>
  <c r="J239" i="23"/>
  <c r="J220" i="23"/>
  <c r="M18" i="24"/>
  <c r="J203" i="23"/>
  <c r="M25" i="24"/>
  <c r="M56" i="24"/>
  <c r="J199" i="23"/>
  <c r="M54" i="24"/>
  <c r="J255" i="23"/>
  <c r="J212" i="23"/>
  <c r="M14" i="24"/>
  <c r="M37" i="24"/>
  <c r="M59" i="24"/>
  <c r="J276" i="23"/>
  <c r="J188" i="23"/>
  <c r="M32" i="24"/>
  <c r="J241" i="23"/>
  <c r="J257" i="23"/>
  <c r="J209" i="23"/>
  <c r="M35" i="24"/>
  <c r="J265" i="23"/>
  <c r="J258" i="23"/>
  <c r="J221" i="23"/>
  <c r="J280" i="23"/>
  <c r="M29" i="24"/>
  <c r="M44" i="24"/>
  <c r="M47" i="24"/>
  <c r="J60" i="23"/>
  <c r="J251" i="23"/>
  <c r="J193" i="23"/>
  <c r="J262" i="23"/>
  <c r="J228" i="23"/>
  <c r="J4" i="23"/>
  <c r="J36" i="23"/>
  <c r="M40" i="24"/>
  <c r="M61" i="24"/>
  <c r="J24" i="23"/>
  <c r="M11" i="24"/>
  <c r="M36" i="24"/>
  <c r="J278" i="23"/>
  <c r="J47" i="23"/>
  <c r="J250" i="23"/>
  <c r="M30" i="24"/>
  <c r="J279" i="23"/>
  <c r="M55" i="24"/>
  <c r="J46" i="23"/>
  <c r="J191" i="23"/>
  <c r="J277" i="23"/>
  <c r="J259" i="23"/>
  <c r="M23" i="24"/>
  <c r="J263" i="23"/>
  <c r="M52" i="24"/>
  <c r="J249" i="23"/>
  <c r="J270" i="23"/>
  <c r="J194" i="23"/>
  <c r="O194" i="23"/>
  <c r="J238" i="23"/>
  <c r="O238" i="23"/>
  <c r="J243" i="23"/>
  <c r="O243" i="23"/>
  <c r="J234" i="23"/>
  <c r="O234" i="23"/>
  <c r="J246" i="23"/>
  <c r="O246" i="23"/>
  <c r="J224" i="23"/>
  <c r="M58" i="24"/>
  <c r="J196" i="23"/>
  <c r="J216" i="23"/>
  <c r="J236" i="23"/>
  <c r="J266" i="23"/>
  <c r="J260" i="23"/>
  <c r="J222" i="23"/>
  <c r="M33" i="24"/>
  <c r="AC33" i="24"/>
  <c r="J248" i="23"/>
  <c r="O248" i="23"/>
  <c r="J204" i="23"/>
  <c r="J187" i="23"/>
  <c r="J197" i="23"/>
  <c r="M38" i="24"/>
  <c r="J273" i="23"/>
  <c r="M8" i="24"/>
  <c r="J281" i="23"/>
  <c r="J237" i="23"/>
  <c r="J186" i="23"/>
  <c r="O186" i="23"/>
  <c r="M12" i="24"/>
  <c r="J207" i="23"/>
  <c r="J205" i="23"/>
  <c r="M28" i="24"/>
  <c r="J200" i="23"/>
  <c r="M21" i="24"/>
  <c r="J202" i="23"/>
  <c r="O202" i="23"/>
  <c r="J31" i="23"/>
  <c r="J226" i="23"/>
  <c r="O226" i="23"/>
  <c r="M49" i="24"/>
  <c r="J232" i="23"/>
  <c r="J192" i="23"/>
  <c r="M57" i="24"/>
  <c r="M27" i="24"/>
  <c r="J231" i="23"/>
  <c r="J223" i="23"/>
  <c r="O223" i="23"/>
  <c r="J268" i="23"/>
  <c r="O268" i="23"/>
  <c r="J254" i="23"/>
  <c r="O254" i="23"/>
  <c r="J230" i="23"/>
  <c r="O230" i="23"/>
  <c r="J214" i="23"/>
  <c r="O214" i="23"/>
  <c r="M45" i="24"/>
  <c r="J275" i="23"/>
  <c r="J233" i="23"/>
  <c r="M13" i="24"/>
  <c r="M26" i="24"/>
  <c r="J206" i="23"/>
  <c r="O206" i="23"/>
  <c r="J34" i="23"/>
  <c r="J274" i="23"/>
  <c r="O274" i="23"/>
  <c r="J213" i="23"/>
  <c r="M46" i="24"/>
  <c r="M50" i="24"/>
  <c r="M60" i="24"/>
  <c r="J225" i="23"/>
  <c r="M22" i="24"/>
  <c r="M39" i="24"/>
  <c r="J240" i="23"/>
  <c r="J208" i="23"/>
  <c r="J219" i="23"/>
  <c r="J217" i="23"/>
  <c r="M31" i="24"/>
  <c r="M10" i="24"/>
  <c r="J247" i="23"/>
  <c r="J198" i="23"/>
  <c r="O198" i="23"/>
  <c r="J227" i="23"/>
  <c r="O227" i="23"/>
  <c r="M19" i="24"/>
  <c r="J244" i="23"/>
  <c r="M20" i="24"/>
  <c r="J195" i="23"/>
  <c r="J229" i="23"/>
  <c r="M16" i="24"/>
  <c r="J256" i="23"/>
  <c r="J272" i="23"/>
  <c r="J235" i="23"/>
  <c r="M24" i="24"/>
  <c r="J218" i="23"/>
  <c r="O218" i="23"/>
  <c r="J33" i="23"/>
  <c r="J190" i="23"/>
  <c r="O190" i="23"/>
  <c r="J185" i="23"/>
  <c r="J245" i="23"/>
  <c r="J253" i="23"/>
  <c r="J242" i="23"/>
  <c r="O242" i="23"/>
  <c r="M15" i="24"/>
  <c r="J201" i="23"/>
  <c r="M42" i="24"/>
  <c r="M34" i="24"/>
  <c r="J271" i="23"/>
  <c r="M41" i="24"/>
  <c r="J211" i="23"/>
  <c r="J261" i="23"/>
  <c r="J252" i="23"/>
  <c r="J210" i="23"/>
  <c r="O210" i="23"/>
  <c r="M66" i="24"/>
  <c r="AC66" i="24"/>
  <c r="J27" i="23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M67" i="24"/>
  <c r="M65" i="24"/>
  <c r="M63" i="24"/>
  <c r="M64" i="24"/>
  <c r="M62" i="24"/>
  <c r="AB69" i="24"/>
  <c r="M68" i="24"/>
  <c r="L69" i="24"/>
  <c r="AC69" i="24" s="1"/>
  <c r="AX69" i="24"/>
  <c r="BS69" i="24"/>
  <c r="AI125" i="23"/>
  <c r="AJ62" i="23"/>
  <c r="AK62" i="23" s="1"/>
  <c r="AK63" i="23"/>
  <c r="G62" i="23"/>
  <c r="H62" i="23" s="1"/>
  <c r="G63" i="23"/>
  <c r="H63" i="23" s="1"/>
  <c r="AA64" i="23" l="1"/>
  <c r="AM64" i="23"/>
  <c r="N64" i="23"/>
  <c r="N63" i="23"/>
  <c r="AA63" i="23"/>
  <c r="AM63" i="23"/>
  <c r="Q133" i="22"/>
  <c r="R133" i="22"/>
  <c r="F133" i="22"/>
  <c r="J133" i="22"/>
  <c r="K133" i="22"/>
  <c r="Y133" i="22"/>
  <c r="H132" i="22"/>
  <c r="X63" i="23"/>
  <c r="Y63" i="23" s="1"/>
  <c r="AG112" i="24"/>
  <c r="AG110" i="24"/>
  <c r="AG111" i="24"/>
  <c r="AG108" i="24"/>
  <c r="AG109" i="24"/>
  <c r="M69" i="24"/>
  <c r="BS70" i="24"/>
  <c r="L70" i="24"/>
  <c r="AC70" i="24" s="1"/>
  <c r="AX70" i="24"/>
  <c r="AB70" i="24"/>
  <c r="X62" i="23"/>
  <c r="Y62" i="23" s="1"/>
  <c r="S108" i="23"/>
  <c r="S109" i="23"/>
  <c r="S112" i="23"/>
  <c r="S110" i="23"/>
  <c r="S115" i="23"/>
  <c r="T116" i="23" s="1"/>
  <c r="V120" i="23" s="1"/>
  <c r="S114" i="23"/>
  <c r="S113" i="23"/>
  <c r="S111" i="23"/>
  <c r="W120" i="23" l="1"/>
  <c r="AD120" i="23"/>
  <c r="T115" i="23"/>
  <c r="V119" i="23" s="1"/>
  <c r="N65" i="23"/>
  <c r="AM65" i="23"/>
  <c r="AA65" i="23"/>
  <c r="Q134" i="22"/>
  <c r="R134" i="22"/>
  <c r="F134" i="22"/>
  <c r="Y134" i="22"/>
  <c r="H133" i="22"/>
  <c r="J134" i="22"/>
  <c r="K134" i="22"/>
  <c r="K63" i="24"/>
  <c r="G64" i="23"/>
  <c r="H64" i="23" s="1"/>
  <c r="AJ64" i="23"/>
  <c r="AK64" i="23" s="1"/>
  <c r="BF64" i="24"/>
  <c r="K64" i="24"/>
  <c r="G65" i="23"/>
  <c r="H65" i="23" s="1"/>
  <c r="AJ65" i="23"/>
  <c r="AK65" i="23" s="1"/>
  <c r="AH112" i="24"/>
  <c r="AH113" i="24"/>
  <c r="AY113" i="24" s="1"/>
  <c r="AH109" i="24"/>
  <c r="AJ114" i="24"/>
  <c r="AH111" i="24"/>
  <c r="AY111" i="24" s="1"/>
  <c r="AH110" i="24"/>
  <c r="AY110" i="24" s="1"/>
  <c r="M70" i="24"/>
  <c r="BS71" i="24"/>
  <c r="AX71" i="24"/>
  <c r="L71" i="24"/>
  <c r="AC71" i="24" s="1"/>
  <c r="AB71" i="24"/>
  <c r="T113" i="23"/>
  <c r="T110" i="23"/>
  <c r="T111" i="23"/>
  <c r="T114" i="23"/>
  <c r="V118" i="23" s="1"/>
  <c r="U116" i="23"/>
  <c r="U117" i="23"/>
  <c r="U118" i="23"/>
  <c r="T112" i="23"/>
  <c r="T109" i="23"/>
  <c r="BJ64" i="24" l="1"/>
  <c r="BG64" i="24"/>
  <c r="V113" i="23"/>
  <c r="AD113" i="23" s="1"/>
  <c r="V114" i="23"/>
  <c r="W114" i="23" s="1"/>
  <c r="V115" i="23"/>
  <c r="V117" i="23"/>
  <c r="W118" i="23"/>
  <c r="AD118" i="23"/>
  <c r="V116" i="23"/>
  <c r="W119" i="23"/>
  <c r="AD119" i="23"/>
  <c r="U111" i="23"/>
  <c r="U113" i="23"/>
  <c r="U114" i="23"/>
  <c r="U110" i="23"/>
  <c r="U109" i="23"/>
  <c r="U112" i="23"/>
  <c r="U115" i="23"/>
  <c r="AJ109" i="24"/>
  <c r="AY109" i="24"/>
  <c r="AJ112" i="24"/>
  <c r="AY112" i="24"/>
  <c r="AJ113" i="24"/>
  <c r="AI114" i="24"/>
  <c r="BH64" i="24"/>
  <c r="AM66" i="23"/>
  <c r="N66" i="23"/>
  <c r="AA66" i="23"/>
  <c r="Y135" i="22"/>
  <c r="Q135" i="22"/>
  <c r="F135" i="22"/>
  <c r="R135" i="22"/>
  <c r="K135" i="22"/>
  <c r="J135" i="22"/>
  <c r="H134" i="22"/>
  <c r="K65" i="24"/>
  <c r="G66" i="23"/>
  <c r="H66" i="23" s="1"/>
  <c r="BF65" i="24"/>
  <c r="AJ66" i="23"/>
  <c r="AK66" i="23" s="1"/>
  <c r="BF66" i="24"/>
  <c r="AI110" i="24"/>
  <c r="AI113" i="24"/>
  <c r="AJ111" i="24"/>
  <c r="AI112" i="24"/>
  <c r="AI111" i="24"/>
  <c r="AJ110" i="24"/>
  <c r="AB72" i="24"/>
  <c r="M71" i="24"/>
  <c r="BS72" i="24"/>
  <c r="AX72" i="24"/>
  <c r="L72" i="24"/>
  <c r="AC72" i="24" s="1"/>
  <c r="AS49" i="23"/>
  <c r="AD114" i="23" l="1"/>
  <c r="BJ66" i="24"/>
  <c r="BG66" i="24"/>
  <c r="BJ65" i="24"/>
  <c r="BG65" i="24"/>
  <c r="W113" i="23"/>
  <c r="W117" i="23"/>
  <c r="AD117" i="23"/>
  <c r="W116" i="23"/>
  <c r="AD116" i="23"/>
  <c r="W115" i="23"/>
  <c r="AD115" i="23"/>
  <c r="BH65" i="24"/>
  <c r="BH66" i="24"/>
  <c r="N67" i="23"/>
  <c r="AM67" i="23"/>
  <c r="AA67" i="23"/>
  <c r="Y136" i="22"/>
  <c r="J136" i="22"/>
  <c r="K136" i="22"/>
  <c r="R136" i="22"/>
  <c r="Q136" i="22"/>
  <c r="F136" i="22"/>
  <c r="H135" i="22"/>
  <c r="K66" i="24"/>
  <c r="G67" i="23"/>
  <c r="H67" i="23" s="1"/>
  <c r="BF67" i="24"/>
  <c r="AJ67" i="23"/>
  <c r="AK67" i="23" s="1"/>
  <c r="AX73" i="24"/>
  <c r="L73" i="24"/>
  <c r="AC73" i="24" s="1"/>
  <c r="BS73" i="24"/>
  <c r="AB73" i="24"/>
  <c r="M72" i="24"/>
  <c r="BJ67" i="24" l="1"/>
  <c r="BG67" i="24"/>
  <c r="BH67" i="24"/>
  <c r="AM68" i="23"/>
  <c r="AA68" i="23"/>
  <c r="N68" i="23"/>
  <c r="H136" i="22"/>
  <c r="R137" i="22"/>
  <c r="F137" i="22"/>
  <c r="Q137" i="22"/>
  <c r="Y137" i="22"/>
  <c r="J137" i="22"/>
  <c r="K137" i="22"/>
  <c r="K67" i="24"/>
  <c r="G68" i="23"/>
  <c r="H68" i="23" s="1"/>
  <c r="BF68" i="24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L74" i="24"/>
  <c r="AC74" i="24" s="1"/>
  <c r="BS74" i="24"/>
  <c r="M73" i="24"/>
  <c r="AB74" i="24"/>
  <c r="S92" i="23"/>
  <c r="S72" i="23"/>
  <c r="S65" i="23"/>
  <c r="S63" i="23"/>
  <c r="S101" i="23"/>
  <c r="S81" i="23"/>
  <c r="S78" i="23"/>
  <c r="S80" i="23"/>
  <c r="S69" i="23"/>
  <c r="S62" i="23"/>
  <c r="S88" i="23"/>
  <c r="S70" i="23"/>
  <c r="S99" i="23"/>
  <c r="S82" i="23"/>
  <c r="S91" i="23"/>
  <c r="S76" i="23"/>
  <c r="S79" i="23"/>
  <c r="S98" i="23"/>
  <c r="S71" i="23"/>
  <c r="S100" i="23"/>
  <c r="BJ68" i="24" l="1"/>
  <c r="BG68" i="24"/>
  <c r="T63" i="23"/>
  <c r="BH68" i="24"/>
  <c r="AM69" i="23"/>
  <c r="AA69" i="23"/>
  <c r="N69" i="23"/>
  <c r="F138" i="22"/>
  <c r="Q138" i="22"/>
  <c r="R138" i="22"/>
  <c r="H137" i="22"/>
  <c r="Y138" i="22"/>
  <c r="K138" i="22"/>
  <c r="J138" i="22"/>
  <c r="K68" i="24"/>
  <c r="G69" i="23"/>
  <c r="H69" i="23" s="1"/>
  <c r="AJ68" i="23"/>
  <c r="AK68" i="23" s="1"/>
  <c r="BF69" i="24"/>
  <c r="AJ69" i="23"/>
  <c r="AK69" i="23" s="1"/>
  <c r="AH79" i="24"/>
  <c r="AH101" i="24"/>
  <c r="AH92" i="24"/>
  <c r="AH70" i="24"/>
  <c r="AH63" i="24"/>
  <c r="T70" i="23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B75" i="24"/>
  <c r="M74" i="24"/>
  <c r="AX75" i="24"/>
  <c r="L75" i="24"/>
  <c r="AC75" i="24" s="1"/>
  <c r="BS75" i="24"/>
  <c r="T80" i="23"/>
  <c r="T100" i="23"/>
  <c r="S103" i="23"/>
  <c r="S83" i="23"/>
  <c r="T83" i="23" s="1"/>
  <c r="S94" i="23"/>
  <c r="S84" i="23"/>
  <c r="S97" i="23"/>
  <c r="T98" i="23" s="1"/>
  <c r="S73" i="23"/>
  <c r="T73" i="23" s="1"/>
  <c r="S75" i="23"/>
  <c r="T76" i="23" s="1"/>
  <c r="S95" i="23"/>
  <c r="S107" i="23"/>
  <c r="S86" i="23"/>
  <c r="S106" i="23"/>
  <c r="S90" i="23"/>
  <c r="S68" i="23"/>
  <c r="T69" i="23" s="1"/>
  <c r="S77" i="23"/>
  <c r="T77" i="23" s="1"/>
  <c r="S85" i="23"/>
  <c r="S64" i="23"/>
  <c r="S96" i="23"/>
  <c r="S89" i="23"/>
  <c r="T89" i="23" s="1"/>
  <c r="S87" i="23"/>
  <c r="T88" i="23" s="1"/>
  <c r="S66" i="23"/>
  <c r="S93" i="23"/>
  <c r="T93" i="23" s="1"/>
  <c r="S74" i="23"/>
  <c r="S67" i="23"/>
  <c r="S105" i="23"/>
  <c r="S102" i="23"/>
  <c r="T102" i="23" s="1"/>
  <c r="S104" i="23"/>
  <c r="T79" i="23"/>
  <c r="T99" i="23"/>
  <c r="T101" i="23"/>
  <c r="T82" i="23"/>
  <c r="T72" i="23"/>
  <c r="T71" i="23"/>
  <c r="T81" i="23"/>
  <c r="T92" i="23"/>
  <c r="BJ69" i="24" l="1"/>
  <c r="BG69" i="24"/>
  <c r="U99" i="23"/>
  <c r="U73" i="23"/>
  <c r="U70" i="23"/>
  <c r="U82" i="23"/>
  <c r="U72" i="23"/>
  <c r="U89" i="23"/>
  <c r="U98" i="23"/>
  <c r="U79" i="23"/>
  <c r="U69" i="23"/>
  <c r="U77" i="23"/>
  <c r="U102" i="23"/>
  <c r="U100" i="23"/>
  <c r="U101" i="23"/>
  <c r="U80" i="23"/>
  <c r="U71" i="23"/>
  <c r="U88" i="23"/>
  <c r="U83" i="23"/>
  <c r="U92" i="23"/>
  <c r="U76" i="23"/>
  <c r="U81" i="23"/>
  <c r="U93" i="23"/>
  <c r="U63" i="23"/>
  <c r="AJ70" i="24"/>
  <c r="AY70" i="24"/>
  <c r="AJ92" i="24"/>
  <c r="AY92" i="24"/>
  <c r="AJ79" i="24"/>
  <c r="AY79" i="24"/>
  <c r="T67" i="23"/>
  <c r="T65" i="23"/>
  <c r="AJ101" i="24"/>
  <c r="AY101" i="24"/>
  <c r="T66" i="23"/>
  <c r="AJ63" i="24"/>
  <c r="AY63" i="24"/>
  <c r="T64" i="23"/>
  <c r="BH69" i="24"/>
  <c r="AM70" i="23"/>
  <c r="AA70" i="23"/>
  <c r="N70" i="23"/>
  <c r="H138" i="22"/>
  <c r="Q139" i="22"/>
  <c r="R139" i="22"/>
  <c r="F139" i="22"/>
  <c r="J139" i="22"/>
  <c r="K139" i="22"/>
  <c r="Y139" i="22"/>
  <c r="AH107" i="24"/>
  <c r="AJ70" i="23"/>
  <c r="AK70" i="23" s="1"/>
  <c r="BF70" i="24"/>
  <c r="AJ71" i="24"/>
  <c r="AH64" i="24"/>
  <c r="K69" i="24"/>
  <c r="G70" i="23"/>
  <c r="H70" i="23" s="1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M75" i="24"/>
  <c r="AX76" i="24"/>
  <c r="L76" i="24"/>
  <c r="AC76" i="24" s="1"/>
  <c r="AB76" i="24"/>
  <c r="BS76" i="24"/>
  <c r="T104" i="23"/>
  <c r="T95" i="23"/>
  <c r="T90" i="23"/>
  <c r="T78" i="23"/>
  <c r="V82" i="23" s="1"/>
  <c r="T105" i="23"/>
  <c r="T106" i="23"/>
  <c r="T107" i="23"/>
  <c r="T108" i="23"/>
  <c r="V112" i="23" s="1"/>
  <c r="T86" i="23"/>
  <c r="T87" i="23"/>
  <c r="T91" i="23"/>
  <c r="T96" i="23"/>
  <c r="T97" i="23"/>
  <c r="V101" i="23" s="1"/>
  <c r="T74" i="23"/>
  <c r="T75" i="23"/>
  <c r="T84" i="23"/>
  <c r="T85" i="23"/>
  <c r="T94" i="23"/>
  <c r="V96" i="23" s="1"/>
  <c r="T68" i="23"/>
  <c r="V72" i="23" s="1"/>
  <c r="T103" i="23"/>
  <c r="AB70" i="23"/>
  <c r="AB63" i="23"/>
  <c r="BJ70" i="24" l="1"/>
  <c r="BG70" i="24"/>
  <c r="V103" i="23"/>
  <c r="V89" i="23"/>
  <c r="AD89" i="23" s="1"/>
  <c r="V99" i="23"/>
  <c r="W99" i="23" s="1"/>
  <c r="V70" i="23"/>
  <c r="AD70" i="23" s="1"/>
  <c r="V71" i="23"/>
  <c r="AD71" i="23" s="1"/>
  <c r="V76" i="23"/>
  <c r="W76" i="23" s="1"/>
  <c r="V100" i="23"/>
  <c r="W100" i="23" s="1"/>
  <c r="V84" i="23"/>
  <c r="AD84" i="23" s="1"/>
  <c r="V94" i="23"/>
  <c r="AD94" i="23" s="1"/>
  <c r="V67" i="23"/>
  <c r="W67" i="23" s="1"/>
  <c r="V65" i="23"/>
  <c r="AD65" i="23" s="1"/>
  <c r="V109" i="23"/>
  <c r="W109" i="23" s="1"/>
  <c r="W96" i="23"/>
  <c r="AD96" i="23"/>
  <c r="W103" i="23"/>
  <c r="AD103" i="23"/>
  <c r="W82" i="23"/>
  <c r="AD82" i="23"/>
  <c r="V64" i="23"/>
  <c r="V73" i="23"/>
  <c r="V63" i="23"/>
  <c r="V106" i="23"/>
  <c r="V69" i="23"/>
  <c r="V97" i="23"/>
  <c r="V92" i="23"/>
  <c r="V79" i="23"/>
  <c r="W101" i="23"/>
  <c r="AD101" i="23"/>
  <c r="V108" i="23"/>
  <c r="U64" i="23"/>
  <c r="V85" i="23"/>
  <c r="V87" i="23"/>
  <c r="W71" i="23"/>
  <c r="AB64" i="23"/>
  <c r="V95" i="23"/>
  <c r="V86" i="23"/>
  <c r="V105" i="23"/>
  <c r="AD109" i="23"/>
  <c r="V104" i="23"/>
  <c r="V78" i="23"/>
  <c r="V83" i="23"/>
  <c r="V91" i="23"/>
  <c r="V75" i="23"/>
  <c r="V90" i="23"/>
  <c r="V81" i="23"/>
  <c r="W65" i="23"/>
  <c r="V107" i="23"/>
  <c r="V102" i="23"/>
  <c r="V111" i="23"/>
  <c r="V93" i="23"/>
  <c r="V88" i="23"/>
  <c r="W112" i="23"/>
  <c r="AD112" i="23"/>
  <c r="V68" i="23"/>
  <c r="V77" i="23"/>
  <c r="W72" i="23"/>
  <c r="AD72" i="23"/>
  <c r="V98" i="23"/>
  <c r="V110" i="23"/>
  <c r="V66" i="23"/>
  <c r="V74" i="23"/>
  <c r="V80" i="23"/>
  <c r="AS24" i="23"/>
  <c r="U95" i="23"/>
  <c r="U90" i="23"/>
  <c r="U74" i="23"/>
  <c r="U87" i="23"/>
  <c r="U96" i="23"/>
  <c r="U86" i="23"/>
  <c r="U67" i="23"/>
  <c r="U94" i="23"/>
  <c r="U106" i="23"/>
  <c r="U65" i="23"/>
  <c r="U97" i="23"/>
  <c r="U91" i="23"/>
  <c r="U85" i="23"/>
  <c r="U105" i="23"/>
  <c r="U66" i="23"/>
  <c r="U75" i="23"/>
  <c r="U104" i="23"/>
  <c r="U103" i="23"/>
  <c r="U108" i="23"/>
  <c r="U107" i="23"/>
  <c r="U84" i="23"/>
  <c r="U78" i="23"/>
  <c r="AB66" i="23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U68" i="23"/>
  <c r="AM71" i="23"/>
  <c r="N71" i="23"/>
  <c r="J140" i="22"/>
  <c r="K140" i="22"/>
  <c r="Q140" i="22"/>
  <c r="F140" i="22"/>
  <c r="Y140" i="22"/>
  <c r="H139" i="22"/>
  <c r="AI108" i="24"/>
  <c r="AI107" i="24"/>
  <c r="AI104" i="24"/>
  <c r="AI86" i="24"/>
  <c r="AJ77" i="24"/>
  <c r="AJ90" i="24"/>
  <c r="AI65" i="24"/>
  <c r="AJ64" i="24"/>
  <c r="K70" i="24"/>
  <c r="G71" i="23"/>
  <c r="H71" i="23" s="1"/>
  <c r="AJ71" i="23"/>
  <c r="AK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B77" i="24"/>
  <c r="M76" i="24"/>
  <c r="AX77" i="24"/>
  <c r="L77" i="24"/>
  <c r="AC77" i="24" s="1"/>
  <c r="AS23" i="23"/>
  <c r="AB69" i="23"/>
  <c r="AB67" i="23"/>
  <c r="AB68" i="23"/>
  <c r="AB65" i="23"/>
  <c r="W89" i="23" l="1"/>
  <c r="AD76" i="23"/>
  <c r="AD100" i="23"/>
  <c r="AD99" i="23"/>
  <c r="AD67" i="23"/>
  <c r="W70" i="23"/>
  <c r="W84" i="23"/>
  <c r="W94" i="23"/>
  <c r="W88" i="23"/>
  <c r="AD88" i="23"/>
  <c r="W79" i="23"/>
  <c r="AD79" i="23"/>
  <c r="W80" i="23"/>
  <c r="AD80" i="23"/>
  <c r="W93" i="23"/>
  <c r="AD93" i="23"/>
  <c r="W75" i="23"/>
  <c r="AD75" i="23"/>
  <c r="W92" i="23"/>
  <c r="AD92" i="23"/>
  <c r="W97" i="23"/>
  <c r="AD97" i="23"/>
  <c r="W66" i="23"/>
  <c r="AD66" i="23"/>
  <c r="W102" i="23"/>
  <c r="AD102" i="23"/>
  <c r="W83" i="23"/>
  <c r="AD83" i="23"/>
  <c r="W69" i="23"/>
  <c r="AD69" i="23"/>
  <c r="W110" i="23"/>
  <c r="AD110" i="23"/>
  <c r="W107" i="23"/>
  <c r="AD107" i="23"/>
  <c r="W78" i="23"/>
  <c r="AD78" i="23"/>
  <c r="W87" i="23"/>
  <c r="AD87" i="23"/>
  <c r="W106" i="23"/>
  <c r="AD106" i="23"/>
  <c r="W98" i="23"/>
  <c r="AD98" i="23"/>
  <c r="W104" i="23"/>
  <c r="AD104" i="23"/>
  <c r="W85" i="23"/>
  <c r="AD85" i="23"/>
  <c r="W63" i="23"/>
  <c r="AD63" i="23"/>
  <c r="W74" i="23"/>
  <c r="AD74" i="23"/>
  <c r="W95" i="23"/>
  <c r="AD95" i="23"/>
  <c r="W111" i="23"/>
  <c r="AD111" i="23"/>
  <c r="W81" i="23"/>
  <c r="AD81" i="23"/>
  <c r="W108" i="23"/>
  <c r="AD108" i="23"/>
  <c r="W77" i="23"/>
  <c r="AD77" i="23"/>
  <c r="W90" i="23"/>
  <c r="AD90" i="23"/>
  <c r="W105" i="23"/>
  <c r="AD105" i="23"/>
  <c r="W73" i="23"/>
  <c r="AD73" i="23"/>
  <c r="W91" i="23"/>
  <c r="AD91" i="23"/>
  <c r="W68" i="23"/>
  <c r="AD68" i="23"/>
  <c r="W86" i="23"/>
  <c r="AD86" i="23"/>
  <c r="W64" i="23"/>
  <c r="AD64" i="23"/>
  <c r="AV24" i="23"/>
  <c r="AV23" i="23"/>
  <c r="AA71" i="23"/>
  <c r="AB71" i="23"/>
  <c r="AM72" i="23"/>
  <c r="N72" i="23"/>
  <c r="H140" i="22"/>
  <c r="Y141" i="22"/>
  <c r="F141" i="22"/>
  <c r="Q141" i="22"/>
  <c r="J141" i="22"/>
  <c r="K141" i="22"/>
  <c r="BF71" i="24"/>
  <c r="AJ72" i="23"/>
  <c r="AK72" i="23" s="1"/>
  <c r="BF72" i="24"/>
  <c r="K71" i="24"/>
  <c r="G72" i="23"/>
  <c r="H72" i="23" s="1"/>
  <c r="AB78" i="24"/>
  <c r="M77" i="24"/>
  <c r="BS78" i="24"/>
  <c r="AX78" i="24"/>
  <c r="L78" i="24"/>
  <c r="AC78" i="24" s="1"/>
  <c r="U62" i="23"/>
  <c r="AD17" i="22"/>
  <c r="BJ71" i="24" l="1"/>
  <c r="BG71" i="24"/>
  <c r="BJ72" i="24"/>
  <c r="BG72" i="24"/>
  <c r="AV26" i="23" a="1"/>
  <c r="AV26" i="23" s="1"/>
  <c r="AV27" i="23"/>
  <c r="AV25" i="23" a="1"/>
  <c r="AV25" i="23" s="1"/>
  <c r="BH71" i="24"/>
  <c r="BH72" i="24"/>
  <c r="AA72" i="23"/>
  <c r="AB72" i="23"/>
  <c r="AM73" i="23"/>
  <c r="N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K72" i="24"/>
  <c r="G73" i="23"/>
  <c r="H73" i="23" s="1"/>
  <c r="BF73" i="24"/>
  <c r="M78" i="24"/>
  <c r="AB79" i="24"/>
  <c r="AX79" i="24"/>
  <c r="L79" i="24"/>
  <c r="AC79" i="24" s="1"/>
  <c r="BS79" i="24"/>
  <c r="P62" i="23"/>
  <c r="AI62" i="23"/>
  <c r="F62" i="23"/>
  <c r="AD26" i="22"/>
  <c r="AD22" i="22"/>
  <c r="BJ73" i="24" l="1"/>
  <c r="BG73" i="24"/>
  <c r="AV28" i="23"/>
  <c r="BH73" i="24"/>
  <c r="AA73" i="23"/>
  <c r="AB73" i="23"/>
  <c r="AM74" i="23"/>
  <c r="N74" i="23"/>
  <c r="G142" i="22"/>
  <c r="H142" i="22"/>
  <c r="Q143" i="22"/>
  <c r="F143" i="22"/>
  <c r="R143" i="22"/>
  <c r="Y143" i="22"/>
  <c r="J143" i="22"/>
  <c r="K143" i="22"/>
  <c r="K73" i="24"/>
  <c r="G74" i="23"/>
  <c r="H74" i="23" s="1"/>
  <c r="AJ73" i="23"/>
  <c r="AK73" i="23" s="1"/>
  <c r="AJ74" i="23"/>
  <c r="AK74" i="23" s="1"/>
  <c r="M79" i="24"/>
  <c r="AX80" i="24"/>
  <c r="L80" i="24"/>
  <c r="AC80" i="24" s="1"/>
  <c r="AB80" i="24"/>
  <c r="BS80" i="24"/>
  <c r="P63" i="23"/>
  <c r="AG115" i="23"/>
  <c r="BB79" i="24"/>
  <c r="P64" i="23"/>
  <c r="AD11" i="22"/>
  <c r="AD12" i="22"/>
  <c r="AD15" i="22" s="1"/>
  <c r="N75" i="23" l="1"/>
  <c r="AM75" i="23"/>
  <c r="AA74" i="23"/>
  <c r="AB74" i="23"/>
  <c r="F144" i="22"/>
  <c r="Q144" i="22"/>
  <c r="R144" i="22"/>
  <c r="G143" i="22"/>
  <c r="H143" i="22"/>
  <c r="Y144" i="22"/>
  <c r="J144" i="22"/>
  <c r="K144" i="22"/>
  <c r="AG121" i="23"/>
  <c r="AG123" i="23"/>
  <c r="AH124" i="23" s="1"/>
  <c r="AI124" i="23" s="1"/>
  <c r="AG122" i="23"/>
  <c r="AG106" i="23"/>
  <c r="BC121" i="24"/>
  <c r="AG120" i="23"/>
  <c r="AG119" i="23"/>
  <c r="BB118" i="24"/>
  <c r="AG118" i="23"/>
  <c r="AG117" i="23"/>
  <c r="BB117" i="24"/>
  <c r="BB116" i="24"/>
  <c r="AG116" i="23"/>
  <c r="AH116" i="23" s="1"/>
  <c r="AI116" i="23" s="1"/>
  <c r="BB107" i="24"/>
  <c r="BB115" i="24"/>
  <c r="AG114" i="23"/>
  <c r="AH115" i="23" s="1"/>
  <c r="AI115" i="23" s="1"/>
  <c r="BB114" i="24"/>
  <c r="AG102" i="23"/>
  <c r="BB113" i="24"/>
  <c r="AG113" i="23"/>
  <c r="BB108" i="24"/>
  <c r="AG112" i="23"/>
  <c r="AG108" i="23"/>
  <c r="BB112" i="24"/>
  <c r="BB100" i="24"/>
  <c r="BB111" i="24"/>
  <c r="AG107" i="23"/>
  <c r="AG111" i="23"/>
  <c r="AG79" i="23"/>
  <c r="AG110" i="23"/>
  <c r="AG71" i="23"/>
  <c r="BB110" i="24"/>
  <c r="AG97" i="23"/>
  <c r="BB109" i="24"/>
  <c r="AG109" i="23"/>
  <c r="AG77" i="23"/>
  <c r="AG73" i="23"/>
  <c r="BB98" i="24"/>
  <c r="AG98" i="23"/>
  <c r="AG104" i="23"/>
  <c r="AG85" i="23"/>
  <c r="AG68" i="23"/>
  <c r="BB97" i="24"/>
  <c r="AG64" i="23"/>
  <c r="BB68" i="24"/>
  <c r="AG67" i="23"/>
  <c r="BB86" i="24"/>
  <c r="AG86" i="23"/>
  <c r="AG89" i="23"/>
  <c r="K74" i="24"/>
  <c r="G75" i="23"/>
  <c r="H75" i="23" s="1"/>
  <c r="AG100" i="23"/>
  <c r="BB102" i="24"/>
  <c r="BB64" i="24"/>
  <c r="BB85" i="24"/>
  <c r="BB106" i="24"/>
  <c r="BB89" i="24"/>
  <c r="BB104" i="24"/>
  <c r="BB73" i="24"/>
  <c r="BF74" i="24"/>
  <c r="BF75" i="24"/>
  <c r="AJ75" i="23"/>
  <c r="AK75" i="23" s="1"/>
  <c r="BB67" i="24"/>
  <c r="BB71" i="24"/>
  <c r="BB77" i="24"/>
  <c r="AG90" i="23"/>
  <c r="BB90" i="24"/>
  <c r="AG81" i="23"/>
  <c r="BB81" i="24"/>
  <c r="AS27" i="23"/>
  <c r="BY27" i="24"/>
  <c r="AG103" i="23"/>
  <c r="BB103" i="24"/>
  <c r="AG93" i="23"/>
  <c r="BB93" i="24"/>
  <c r="AG83" i="23"/>
  <c r="BB83" i="24"/>
  <c r="AG74" i="23"/>
  <c r="BB74" i="24"/>
  <c r="AG65" i="23"/>
  <c r="BB65" i="24"/>
  <c r="AG101" i="23"/>
  <c r="BB101" i="24"/>
  <c r="AG82" i="23"/>
  <c r="BB82" i="24"/>
  <c r="AG92" i="23"/>
  <c r="BB92" i="24"/>
  <c r="AG88" i="23"/>
  <c r="BB88" i="24"/>
  <c r="AG99" i="23"/>
  <c r="BB99" i="24"/>
  <c r="AG80" i="23"/>
  <c r="BB80" i="24"/>
  <c r="AG84" i="23"/>
  <c r="BB84" i="24"/>
  <c r="AG70" i="23"/>
  <c r="BB70" i="24"/>
  <c r="AG75" i="23"/>
  <c r="BB75" i="24"/>
  <c r="AG105" i="23"/>
  <c r="BB105" i="24"/>
  <c r="AG62" i="23"/>
  <c r="BB62" i="24"/>
  <c r="AG76" i="23"/>
  <c r="BB76" i="24"/>
  <c r="AG91" i="23"/>
  <c r="BB91" i="24"/>
  <c r="AG95" i="23"/>
  <c r="BB95" i="24"/>
  <c r="AG87" i="23"/>
  <c r="BB87" i="24"/>
  <c r="AG63" i="23"/>
  <c r="BB63" i="24"/>
  <c r="AG66" i="23"/>
  <c r="BB66" i="24"/>
  <c r="AG69" i="23"/>
  <c r="BB69" i="24"/>
  <c r="AG96" i="23"/>
  <c r="BB96" i="24"/>
  <c r="AG78" i="23"/>
  <c r="BB78" i="24"/>
  <c r="BC79" i="24" s="1"/>
  <c r="AG94" i="23"/>
  <c r="BB94" i="24"/>
  <c r="AG72" i="23"/>
  <c r="BB72" i="24"/>
  <c r="X64" i="23"/>
  <c r="Y64" i="23" s="1"/>
  <c r="AK64" i="24"/>
  <c r="AL64" i="24" s="1"/>
  <c r="AB81" i="24"/>
  <c r="BS81" i="24"/>
  <c r="M80" i="24"/>
  <c r="AX81" i="24"/>
  <c r="L81" i="24"/>
  <c r="AC81" i="24" s="1"/>
  <c r="AB62" i="23"/>
  <c r="AS11" i="23"/>
  <c r="P65" i="23"/>
  <c r="AS12" i="23"/>
  <c r="BJ74" i="24" l="1"/>
  <c r="BG74" i="24"/>
  <c r="BJ75" i="24"/>
  <c r="BG75" i="24"/>
  <c r="AH94" i="23"/>
  <c r="AI94" i="23" s="1"/>
  <c r="AH68" i="23"/>
  <c r="AI68" i="23" s="1"/>
  <c r="AH63" i="23"/>
  <c r="AH67" i="23"/>
  <c r="AI67" i="23" s="1"/>
  <c r="AH64" i="23"/>
  <c r="AI64" i="23" s="1"/>
  <c r="AH66" i="23"/>
  <c r="AI66" i="23" s="1"/>
  <c r="AH65" i="23"/>
  <c r="AI65" i="23" s="1"/>
  <c r="BD122" i="24"/>
  <c r="AO64" i="24"/>
  <c r="BH75" i="24"/>
  <c r="BH74" i="24"/>
  <c r="AM64" i="24"/>
  <c r="AA75" i="23"/>
  <c r="AB75" i="23"/>
  <c r="AM76" i="23"/>
  <c r="N76" i="23"/>
  <c r="AH121" i="23"/>
  <c r="BE122" i="24"/>
  <c r="Q145" i="22"/>
  <c r="R145" i="22"/>
  <c r="F145" i="22"/>
  <c r="J145" i="22"/>
  <c r="K145" i="22"/>
  <c r="Y145" i="22"/>
  <c r="G144" i="22"/>
  <c r="H144" i="22"/>
  <c r="AH120" i="23"/>
  <c r="AI120" i="23" s="1"/>
  <c r="BE121" i="24"/>
  <c r="AH123" i="23"/>
  <c r="AI123" i="23" s="1"/>
  <c r="AH119" i="23"/>
  <c r="AI119" i="23" s="1"/>
  <c r="AH97" i="23"/>
  <c r="AI97" i="23" s="1"/>
  <c r="BC119" i="24"/>
  <c r="BE119" i="24" s="1"/>
  <c r="BC120" i="24"/>
  <c r="BE120" i="24" s="1"/>
  <c r="AH107" i="23"/>
  <c r="AI107" i="23" s="1"/>
  <c r="AH122" i="23"/>
  <c r="BC118" i="24"/>
  <c r="BE118" i="24" s="1"/>
  <c r="BC100" i="24"/>
  <c r="BE100" i="24" s="1"/>
  <c r="AH85" i="23"/>
  <c r="AI85" i="23" s="1"/>
  <c r="BC117" i="24"/>
  <c r="BE117" i="24" s="1"/>
  <c r="AH101" i="23"/>
  <c r="AI101" i="23" s="1"/>
  <c r="AH103" i="23"/>
  <c r="AI103" i="23" s="1"/>
  <c r="AH118" i="23"/>
  <c r="AI118" i="23" s="1"/>
  <c r="BC116" i="24"/>
  <c r="BE116" i="24" s="1"/>
  <c r="BC108" i="24"/>
  <c r="BE108" i="24" s="1"/>
  <c r="AH117" i="23"/>
  <c r="AI117" i="23" s="1"/>
  <c r="BC87" i="24"/>
  <c r="BE87" i="24" s="1"/>
  <c r="AH114" i="23"/>
  <c r="AI114" i="23" s="1"/>
  <c r="BC107" i="24"/>
  <c r="BE107" i="24" s="1"/>
  <c r="AH80" i="23"/>
  <c r="AI80" i="23" s="1"/>
  <c r="BC115" i="24"/>
  <c r="BE115" i="24" s="1"/>
  <c r="AH113" i="23"/>
  <c r="AI113" i="23" s="1"/>
  <c r="BC114" i="24"/>
  <c r="BE114" i="24" s="1"/>
  <c r="AH87" i="23"/>
  <c r="AI87" i="23" s="1"/>
  <c r="AH111" i="23"/>
  <c r="AI111" i="23" s="1"/>
  <c r="BC113" i="24"/>
  <c r="BE113" i="24" s="1"/>
  <c r="BC106" i="24"/>
  <c r="BE106" i="24" s="1"/>
  <c r="AH112" i="23"/>
  <c r="AI112" i="23" s="1"/>
  <c r="AH110" i="23"/>
  <c r="AI110" i="23" s="1"/>
  <c r="BC112" i="24"/>
  <c r="BE112" i="24" s="1"/>
  <c r="BC111" i="24"/>
  <c r="BE111" i="24" s="1"/>
  <c r="BC73" i="24"/>
  <c r="BE73" i="24" s="1"/>
  <c r="AH108" i="23"/>
  <c r="AI108" i="23" s="1"/>
  <c r="BC104" i="24"/>
  <c r="BE104" i="24" s="1"/>
  <c r="AH72" i="23"/>
  <c r="AI72" i="23" s="1"/>
  <c r="AH105" i="23"/>
  <c r="AI105" i="23" s="1"/>
  <c r="AH89" i="23"/>
  <c r="AI89" i="23" s="1"/>
  <c r="AH109" i="23"/>
  <c r="AI109" i="23" s="1"/>
  <c r="AH71" i="23"/>
  <c r="AI71" i="23" s="1"/>
  <c r="BC110" i="24"/>
  <c r="BE110" i="24" s="1"/>
  <c r="AH99" i="23"/>
  <c r="AI99" i="23" s="1"/>
  <c r="AH74" i="23"/>
  <c r="AI74" i="23" s="1"/>
  <c r="AH78" i="23"/>
  <c r="AI78" i="23" s="1"/>
  <c r="BC109" i="24"/>
  <c r="BE109" i="24" s="1"/>
  <c r="BC68" i="24"/>
  <c r="BT68" i="24" s="1"/>
  <c r="AH86" i="23"/>
  <c r="AI86" i="23" s="1"/>
  <c r="AH98" i="23"/>
  <c r="AI98" i="23" s="1"/>
  <c r="BC98" i="24"/>
  <c r="BE98" i="24" s="1"/>
  <c r="BC81" i="24"/>
  <c r="BE81" i="24" s="1"/>
  <c r="AH69" i="23"/>
  <c r="AI69" i="23" s="1"/>
  <c r="AH77" i="23"/>
  <c r="AI77" i="23" s="1"/>
  <c r="AH90" i="23"/>
  <c r="AI90" i="23" s="1"/>
  <c r="BC86" i="24"/>
  <c r="BE86" i="24" s="1"/>
  <c r="BC89" i="24"/>
  <c r="BE89" i="24" s="1"/>
  <c r="BC90" i="24"/>
  <c r="BE90" i="24" s="1"/>
  <c r="BC97" i="24"/>
  <c r="BE97" i="24" s="1"/>
  <c r="BC71" i="24"/>
  <c r="BE71" i="24" s="1"/>
  <c r="BC85" i="24"/>
  <c r="BE85" i="24" s="1"/>
  <c r="K75" i="24"/>
  <c r="G76" i="23"/>
  <c r="H76" i="23" s="1"/>
  <c r="BF76" i="24"/>
  <c r="BC102" i="24"/>
  <c r="BE102" i="24" s="1"/>
  <c r="BC77" i="24"/>
  <c r="BE77" i="24" s="1"/>
  <c r="BC67" i="24"/>
  <c r="BT67" i="24" s="1"/>
  <c r="AH92" i="23"/>
  <c r="AI92" i="23" s="1"/>
  <c r="AH75" i="23"/>
  <c r="AI75" i="23" s="1"/>
  <c r="AS15" i="23"/>
  <c r="BY15" i="24"/>
  <c r="BC80" i="24"/>
  <c r="BE80" i="24" s="1"/>
  <c r="BC99" i="24"/>
  <c r="BE99" i="24" s="1"/>
  <c r="AH104" i="23"/>
  <c r="AI104" i="23" s="1"/>
  <c r="BC105" i="24"/>
  <c r="AH73" i="23"/>
  <c r="AI73" i="23" s="1"/>
  <c r="AH83" i="23"/>
  <c r="AI83" i="23" s="1"/>
  <c r="BC70" i="24"/>
  <c r="BE70" i="24" s="1"/>
  <c r="AH91" i="23"/>
  <c r="AI91" i="23" s="1"/>
  <c r="AH81" i="23"/>
  <c r="AI81" i="23" s="1"/>
  <c r="BC101" i="24"/>
  <c r="BC75" i="24"/>
  <c r="BE75" i="24" s="1"/>
  <c r="BC78" i="24"/>
  <c r="BC96" i="24"/>
  <c r="BE96" i="24" s="1"/>
  <c r="AH100" i="23"/>
  <c r="AI100" i="23" s="1"/>
  <c r="AH96" i="23"/>
  <c r="AI96" i="23" s="1"/>
  <c r="AH93" i="23"/>
  <c r="AI93" i="23" s="1"/>
  <c r="AH106" i="23"/>
  <c r="AI106" i="23" s="1"/>
  <c r="AH79" i="23"/>
  <c r="AI79" i="23" s="1"/>
  <c r="AH82" i="23"/>
  <c r="AI82" i="23" s="1"/>
  <c r="AH102" i="23"/>
  <c r="AI102" i="23" s="1"/>
  <c r="BC92" i="24"/>
  <c r="BC93" i="24"/>
  <c r="BC84" i="24"/>
  <c r="AH95" i="23"/>
  <c r="AI95" i="23" s="1"/>
  <c r="BC63" i="24"/>
  <c r="BC64" i="24"/>
  <c r="BC94" i="24"/>
  <c r="AH76" i="23"/>
  <c r="AI76" i="23" s="1"/>
  <c r="BC88" i="24"/>
  <c r="BC83" i="24"/>
  <c r="AH84" i="23"/>
  <c r="AI84" i="23" s="1"/>
  <c r="BE79" i="24"/>
  <c r="BT79" i="24"/>
  <c r="BC74" i="24"/>
  <c r="BC82" i="24"/>
  <c r="BC95" i="24"/>
  <c r="AH88" i="23"/>
  <c r="AI88" i="23" s="1"/>
  <c r="AH70" i="23"/>
  <c r="AI70" i="23" s="1"/>
  <c r="BC72" i="24"/>
  <c r="BC103" i="24"/>
  <c r="BC91" i="24"/>
  <c r="BC76" i="24"/>
  <c r="BC65" i="24"/>
  <c r="BC66" i="24"/>
  <c r="BC69" i="24"/>
  <c r="AS53" i="23"/>
  <c r="BY53" i="24"/>
  <c r="X65" i="23"/>
  <c r="Y65" i="23" s="1"/>
  <c r="AK65" i="24"/>
  <c r="AL65" i="24" s="1"/>
  <c r="M81" i="24"/>
  <c r="L82" i="24"/>
  <c r="AC82" i="24" s="1"/>
  <c r="AX82" i="24"/>
  <c r="BS82" i="24"/>
  <c r="AB82" i="24"/>
  <c r="P66" i="23"/>
  <c r="BJ76" i="24" l="1"/>
  <c r="BG76" i="24"/>
  <c r="AI63" i="23"/>
  <c r="AS37" i="23"/>
  <c r="BD121" i="24"/>
  <c r="AO65" i="24"/>
  <c r="BH76" i="24"/>
  <c r="AM65" i="24"/>
  <c r="AA76" i="23"/>
  <c r="AB76" i="23"/>
  <c r="AM77" i="23"/>
  <c r="N77" i="23"/>
  <c r="AI121" i="23"/>
  <c r="J146" i="22"/>
  <c r="K146" i="22"/>
  <c r="Y146" i="22"/>
  <c r="Q146" i="22"/>
  <c r="R146" i="22"/>
  <c r="F146" i="22"/>
  <c r="G145" i="22"/>
  <c r="H145" i="22"/>
  <c r="BD120" i="24"/>
  <c r="AI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K76" i="24"/>
  <c r="G77" i="23"/>
  <c r="H77" i="23" s="1"/>
  <c r="AJ76" i="23"/>
  <c r="AK76" i="23" s="1"/>
  <c r="AJ77" i="23"/>
  <c r="AK77" i="23" s="1"/>
  <c r="BF77" i="24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AL66" i="24" s="1"/>
  <c r="X66" i="23"/>
  <c r="Y66" i="23" s="1"/>
  <c r="AB83" i="24"/>
  <c r="AX83" i="24"/>
  <c r="L83" i="24"/>
  <c r="AC83" i="24" s="1"/>
  <c r="BT83" i="24"/>
  <c r="BS83" i="24"/>
  <c r="M82" i="24"/>
  <c r="AS36" i="23"/>
  <c r="P67" i="23"/>
  <c r="BJ77" i="24" l="1"/>
  <c r="BG77" i="24"/>
  <c r="AO66" i="24"/>
  <c r="BH77" i="24"/>
  <c r="AM66" i="24"/>
  <c r="AA77" i="23"/>
  <c r="AB77" i="23"/>
  <c r="N78" i="23"/>
  <c r="AM78" i="23"/>
  <c r="G146" i="22"/>
  <c r="H146" i="22"/>
  <c r="Y147" i="22"/>
  <c r="F147" i="22"/>
  <c r="Q147" i="22"/>
  <c r="R147" i="22"/>
  <c r="J147" i="22"/>
  <c r="K147" i="22"/>
  <c r="AJ78" i="23"/>
  <c r="AK78" i="23" s="1"/>
  <c r="K77" i="24"/>
  <c r="G78" i="23"/>
  <c r="H78" i="23" s="1"/>
  <c r="AS40" i="23"/>
  <c r="BY40" i="24"/>
  <c r="X67" i="23"/>
  <c r="Y67" i="23" s="1"/>
  <c r="AK67" i="24"/>
  <c r="AL67" i="24" s="1"/>
  <c r="AB84" i="24"/>
  <c r="AX84" i="24"/>
  <c r="L84" i="24"/>
  <c r="AC84" i="24" s="1"/>
  <c r="M83" i="24"/>
  <c r="BT84" i="24"/>
  <c r="BS84" i="24"/>
  <c r="P68" i="23"/>
  <c r="AO67" i="24" l="1"/>
  <c r="AM67" i="24"/>
  <c r="N79" i="23"/>
  <c r="AM79" i="23"/>
  <c r="AA78" i="23"/>
  <c r="AB78" i="23"/>
  <c r="J148" i="22"/>
  <c r="K148" i="22"/>
  <c r="G147" i="22"/>
  <c r="H147" i="22"/>
  <c r="R148" i="22"/>
  <c r="F148" i="22"/>
  <c r="Q148" i="22"/>
  <c r="Y148" i="22"/>
  <c r="K78" i="24"/>
  <c r="G79" i="23"/>
  <c r="H79" i="23" s="1"/>
  <c r="BF78" i="24"/>
  <c r="AJ79" i="23"/>
  <c r="AK79" i="23" s="1"/>
  <c r="AK68" i="24"/>
  <c r="AL68" i="24" s="1"/>
  <c r="X68" i="23"/>
  <c r="Y68" i="23" s="1"/>
  <c r="AX85" i="24"/>
  <c r="L85" i="24"/>
  <c r="AC85" i="24" s="1"/>
  <c r="AB85" i="24"/>
  <c r="BT85" i="24"/>
  <c r="BS85" i="24"/>
  <c r="M84" i="24"/>
  <c r="P69" i="23"/>
  <c r="BJ78" i="24" l="1"/>
  <c r="BG78" i="24"/>
  <c r="AO68" i="24"/>
  <c r="BH78" i="24"/>
  <c r="AM68" i="24"/>
  <c r="AA79" i="23"/>
  <c r="AB79" i="23"/>
  <c r="N80" i="23"/>
  <c r="AM80" i="23"/>
  <c r="J149" i="22"/>
  <c r="K149" i="22"/>
  <c r="Y149" i="22"/>
  <c r="R149" i="22"/>
  <c r="Q149" i="22"/>
  <c r="F149" i="22"/>
  <c r="G148" i="22"/>
  <c r="H148" i="22"/>
  <c r="K79" i="24"/>
  <c r="G80" i="23"/>
  <c r="H80" i="23" s="1"/>
  <c r="BF79" i="24"/>
  <c r="BF80" i="24"/>
  <c r="X69" i="23"/>
  <c r="Y69" i="23" s="1"/>
  <c r="AK69" i="24"/>
  <c r="AL69" i="24" s="1"/>
  <c r="AB86" i="24"/>
  <c r="M85" i="24"/>
  <c r="BT86" i="24"/>
  <c r="BS86" i="24"/>
  <c r="AX86" i="24"/>
  <c r="L86" i="24"/>
  <c r="AC86" i="24" s="1"/>
  <c r="P70" i="23"/>
  <c r="BJ80" i="24" l="1"/>
  <c r="BG80" i="24"/>
  <c r="BJ79" i="24"/>
  <c r="BG79" i="24"/>
  <c r="AO69" i="24"/>
  <c r="BH80" i="24"/>
  <c r="BH79" i="24"/>
  <c r="AM69" i="24"/>
  <c r="AM81" i="23"/>
  <c r="N81" i="23"/>
  <c r="AA80" i="23"/>
  <c r="AB80" i="23"/>
  <c r="H149" i="22"/>
  <c r="G149" i="22"/>
  <c r="F150" i="22"/>
  <c r="Q150" i="22"/>
  <c r="R150" i="22"/>
  <c r="J150" i="22"/>
  <c r="K150" i="22"/>
  <c r="Y150" i="22"/>
  <c r="K80" i="24"/>
  <c r="G81" i="23"/>
  <c r="H81" i="23" s="1"/>
  <c r="AJ80" i="23"/>
  <c r="AK80" i="23" s="1"/>
  <c r="AJ81" i="23"/>
  <c r="AK81" i="23" s="1"/>
  <c r="BF81" i="24"/>
  <c r="AK70" i="24"/>
  <c r="AL70" i="24" s="1"/>
  <c r="X70" i="23"/>
  <c r="Y70" i="23" s="1"/>
  <c r="AX87" i="24"/>
  <c r="L87" i="24"/>
  <c r="AC87" i="24" s="1"/>
  <c r="BT87" i="24"/>
  <c r="BS87" i="24"/>
  <c r="AB87" i="24"/>
  <c r="M86" i="24"/>
  <c r="P71" i="23"/>
  <c r="BJ81" i="24" l="1"/>
  <c r="BG81" i="24"/>
  <c r="AO70" i="24"/>
  <c r="BH81" i="24"/>
  <c r="AM70" i="24"/>
  <c r="AA81" i="23"/>
  <c r="AB81" i="23"/>
  <c r="AM82" i="23"/>
  <c r="N82" i="23"/>
  <c r="R151" i="22"/>
  <c r="F151" i="22"/>
  <c r="Q151" i="22"/>
  <c r="K151" i="22"/>
  <c r="J151" i="22"/>
  <c r="G150" i="22"/>
  <c r="H150" i="22"/>
  <c r="Y151" i="22"/>
  <c r="K81" i="24"/>
  <c r="G82" i="23"/>
  <c r="H82" i="23" s="1"/>
  <c r="BF82" i="24"/>
  <c r="AK71" i="24"/>
  <c r="AL71" i="24" s="1"/>
  <c r="X71" i="23"/>
  <c r="Y71" i="23" s="1"/>
  <c r="BT88" i="24"/>
  <c r="BS88" i="24"/>
  <c r="AB88" i="24"/>
  <c r="AX88" i="24"/>
  <c r="L88" i="24"/>
  <c r="AC88" i="24" s="1"/>
  <c r="M87" i="24"/>
  <c r="P72" i="23"/>
  <c r="BJ82" i="24" l="1"/>
  <c r="BG82" i="24"/>
  <c r="AO71" i="24"/>
  <c r="BH82" i="24"/>
  <c r="AM71" i="24"/>
  <c r="AA82" i="23"/>
  <c r="AB82" i="23"/>
  <c r="N83" i="23"/>
  <c r="AM83" i="23"/>
  <c r="F152" i="22"/>
  <c r="Q152" i="22"/>
  <c r="R152" i="22"/>
  <c r="J152" i="22"/>
  <c r="K152" i="22"/>
  <c r="Y152" i="22"/>
  <c r="G151" i="22"/>
  <c r="H151" i="22"/>
  <c r="AJ82" i="23"/>
  <c r="AK82" i="23" s="1"/>
  <c r="AJ83" i="23"/>
  <c r="AK83" i="23" s="1"/>
  <c r="K82" i="24"/>
  <c r="G83" i="23"/>
  <c r="H83" i="23" s="1"/>
  <c r="X72" i="23"/>
  <c r="Y72" i="23" s="1"/>
  <c r="AK72" i="24"/>
  <c r="AL72" i="24" s="1"/>
  <c r="M88" i="24"/>
  <c r="AB89" i="24"/>
  <c r="AX89" i="24"/>
  <c r="L89" i="24"/>
  <c r="AC89" i="24" s="1"/>
  <c r="BT89" i="24"/>
  <c r="BS89" i="24"/>
  <c r="P73" i="23"/>
  <c r="AO72" i="24" l="1"/>
  <c r="AM72" i="24"/>
  <c r="AA83" i="23"/>
  <c r="AB83" i="23"/>
  <c r="N84" i="23"/>
  <c r="AM84" i="23"/>
  <c r="F153" i="22"/>
  <c r="Q153" i="22"/>
  <c r="R153" i="22"/>
  <c r="J153" i="22"/>
  <c r="K153" i="22"/>
  <c r="Y153" i="22"/>
  <c r="G152" i="22"/>
  <c r="H152" i="22"/>
  <c r="K83" i="24"/>
  <c r="G84" i="23"/>
  <c r="H84" i="23" s="1"/>
  <c r="BF83" i="24"/>
  <c r="AJ84" i="23"/>
  <c r="AK84" i="23" s="1"/>
  <c r="BF84" i="24"/>
  <c r="AK73" i="24"/>
  <c r="AL73" i="24" s="1"/>
  <c r="X73" i="23"/>
  <c r="Y73" i="23" s="1"/>
  <c r="L90" i="24"/>
  <c r="AC90" i="24" s="1"/>
  <c r="AX90" i="24"/>
  <c r="AB90" i="24"/>
  <c r="BS90" i="24"/>
  <c r="BT90" i="24"/>
  <c r="M89" i="24"/>
  <c r="P74" i="23"/>
  <c r="BJ84" i="24" l="1"/>
  <c r="BG84" i="24"/>
  <c r="BJ83" i="24"/>
  <c r="BG83" i="24"/>
  <c r="AO73" i="24"/>
  <c r="BH83" i="24"/>
  <c r="BH84" i="24"/>
  <c r="AM73" i="24"/>
  <c r="AM85" i="23"/>
  <c r="N85" i="23"/>
  <c r="AA84" i="23"/>
  <c r="AB84" i="23"/>
  <c r="R154" i="22"/>
  <c r="F154" i="22"/>
  <c r="Q154" i="22"/>
  <c r="J154" i="22"/>
  <c r="K154" i="22"/>
  <c r="Y154" i="22"/>
  <c r="H153" i="22"/>
  <c r="G153" i="22"/>
  <c r="K84" i="24"/>
  <c r="G85" i="23"/>
  <c r="H85" i="23" s="1"/>
  <c r="AJ85" i="23"/>
  <c r="AK85" i="23" s="1"/>
  <c r="BF85" i="24"/>
  <c r="AK74" i="24"/>
  <c r="AL74" i="24" s="1"/>
  <c r="X74" i="23"/>
  <c r="Y74" i="23" s="1"/>
  <c r="L91" i="24"/>
  <c r="AC91" i="24" s="1"/>
  <c r="AX91" i="24"/>
  <c r="BT91" i="24"/>
  <c r="BS91" i="24"/>
  <c r="AB91" i="24"/>
  <c r="M90" i="24"/>
  <c r="P75" i="23"/>
  <c r="BJ85" i="24" l="1"/>
  <c r="BG85" i="24"/>
  <c r="AO74" i="24"/>
  <c r="BH85" i="24"/>
  <c r="AM74" i="24"/>
  <c r="AA85" i="23"/>
  <c r="AB85" i="23"/>
  <c r="AM86" i="23"/>
  <c r="N86" i="23"/>
  <c r="K155" i="22"/>
  <c r="J155" i="22"/>
  <c r="Y155" i="22"/>
  <c r="Q155" i="22"/>
  <c r="R155" i="22"/>
  <c r="F155" i="22"/>
  <c r="G154" i="22"/>
  <c r="H154" i="22"/>
  <c r="K85" i="24"/>
  <c r="G86" i="23"/>
  <c r="H86" i="23" s="1"/>
  <c r="BF86" i="24"/>
  <c r="AK75" i="24"/>
  <c r="AL75" i="24" s="1"/>
  <c r="X75" i="23"/>
  <c r="Y75" i="23" s="1"/>
  <c r="BT92" i="24"/>
  <c r="BS92" i="24"/>
  <c r="AX92" i="24"/>
  <c r="L92" i="24"/>
  <c r="AC92" i="24" s="1"/>
  <c r="AB92" i="24"/>
  <c r="M91" i="24"/>
  <c r="P76" i="23"/>
  <c r="BJ86" i="24" l="1"/>
  <c r="BG86" i="24"/>
  <c r="AO75" i="24"/>
  <c r="BH86" i="24"/>
  <c r="AM75" i="24"/>
  <c r="AA86" i="23"/>
  <c r="AB86" i="23"/>
  <c r="AM87" i="23"/>
  <c r="N87" i="23"/>
  <c r="G155" i="22"/>
  <c r="H155" i="22"/>
  <c r="F156" i="22"/>
  <c r="R156" i="22"/>
  <c r="Q156" i="22"/>
  <c r="K156" i="22"/>
  <c r="J156" i="22"/>
  <c r="Y156" i="22"/>
  <c r="K86" i="24"/>
  <c r="G87" i="23"/>
  <c r="H87" i="23" s="1"/>
  <c r="AJ86" i="23"/>
  <c r="AK86" i="23" s="1"/>
  <c r="BF87" i="24"/>
  <c r="AJ87" i="23"/>
  <c r="AK87" i="23" s="1"/>
  <c r="X76" i="23"/>
  <c r="Y76" i="23" s="1"/>
  <c r="AK76" i="24"/>
  <c r="AL76" i="24" s="1"/>
  <c r="BT93" i="24"/>
  <c r="BS93" i="24"/>
  <c r="M92" i="24"/>
  <c r="AX93" i="24"/>
  <c r="L93" i="24"/>
  <c r="AC93" i="24" s="1"/>
  <c r="AB93" i="24"/>
  <c r="P77" i="23"/>
  <c r="BJ87" i="24" l="1"/>
  <c r="BG87" i="24"/>
  <c r="AO76" i="24"/>
  <c r="BH87" i="24"/>
  <c r="AM76" i="24"/>
  <c r="N88" i="23"/>
  <c r="AM88" i="23"/>
  <c r="AA87" i="23"/>
  <c r="AB87" i="23"/>
  <c r="F157" i="22"/>
  <c r="Q157" i="22"/>
  <c r="R157" i="22"/>
  <c r="Y157" i="22"/>
  <c r="K157" i="22"/>
  <c r="J157" i="22"/>
  <c r="G156" i="22"/>
  <c r="H156" i="22"/>
  <c r="K87" i="24"/>
  <c r="G88" i="23"/>
  <c r="H88" i="23" s="1"/>
  <c r="BF88" i="24"/>
  <c r="AJ88" i="23"/>
  <c r="AK88" i="23" s="1"/>
  <c r="X77" i="23"/>
  <c r="Y77" i="23" s="1"/>
  <c r="AK77" i="24"/>
  <c r="AL77" i="24" s="1"/>
  <c r="M93" i="24"/>
  <c r="AX94" i="24"/>
  <c r="L94" i="24"/>
  <c r="AC94" i="24" s="1"/>
  <c r="BT94" i="24"/>
  <c r="BS94" i="24"/>
  <c r="AB94" i="24"/>
  <c r="P78" i="23"/>
  <c r="BJ88" i="24" l="1"/>
  <c r="BG88" i="24"/>
  <c r="AO77" i="24"/>
  <c r="BH88" i="24"/>
  <c r="AM77" i="24"/>
  <c r="AA88" i="23"/>
  <c r="AB88" i="23"/>
  <c r="N89" i="23"/>
  <c r="AM89" i="23"/>
  <c r="G157" i="22"/>
  <c r="H157" i="22"/>
  <c r="Y158" i="22"/>
  <c r="Q158" i="22"/>
  <c r="R158" i="22"/>
  <c r="F158" i="22"/>
  <c r="K158" i="22"/>
  <c r="J158" i="22"/>
  <c r="AJ89" i="23"/>
  <c r="AK89" i="23" s="1"/>
  <c r="K88" i="24"/>
  <c r="G89" i="23"/>
  <c r="H89" i="23" s="1"/>
  <c r="AK78" i="24"/>
  <c r="AL78" i="24" s="1"/>
  <c r="X78" i="23"/>
  <c r="Y78" i="23" s="1"/>
  <c r="M94" i="24"/>
  <c r="BT95" i="24"/>
  <c r="BS95" i="24"/>
  <c r="AX95" i="24"/>
  <c r="L95" i="24"/>
  <c r="AC95" i="24" s="1"/>
  <c r="AB95" i="24"/>
  <c r="P79" i="23"/>
  <c r="AO78" i="24" l="1"/>
  <c r="AM78" i="24"/>
  <c r="N90" i="23"/>
  <c r="AM90" i="23"/>
  <c r="AA89" i="23"/>
  <c r="AB89" i="23"/>
  <c r="R159" i="22"/>
  <c r="F159" i="22"/>
  <c r="Q159" i="22"/>
  <c r="G158" i="22"/>
  <c r="H158" i="22"/>
  <c r="Y159" i="22"/>
  <c r="J159" i="22"/>
  <c r="K159" i="22"/>
  <c r="BF89" i="24"/>
  <c r="BF90" i="24"/>
  <c r="K89" i="24"/>
  <c r="G90" i="23"/>
  <c r="H90" i="23" s="1"/>
  <c r="AK79" i="24"/>
  <c r="AL79" i="24" s="1"/>
  <c r="X79" i="23"/>
  <c r="Y79" i="23" s="1"/>
  <c r="AX96" i="24"/>
  <c r="L96" i="24"/>
  <c r="AC96" i="24" s="1"/>
  <c r="BT96" i="24"/>
  <c r="BS96" i="24"/>
  <c r="AB96" i="24"/>
  <c r="M95" i="24"/>
  <c r="P80" i="23"/>
  <c r="BJ89" i="24" l="1"/>
  <c r="BG89" i="24"/>
  <c r="BJ90" i="24"/>
  <c r="BG90" i="24"/>
  <c r="AO79" i="24"/>
  <c r="BH89" i="24"/>
  <c r="BH90" i="24"/>
  <c r="AM79" i="24"/>
  <c r="AA90" i="23"/>
  <c r="AB90" i="23"/>
  <c r="AM91" i="23"/>
  <c r="N91" i="23"/>
  <c r="F160" i="22"/>
  <c r="Q160" i="22"/>
  <c r="R160" i="22"/>
  <c r="Y160" i="22"/>
  <c r="K160" i="22"/>
  <c r="J160" i="22"/>
  <c r="G159" i="22"/>
  <c r="H159" i="22"/>
  <c r="K90" i="24"/>
  <c r="G91" i="23"/>
  <c r="H91" i="23" s="1"/>
  <c r="AJ90" i="23"/>
  <c r="AK90" i="23" s="1"/>
  <c r="AJ91" i="23"/>
  <c r="AK91" i="23" s="1"/>
  <c r="BF91" i="24"/>
  <c r="X80" i="23"/>
  <c r="Y80" i="23" s="1"/>
  <c r="AK80" i="24"/>
  <c r="AL80" i="24" s="1"/>
  <c r="BT97" i="24"/>
  <c r="BS97" i="24"/>
  <c r="AB97" i="24"/>
  <c r="M96" i="24"/>
  <c r="AX97" i="24"/>
  <c r="L97" i="24"/>
  <c r="AC97" i="24" s="1"/>
  <c r="P81" i="23"/>
  <c r="BJ91" i="24" l="1"/>
  <c r="BG91" i="24"/>
  <c r="AO80" i="24"/>
  <c r="BH91" i="24"/>
  <c r="AM80" i="24"/>
  <c r="AA91" i="23"/>
  <c r="AB91" i="23"/>
  <c r="N92" i="23"/>
  <c r="AM92" i="23"/>
  <c r="Y161" i="22"/>
  <c r="Q161" i="22"/>
  <c r="R161" i="22"/>
  <c r="F161" i="22"/>
  <c r="K161" i="22"/>
  <c r="J161" i="22"/>
  <c r="G160" i="22"/>
  <c r="H160" i="22"/>
  <c r="K91" i="24"/>
  <c r="G92" i="23"/>
  <c r="H92" i="23" s="1"/>
  <c r="BF92" i="24"/>
  <c r="AJ92" i="23"/>
  <c r="AK92" i="23" s="1"/>
  <c r="X81" i="23"/>
  <c r="Y81" i="23" s="1"/>
  <c r="AK81" i="24"/>
  <c r="AL81" i="24" s="1"/>
  <c r="M97" i="24"/>
  <c r="BT98" i="24"/>
  <c r="BS98" i="24"/>
  <c r="AX98" i="24"/>
  <c r="L98" i="24"/>
  <c r="AC98" i="24" s="1"/>
  <c r="AB98" i="24"/>
  <c r="P82" i="23"/>
  <c r="BJ92" i="24" l="1"/>
  <c r="BG92" i="24"/>
  <c r="AO81" i="24"/>
  <c r="BH92" i="24"/>
  <c r="AM81" i="24"/>
  <c r="AM93" i="23"/>
  <c r="N93" i="23"/>
  <c r="AA92" i="23"/>
  <c r="AB92" i="23"/>
  <c r="Y162" i="22"/>
  <c r="G161" i="22"/>
  <c r="H161" i="22"/>
  <c r="K162" i="22"/>
  <c r="J162" i="22"/>
  <c r="R162" i="22"/>
  <c r="F162" i="22"/>
  <c r="Q162" i="22"/>
  <c r="BF93" i="24"/>
  <c r="AJ93" i="23"/>
  <c r="AK93" i="23" s="1"/>
  <c r="K92" i="24"/>
  <c r="G93" i="23"/>
  <c r="H93" i="23" s="1"/>
  <c r="AK82" i="24"/>
  <c r="AL82" i="24" s="1"/>
  <c r="X82" i="23"/>
  <c r="Y82" i="23" s="1"/>
  <c r="AX99" i="24"/>
  <c r="L99" i="24"/>
  <c r="AC99" i="24" s="1"/>
  <c r="AB99" i="24"/>
  <c r="BT99" i="24"/>
  <c r="BS99" i="24"/>
  <c r="M98" i="24"/>
  <c r="P83" i="23"/>
  <c r="BJ93" i="24" l="1"/>
  <c r="BG93" i="24"/>
  <c r="AO82" i="24"/>
  <c r="BH93" i="24"/>
  <c r="AM82" i="24"/>
  <c r="AA93" i="23"/>
  <c r="AB93" i="23"/>
  <c r="N94" i="23"/>
  <c r="AM94" i="23"/>
  <c r="Y163" i="22"/>
  <c r="G162" i="22"/>
  <c r="H162" i="22"/>
  <c r="J163" i="22"/>
  <c r="K163" i="22"/>
  <c r="Q163" i="22"/>
  <c r="R163" i="22"/>
  <c r="F163" i="22"/>
  <c r="K93" i="24"/>
  <c r="G94" i="23"/>
  <c r="H94" i="23" s="1"/>
  <c r="AJ94" i="23"/>
  <c r="AK94" i="23" s="1"/>
  <c r="BF94" i="24"/>
  <c r="AK83" i="24"/>
  <c r="AL83" i="24" s="1"/>
  <c r="X83" i="23"/>
  <c r="Y83" i="23" s="1"/>
  <c r="AB100" i="24"/>
  <c r="BT100" i="24"/>
  <c r="BS100" i="24"/>
  <c r="AX100" i="24"/>
  <c r="L100" i="24"/>
  <c r="AC100" i="24" s="1"/>
  <c r="M99" i="24"/>
  <c r="P84" i="23"/>
  <c r="BJ94" i="24" l="1"/>
  <c r="BG94" i="24"/>
  <c r="AO83" i="24"/>
  <c r="BH94" i="24"/>
  <c r="AM83" i="24"/>
  <c r="AA94" i="23"/>
  <c r="AB94" i="23"/>
  <c r="AM95" i="23"/>
  <c r="N95" i="23"/>
  <c r="Y164" i="22"/>
  <c r="J164" i="22"/>
  <c r="K164" i="22"/>
  <c r="R164" i="22"/>
  <c r="F164" i="22"/>
  <c r="Q164" i="22"/>
  <c r="G163" i="22"/>
  <c r="H163" i="22"/>
  <c r="BF95" i="24"/>
  <c r="AJ95" i="23"/>
  <c r="AK95" i="23" s="1"/>
  <c r="K94" i="24"/>
  <c r="G95" i="23"/>
  <c r="H95" i="23" s="1"/>
  <c r="AK84" i="24"/>
  <c r="AL84" i="24" s="1"/>
  <c r="X84" i="23"/>
  <c r="Y84" i="23" s="1"/>
  <c r="AX101" i="24"/>
  <c r="L101" i="24"/>
  <c r="AC101" i="24" s="1"/>
  <c r="M100" i="24"/>
  <c r="AB101" i="24"/>
  <c r="BS101" i="24"/>
  <c r="BT101" i="24"/>
  <c r="P85" i="23"/>
  <c r="BJ95" i="24" l="1"/>
  <c r="BG95" i="24"/>
  <c r="AO84" i="24"/>
  <c r="BH95" i="24"/>
  <c r="AM84" i="24"/>
  <c r="AA95" i="23"/>
  <c r="AB95" i="23"/>
  <c r="AM96" i="23"/>
  <c r="N96" i="23"/>
  <c r="J165" i="22"/>
  <c r="K165" i="22"/>
  <c r="F165" i="22"/>
  <c r="R165" i="22"/>
  <c r="Q165" i="22"/>
  <c r="Y165" i="22"/>
  <c r="G164" i="22"/>
  <c r="H164" i="22"/>
  <c r="AJ96" i="23"/>
  <c r="AK96" i="23" s="1"/>
  <c r="BF96" i="24"/>
  <c r="K95" i="24"/>
  <c r="G96" i="23"/>
  <c r="H96" i="23" s="1"/>
  <c r="AK85" i="24"/>
  <c r="AL85" i="24" s="1"/>
  <c r="X85" i="23"/>
  <c r="Y85" i="23" s="1"/>
  <c r="M101" i="24"/>
  <c r="BT102" i="24"/>
  <c r="BS102" i="24"/>
  <c r="AB102" i="24"/>
  <c r="AX102" i="24"/>
  <c r="L102" i="24"/>
  <c r="AC102" i="24" s="1"/>
  <c r="P86" i="23"/>
  <c r="BJ96" i="24" l="1"/>
  <c r="BG96" i="24"/>
  <c r="AO85" i="24"/>
  <c r="BH96" i="24"/>
  <c r="AM85" i="24"/>
  <c r="AA96" i="23"/>
  <c r="AB96" i="23"/>
  <c r="N97" i="23"/>
  <c r="AM97" i="23"/>
  <c r="Q166" i="22"/>
  <c r="R166" i="22"/>
  <c r="F166" i="22"/>
  <c r="Y166" i="22"/>
  <c r="G165" i="22"/>
  <c r="H165" i="22"/>
  <c r="J166" i="22"/>
  <c r="K166" i="22"/>
  <c r="K96" i="24"/>
  <c r="G97" i="23"/>
  <c r="H97" i="23" s="1"/>
  <c r="AJ97" i="23"/>
  <c r="AK97" i="23" s="1"/>
  <c r="AK86" i="24"/>
  <c r="AL86" i="24" s="1"/>
  <c r="X86" i="23"/>
  <c r="Y86" i="23" s="1"/>
  <c r="AX103" i="24"/>
  <c r="L103" i="24"/>
  <c r="AC103" i="24" s="1"/>
  <c r="BT103" i="24"/>
  <c r="BS103" i="24"/>
  <c r="AB103" i="24"/>
  <c r="M102" i="24"/>
  <c r="P87" i="23"/>
  <c r="AO86" i="24" l="1"/>
  <c r="AM86" i="24"/>
  <c r="AA97" i="23"/>
  <c r="AB97" i="23"/>
  <c r="N98" i="23"/>
  <c r="AM98" i="23"/>
  <c r="K167" i="22"/>
  <c r="J167" i="22"/>
  <c r="Y167" i="22"/>
  <c r="Q167" i="22"/>
  <c r="R167" i="22"/>
  <c r="F167" i="22"/>
  <c r="H166" i="22"/>
  <c r="G166" i="22"/>
  <c r="BF97" i="24"/>
  <c r="AJ98" i="23"/>
  <c r="AK98" i="23" s="1"/>
  <c r="K97" i="24"/>
  <c r="G98" i="23"/>
  <c r="H98" i="23" s="1"/>
  <c r="AK87" i="24"/>
  <c r="AL87" i="24" s="1"/>
  <c r="X87" i="23"/>
  <c r="Y87" i="23" s="1"/>
  <c r="M103" i="24"/>
  <c r="AX104" i="24"/>
  <c r="L104" i="24"/>
  <c r="AC104" i="24" s="1"/>
  <c r="AB104" i="24"/>
  <c r="BT104" i="24"/>
  <c r="BS104" i="24"/>
  <c r="P88" i="23"/>
  <c r="BJ97" i="24" l="1"/>
  <c r="BG97" i="24"/>
  <c r="AO87" i="24"/>
  <c r="BH97" i="24"/>
  <c r="AM87" i="24"/>
  <c r="AA98" i="23"/>
  <c r="AB98" i="23"/>
  <c r="AM99" i="23"/>
  <c r="N99" i="23"/>
  <c r="R168" i="22"/>
  <c r="F168" i="22"/>
  <c r="Q168" i="22"/>
  <c r="G167" i="22"/>
  <c r="H167" i="22"/>
  <c r="Y168" i="22"/>
  <c r="J168" i="22"/>
  <c r="K168" i="22"/>
  <c r="BF98" i="24"/>
  <c r="BF99" i="24"/>
  <c r="AJ99" i="23"/>
  <c r="AK99" i="23" s="1"/>
  <c r="K98" i="24"/>
  <c r="G99" i="23"/>
  <c r="H99" i="23" s="1"/>
  <c r="X88" i="23"/>
  <c r="Y88" i="23" s="1"/>
  <c r="AK88" i="24"/>
  <c r="AL88" i="24" s="1"/>
  <c r="L105" i="24"/>
  <c r="AC105" i="24" s="1"/>
  <c r="AX105" i="24"/>
  <c r="M104" i="24"/>
  <c r="BS105" i="24"/>
  <c r="BT105" i="24"/>
  <c r="AB105" i="24"/>
  <c r="P89" i="23"/>
  <c r="BJ98" i="24" l="1"/>
  <c r="BG98" i="24"/>
  <c r="BJ99" i="24"/>
  <c r="BG99" i="24"/>
  <c r="AO88" i="24"/>
  <c r="BH99" i="24"/>
  <c r="BH98" i="24"/>
  <c r="AM88" i="24"/>
  <c r="AA99" i="23"/>
  <c r="AB99" i="23"/>
  <c r="N100" i="23"/>
  <c r="AM100" i="23"/>
  <c r="Y169" i="22"/>
  <c r="Q169" i="22"/>
  <c r="F169" i="22"/>
  <c r="R169" i="22"/>
  <c r="H168" i="22"/>
  <c r="G168" i="22"/>
  <c r="J169" i="22"/>
  <c r="K169" i="22"/>
  <c r="BF100" i="24"/>
  <c r="AJ100" i="23"/>
  <c r="AK100" i="23" s="1"/>
  <c r="K99" i="24"/>
  <c r="G100" i="23"/>
  <c r="H100" i="23" s="1"/>
  <c r="AK89" i="24"/>
  <c r="AL89" i="24" s="1"/>
  <c r="X89" i="23"/>
  <c r="Y89" i="23" s="1"/>
  <c r="AX106" i="24"/>
  <c r="L106" i="24"/>
  <c r="AC106" i="24" s="1"/>
  <c r="BS106" i="24"/>
  <c r="BT106" i="24"/>
  <c r="AB106" i="24"/>
  <c r="M105" i="24"/>
  <c r="P90" i="23"/>
  <c r="BJ100" i="24" l="1"/>
  <c r="BG100" i="24"/>
  <c r="AO89" i="24"/>
  <c r="BH100" i="24"/>
  <c r="AM89" i="24"/>
  <c r="AA100" i="23"/>
  <c r="AB100" i="23"/>
  <c r="N101" i="23"/>
  <c r="AM101" i="23"/>
  <c r="K170" i="22"/>
  <c r="J170" i="22"/>
  <c r="Y170" i="22"/>
  <c r="R170" i="22"/>
  <c r="F170" i="22"/>
  <c r="Q170" i="22"/>
  <c r="G169" i="22"/>
  <c r="H169" i="22"/>
  <c r="BF101" i="24"/>
  <c r="AJ101" i="23"/>
  <c r="AK101" i="23" s="1"/>
  <c r="K100" i="24"/>
  <c r="G101" i="23"/>
  <c r="H101" i="23" s="1"/>
  <c r="X90" i="23"/>
  <c r="Y90" i="23" s="1"/>
  <c r="AK90" i="24"/>
  <c r="AL90" i="24" s="1"/>
  <c r="AX107" i="24"/>
  <c r="L107" i="24"/>
  <c r="AC107" i="24" s="1"/>
  <c r="BS107" i="24"/>
  <c r="BT107" i="24"/>
  <c r="M106" i="24"/>
  <c r="AB107" i="24"/>
  <c r="P91" i="23"/>
  <c r="BJ101" i="24" l="1"/>
  <c r="BG101" i="24"/>
  <c r="AO90" i="24"/>
  <c r="BH101" i="24"/>
  <c r="AM90" i="24"/>
  <c r="AA101" i="23"/>
  <c r="AB101" i="23"/>
  <c r="AM102" i="23"/>
  <c r="N102" i="23"/>
  <c r="G170" i="22"/>
  <c r="H170" i="22"/>
  <c r="K171" i="22"/>
  <c r="J171" i="22"/>
  <c r="Q171" i="22"/>
  <c r="F171" i="22"/>
  <c r="R171" i="22"/>
  <c r="Y171" i="22"/>
  <c r="BF102" i="24"/>
  <c r="AJ102" i="23"/>
  <c r="AK102" i="23" s="1"/>
  <c r="K101" i="24"/>
  <c r="G102" i="23"/>
  <c r="H102" i="23" s="1"/>
  <c r="X91" i="23"/>
  <c r="Y91" i="23" s="1"/>
  <c r="AK91" i="24"/>
  <c r="AL91" i="24" s="1"/>
  <c r="L108" i="24"/>
  <c r="AC108" i="24" s="1"/>
  <c r="AX108" i="24"/>
  <c r="M107" i="24"/>
  <c r="AB108" i="24"/>
  <c r="BT108" i="24"/>
  <c r="BS108" i="24"/>
  <c r="P92" i="23"/>
  <c r="BJ102" i="24" l="1"/>
  <c r="BG102" i="24"/>
  <c r="AO91" i="24"/>
  <c r="BH102" i="24"/>
  <c r="AM91" i="24"/>
  <c r="N103" i="23"/>
  <c r="AM103" i="23"/>
  <c r="AA102" i="23"/>
  <c r="AB102" i="23"/>
  <c r="J172" i="22"/>
  <c r="K172" i="22"/>
  <c r="Y172" i="22"/>
  <c r="G171" i="22"/>
  <c r="H171" i="22"/>
  <c r="R172" i="22"/>
  <c r="Q172" i="22"/>
  <c r="F172" i="22"/>
  <c r="AJ103" i="23"/>
  <c r="AK103" i="23" s="1"/>
  <c r="K102" i="24"/>
  <c r="G103" i="23"/>
  <c r="H103" i="23" s="1"/>
  <c r="AK92" i="24"/>
  <c r="AL92" i="24" s="1"/>
  <c r="X92" i="23"/>
  <c r="Y92" i="23" s="1"/>
  <c r="BS109" i="24"/>
  <c r="BT109" i="24"/>
  <c r="M108" i="24"/>
  <c r="L109" i="24"/>
  <c r="AC109" i="24" s="1"/>
  <c r="AX109" i="24"/>
  <c r="AB109" i="24"/>
  <c r="P93" i="23"/>
  <c r="AO92" i="24" l="1"/>
  <c r="AM92" i="24"/>
  <c r="AA103" i="23"/>
  <c r="AB103" i="23"/>
  <c r="N104" i="23"/>
  <c r="AM104" i="23"/>
  <c r="R173" i="22"/>
  <c r="F173" i="22"/>
  <c r="Q173" i="22"/>
  <c r="K173" i="22"/>
  <c r="J173" i="22"/>
  <c r="Y173" i="22"/>
  <c r="H172" i="22"/>
  <c r="G172" i="22"/>
  <c r="K103" i="24"/>
  <c r="G104" i="23"/>
  <c r="H104" i="23" s="1"/>
  <c r="BF103" i="24"/>
  <c r="BF104" i="24"/>
  <c r="AJ104" i="23"/>
  <c r="AK104" i="23" s="1"/>
  <c r="X93" i="23"/>
  <c r="Y93" i="23" s="1"/>
  <c r="AK93" i="24"/>
  <c r="AL93" i="24" s="1"/>
  <c r="AB110" i="24"/>
  <c r="M109" i="24"/>
  <c r="L110" i="24"/>
  <c r="AC110" i="24" s="1"/>
  <c r="AX110" i="24"/>
  <c r="BT110" i="24"/>
  <c r="BS110" i="24"/>
  <c r="P94" i="23"/>
  <c r="BJ104" i="24" l="1"/>
  <c r="BG104" i="24"/>
  <c r="BJ103" i="24"/>
  <c r="BG103" i="24"/>
  <c r="AO93" i="24"/>
  <c r="BH104" i="24"/>
  <c r="BH103" i="24"/>
  <c r="AM93" i="24"/>
  <c r="AA104" i="23"/>
  <c r="AB104" i="23"/>
  <c r="N105" i="23"/>
  <c r="AM105" i="23"/>
  <c r="G173" i="22"/>
  <c r="H173" i="22"/>
  <c r="Q174" i="22"/>
  <c r="F174" i="22"/>
  <c r="R174" i="22"/>
  <c r="K174" i="22"/>
  <c r="J174" i="22"/>
  <c r="Y174" i="22"/>
  <c r="K104" i="24"/>
  <c r="G105" i="23"/>
  <c r="H105" i="23" s="1"/>
  <c r="AJ105" i="23"/>
  <c r="AK105" i="23" s="1"/>
  <c r="X94" i="23"/>
  <c r="Y94" i="23" s="1"/>
  <c r="AK94" i="24"/>
  <c r="AL94" i="24" s="1"/>
  <c r="M110" i="24"/>
  <c r="BT111" i="24"/>
  <c r="BS111" i="24"/>
  <c r="AB111" i="24"/>
  <c r="AX111" i="24"/>
  <c r="L111" i="24"/>
  <c r="AC111" i="24" s="1"/>
  <c r="P95" i="23"/>
  <c r="AO94" i="24" l="1"/>
  <c r="AM94" i="24"/>
  <c r="AM106" i="23"/>
  <c r="N106" i="23"/>
  <c r="AA105" i="23"/>
  <c r="AB105" i="23"/>
  <c r="F175" i="22"/>
  <c r="Q175" i="22"/>
  <c r="R175" i="22"/>
  <c r="G174" i="22"/>
  <c r="H174" i="22"/>
  <c r="J175" i="22"/>
  <c r="K175" i="22"/>
  <c r="Y175" i="22"/>
  <c r="BF105" i="24"/>
  <c r="BF106" i="24"/>
  <c r="AJ106" i="23"/>
  <c r="AK106" i="23" s="1"/>
  <c r="K105" i="24"/>
  <c r="G106" i="23"/>
  <c r="H106" i="23" s="1"/>
  <c r="AK95" i="24"/>
  <c r="AL95" i="24" s="1"/>
  <c r="X95" i="23"/>
  <c r="Y95" i="23" s="1"/>
  <c r="AX112" i="24"/>
  <c r="L112" i="24"/>
  <c r="AC112" i="24" s="1"/>
  <c r="BT112" i="24"/>
  <c r="BS112" i="24"/>
  <c r="M111" i="24"/>
  <c r="AB112" i="24"/>
  <c r="P96" i="23"/>
  <c r="BJ105" i="24" l="1"/>
  <c r="BG105" i="24"/>
  <c r="BJ106" i="24"/>
  <c r="BG106" i="24"/>
  <c r="AO95" i="24"/>
  <c r="BH106" i="24"/>
  <c r="BH105" i="24"/>
  <c r="AM95" i="24"/>
  <c r="AA106" i="23"/>
  <c r="AB106" i="23"/>
  <c r="AM107" i="23"/>
  <c r="N107" i="23"/>
  <c r="H175" i="22"/>
  <c r="G175" i="22"/>
  <c r="Y176" i="22"/>
  <c r="J176" i="22"/>
  <c r="K176" i="22"/>
  <c r="R176" i="22"/>
  <c r="F176" i="22"/>
  <c r="Q176" i="22"/>
  <c r="AJ107" i="23"/>
  <c r="AK107" i="23" s="1"/>
  <c r="BF107" i="24"/>
  <c r="K106" i="24"/>
  <c r="G107" i="23"/>
  <c r="H107" i="23" s="1"/>
  <c r="AK96" i="24"/>
  <c r="AL96" i="24" s="1"/>
  <c r="X96" i="23"/>
  <c r="Y96" i="23" s="1"/>
  <c r="AX113" i="24"/>
  <c r="L113" i="24"/>
  <c r="AC113" i="24" s="1"/>
  <c r="M112" i="24"/>
  <c r="AB113" i="24"/>
  <c r="BT113" i="24"/>
  <c r="BS113" i="24"/>
  <c r="P97" i="23"/>
  <c r="BJ107" i="24" l="1"/>
  <c r="BG107" i="24"/>
  <c r="AO96" i="24"/>
  <c r="BH107" i="24"/>
  <c r="AM96" i="24"/>
  <c r="AA107" i="23"/>
  <c r="AB107" i="23"/>
  <c r="N108" i="23"/>
  <c r="AM108" i="23"/>
  <c r="G176" i="22"/>
  <c r="H176" i="22"/>
  <c r="R177" i="22"/>
  <c r="F177" i="22"/>
  <c r="Q177" i="22"/>
  <c r="Y177" i="22"/>
  <c r="J177" i="22"/>
  <c r="K177" i="22"/>
  <c r="K107" i="24"/>
  <c r="G108" i="23"/>
  <c r="H108" i="23" s="1"/>
  <c r="BF108" i="24"/>
  <c r="AJ108" i="23"/>
  <c r="AK108" i="23" s="1"/>
  <c r="X97" i="23"/>
  <c r="Y97" i="23" s="1"/>
  <c r="AK97" i="24"/>
  <c r="AL97" i="24" s="1"/>
  <c r="BT114" i="24"/>
  <c r="BS114" i="24"/>
  <c r="AB114" i="24"/>
  <c r="AX114" i="24"/>
  <c r="L114" i="24"/>
  <c r="AC114" i="24" s="1"/>
  <c r="M113" i="24"/>
  <c r="P98" i="23"/>
  <c r="BJ108" i="24" l="1"/>
  <c r="BG108" i="24"/>
  <c r="AO97" i="24"/>
  <c r="BH108" i="24"/>
  <c r="AM97" i="24"/>
  <c r="N109" i="23"/>
  <c r="AM109" i="23"/>
  <c r="AA108" i="23"/>
  <c r="AB108" i="23"/>
  <c r="F178" i="22"/>
  <c r="Q178" i="22"/>
  <c r="R178" i="22"/>
  <c r="J178" i="22"/>
  <c r="K178" i="22"/>
  <c r="H177" i="22"/>
  <c r="G177" i="22"/>
  <c r="Y178" i="22"/>
  <c r="K108" i="24"/>
  <c r="G109" i="23"/>
  <c r="H109" i="23" s="1"/>
  <c r="AJ109" i="23"/>
  <c r="AK109" i="23" s="1"/>
  <c r="AK98" i="24"/>
  <c r="AL98" i="24" s="1"/>
  <c r="X98" i="23"/>
  <c r="Y98" i="23" s="1"/>
  <c r="BT115" i="24"/>
  <c r="BS115" i="24"/>
  <c r="AB115" i="24"/>
  <c r="AX115" i="24"/>
  <c r="L115" i="24"/>
  <c r="AC115" i="24" s="1"/>
  <c r="M114" i="24"/>
  <c r="P99" i="23"/>
  <c r="AO98" i="24" l="1"/>
  <c r="AM98" i="24"/>
  <c r="AA109" i="23"/>
  <c r="AB109" i="23"/>
  <c r="AM110" i="23"/>
  <c r="N110" i="23"/>
  <c r="K179" i="22"/>
  <c r="J179" i="22"/>
  <c r="F179" i="22"/>
  <c r="R179" i="22"/>
  <c r="Q179" i="22"/>
  <c r="Y179" i="22"/>
  <c r="G178" i="22"/>
  <c r="H178" i="22"/>
  <c r="BF109" i="24"/>
  <c r="BF110" i="24"/>
  <c r="K109" i="24"/>
  <c r="G110" i="23"/>
  <c r="H110" i="23" s="1"/>
  <c r="AK99" i="24"/>
  <c r="AL99" i="24" s="1"/>
  <c r="X99" i="23"/>
  <c r="Y99" i="23" s="1"/>
  <c r="AX116" i="24"/>
  <c r="L116" i="24"/>
  <c r="AC116" i="24" s="1"/>
  <c r="M115" i="24"/>
  <c r="AB116" i="24"/>
  <c r="BT116" i="24"/>
  <c r="BS116" i="24"/>
  <c r="P100" i="23"/>
  <c r="BJ110" i="24" l="1"/>
  <c r="BG110" i="24"/>
  <c r="BJ109" i="24"/>
  <c r="BG109" i="24"/>
  <c r="AO99" i="24"/>
  <c r="BH110" i="24"/>
  <c r="BH109" i="24"/>
  <c r="AM99" i="24"/>
  <c r="AM111" i="23"/>
  <c r="N111" i="23"/>
  <c r="AA110" i="23"/>
  <c r="AB110" i="23"/>
  <c r="G179" i="22"/>
  <c r="H179" i="22"/>
  <c r="AJ110" i="23"/>
  <c r="AK110" i="23" s="1"/>
  <c r="AJ111" i="23"/>
  <c r="AK111" i="23" s="1"/>
  <c r="K110" i="24"/>
  <c r="G111" i="23"/>
  <c r="H111" i="23" s="1"/>
  <c r="AK100" i="24"/>
  <c r="AL100" i="24" s="1"/>
  <c r="X100" i="23"/>
  <c r="Y100" i="23" s="1"/>
  <c r="AB117" i="24"/>
  <c r="L117" i="24"/>
  <c r="AC117" i="24" s="1"/>
  <c r="AX117" i="24"/>
  <c r="M116" i="24"/>
  <c r="BT117" i="24"/>
  <c r="BS117" i="24"/>
  <c r="P101" i="23"/>
  <c r="AO100" i="24" l="1"/>
  <c r="AM100" i="24"/>
  <c r="AA111" i="23"/>
  <c r="AB111" i="23"/>
  <c r="AM112" i="23"/>
  <c r="N112" i="23"/>
  <c r="BF111" i="24"/>
  <c r="AJ112" i="23"/>
  <c r="AK112" i="23" s="1"/>
  <c r="K111" i="24"/>
  <c r="G112" i="23"/>
  <c r="H112" i="23" s="1"/>
  <c r="X101" i="23"/>
  <c r="Y101" i="23" s="1"/>
  <c r="AK101" i="24"/>
  <c r="AL101" i="24" s="1"/>
  <c r="BT118" i="24"/>
  <c r="BS118" i="24"/>
  <c r="AX118" i="24"/>
  <c r="L118" i="24"/>
  <c r="AC118" i="24" s="1"/>
  <c r="M117" i="24"/>
  <c r="AB118" i="24"/>
  <c r="P102" i="23"/>
  <c r="BJ111" i="24" l="1"/>
  <c r="BG111" i="24"/>
  <c r="AO101" i="24"/>
  <c r="BH111" i="24"/>
  <c r="AM101" i="24"/>
  <c r="AA112" i="23"/>
  <c r="AB112" i="23"/>
  <c r="AM113" i="23"/>
  <c r="N113" i="23"/>
  <c r="BF112" i="24"/>
  <c r="BF113" i="24"/>
  <c r="AJ113" i="23"/>
  <c r="AK113" i="23" s="1"/>
  <c r="K112" i="24"/>
  <c r="G113" i="23"/>
  <c r="H113" i="23" s="1"/>
  <c r="X102" i="23"/>
  <c r="Y102" i="23" s="1"/>
  <c r="AK102" i="24"/>
  <c r="AL102" i="24" s="1"/>
  <c r="AX119" i="24"/>
  <c r="L119" i="24"/>
  <c r="AC119" i="24" s="1"/>
  <c r="M118" i="24"/>
  <c r="AB119" i="24"/>
  <c r="BT119" i="24"/>
  <c r="BS119" i="24"/>
  <c r="P103" i="23"/>
  <c r="BJ112" i="24" l="1"/>
  <c r="BG112" i="24"/>
  <c r="BJ113" i="24"/>
  <c r="BG113" i="24"/>
  <c r="AO102" i="24"/>
  <c r="BH113" i="24"/>
  <c r="BH112" i="24"/>
  <c r="AM102" i="24"/>
  <c r="AM114" i="23"/>
  <c r="N114" i="23"/>
  <c r="AA113" i="23"/>
  <c r="AB113" i="23"/>
  <c r="BF114" i="24"/>
  <c r="AJ114" i="23"/>
  <c r="AK114" i="23" s="1"/>
  <c r="K113" i="24"/>
  <c r="G114" i="23"/>
  <c r="H114" i="23" s="1"/>
  <c r="X103" i="23"/>
  <c r="Y103" i="23" s="1"/>
  <c r="AK103" i="24"/>
  <c r="AL103" i="24" s="1"/>
  <c r="BT120" i="24"/>
  <c r="BS120" i="24"/>
  <c r="M119" i="24"/>
  <c r="AB120" i="24"/>
  <c r="AX120" i="24"/>
  <c r="L120" i="24"/>
  <c r="AC120" i="24" s="1"/>
  <c r="P104" i="23"/>
  <c r="BJ114" i="24" l="1"/>
  <c r="BG114" i="24"/>
  <c r="AO103" i="24"/>
  <c r="BH114" i="24"/>
  <c r="AM103" i="24"/>
  <c r="AA114" i="23"/>
  <c r="AB114" i="23"/>
  <c r="N115" i="23"/>
  <c r="AM115" i="23"/>
  <c r="K114" i="24"/>
  <c r="G115" i="23"/>
  <c r="H115" i="23" s="1"/>
  <c r="AJ115" i="23"/>
  <c r="AK115" i="23" s="1"/>
  <c r="BF115" i="24"/>
  <c r="AK104" i="24"/>
  <c r="AL104" i="24" s="1"/>
  <c r="X104" i="23"/>
  <c r="Y104" i="23" s="1"/>
  <c r="BT121" i="24"/>
  <c r="BS121" i="24"/>
  <c r="AX121" i="24"/>
  <c r="L121" i="24"/>
  <c r="AC121" i="24" s="1"/>
  <c r="AB121" i="24"/>
  <c r="M120" i="24"/>
  <c r="P105" i="23"/>
  <c r="BJ115" i="24" l="1"/>
  <c r="BG115" i="24"/>
  <c r="AO104" i="24"/>
  <c r="BH115" i="24"/>
  <c r="AM104" i="24"/>
  <c r="N116" i="23"/>
  <c r="AM116" i="23"/>
  <c r="AA115" i="23"/>
  <c r="AB115" i="23"/>
  <c r="BF116" i="24"/>
  <c r="AJ116" i="23"/>
  <c r="AK116" i="23" s="1"/>
  <c r="K115" i="24"/>
  <c r="G116" i="23"/>
  <c r="H116" i="23" s="1"/>
  <c r="X105" i="23"/>
  <c r="Y105" i="23" s="1"/>
  <c r="AK105" i="24"/>
  <c r="AL105" i="24" s="1"/>
  <c r="BT122" i="24"/>
  <c r="BS122" i="24"/>
  <c r="M121" i="24"/>
  <c r="L122" i="24"/>
  <c r="AC122" i="24" s="1"/>
  <c r="AX122" i="24"/>
  <c r="AB122" i="24"/>
  <c r="P106" i="23"/>
  <c r="BJ116" i="24" l="1"/>
  <c r="BG116" i="24"/>
  <c r="AO105" i="24"/>
  <c r="BH116" i="24"/>
  <c r="AM105" i="24"/>
  <c r="AA116" i="23"/>
  <c r="AB116" i="23"/>
  <c r="N117" i="23"/>
  <c r="AM117" i="23"/>
  <c r="AJ117" i="23"/>
  <c r="AK117" i="23" s="1"/>
  <c r="BF117" i="24"/>
  <c r="K116" i="24"/>
  <c r="G117" i="23"/>
  <c r="H117" i="23" s="1"/>
  <c r="AK106" i="24"/>
  <c r="AL106" i="24" s="1"/>
  <c r="X106" i="23"/>
  <c r="Y106" i="23" s="1"/>
  <c r="M122" i="24"/>
  <c r="AX123" i="24"/>
  <c r="L123" i="24"/>
  <c r="AC123" i="24" s="1"/>
  <c r="AB123" i="24"/>
  <c r="BT123" i="24"/>
  <c r="BS123" i="24"/>
  <c r="P107" i="23"/>
  <c r="BJ117" i="24" l="1"/>
  <c r="BG117" i="24"/>
  <c r="AO106" i="24"/>
  <c r="BH117" i="24"/>
  <c r="AM106" i="24"/>
  <c r="AM118" i="23"/>
  <c r="N118" i="23"/>
  <c r="AA117" i="23"/>
  <c r="AB117" i="23"/>
  <c r="K117" i="24"/>
  <c r="G118" i="23"/>
  <c r="H118" i="23" s="1"/>
  <c r="BF118" i="24"/>
  <c r="AJ118" i="23"/>
  <c r="AK118" i="23" s="1"/>
  <c r="X107" i="23"/>
  <c r="Y107" i="23" s="1"/>
  <c r="AK107" i="24"/>
  <c r="AL107" i="24" s="1"/>
  <c r="AB124" i="24"/>
  <c r="BT124" i="24"/>
  <c r="BS124" i="24"/>
  <c r="M123" i="24"/>
  <c r="L124" i="24"/>
  <c r="AC124" i="24" s="1"/>
  <c r="AX124" i="24"/>
  <c r="P108" i="23"/>
  <c r="BJ118" i="24" l="1"/>
  <c r="BG118" i="24"/>
  <c r="AO107" i="24"/>
  <c r="BH118" i="24"/>
  <c r="AM107" i="24"/>
  <c r="AA118" i="23"/>
  <c r="AB118" i="23"/>
  <c r="N119" i="23"/>
  <c r="AM119" i="23"/>
  <c r="K118" i="24"/>
  <c r="G119" i="23"/>
  <c r="H119" i="23" s="1"/>
  <c r="BF119" i="24"/>
  <c r="AJ119" i="23"/>
  <c r="AK119" i="23" s="1"/>
  <c r="AK108" i="24"/>
  <c r="AL108" i="24" s="1"/>
  <c r="X108" i="23"/>
  <c r="Y108" i="23" s="1"/>
  <c r="M124" i="24"/>
  <c r="L125" i="24"/>
  <c r="AC125" i="24" s="1"/>
  <c r="AX125" i="24"/>
  <c r="BT125" i="24"/>
  <c r="BS125" i="24"/>
  <c r="AB125" i="24"/>
  <c r="P109" i="23"/>
  <c r="BJ119" i="24" l="1"/>
  <c r="BG119" i="24"/>
  <c r="AO108" i="24"/>
  <c r="BH119" i="24"/>
  <c r="AM108" i="24"/>
  <c r="AA119" i="23"/>
  <c r="AB119" i="23"/>
  <c r="N120" i="23"/>
  <c r="AM120" i="23"/>
  <c r="AJ120" i="23"/>
  <c r="AK120" i="23" s="1"/>
  <c r="K119" i="24"/>
  <c r="G120" i="23"/>
  <c r="H120" i="23" s="1"/>
  <c r="AK109" i="24"/>
  <c r="AL109" i="24" s="1"/>
  <c r="X109" i="23"/>
  <c r="Y109" i="23" s="1"/>
  <c r="BS126" i="24"/>
  <c r="BT126" i="24"/>
  <c r="AB126" i="24"/>
  <c r="L126" i="24"/>
  <c r="AC126" i="24" s="1"/>
  <c r="AX126" i="24"/>
  <c r="M125" i="24"/>
  <c r="P110" i="23"/>
  <c r="AO109" i="24" l="1"/>
  <c r="AM109" i="24"/>
  <c r="AA120" i="23"/>
  <c r="AB120" i="23"/>
  <c r="BF120" i="24"/>
  <c r="AJ121" i="23"/>
  <c r="AK121" i="23" s="1"/>
  <c r="K120" i="24"/>
  <c r="G121" i="23"/>
  <c r="H121" i="23" s="1"/>
  <c r="AK110" i="24"/>
  <c r="AL110" i="24" s="1"/>
  <c r="X110" i="23"/>
  <c r="Y110" i="23" s="1"/>
  <c r="AX127" i="24"/>
  <c r="L127" i="24"/>
  <c r="AC127" i="24" s="1"/>
  <c r="BS127" i="24"/>
  <c r="AB127" i="24"/>
  <c r="M126" i="24"/>
  <c r="P111" i="23"/>
  <c r="BJ120" i="24" l="1"/>
  <c r="BG120" i="24"/>
  <c r="AO110" i="24"/>
  <c r="BH120" i="24"/>
  <c r="AM110" i="24"/>
  <c r="AM121" i="23"/>
  <c r="AN121" i="23"/>
  <c r="AA121" i="23"/>
  <c r="AB121" i="23"/>
  <c r="N121" i="23"/>
  <c r="P121" i="23"/>
  <c r="BF121" i="24"/>
  <c r="BF122" i="24"/>
  <c r="AJ122" i="23"/>
  <c r="AK122" i="23" s="1"/>
  <c r="K121" i="24"/>
  <c r="G122" i="23"/>
  <c r="H122" i="23" s="1"/>
  <c r="AK111" i="24"/>
  <c r="AL111" i="24" s="1"/>
  <c r="X111" i="23"/>
  <c r="Y111" i="23" s="1"/>
  <c r="AB128" i="24"/>
  <c r="M127" i="24"/>
  <c r="L128" i="24"/>
  <c r="AC128" i="24" s="1"/>
  <c r="AX128" i="24"/>
  <c r="BT128" i="24"/>
  <c r="BS128" i="24"/>
  <c r="P112" i="23"/>
  <c r="BJ121" i="24" l="1"/>
  <c r="BG121" i="24"/>
  <c r="BJ122" i="24"/>
  <c r="BG122" i="24"/>
  <c r="AO111" i="24"/>
  <c r="BH121" i="24"/>
  <c r="BH122" i="24"/>
  <c r="AM111" i="24"/>
  <c r="AM122" i="23"/>
  <c r="AN122" i="23"/>
  <c r="N123" i="23"/>
  <c r="AM123" i="23"/>
  <c r="N122" i="23"/>
  <c r="P122" i="23"/>
  <c r="AA122" i="23"/>
  <c r="AB122" i="23"/>
  <c r="K122" i="24"/>
  <c r="G123" i="23"/>
  <c r="H123" i="23" s="1"/>
  <c r="BF123" i="24"/>
  <c r="X112" i="23"/>
  <c r="Y112" i="23" s="1"/>
  <c r="AK112" i="24"/>
  <c r="AL112" i="24" s="1"/>
  <c r="L129" i="24"/>
  <c r="AC129" i="24" s="1"/>
  <c r="AX129" i="24"/>
  <c r="M128" i="24"/>
  <c r="BS129" i="24"/>
  <c r="AB129" i="24"/>
  <c r="P113" i="23"/>
  <c r="BJ123" i="24" l="1"/>
  <c r="BG123" i="24"/>
  <c r="AO112" i="24"/>
  <c r="BH123" i="24"/>
  <c r="AM112" i="24"/>
  <c r="AA123" i="23"/>
  <c r="AB123" i="23"/>
  <c r="N124" i="23"/>
  <c r="K123" i="24"/>
  <c r="G124" i="23"/>
  <c r="H124" i="23" s="1"/>
  <c r="AJ123" i="23"/>
  <c r="AK123" i="23" s="1"/>
  <c r="BF124" i="24"/>
  <c r="BG124" i="24" s="1"/>
  <c r="AK113" i="24"/>
  <c r="AL113" i="24" s="1"/>
  <c r="X113" i="23"/>
  <c r="Y113" i="23" s="1"/>
  <c r="L130" i="24"/>
  <c r="AC130" i="24" s="1"/>
  <c r="AX130" i="24"/>
  <c r="AB130" i="24"/>
  <c r="BS130" i="24"/>
  <c r="M129" i="24"/>
  <c r="P114" i="23"/>
  <c r="BJ124" i="24" l="1"/>
  <c r="AO113" i="24"/>
  <c r="AM113" i="24"/>
  <c r="AM124" i="23"/>
  <c r="AM125" i="23"/>
  <c r="N125" i="23"/>
  <c r="AA124" i="23"/>
  <c r="AB124" i="23"/>
  <c r="BH124" i="24"/>
  <c r="AJ124" i="23"/>
  <c r="AK124" i="23" s="1"/>
  <c r="AJ125" i="23"/>
  <c r="AK125" i="23" s="1"/>
  <c r="BF125" i="24"/>
  <c r="G125" i="23"/>
  <c r="H125" i="23" s="1"/>
  <c r="X114" i="23"/>
  <c r="Y114" i="23" s="1"/>
  <c r="AK114" i="24"/>
  <c r="AL114" i="24" s="1"/>
  <c r="AB131" i="24"/>
  <c r="BS131" i="24"/>
  <c r="AX131" i="24"/>
  <c r="L131" i="24"/>
  <c r="AC131" i="24" s="1"/>
  <c r="M130" i="24"/>
  <c r="P115" i="23"/>
  <c r="BJ125" i="24" l="1"/>
  <c r="BG125" i="24"/>
  <c r="AO114" i="24"/>
  <c r="BH125" i="24"/>
  <c r="AM114" i="24"/>
  <c r="AA125" i="23"/>
  <c r="AB125" i="23"/>
  <c r="N126" i="23"/>
  <c r="AM126" i="23"/>
  <c r="BF126" i="24"/>
  <c r="AJ126" i="23"/>
  <c r="AK126" i="23" s="1"/>
  <c r="K124" i="24"/>
  <c r="K125" i="24"/>
  <c r="G126" i="23"/>
  <c r="H126" i="23" s="1"/>
  <c r="X115" i="23"/>
  <c r="Y115" i="23" s="1"/>
  <c r="AK115" i="24"/>
  <c r="AL115" i="24" s="1"/>
  <c r="AX132" i="24"/>
  <c r="L132" i="24"/>
  <c r="AC132" i="24" s="1"/>
  <c r="BS132" i="24"/>
  <c r="AB132" i="24"/>
  <c r="M131" i="24"/>
  <c r="P116" i="23"/>
  <c r="BJ126" i="24" l="1"/>
  <c r="BG126" i="24"/>
  <c r="AO115" i="24"/>
  <c r="BH126" i="24"/>
  <c r="AM115" i="24"/>
  <c r="AA126" i="23"/>
  <c r="AB126" i="23"/>
  <c r="AM127" i="23"/>
  <c r="N127" i="23"/>
  <c r="AJ127" i="23"/>
  <c r="AK127" i="23" s="1"/>
  <c r="BF127" i="24"/>
  <c r="K126" i="24"/>
  <c r="G127" i="23"/>
  <c r="H127" i="23" s="1"/>
  <c r="AK116" i="24"/>
  <c r="AL116" i="24" s="1"/>
  <c r="X116" i="23"/>
  <c r="Y116" i="23" s="1"/>
  <c r="AB133" i="24"/>
  <c r="M132" i="24"/>
  <c r="BS133" i="24"/>
  <c r="AX133" i="24"/>
  <c r="L133" i="24"/>
  <c r="AC133" i="24" s="1"/>
  <c r="P117" i="23"/>
  <c r="BJ127" i="24" l="1"/>
  <c r="BG127" i="24"/>
  <c r="AO116" i="24"/>
  <c r="BH127" i="24"/>
  <c r="AM116" i="24"/>
  <c r="AA127" i="23"/>
  <c r="AB127" i="23"/>
  <c r="N128" i="23"/>
  <c r="AM128" i="23"/>
  <c r="K127" i="24"/>
  <c r="G128" i="23"/>
  <c r="H128" i="23" s="1"/>
  <c r="AJ128" i="23"/>
  <c r="AK128" i="23" s="1"/>
  <c r="X117" i="23"/>
  <c r="Y117" i="23" s="1"/>
  <c r="AK117" i="24"/>
  <c r="AL117" i="24" s="1"/>
  <c r="AB134" i="24"/>
  <c r="BS134" i="24"/>
  <c r="L134" i="24"/>
  <c r="AC134" i="24" s="1"/>
  <c r="AX134" i="24"/>
  <c r="M133" i="24"/>
  <c r="P118" i="23"/>
  <c r="AO117" i="24" l="1"/>
  <c r="AM117" i="24"/>
  <c r="N129" i="23"/>
  <c r="AM129" i="23"/>
  <c r="AA128" i="23"/>
  <c r="AB128" i="23"/>
  <c r="BF128" i="24"/>
  <c r="AJ129" i="23"/>
  <c r="AK129" i="23" s="1"/>
  <c r="K128" i="24"/>
  <c r="G129" i="23"/>
  <c r="H129" i="23" s="1"/>
  <c r="AK118" i="24"/>
  <c r="AL118" i="24" s="1"/>
  <c r="X118" i="23"/>
  <c r="Y118" i="23" s="1"/>
  <c r="BS135" i="24"/>
  <c r="L135" i="24"/>
  <c r="AC135" i="24" s="1"/>
  <c r="AX135" i="24"/>
  <c r="M134" i="24"/>
  <c r="AB135" i="24"/>
  <c r="P119" i="23"/>
  <c r="BJ128" i="24" l="1"/>
  <c r="BG128" i="24"/>
  <c r="AO118" i="24"/>
  <c r="BH128" i="24"/>
  <c r="AM118" i="24"/>
  <c r="AA129" i="23"/>
  <c r="AB129" i="23"/>
  <c r="AM130" i="23"/>
  <c r="N130" i="23"/>
  <c r="BF129" i="24"/>
  <c r="BF130" i="24"/>
  <c r="AJ130" i="23"/>
  <c r="AK130" i="23" s="1"/>
  <c r="K129" i="24"/>
  <c r="G130" i="23"/>
  <c r="H130" i="23" s="1"/>
  <c r="X119" i="23"/>
  <c r="Y119" i="23" s="1"/>
  <c r="AK119" i="24"/>
  <c r="AL119" i="24" s="1"/>
  <c r="M135" i="24"/>
  <c r="L136" i="24"/>
  <c r="AC136" i="24" s="1"/>
  <c r="AX136" i="24"/>
  <c r="AB136" i="24"/>
  <c r="BS136" i="24"/>
  <c r="P120" i="23"/>
  <c r="BJ129" i="24" l="1"/>
  <c r="BG129" i="24"/>
  <c r="BJ130" i="24"/>
  <c r="BG130" i="24"/>
  <c r="AO119" i="24"/>
  <c r="BH130" i="24"/>
  <c r="BH129" i="24"/>
  <c r="AM119" i="24"/>
  <c r="N131" i="23"/>
  <c r="AM131" i="23"/>
  <c r="AA130" i="23"/>
  <c r="AB130" i="23"/>
  <c r="AJ131" i="23"/>
  <c r="AK131" i="23" s="1"/>
  <c r="K130" i="24"/>
  <c r="G131" i="23"/>
  <c r="H131" i="23" s="1"/>
  <c r="AK120" i="24"/>
  <c r="AL120" i="24" s="1"/>
  <c r="X120" i="23"/>
  <c r="Y120" i="23" s="1"/>
  <c r="M136" i="24"/>
  <c r="L137" i="24"/>
  <c r="AC137" i="24" s="1"/>
  <c r="AX137" i="24"/>
  <c r="BS137" i="24"/>
  <c r="AB137" i="24"/>
  <c r="AO120" i="24" l="1"/>
  <c r="AM120" i="24"/>
  <c r="AA131" i="23"/>
  <c r="AB131" i="23"/>
  <c r="N132" i="23"/>
  <c r="AM132" i="23"/>
  <c r="BF131" i="24"/>
  <c r="BF132" i="24"/>
  <c r="AJ132" i="23"/>
  <c r="AK132" i="23" s="1"/>
  <c r="K131" i="24"/>
  <c r="G132" i="23"/>
  <c r="H132" i="23" s="1"/>
  <c r="AK121" i="24"/>
  <c r="AL121" i="24" s="1"/>
  <c r="X121" i="23"/>
  <c r="Y121" i="23" s="1"/>
  <c r="AB138" i="24"/>
  <c r="M137" i="24"/>
  <c r="BS138" i="24"/>
  <c r="AX138" i="24"/>
  <c r="L138" i="24"/>
  <c r="AC138" i="24" s="1"/>
  <c r="BJ132" i="24" l="1"/>
  <c r="BG132" i="24"/>
  <c r="BJ131" i="24"/>
  <c r="BG131" i="24"/>
  <c r="AO121" i="24"/>
  <c r="BH132" i="24"/>
  <c r="BH131" i="24"/>
  <c r="AM121" i="24"/>
  <c r="I132" i="23"/>
  <c r="J132" i="23" s="1"/>
  <c r="AA132" i="23"/>
  <c r="AB132" i="23"/>
  <c r="K132" i="24"/>
  <c r="G133" i="23"/>
  <c r="H133" i="23" s="1"/>
  <c r="BF133" i="24"/>
  <c r="X122" i="23"/>
  <c r="Y122" i="23" s="1"/>
  <c r="AK122" i="24"/>
  <c r="AL122" i="24" s="1"/>
  <c r="AB139" i="24"/>
  <c r="BS139" i="24"/>
  <c r="AX139" i="24"/>
  <c r="L139" i="24"/>
  <c r="AC139" i="24" s="1"/>
  <c r="M138" i="24"/>
  <c r="P123" i="23"/>
  <c r="BJ133" i="24" l="1"/>
  <c r="BG133" i="24"/>
  <c r="AO122" i="24"/>
  <c r="BH133" i="24"/>
  <c r="AM122" i="24"/>
  <c r="AM133" i="23"/>
  <c r="I133" i="23"/>
  <c r="O133" i="23" s="1"/>
  <c r="AA133" i="23"/>
  <c r="N133" i="23"/>
  <c r="AJ133" i="23"/>
  <c r="AK133" i="23" s="1"/>
  <c r="AJ134" i="23"/>
  <c r="AK134" i="23" s="1"/>
  <c r="K133" i="24"/>
  <c r="G134" i="23"/>
  <c r="H134" i="23" s="1"/>
  <c r="AK123" i="24"/>
  <c r="AL123" i="24" s="1"/>
  <c r="X123" i="23"/>
  <c r="Y123" i="23" s="1"/>
  <c r="M139" i="24"/>
  <c r="L140" i="24"/>
  <c r="AC140" i="24" s="1"/>
  <c r="AX140" i="24"/>
  <c r="BS140" i="24"/>
  <c r="AB140" i="24"/>
  <c r="P124" i="23"/>
  <c r="AO123" i="24" l="1"/>
  <c r="AM134" i="23"/>
  <c r="N134" i="23"/>
  <c r="J133" i="23"/>
  <c r="I134" i="23"/>
  <c r="O134" i="23" s="1"/>
  <c r="AA134" i="23"/>
  <c r="K134" i="24"/>
  <c r="G135" i="23"/>
  <c r="H135" i="23" s="1"/>
  <c r="BF134" i="24"/>
  <c r="BF135" i="24"/>
  <c r="AJ135" i="23"/>
  <c r="AK135" i="23" s="1"/>
  <c r="X124" i="23"/>
  <c r="Y124" i="23" s="1"/>
  <c r="AK124" i="24"/>
  <c r="AL124" i="24" s="1"/>
  <c r="AM123" i="24"/>
  <c r="L141" i="24"/>
  <c r="AC141" i="24" s="1"/>
  <c r="AX141" i="24"/>
  <c r="M140" i="24"/>
  <c r="AB141" i="24"/>
  <c r="BS141" i="24"/>
  <c r="P125" i="23"/>
  <c r="BJ135" i="24" l="1"/>
  <c r="BG135" i="24"/>
  <c r="BJ134" i="24"/>
  <c r="BG134" i="24"/>
  <c r="AO124" i="24"/>
  <c r="BH134" i="24"/>
  <c r="BH135" i="24"/>
  <c r="AM124" i="24"/>
  <c r="J134" i="23"/>
  <c r="N135" i="23"/>
  <c r="AM135" i="23"/>
  <c r="I135" i="23"/>
  <c r="O135" i="23" s="1"/>
  <c r="AA135" i="23"/>
  <c r="BF136" i="24"/>
  <c r="AJ136" i="23"/>
  <c r="AK136" i="23" s="1"/>
  <c r="K135" i="24"/>
  <c r="G136" i="23"/>
  <c r="H136" i="23" s="1"/>
  <c r="X125" i="23"/>
  <c r="Y125" i="23" s="1"/>
  <c r="AK125" i="24"/>
  <c r="AL125" i="24" s="1"/>
  <c r="BS142" i="24"/>
  <c r="L142" i="24"/>
  <c r="AC142" i="24" s="1"/>
  <c r="AX142" i="24"/>
  <c r="AB142" i="24"/>
  <c r="M141" i="24"/>
  <c r="P126" i="23"/>
  <c r="BJ136" i="24" l="1"/>
  <c r="BG136" i="24"/>
  <c r="AO125" i="24"/>
  <c r="BH136" i="24"/>
  <c r="AM125" i="24"/>
  <c r="J135" i="23"/>
  <c r="N136" i="23"/>
  <c r="AM136" i="23"/>
  <c r="AA136" i="23"/>
  <c r="I136" i="23"/>
  <c r="O136" i="23" s="1"/>
  <c r="BF137" i="24"/>
  <c r="AJ137" i="23"/>
  <c r="AK137" i="23" s="1"/>
  <c r="K136" i="24"/>
  <c r="G137" i="23"/>
  <c r="H137" i="23" s="1"/>
  <c r="X126" i="23"/>
  <c r="Y126" i="23" s="1"/>
  <c r="AK126" i="24"/>
  <c r="AL126" i="24" s="1"/>
  <c r="L143" i="24"/>
  <c r="AC143" i="24" s="1"/>
  <c r="AX143" i="24"/>
  <c r="M142" i="24"/>
  <c r="AB143" i="24"/>
  <c r="BS143" i="24"/>
  <c r="P127" i="23"/>
  <c r="BJ137" i="24" l="1"/>
  <c r="BG137" i="24"/>
  <c r="AO126" i="24"/>
  <c r="BH137" i="24"/>
  <c r="AM126" i="24"/>
  <c r="J136" i="23"/>
  <c r="AA137" i="23"/>
  <c r="I137" i="23"/>
  <c r="O137" i="23" s="1"/>
  <c r="N137" i="23"/>
  <c r="AM137" i="23"/>
  <c r="BF138" i="24"/>
  <c r="BG138" i="24" s="1"/>
  <c r="K137" i="24"/>
  <c r="G138" i="23"/>
  <c r="H138" i="23" s="1"/>
  <c r="AK127" i="24"/>
  <c r="AL127" i="24" s="1"/>
  <c r="X127" i="23"/>
  <c r="Y127" i="23" s="1"/>
  <c r="L144" i="24"/>
  <c r="AC144" i="24" s="1"/>
  <c r="AX144" i="24"/>
  <c r="AB144" i="24"/>
  <c r="BS144" i="24"/>
  <c r="M143" i="24"/>
  <c r="P128" i="23"/>
  <c r="BJ138" i="24" l="1"/>
  <c r="AO127" i="24"/>
  <c r="AM127" i="24"/>
  <c r="J137" i="23"/>
  <c r="N138" i="23"/>
  <c r="AM138" i="23"/>
  <c r="I138" i="23"/>
  <c r="O138" i="23" s="1"/>
  <c r="AA138" i="23"/>
  <c r="BH138" i="24"/>
  <c r="AJ138" i="23"/>
  <c r="AK138" i="23" s="1"/>
  <c r="BF139" i="24"/>
  <c r="G139" i="23"/>
  <c r="H139" i="23" s="1"/>
  <c r="X128" i="23"/>
  <c r="Y128" i="23" s="1"/>
  <c r="AK128" i="24"/>
  <c r="AL128" i="24" s="1"/>
  <c r="AB145" i="24"/>
  <c r="BS145" i="24"/>
  <c r="M144" i="24"/>
  <c r="AX145" i="24"/>
  <c r="L145" i="24"/>
  <c r="AC145" i="24" s="1"/>
  <c r="P129" i="23"/>
  <c r="BJ139" i="24" l="1"/>
  <c r="BG139" i="24"/>
  <c r="AO128" i="24"/>
  <c r="BH139" i="24"/>
  <c r="AM128" i="24"/>
  <c r="J138" i="23"/>
  <c r="AA139" i="23"/>
  <c r="I139" i="23"/>
  <c r="O139" i="23" s="1"/>
  <c r="N139" i="23"/>
  <c r="AM139" i="23"/>
  <c r="K138" i="24"/>
  <c r="AJ139" i="23"/>
  <c r="AK139" i="23" s="1"/>
  <c r="AJ140" i="23"/>
  <c r="AK140" i="23" s="1"/>
  <c r="K139" i="24"/>
  <c r="G140" i="23"/>
  <c r="H140" i="23" s="1"/>
  <c r="AK129" i="24"/>
  <c r="AL129" i="24" s="1"/>
  <c r="X129" i="23"/>
  <c r="Y129" i="23" s="1"/>
  <c r="AB146" i="24"/>
  <c r="BS146" i="24"/>
  <c r="L146" i="24"/>
  <c r="AC146" i="24" s="1"/>
  <c r="AX146" i="24"/>
  <c r="M145" i="24"/>
  <c r="P130" i="23"/>
  <c r="AO129" i="24" l="1"/>
  <c r="AM129" i="24"/>
  <c r="I140" i="23"/>
  <c r="O140" i="23" s="1"/>
  <c r="AA140" i="23"/>
  <c r="J139" i="23"/>
  <c r="AM140" i="23"/>
  <c r="N140" i="23"/>
  <c r="BF140" i="24"/>
  <c r="AJ141" i="23"/>
  <c r="AK141" i="23" s="1"/>
  <c r="K140" i="24"/>
  <c r="G141" i="23"/>
  <c r="H141" i="23" s="1"/>
  <c r="X130" i="23"/>
  <c r="Y130" i="23" s="1"/>
  <c r="AK130" i="24"/>
  <c r="AL130" i="24" s="1"/>
  <c r="L147" i="24"/>
  <c r="AC147" i="24" s="1"/>
  <c r="AX147" i="24"/>
  <c r="M146" i="24"/>
  <c r="AB147" i="24"/>
  <c r="BS147" i="24"/>
  <c r="P131" i="23"/>
  <c r="BJ140" i="24" l="1"/>
  <c r="BG140" i="24"/>
  <c r="AO130" i="24"/>
  <c r="BH140" i="24"/>
  <c r="AM130" i="24"/>
  <c r="N141" i="23"/>
  <c r="AA141" i="23"/>
  <c r="I141" i="23"/>
  <c r="O141" i="23" s="1"/>
  <c r="J140" i="23"/>
  <c r="AM141" i="23"/>
  <c r="BF141" i="24"/>
  <c r="BF142" i="24"/>
  <c r="AJ142" i="23"/>
  <c r="AK142" i="23" s="1"/>
  <c r="K141" i="24"/>
  <c r="G142" i="23"/>
  <c r="H142" i="23" s="1"/>
  <c r="AK131" i="24"/>
  <c r="AL131" i="24" s="1"/>
  <c r="X131" i="23"/>
  <c r="Y131" i="23" s="1"/>
  <c r="AB148" i="24"/>
  <c r="L148" i="24"/>
  <c r="AC148" i="24" s="1"/>
  <c r="AX148" i="24"/>
  <c r="BS148" i="24"/>
  <c r="M147" i="24"/>
  <c r="BJ142" i="24" l="1"/>
  <c r="BG142" i="24"/>
  <c r="BJ141" i="24"/>
  <c r="BG141" i="24"/>
  <c r="AO131" i="24"/>
  <c r="BH142" i="24"/>
  <c r="BH141" i="24"/>
  <c r="AM131" i="24"/>
  <c r="I142" i="23"/>
  <c r="O142" i="23" s="1"/>
  <c r="AA142" i="23"/>
  <c r="J141" i="23"/>
  <c r="AM142" i="23"/>
  <c r="N142" i="23"/>
  <c r="K142" i="24"/>
  <c r="G143" i="23"/>
  <c r="H143" i="23" s="1"/>
  <c r="AJ143" i="23"/>
  <c r="AK143" i="23" s="1"/>
  <c r="AK132" i="24"/>
  <c r="AL132" i="24" s="1"/>
  <c r="X132" i="23"/>
  <c r="Y132" i="23" s="1"/>
  <c r="M148" i="24"/>
  <c r="L149" i="24"/>
  <c r="AC149" i="24" s="1"/>
  <c r="AX149" i="24"/>
  <c r="AB149" i="24"/>
  <c r="BS149" i="24"/>
  <c r="AO132" i="24" l="1"/>
  <c r="AM132" i="24"/>
  <c r="J142" i="23"/>
  <c r="AA143" i="23"/>
  <c r="I143" i="23"/>
  <c r="O143" i="23" s="1"/>
  <c r="AM143" i="23"/>
  <c r="N143" i="23"/>
  <c r="K143" i="24"/>
  <c r="G144" i="23"/>
  <c r="H144" i="23" s="1"/>
  <c r="BF143" i="24"/>
  <c r="AJ144" i="23"/>
  <c r="AK144" i="23" s="1"/>
  <c r="AK133" i="24"/>
  <c r="AL133" i="24" s="1"/>
  <c r="X133" i="23"/>
  <c r="Y133" i="23" s="1"/>
  <c r="AX150" i="24"/>
  <c r="L150" i="24"/>
  <c r="AC150" i="24" s="1"/>
  <c r="AB150" i="24"/>
  <c r="M149" i="24"/>
  <c r="BS150" i="24"/>
  <c r="BJ143" i="24" l="1"/>
  <c r="BG143" i="24"/>
  <c r="AO133" i="24"/>
  <c r="BH143" i="24"/>
  <c r="AM133" i="24"/>
  <c r="N144" i="23"/>
  <c r="J143" i="23"/>
  <c r="AA144" i="23"/>
  <c r="I144" i="23"/>
  <c r="O144" i="23" s="1"/>
  <c r="AM144" i="23"/>
  <c r="BF144" i="24"/>
  <c r="AJ145" i="23"/>
  <c r="AK145" i="23" s="1"/>
  <c r="BF145" i="24"/>
  <c r="K144" i="24"/>
  <c r="G145" i="23"/>
  <c r="H145" i="23" s="1"/>
  <c r="AK135" i="24"/>
  <c r="AL135" i="24" s="1"/>
  <c r="X135" i="23"/>
  <c r="Y135" i="23" s="1"/>
  <c r="AK134" i="24"/>
  <c r="AL134" i="24" s="1"/>
  <c r="X134" i="23"/>
  <c r="Y134" i="23" s="1"/>
  <c r="AX151" i="24"/>
  <c r="L151" i="24"/>
  <c r="AC151" i="24" s="1"/>
  <c r="BS151" i="24"/>
  <c r="M150" i="24"/>
  <c r="AB151" i="24"/>
  <c r="BJ144" i="24" l="1"/>
  <c r="BG144" i="24"/>
  <c r="BJ145" i="24"/>
  <c r="BG145" i="24"/>
  <c r="AO134" i="24"/>
  <c r="AO135" i="24"/>
  <c r="BH145" i="24"/>
  <c r="BH144" i="24"/>
  <c r="AM134" i="24"/>
  <c r="AM135" i="24"/>
  <c r="J144" i="23"/>
  <c r="AM145" i="23"/>
  <c r="I145" i="23"/>
  <c r="O145" i="23" s="1"/>
  <c r="AA145" i="23"/>
  <c r="N145" i="23"/>
  <c r="K145" i="24"/>
  <c r="G146" i="23"/>
  <c r="H146" i="23" s="1"/>
  <c r="AJ146" i="23"/>
  <c r="AK146" i="23" s="1"/>
  <c r="X136" i="23"/>
  <c r="Y136" i="23" s="1"/>
  <c r="AK136" i="24"/>
  <c r="AL136" i="24" s="1"/>
  <c r="X137" i="23"/>
  <c r="Y137" i="23" s="1"/>
  <c r="AK137" i="24"/>
  <c r="AL137" i="24" s="1"/>
  <c r="AB152" i="24"/>
  <c r="M151" i="24"/>
  <c r="BS152" i="24"/>
  <c r="L152" i="24"/>
  <c r="AC152" i="24" s="1"/>
  <c r="AX152" i="24"/>
  <c r="I62" i="23"/>
  <c r="J62" i="23" s="1"/>
  <c r="AN62" i="23"/>
  <c r="I129" i="23"/>
  <c r="J129" i="23" s="1"/>
  <c r="I128" i="23"/>
  <c r="J128" i="23" s="1"/>
  <c r="I125" i="23"/>
  <c r="J125" i="23" s="1"/>
  <c r="I124" i="23"/>
  <c r="J124" i="23" s="1"/>
  <c r="I117" i="23"/>
  <c r="J117" i="23" s="1"/>
  <c r="I122" i="23"/>
  <c r="I121" i="23"/>
  <c r="I118" i="23"/>
  <c r="J118" i="23" s="1"/>
  <c r="O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N89" i="23"/>
  <c r="I89" i="23"/>
  <c r="J89" i="23" s="1"/>
  <c r="AN112" i="23"/>
  <c r="I112" i="23"/>
  <c r="J112" i="23" s="1"/>
  <c r="I72" i="23"/>
  <c r="J72" i="23" s="1"/>
  <c r="AN72" i="23"/>
  <c r="AN119" i="23"/>
  <c r="AN107" i="23"/>
  <c r="I107" i="23"/>
  <c r="J107" i="23" s="1"/>
  <c r="I95" i="23"/>
  <c r="J95" i="23" s="1"/>
  <c r="AN95" i="23"/>
  <c r="AN83" i="23"/>
  <c r="I83" i="23"/>
  <c r="J83" i="23" s="1"/>
  <c r="AN71" i="23"/>
  <c r="I71" i="23"/>
  <c r="J71" i="23" s="1"/>
  <c r="I101" i="23"/>
  <c r="J101" i="23" s="1"/>
  <c r="AN101" i="23"/>
  <c r="AN124" i="23"/>
  <c r="AN120" i="23"/>
  <c r="AN125" i="23"/>
  <c r="AN88" i="23"/>
  <c r="I88" i="23"/>
  <c r="J88" i="23" s="1"/>
  <c r="I96" i="23"/>
  <c r="J96" i="23" s="1"/>
  <c r="AN96" i="23"/>
  <c r="AN106" i="23"/>
  <c r="I106" i="23"/>
  <c r="J106" i="23" s="1"/>
  <c r="I70" i="23"/>
  <c r="J70" i="23" s="1"/>
  <c r="AN70" i="23"/>
  <c r="AN105" i="23"/>
  <c r="I105" i="23"/>
  <c r="J105" i="23" s="1"/>
  <c r="AN69" i="23"/>
  <c r="I69" i="23"/>
  <c r="J69" i="23" s="1"/>
  <c r="I116" i="23"/>
  <c r="J116" i="23" s="1"/>
  <c r="AN116" i="23"/>
  <c r="AN104" i="23"/>
  <c r="I104" i="23"/>
  <c r="J104" i="23" s="1"/>
  <c r="AN92" i="23"/>
  <c r="I92" i="23"/>
  <c r="J92" i="23" s="1"/>
  <c r="AN80" i="23"/>
  <c r="I80" i="23"/>
  <c r="J80" i="23" s="1"/>
  <c r="I68" i="23"/>
  <c r="J68" i="23" s="1"/>
  <c r="AN68" i="23"/>
  <c r="AN100" i="23"/>
  <c r="I100" i="23"/>
  <c r="J100" i="23" s="1"/>
  <c r="AN108" i="23"/>
  <c r="I108" i="23"/>
  <c r="J108" i="23" s="1"/>
  <c r="AN118" i="23"/>
  <c r="AN94" i="23"/>
  <c r="I94" i="23"/>
  <c r="J94" i="23" s="1"/>
  <c r="AN81" i="23"/>
  <c r="I81" i="23"/>
  <c r="J81" i="23" s="1"/>
  <c r="I115" i="23"/>
  <c r="J115" i="23" s="1"/>
  <c r="AN115" i="23"/>
  <c r="AN103" i="23"/>
  <c r="I103" i="23"/>
  <c r="J103" i="23" s="1"/>
  <c r="AN91" i="23"/>
  <c r="I91" i="23"/>
  <c r="J91" i="23" s="1"/>
  <c r="AN79" i="23"/>
  <c r="I79" i="23"/>
  <c r="J79" i="23" s="1"/>
  <c r="AN67" i="23"/>
  <c r="I67" i="23"/>
  <c r="J67" i="23" s="1"/>
  <c r="AN113" i="23"/>
  <c r="I113" i="23"/>
  <c r="J113" i="23" s="1"/>
  <c r="AN64" i="23"/>
  <c r="I64" i="23"/>
  <c r="J64" i="23" s="1"/>
  <c r="I84" i="23"/>
  <c r="J84" i="23" s="1"/>
  <c r="AN84" i="23"/>
  <c r="AN82" i="23"/>
  <c r="I82" i="23"/>
  <c r="J82" i="23" s="1"/>
  <c r="AN117" i="23"/>
  <c r="AN93" i="23"/>
  <c r="I93" i="23"/>
  <c r="J93" i="23" s="1"/>
  <c r="AN126" i="23"/>
  <c r="I114" i="23"/>
  <c r="J114" i="23" s="1"/>
  <c r="AN114" i="23"/>
  <c r="I102" i="23"/>
  <c r="J102" i="23" s="1"/>
  <c r="AN102" i="23"/>
  <c r="AN90" i="23"/>
  <c r="I90" i="23"/>
  <c r="J90" i="23" s="1"/>
  <c r="I78" i="23"/>
  <c r="J78" i="23" s="1"/>
  <c r="AN78" i="23"/>
  <c r="AN66" i="23"/>
  <c r="I66" i="23"/>
  <c r="J66" i="23" s="1"/>
  <c r="I77" i="23"/>
  <c r="J77" i="23" s="1"/>
  <c r="AN77" i="23"/>
  <c r="AN65" i="23"/>
  <c r="I65" i="23"/>
  <c r="J65" i="23" s="1"/>
  <c r="AN87" i="23"/>
  <c r="I87" i="23"/>
  <c r="J87" i="23" s="1"/>
  <c r="I76" i="23"/>
  <c r="J76" i="23" s="1"/>
  <c r="AN76" i="23"/>
  <c r="AN123" i="23"/>
  <c r="AN111" i="23"/>
  <c r="I111" i="23"/>
  <c r="J111" i="23" s="1"/>
  <c r="AN99" i="23"/>
  <c r="I99" i="23"/>
  <c r="J99" i="23" s="1"/>
  <c r="AN75" i="23"/>
  <c r="I75" i="23"/>
  <c r="J75" i="23" s="1"/>
  <c r="AN110" i="23"/>
  <c r="I110" i="23"/>
  <c r="J110" i="23" s="1"/>
  <c r="AN98" i="23"/>
  <c r="I98" i="23"/>
  <c r="J98" i="23" s="1"/>
  <c r="AN86" i="23"/>
  <c r="I86" i="23"/>
  <c r="J86" i="23" s="1"/>
  <c r="AN74" i="23"/>
  <c r="I74" i="23"/>
  <c r="J74" i="23" s="1"/>
  <c r="AN109" i="23"/>
  <c r="I109" i="23"/>
  <c r="J109" i="23" s="1"/>
  <c r="I97" i="23"/>
  <c r="J97" i="23" s="1"/>
  <c r="AN97" i="23"/>
  <c r="I85" i="23"/>
  <c r="J85" i="23" s="1"/>
  <c r="AN85" i="23"/>
  <c r="I73" i="23"/>
  <c r="J73" i="23" s="1"/>
  <c r="AN73" i="23"/>
  <c r="AO136" i="24" l="1"/>
  <c r="AO137" i="24"/>
  <c r="AM136" i="24"/>
  <c r="AM137" i="24"/>
  <c r="J145" i="23"/>
  <c r="AA146" i="23"/>
  <c r="I146" i="23"/>
  <c r="O146" i="23" s="1"/>
  <c r="N146" i="23"/>
  <c r="AM146" i="23"/>
  <c r="K146" i="24"/>
  <c r="G147" i="23"/>
  <c r="H147" i="23" s="1"/>
  <c r="BF146" i="24"/>
  <c r="AJ147" i="23"/>
  <c r="AK147" i="23" s="1"/>
  <c r="AK138" i="24"/>
  <c r="AL138" i="24" s="1"/>
  <c r="X138" i="23"/>
  <c r="Y138" i="23" s="1"/>
  <c r="X139" i="23"/>
  <c r="Y139" i="23" s="1"/>
  <c r="AK139" i="24"/>
  <c r="AL139" i="24" s="1"/>
  <c r="M152" i="24"/>
  <c r="L153" i="24"/>
  <c r="AC153" i="24" s="1"/>
  <c r="AX153" i="24"/>
  <c r="AB153" i="24"/>
  <c r="BS153" i="24"/>
  <c r="J122" i="23"/>
  <c r="O122" i="23"/>
  <c r="J121" i="23"/>
  <c r="O121" i="23"/>
  <c r="O69" i="23"/>
  <c r="O119" i="23"/>
  <c r="O128" i="23"/>
  <c r="O97" i="23"/>
  <c r="O65" i="23"/>
  <c r="O115" i="23"/>
  <c r="O131" i="23"/>
  <c r="O129" i="23"/>
  <c r="O75" i="23"/>
  <c r="O105" i="23"/>
  <c r="O123" i="23"/>
  <c r="O85" i="23"/>
  <c r="O120" i="23"/>
  <c r="O62" i="23"/>
  <c r="O103" i="23"/>
  <c r="O100" i="23"/>
  <c r="O114" i="23"/>
  <c r="O101" i="23"/>
  <c r="O72" i="23"/>
  <c r="O76" i="23"/>
  <c r="O127" i="23"/>
  <c r="O87" i="23"/>
  <c r="O125" i="23"/>
  <c r="O81" i="23"/>
  <c r="O74" i="23"/>
  <c r="O66" i="23"/>
  <c r="O92" i="23"/>
  <c r="O70" i="23"/>
  <c r="O71" i="23"/>
  <c r="O112" i="23"/>
  <c r="O118" i="23"/>
  <c r="O116" i="23"/>
  <c r="O84" i="23"/>
  <c r="O102" i="23"/>
  <c r="O93" i="23"/>
  <c r="O111" i="23"/>
  <c r="O79" i="23"/>
  <c r="O94" i="23"/>
  <c r="O106" i="23"/>
  <c r="O110" i="23"/>
  <c r="O107" i="23"/>
  <c r="O64" i="23"/>
  <c r="O68" i="23"/>
  <c r="O77" i="23"/>
  <c r="O67" i="23"/>
  <c r="O86" i="23"/>
  <c r="O82" i="23"/>
  <c r="O104" i="23"/>
  <c r="O83" i="23"/>
  <c r="O89" i="23"/>
  <c r="O95" i="23"/>
  <c r="O113" i="23"/>
  <c r="O80" i="23"/>
  <c r="O99" i="23"/>
  <c r="O78" i="23"/>
  <c r="O91" i="23"/>
  <c r="O117" i="23"/>
  <c r="O88" i="23"/>
  <c r="O130" i="23"/>
  <c r="O109" i="23"/>
  <c r="O73" i="23"/>
  <c r="O98" i="23"/>
  <c r="O90" i="23"/>
  <c r="O108" i="23"/>
  <c r="O96" i="23"/>
  <c r="O126" i="23"/>
  <c r="O124" i="23"/>
  <c r="AN63" i="23"/>
  <c r="I63" i="23"/>
  <c r="J63" i="23" s="1"/>
  <c r="BJ146" i="24" l="1"/>
  <c r="BG146" i="24"/>
  <c r="AO138" i="24"/>
  <c r="AO139" i="24"/>
  <c r="BH146" i="24"/>
  <c r="AM138" i="24"/>
  <c r="AM139" i="24"/>
  <c r="J146" i="23"/>
  <c r="N147" i="23"/>
  <c r="AM147" i="23"/>
  <c r="I147" i="23"/>
  <c r="O147" i="23" s="1"/>
  <c r="AA147" i="23"/>
  <c r="K147" i="24"/>
  <c r="K148" i="24"/>
  <c r="G148" i="23"/>
  <c r="H148" i="23" s="1"/>
  <c r="BF147" i="24"/>
  <c r="AJ148" i="23"/>
  <c r="AK148" i="23" s="1"/>
  <c r="AK140" i="24"/>
  <c r="AL140" i="24" s="1"/>
  <c r="X140" i="23"/>
  <c r="Y140" i="23" s="1"/>
  <c r="X141" i="23"/>
  <c r="Y141" i="23" s="1"/>
  <c r="AK141" i="24"/>
  <c r="AL141" i="24" s="1"/>
  <c r="AB154" i="24"/>
  <c r="BS154" i="24"/>
  <c r="L154" i="24"/>
  <c r="AC154" i="24" s="1"/>
  <c r="AX154" i="24"/>
  <c r="M153" i="24"/>
  <c r="O63" i="23"/>
  <c r="BJ147" i="24" l="1"/>
  <c r="BG147" i="24"/>
  <c r="AO141" i="24"/>
  <c r="AO140" i="24"/>
  <c r="BH147" i="24"/>
  <c r="AM140" i="24"/>
  <c r="AM141" i="24"/>
  <c r="J147" i="23"/>
  <c r="AA148" i="23"/>
  <c r="I148" i="23"/>
  <c r="O148" i="23" s="1"/>
  <c r="N148" i="23"/>
  <c r="AM148" i="23"/>
  <c r="BF148" i="24"/>
  <c r="BF149" i="24"/>
  <c r="AJ149" i="23"/>
  <c r="AK149" i="23" s="1"/>
  <c r="G149" i="23"/>
  <c r="H149" i="23" s="1"/>
  <c r="AK142" i="24"/>
  <c r="AL142" i="24" s="1"/>
  <c r="X142" i="23"/>
  <c r="Y142" i="23" s="1"/>
  <c r="X143" i="23"/>
  <c r="Y143" i="23" s="1"/>
  <c r="AK143" i="24"/>
  <c r="AL143" i="24" s="1"/>
  <c r="BS155" i="24"/>
  <c r="AB155" i="24"/>
  <c r="M154" i="24"/>
  <c r="L155" i="24"/>
  <c r="AC155" i="24" s="1"/>
  <c r="AX155" i="24"/>
  <c r="BJ149" i="24" l="1"/>
  <c r="BG149" i="24"/>
  <c r="BJ148" i="24"/>
  <c r="BG148" i="24"/>
  <c r="AO142" i="24"/>
  <c r="AO143" i="24"/>
  <c r="BH149" i="24"/>
  <c r="BH148" i="24"/>
  <c r="AM142" i="24"/>
  <c r="AM143" i="24"/>
  <c r="J148" i="23"/>
  <c r="AA149" i="23"/>
  <c r="I149" i="23"/>
  <c r="O149" i="23" s="1"/>
  <c r="AM149" i="23"/>
  <c r="N149" i="23"/>
  <c r="K149" i="24"/>
  <c r="G150" i="23"/>
  <c r="H150" i="23" s="1"/>
  <c r="AJ150" i="23"/>
  <c r="AK150" i="23" s="1"/>
  <c r="BF150" i="24"/>
  <c r="X145" i="23"/>
  <c r="Y145" i="23" s="1"/>
  <c r="AK145" i="24"/>
  <c r="AL145" i="24" s="1"/>
  <c r="AK144" i="24"/>
  <c r="AL144" i="24" s="1"/>
  <c r="X144" i="23"/>
  <c r="Y144" i="23" s="1"/>
  <c r="M155" i="24"/>
  <c r="AX156" i="24"/>
  <c r="L156" i="24"/>
  <c r="AC156" i="24" s="1"/>
  <c r="BS156" i="24"/>
  <c r="AB156" i="24"/>
  <c r="BJ150" i="24" l="1"/>
  <c r="BG150" i="24"/>
  <c r="AO144" i="24"/>
  <c r="AO145" i="24"/>
  <c r="BH150" i="24"/>
  <c r="AM144" i="24"/>
  <c r="AM145" i="24"/>
  <c r="AA150" i="23"/>
  <c r="I150" i="23"/>
  <c r="O150" i="23" s="1"/>
  <c r="J149" i="23"/>
  <c r="AM150" i="23"/>
  <c r="N150" i="23"/>
  <c r="BF151" i="24"/>
  <c r="K150" i="24"/>
  <c r="G151" i="23"/>
  <c r="H151" i="23" s="1"/>
  <c r="AK147" i="24"/>
  <c r="AL147" i="24" s="1"/>
  <c r="X147" i="23"/>
  <c r="Y147" i="23" s="1"/>
  <c r="AK146" i="24"/>
  <c r="AL146" i="24" s="1"/>
  <c r="X146" i="23"/>
  <c r="Y146" i="23" s="1"/>
  <c r="BS157" i="24"/>
  <c r="AX157" i="24"/>
  <c r="L157" i="24"/>
  <c r="AC157" i="24" s="1"/>
  <c r="M156" i="24"/>
  <c r="AB157" i="24"/>
  <c r="BJ151" i="24" l="1"/>
  <c r="BG151" i="24"/>
  <c r="AO146" i="24"/>
  <c r="AO147" i="24"/>
  <c r="BH151" i="24"/>
  <c r="AM146" i="24"/>
  <c r="AM147" i="24"/>
  <c r="J150" i="23"/>
  <c r="N151" i="23"/>
  <c r="AM151" i="23"/>
  <c r="I151" i="23"/>
  <c r="O151" i="23" s="1"/>
  <c r="AA151" i="23"/>
  <c r="K151" i="24"/>
  <c r="G152" i="23"/>
  <c r="H152" i="23" s="1"/>
  <c r="AJ151" i="23"/>
  <c r="AK151" i="23" s="1"/>
  <c r="AJ152" i="23"/>
  <c r="AK152" i="23" s="1"/>
  <c r="AK149" i="24"/>
  <c r="AL149" i="24" s="1"/>
  <c r="X149" i="23"/>
  <c r="Y149" i="23" s="1"/>
  <c r="X148" i="23"/>
  <c r="Y148" i="23" s="1"/>
  <c r="AK148" i="24"/>
  <c r="AL148" i="24" s="1"/>
  <c r="L158" i="24"/>
  <c r="AC158" i="24" s="1"/>
  <c r="AX158" i="24"/>
  <c r="M157" i="24"/>
  <c r="BS158" i="24"/>
  <c r="AB158" i="24"/>
  <c r="AO149" i="24" l="1"/>
  <c r="AO148" i="24"/>
  <c r="AM149" i="24"/>
  <c r="AM148" i="24"/>
  <c r="AM152" i="23"/>
  <c r="J151" i="23"/>
  <c r="N152" i="23"/>
  <c r="I152" i="23"/>
  <c r="O152" i="23" s="1"/>
  <c r="AA152" i="23"/>
  <c r="BF152" i="24"/>
  <c r="AJ153" i="23"/>
  <c r="AK153" i="23" s="1"/>
  <c r="K152" i="24"/>
  <c r="G153" i="23"/>
  <c r="H153" i="23" s="1"/>
  <c r="X151" i="23"/>
  <c r="Y151" i="23" s="1"/>
  <c r="AK151" i="24"/>
  <c r="AL151" i="24" s="1"/>
  <c r="AK150" i="24"/>
  <c r="AL150" i="24" s="1"/>
  <c r="X150" i="23"/>
  <c r="Y150" i="23" s="1"/>
  <c r="AB159" i="24"/>
  <c r="BS159" i="24"/>
  <c r="L159" i="24"/>
  <c r="AC159" i="24" s="1"/>
  <c r="AX159" i="24"/>
  <c r="M158" i="24"/>
  <c r="BJ152" i="24" l="1"/>
  <c r="BG152" i="24"/>
  <c r="AO151" i="24"/>
  <c r="AO150" i="24"/>
  <c r="BH152" i="24"/>
  <c r="AM150" i="24"/>
  <c r="AM151" i="24"/>
  <c r="J152" i="23"/>
  <c r="AM153" i="23"/>
  <c r="N153" i="23"/>
  <c r="I153" i="23"/>
  <c r="O153" i="23" s="1"/>
  <c r="AA153" i="23"/>
  <c r="K153" i="24"/>
  <c r="G154" i="23"/>
  <c r="H154" i="23" s="1"/>
  <c r="BF153" i="24"/>
  <c r="AJ154" i="23"/>
  <c r="AK154" i="23" s="1"/>
  <c r="AK153" i="24"/>
  <c r="AL153" i="24" s="1"/>
  <c r="X153" i="23"/>
  <c r="Y153" i="23" s="1"/>
  <c r="X152" i="23"/>
  <c r="Y152" i="23" s="1"/>
  <c r="AK152" i="24"/>
  <c r="AL152" i="24" s="1"/>
  <c r="L160" i="24"/>
  <c r="AC160" i="24" s="1"/>
  <c r="AX160" i="24"/>
  <c r="AB160" i="24"/>
  <c r="M159" i="24"/>
  <c r="BS160" i="24"/>
  <c r="BJ153" i="24" l="1"/>
  <c r="BG153" i="24"/>
  <c r="AO153" i="24"/>
  <c r="AO152" i="24"/>
  <c r="BH153" i="24"/>
  <c r="AM153" i="24"/>
  <c r="AM152" i="24"/>
  <c r="J153" i="23"/>
  <c r="N154" i="23"/>
  <c r="AA154" i="23"/>
  <c r="I154" i="23"/>
  <c r="O154" i="23" s="1"/>
  <c r="AM154" i="23"/>
  <c r="K154" i="24"/>
  <c r="G155" i="23"/>
  <c r="H155" i="23" s="1"/>
  <c r="BF154" i="24"/>
  <c r="AJ155" i="23"/>
  <c r="AK155" i="23" s="1"/>
  <c r="BF155" i="24"/>
  <c r="AK155" i="24"/>
  <c r="AL155" i="24" s="1"/>
  <c r="X155" i="23"/>
  <c r="Y155" i="23" s="1"/>
  <c r="X154" i="23"/>
  <c r="Y154" i="23" s="1"/>
  <c r="AK154" i="24"/>
  <c r="AL154" i="24" s="1"/>
  <c r="L161" i="24"/>
  <c r="AC161" i="24" s="1"/>
  <c r="AX161" i="24"/>
  <c r="AB161" i="24"/>
  <c r="BS161" i="24"/>
  <c r="M160" i="24"/>
  <c r="BJ154" i="24" l="1"/>
  <c r="BG154" i="24"/>
  <c r="BJ155" i="24"/>
  <c r="BG155" i="24"/>
  <c r="AO155" i="24"/>
  <c r="AO154" i="24"/>
  <c r="BH155" i="24"/>
  <c r="BH154" i="24"/>
  <c r="AM154" i="24"/>
  <c r="AM155" i="24"/>
  <c r="AM155" i="23"/>
  <c r="J154" i="23"/>
  <c r="I155" i="23"/>
  <c r="O155" i="23" s="1"/>
  <c r="AA155" i="23"/>
  <c r="N155" i="23"/>
  <c r="K155" i="24"/>
  <c r="G156" i="23"/>
  <c r="H156" i="23" s="1"/>
  <c r="AJ156" i="23"/>
  <c r="AK156" i="23" s="1"/>
  <c r="BF156" i="24"/>
  <c r="X157" i="23"/>
  <c r="Y157" i="23" s="1"/>
  <c r="X156" i="23"/>
  <c r="Y156" i="23" s="1"/>
  <c r="AK156" i="24"/>
  <c r="AL156" i="24" s="1"/>
  <c r="AB162" i="24"/>
  <c r="AX162" i="24"/>
  <c r="L162" i="24"/>
  <c r="AC162" i="24" s="1"/>
  <c r="BS162" i="24"/>
  <c r="M161" i="24"/>
  <c r="BJ156" i="24" l="1"/>
  <c r="BG156" i="24"/>
  <c r="AO156" i="24"/>
  <c r="BH156" i="24"/>
  <c r="AM156" i="24"/>
  <c r="N156" i="23"/>
  <c r="AM156" i="23"/>
  <c r="J155" i="23"/>
  <c r="AA156" i="23"/>
  <c r="I156" i="23"/>
  <c r="O156" i="23" s="1"/>
  <c r="K156" i="24"/>
  <c r="G157" i="23"/>
  <c r="H157" i="23" s="1"/>
  <c r="AJ157" i="23"/>
  <c r="AK157" i="23" s="1"/>
  <c r="BF157" i="24"/>
  <c r="AK157" i="24"/>
  <c r="AL157" i="24" s="1"/>
  <c r="X158" i="23"/>
  <c r="Y158" i="23" s="1"/>
  <c r="AK158" i="24"/>
  <c r="AL158" i="24" s="1"/>
  <c r="AX163" i="24"/>
  <c r="L163" i="24"/>
  <c r="AC163" i="24" s="1"/>
  <c r="BS163" i="24"/>
  <c r="AB163" i="24"/>
  <c r="M162" i="24"/>
  <c r="BJ157" i="24" l="1"/>
  <c r="BG157" i="24"/>
  <c r="AO158" i="24"/>
  <c r="AO157" i="24"/>
  <c r="BH157" i="24"/>
  <c r="AM158" i="24"/>
  <c r="AM157" i="24"/>
  <c r="I157" i="23"/>
  <c r="O157" i="23" s="1"/>
  <c r="AA157" i="23"/>
  <c r="AM157" i="23"/>
  <c r="N157" i="23"/>
  <c r="J156" i="23"/>
  <c r="K157" i="24"/>
  <c r="G158" i="23"/>
  <c r="H158" i="23" s="1"/>
  <c r="AJ158" i="23"/>
  <c r="AK158" i="23" s="1"/>
  <c r="L164" i="24"/>
  <c r="AC164" i="24" s="1"/>
  <c r="AX164" i="24"/>
  <c r="M163" i="24"/>
  <c r="BT164" i="24"/>
  <c r="BS164" i="24"/>
  <c r="AB164" i="24"/>
  <c r="J157" i="23" l="1"/>
  <c r="AM158" i="23"/>
  <c r="I158" i="23"/>
  <c r="O158" i="23" s="1"/>
  <c r="AA158" i="23"/>
  <c r="N158" i="23"/>
  <c r="K158" i="24"/>
  <c r="G159" i="23"/>
  <c r="H159" i="23" s="1"/>
  <c r="AK159" i="24"/>
  <c r="AL159" i="24" s="1"/>
  <c r="X159" i="23"/>
  <c r="Y159" i="23" s="1"/>
  <c r="BF158" i="24"/>
  <c r="AJ159" i="23"/>
  <c r="AK159" i="23" s="1"/>
  <c r="L165" i="24"/>
  <c r="AC165" i="24" s="1"/>
  <c r="AX165" i="24"/>
  <c r="BT165" i="24"/>
  <c r="BS165" i="24"/>
  <c r="AB165" i="24"/>
  <c r="M164" i="24"/>
  <c r="BJ158" i="24" l="1"/>
  <c r="BG158" i="24"/>
  <c r="AO159" i="24"/>
  <c r="BH158" i="24"/>
  <c r="AM159" i="24"/>
  <c r="N159" i="23"/>
  <c r="J158" i="23"/>
  <c r="AA159" i="23"/>
  <c r="I159" i="23"/>
  <c r="O159" i="23" s="1"/>
  <c r="AM159" i="23"/>
  <c r="K159" i="24"/>
  <c r="G160" i="23"/>
  <c r="H160" i="23" s="1"/>
  <c r="X160" i="23"/>
  <c r="Y160" i="23" s="1"/>
  <c r="AK160" i="24"/>
  <c r="AL160" i="24" s="1"/>
  <c r="BF159" i="24"/>
  <c r="AJ160" i="23"/>
  <c r="AK160" i="23" s="1"/>
  <c r="BF160" i="24"/>
  <c r="BT166" i="24"/>
  <c r="BS166" i="24"/>
  <c r="AB166" i="24"/>
  <c r="L166" i="24"/>
  <c r="AC166" i="24" s="1"/>
  <c r="AX166" i="24"/>
  <c r="M165" i="24"/>
  <c r="BJ160" i="24" l="1"/>
  <c r="BG160" i="24"/>
  <c r="BJ159" i="24"/>
  <c r="BG159" i="24"/>
  <c r="AO160" i="24"/>
  <c r="BH159" i="24"/>
  <c r="BH160" i="24"/>
  <c r="AM160" i="24"/>
  <c r="AM160" i="23"/>
  <c r="J159" i="23"/>
  <c r="AA160" i="23"/>
  <c r="I160" i="23"/>
  <c r="O160" i="23" s="1"/>
  <c r="N160" i="23"/>
  <c r="AJ161" i="23"/>
  <c r="AK161" i="23" s="1"/>
  <c r="K160" i="24"/>
  <c r="G161" i="23"/>
  <c r="H161" i="23" s="1"/>
  <c r="X161" i="23"/>
  <c r="Y161" i="23" s="1"/>
  <c r="AK161" i="24"/>
  <c r="AL161" i="24" s="1"/>
  <c r="L167" i="24"/>
  <c r="AC167" i="24" s="1"/>
  <c r="AX167" i="24"/>
  <c r="BT167" i="24"/>
  <c r="BS167" i="24"/>
  <c r="M166" i="24"/>
  <c r="AB167" i="24"/>
  <c r="AO161" i="24" l="1"/>
  <c r="AM161" i="24"/>
  <c r="J160" i="23"/>
  <c r="AA161" i="23"/>
  <c r="I161" i="23"/>
  <c r="O161" i="23" s="1"/>
  <c r="AM161" i="23"/>
  <c r="N161" i="23"/>
  <c r="K161" i="24"/>
  <c r="G162" i="23"/>
  <c r="H162" i="23" s="1"/>
  <c r="AK162" i="24"/>
  <c r="AL162" i="24" s="1"/>
  <c r="X162" i="23"/>
  <c r="Y162" i="23" s="1"/>
  <c r="BF161" i="24"/>
  <c r="AJ162" i="23"/>
  <c r="AK162" i="23" s="1"/>
  <c r="BT168" i="24"/>
  <c r="BS168" i="24"/>
  <c r="AX168" i="24"/>
  <c r="L168" i="24"/>
  <c r="AC168" i="24" s="1"/>
  <c r="AB168" i="24"/>
  <c r="M167" i="24"/>
  <c r="BJ161" i="24" l="1"/>
  <c r="BG161" i="24"/>
  <c r="AO162" i="24"/>
  <c r="BH161" i="24"/>
  <c r="AM162" i="24"/>
  <c r="N162" i="23"/>
  <c r="J161" i="23"/>
  <c r="AM162" i="23"/>
  <c r="AA162" i="23"/>
  <c r="I162" i="23"/>
  <c r="O162" i="23" s="1"/>
  <c r="K162" i="24"/>
  <c r="G163" i="23"/>
  <c r="H163" i="23" s="1"/>
  <c r="BF162" i="24"/>
  <c r="BF163" i="24"/>
  <c r="AK163" i="24"/>
  <c r="AL163" i="24" s="1"/>
  <c r="X163" i="23"/>
  <c r="Y163" i="23" s="1"/>
  <c r="BT169" i="24"/>
  <c r="BS169" i="24"/>
  <c r="AB169" i="24"/>
  <c r="M168" i="24"/>
  <c r="AX169" i="24"/>
  <c r="L169" i="24"/>
  <c r="AC169" i="24" s="1"/>
  <c r="BJ163" i="24" l="1"/>
  <c r="BG163" i="24"/>
  <c r="BJ162" i="24"/>
  <c r="BG162" i="24"/>
  <c r="AO163" i="24"/>
  <c r="BH163" i="24"/>
  <c r="BH162" i="24"/>
  <c r="AM163" i="24"/>
  <c r="J162" i="23"/>
  <c r="N163" i="23"/>
  <c r="AA163" i="23"/>
  <c r="I163" i="23"/>
  <c r="O163" i="23" s="1"/>
  <c r="AM163" i="23"/>
  <c r="X164" i="23"/>
  <c r="Y164" i="23" s="1"/>
  <c r="Y6" i="23" s="1" a="1"/>
  <c r="Y6" i="23" s="1"/>
  <c r="AK164" i="24"/>
  <c r="AL164" i="24" s="1"/>
  <c r="K163" i="24"/>
  <c r="G164" i="23"/>
  <c r="H164" i="23" s="1"/>
  <c r="AJ163" i="23"/>
  <c r="AK163" i="23" s="1"/>
  <c r="BF164" i="24"/>
  <c r="AJ164" i="23"/>
  <c r="AK164" i="23" s="1"/>
  <c r="AB170" i="24"/>
  <c r="BT170" i="24"/>
  <c r="BS170" i="24"/>
  <c r="L170" i="24"/>
  <c r="AC170" i="24" s="1"/>
  <c r="AX170" i="24"/>
  <c r="M169" i="24"/>
  <c r="AK6" i="23" l="1" a="1"/>
  <c r="AK6" i="23" s="1"/>
  <c r="BJ164" i="24"/>
  <c r="BG164" i="24"/>
  <c r="AO164" i="24"/>
  <c r="BH164" i="24"/>
  <c r="AM164" i="24"/>
  <c r="N164" i="23"/>
  <c r="I6" i="23" s="1" a="1"/>
  <c r="I6" i="23" s="1"/>
  <c r="P164" i="23"/>
  <c r="J163" i="23"/>
  <c r="AB164" i="23"/>
  <c r="AA164" i="23"/>
  <c r="Z6" i="23" s="1" a="1"/>
  <c r="Z6" i="23" s="1"/>
  <c r="I164" i="23"/>
  <c r="O164" i="23" s="1"/>
  <c r="AN164" i="23"/>
  <c r="AM164" i="23"/>
  <c r="AL6" i="23" s="1" a="1"/>
  <c r="AL6" i="23" s="1"/>
  <c r="AJ165" i="23"/>
  <c r="AK165" i="23" s="1"/>
  <c r="BF165" i="24"/>
  <c r="K164" i="24"/>
  <c r="G165" i="23"/>
  <c r="H165" i="23" s="1"/>
  <c r="AK165" i="24"/>
  <c r="AL165" i="24" s="1"/>
  <c r="X165" i="23"/>
  <c r="Y165" i="23" s="1"/>
  <c r="L171" i="24"/>
  <c r="AC171" i="24" s="1"/>
  <c r="AX171" i="24"/>
  <c r="M170" i="24"/>
  <c r="BT171" i="24"/>
  <c r="BS171" i="24"/>
  <c r="AB171" i="24"/>
  <c r="BJ165" i="24" l="1"/>
  <c r="BG165" i="24"/>
  <c r="AO165" i="24"/>
  <c r="BH165" i="24"/>
  <c r="AM165" i="24"/>
  <c r="P165" i="23"/>
  <c r="N165" i="23"/>
  <c r="AN165" i="23"/>
  <c r="AM165" i="23"/>
  <c r="J164" i="23"/>
  <c r="I165" i="23"/>
  <c r="AA165" i="23"/>
  <c r="AB165" i="23"/>
  <c r="K165" i="24"/>
  <c r="G166" i="23"/>
  <c r="H166" i="23" s="1"/>
  <c r="BF166" i="24"/>
  <c r="AJ166" i="23"/>
  <c r="AK166" i="23" s="1"/>
  <c r="AK166" i="24"/>
  <c r="AL166" i="24" s="1"/>
  <c r="X166" i="23"/>
  <c r="Y166" i="23" s="1"/>
  <c r="L172" i="24"/>
  <c r="AC172" i="24" s="1"/>
  <c r="AX172" i="24"/>
  <c r="AB172" i="24"/>
  <c r="M171" i="24"/>
  <c r="BT172" i="24"/>
  <c r="BS172" i="24"/>
  <c r="BJ166" i="24" l="1"/>
  <c r="BG166" i="24"/>
  <c r="AO166" i="24"/>
  <c r="BH166" i="24"/>
  <c r="AM166" i="24"/>
  <c r="J165" i="23"/>
  <c r="O165" i="23"/>
  <c r="N166" i="23"/>
  <c r="P166" i="23"/>
  <c r="AN166" i="23"/>
  <c r="AM166" i="23"/>
  <c r="I166" i="23"/>
  <c r="AB166" i="23"/>
  <c r="AA166" i="23"/>
  <c r="K166" i="24"/>
  <c r="G167" i="23"/>
  <c r="H167" i="23" s="1"/>
  <c r="AK167" i="24"/>
  <c r="AL167" i="24" s="1"/>
  <c r="X167" i="23"/>
  <c r="Y167" i="23" s="1"/>
  <c r="BF167" i="24"/>
  <c r="AJ167" i="23"/>
  <c r="AK167" i="23" s="1"/>
  <c r="M172" i="24"/>
  <c r="AB173" i="24"/>
  <c r="BT173" i="24"/>
  <c r="BS173" i="24"/>
  <c r="L173" i="24"/>
  <c r="AC173" i="24" s="1"/>
  <c r="AX173" i="24"/>
  <c r="BJ167" i="24" l="1"/>
  <c r="BG167" i="24"/>
  <c r="AO167" i="24"/>
  <c r="BH167" i="24"/>
  <c r="AM167" i="24"/>
  <c r="AB167" i="23"/>
  <c r="I167" i="23"/>
  <c r="AA167" i="23"/>
  <c r="P167" i="23"/>
  <c r="N167" i="23"/>
  <c r="J166" i="23"/>
  <c r="O166" i="23"/>
  <c r="AN167" i="23"/>
  <c r="AM167" i="23"/>
  <c r="AK168" i="24"/>
  <c r="AL168" i="24" s="1"/>
  <c r="X168" i="23"/>
  <c r="Y168" i="23" s="1"/>
  <c r="K167" i="24"/>
  <c r="G168" i="23"/>
  <c r="H168" i="23" s="1"/>
  <c r="AJ168" i="23"/>
  <c r="AK168" i="23" s="1"/>
  <c r="BT174" i="24"/>
  <c r="BS174" i="24"/>
  <c r="L174" i="24"/>
  <c r="AC174" i="24" s="1"/>
  <c r="AX174" i="24"/>
  <c r="M173" i="24"/>
  <c r="AB174" i="24"/>
  <c r="AO168" i="24" l="1"/>
  <c r="AM168" i="24"/>
  <c r="AN168" i="23"/>
  <c r="AM168" i="23"/>
  <c r="I168" i="23"/>
  <c r="AB168" i="23"/>
  <c r="AA168" i="23"/>
  <c r="P168" i="23"/>
  <c r="N168" i="23"/>
  <c r="J167" i="23"/>
  <c r="O167" i="23"/>
  <c r="AK169" i="24"/>
  <c r="AL169" i="24" s="1"/>
  <c r="X169" i="23"/>
  <c r="Y169" i="23" s="1"/>
  <c r="BF168" i="24"/>
  <c r="BF169" i="24"/>
  <c r="AJ169" i="23"/>
  <c r="AK169" i="23" s="1"/>
  <c r="K168" i="24"/>
  <c r="G169" i="23"/>
  <c r="H169" i="23" s="1"/>
  <c r="AX175" i="24"/>
  <c r="L175" i="24"/>
  <c r="AC175" i="24" s="1"/>
  <c r="M174" i="24"/>
  <c r="BT175" i="24"/>
  <c r="BS175" i="24"/>
  <c r="AB175" i="24"/>
  <c r="BJ169" i="24" l="1"/>
  <c r="BG169" i="24"/>
  <c r="BJ168" i="24"/>
  <c r="BG168" i="24"/>
  <c r="AO169" i="24"/>
  <c r="BH169" i="24"/>
  <c r="BH168" i="24"/>
  <c r="AM169" i="24"/>
  <c r="I169" i="23"/>
  <c r="AA169" i="23"/>
  <c r="AB169" i="23"/>
  <c r="J168" i="23"/>
  <c r="O168" i="23"/>
  <c r="P169" i="23"/>
  <c r="N169" i="23"/>
  <c r="AN169" i="23"/>
  <c r="AM169" i="23"/>
  <c r="X170" i="23"/>
  <c r="Y170" i="23" s="1"/>
  <c r="AK170" i="24"/>
  <c r="AL170" i="24" s="1"/>
  <c r="K169" i="24"/>
  <c r="G170" i="23"/>
  <c r="H170" i="23" s="1"/>
  <c r="AJ170" i="23"/>
  <c r="AK170" i="23" s="1"/>
  <c r="M175" i="24"/>
  <c r="L176" i="24"/>
  <c r="AC176" i="24" s="1"/>
  <c r="AX176" i="24"/>
  <c r="BT176" i="24"/>
  <c r="BS176" i="24"/>
  <c r="AB176" i="24"/>
  <c r="AO170" i="24" l="1"/>
  <c r="AM170" i="24"/>
  <c r="AB170" i="23"/>
  <c r="AA170" i="23"/>
  <c r="I170" i="23"/>
  <c r="P170" i="23"/>
  <c r="N170" i="23"/>
  <c r="AN170" i="23"/>
  <c r="AM170" i="23"/>
  <c r="J169" i="23"/>
  <c r="O169" i="23"/>
  <c r="K170" i="24"/>
  <c r="G171" i="23"/>
  <c r="H171" i="23" s="1"/>
  <c r="X171" i="23"/>
  <c r="Y171" i="23" s="1"/>
  <c r="AK171" i="24"/>
  <c r="AL171" i="24" s="1"/>
  <c r="BF170" i="24"/>
  <c r="BF171" i="24"/>
  <c r="L177" i="24"/>
  <c r="AC177" i="24" s="1"/>
  <c r="AX177" i="24"/>
  <c r="AB177" i="24"/>
  <c r="M176" i="24"/>
  <c r="BT177" i="24"/>
  <c r="BS177" i="24"/>
  <c r="BJ170" i="24" l="1"/>
  <c r="BG170" i="24"/>
  <c r="BJ171" i="24"/>
  <c r="BG171" i="24"/>
  <c r="AO171" i="24"/>
  <c r="BH171" i="24"/>
  <c r="BH170" i="24"/>
  <c r="AM171" i="24"/>
  <c r="AN171" i="23"/>
  <c r="AM171" i="23"/>
  <c r="I171" i="23"/>
  <c r="AB171" i="23"/>
  <c r="AA171" i="23"/>
  <c r="J170" i="23"/>
  <c r="O170" i="23"/>
  <c r="P171" i="23"/>
  <c r="N171" i="23"/>
  <c r="X172" i="23"/>
  <c r="Y172" i="23" s="1"/>
  <c r="AK172" i="24"/>
  <c r="AL172" i="24" s="1"/>
  <c r="AJ171" i="23"/>
  <c r="AK171" i="23" s="1"/>
  <c r="AJ172" i="23"/>
  <c r="AK172" i="23" s="1"/>
  <c r="K171" i="24"/>
  <c r="G172" i="23"/>
  <c r="H172" i="23" s="1"/>
  <c r="M177" i="24"/>
  <c r="L178" i="24"/>
  <c r="AC178" i="24" s="1"/>
  <c r="AX178" i="24"/>
  <c r="AB178" i="24"/>
  <c r="BT178" i="24"/>
  <c r="BS178" i="24"/>
  <c r="AO172" i="24" l="1"/>
  <c r="AM172" i="24"/>
  <c r="AA172" i="23"/>
  <c r="AB172" i="23"/>
  <c r="I172" i="23"/>
  <c r="AN172" i="23"/>
  <c r="AM172" i="23"/>
  <c r="J171" i="23"/>
  <c r="O171" i="23"/>
  <c r="P172" i="23"/>
  <c r="N172" i="23"/>
  <c r="AK173" i="24"/>
  <c r="AL173" i="24" s="1"/>
  <c r="X173" i="23"/>
  <c r="Y173" i="23" s="1"/>
  <c r="BF172" i="24"/>
  <c r="BF173" i="24"/>
  <c r="AJ173" i="23"/>
  <c r="AK173" i="23" s="1"/>
  <c r="K172" i="24"/>
  <c r="G173" i="23"/>
  <c r="H173" i="23" s="1"/>
  <c r="L179" i="24"/>
  <c r="AC179" i="24" s="1"/>
  <c r="AX179" i="24"/>
  <c r="BT179" i="24"/>
  <c r="BS179" i="24"/>
  <c r="AB179" i="24"/>
  <c r="M178" i="24"/>
  <c r="BJ173" i="24" l="1"/>
  <c r="BG173" i="24"/>
  <c r="BJ172" i="24"/>
  <c r="BG172" i="24"/>
  <c r="AO173" i="24"/>
  <c r="BH173" i="24"/>
  <c r="BH172" i="24"/>
  <c r="AM173" i="24"/>
  <c r="I173" i="23"/>
  <c r="AB173" i="23"/>
  <c r="AA173" i="23"/>
  <c r="J172" i="23"/>
  <c r="O172" i="23"/>
  <c r="AN173" i="23"/>
  <c r="AM173" i="23"/>
  <c r="P173" i="23"/>
  <c r="N173" i="23"/>
  <c r="K173" i="24"/>
  <c r="G174" i="23"/>
  <c r="H174" i="23" s="1"/>
  <c r="X174" i="23"/>
  <c r="Y174" i="23" s="1"/>
  <c r="AK174" i="24"/>
  <c r="AL174" i="24" s="1"/>
  <c r="AJ174" i="23"/>
  <c r="AK174" i="23" s="1"/>
  <c r="BF174" i="24"/>
  <c r="AB180" i="24"/>
  <c r="BT180" i="24"/>
  <c r="BS180" i="24"/>
  <c r="AX180" i="24"/>
  <c r="L180" i="24"/>
  <c r="AC180" i="24" s="1"/>
  <c r="M179" i="24"/>
  <c r="BJ174" i="24" l="1"/>
  <c r="BG174" i="24"/>
  <c r="AO174" i="24"/>
  <c r="BH174" i="24"/>
  <c r="AM174" i="24"/>
  <c r="AN174" i="23"/>
  <c r="AM174" i="23"/>
  <c r="P174" i="23"/>
  <c r="N174" i="23"/>
  <c r="AB174" i="23"/>
  <c r="I174" i="23"/>
  <c r="AA174" i="23"/>
  <c r="J173" i="23"/>
  <c r="O173" i="23"/>
  <c r="K174" i="24"/>
  <c r="G175" i="23"/>
  <c r="H175" i="23" s="1"/>
  <c r="AJ175" i="23"/>
  <c r="AK175" i="23" s="1"/>
  <c r="BF175" i="24"/>
  <c r="AK175" i="24"/>
  <c r="AL175" i="24" s="1"/>
  <c r="X175" i="23"/>
  <c r="Y175" i="23" s="1"/>
  <c r="M180" i="24"/>
  <c r="AB181" i="24"/>
  <c r="BT181" i="24"/>
  <c r="BS181" i="24"/>
  <c r="AX181" i="24"/>
  <c r="L181" i="24"/>
  <c r="AC181" i="24" s="1"/>
  <c r="BJ175" i="24" l="1"/>
  <c r="BG175" i="24"/>
  <c r="AO175" i="24"/>
  <c r="BH175" i="24"/>
  <c r="AM175" i="24"/>
  <c r="J174" i="23"/>
  <c r="O174" i="23"/>
  <c r="P175" i="23"/>
  <c r="N175" i="23"/>
  <c r="I175" i="23"/>
  <c r="AB175" i="23"/>
  <c r="AA175" i="23"/>
  <c r="AN175" i="23"/>
  <c r="AM175" i="23"/>
  <c r="X176" i="23"/>
  <c r="Y176" i="23" s="1"/>
  <c r="AK176" i="24"/>
  <c r="AL176" i="24" s="1"/>
  <c r="K175" i="24"/>
  <c r="G176" i="23"/>
  <c r="H176" i="23" s="1"/>
  <c r="AJ176" i="23"/>
  <c r="AK176" i="23" s="1"/>
  <c r="AB182" i="24"/>
  <c r="L182" i="24"/>
  <c r="AC182" i="24" s="1"/>
  <c r="AX182" i="24"/>
  <c r="BT182" i="24"/>
  <c r="BS182" i="24"/>
  <c r="M181" i="24"/>
  <c r="AO176" i="24" l="1"/>
  <c r="AM176" i="24"/>
  <c r="P176" i="23"/>
  <c r="N176" i="23"/>
  <c r="J175" i="23"/>
  <c r="O175" i="23"/>
  <c r="AA176" i="23"/>
  <c r="I176" i="23"/>
  <c r="AB176" i="23"/>
  <c r="AN176" i="23"/>
  <c r="AM176" i="23"/>
  <c r="K176" i="24"/>
  <c r="G177" i="23"/>
  <c r="H177" i="23" s="1"/>
  <c r="BF176" i="24"/>
  <c r="BF177" i="24"/>
  <c r="AJ177" i="23"/>
  <c r="AK177" i="23" s="1"/>
  <c r="AK177" i="24"/>
  <c r="AL177" i="24" s="1"/>
  <c r="X177" i="23"/>
  <c r="Y177" i="23" s="1"/>
  <c r="M182" i="24"/>
  <c r="BY43" i="24"/>
  <c r="BY30" i="24"/>
  <c r="BY56" i="24"/>
  <c r="L183" i="24"/>
  <c r="AC183" i="24" s="1"/>
  <c r="AX183" i="24"/>
  <c r="AB183" i="24"/>
  <c r="BT183" i="24"/>
  <c r="BS183" i="24"/>
  <c r="BJ177" i="24" l="1"/>
  <c r="BG177" i="24"/>
  <c r="BJ176" i="24"/>
  <c r="BG176" i="24"/>
  <c r="AO177" i="24"/>
  <c r="BH177" i="24"/>
  <c r="BH176" i="24"/>
  <c r="AM177" i="24"/>
  <c r="AN177" i="23"/>
  <c r="AM177" i="23"/>
  <c r="AB177" i="23"/>
  <c r="I177" i="23"/>
  <c r="AA177" i="23"/>
  <c r="J176" i="23"/>
  <c r="O176" i="23"/>
  <c r="P177" i="23"/>
  <c r="N177" i="23"/>
  <c r="K177" i="24"/>
  <c r="G178" i="23"/>
  <c r="H178" i="23" s="1"/>
  <c r="H6" i="23" s="1" a="1"/>
  <c r="H6" i="23" s="1"/>
  <c r="AJ178" i="23"/>
  <c r="AK178" i="23" s="1"/>
  <c r="X178" i="23"/>
  <c r="Y178" i="23" s="1"/>
  <c r="AK178" i="24"/>
  <c r="AL178" i="24" s="1"/>
  <c r="BT184" i="24"/>
  <c r="BS184" i="24"/>
  <c r="M183" i="24"/>
  <c r="L184" i="24"/>
  <c r="AC184" i="24" s="1"/>
  <c r="AX184" i="24"/>
  <c r="AB184" i="24"/>
  <c r="AO178" i="24" l="1"/>
  <c r="AM178" i="24"/>
  <c r="P178" i="23"/>
  <c r="N178" i="23"/>
  <c r="AN178" i="23"/>
  <c r="AM178" i="23"/>
  <c r="J177" i="23"/>
  <c r="O177" i="23"/>
  <c r="AA178" i="23"/>
  <c r="AB178" i="23"/>
  <c r="I178" i="23"/>
  <c r="BF178" i="24"/>
  <c r="BG178" i="24" s="1"/>
  <c r="AJ179" i="23"/>
  <c r="AK179" i="23" s="1"/>
  <c r="BF179" i="24"/>
  <c r="AK179" i="24"/>
  <c r="AL179" i="24" s="1"/>
  <c r="X179" i="23"/>
  <c r="Y179" i="23" s="1"/>
  <c r="G179" i="23"/>
  <c r="H179" i="23" s="1"/>
  <c r="M184" i="24"/>
  <c r="BY17" i="24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J179" i="24" l="1"/>
  <c r="BG179" i="24"/>
  <c r="BJ178" i="24"/>
  <c r="AO179" i="24"/>
  <c r="BH179" i="24"/>
  <c r="AM179" i="24"/>
  <c r="P179" i="23"/>
  <c r="N179" i="23"/>
  <c r="AA179" i="23"/>
  <c r="I179" i="23"/>
  <c r="AB179" i="23"/>
  <c r="AN179" i="23"/>
  <c r="AM179" i="23"/>
  <c r="J178" i="23"/>
  <c r="O178" i="23"/>
  <c r="K178" i="24"/>
  <c r="BH178" i="24"/>
  <c r="BF180" i="24"/>
  <c r="AJ180" i="23"/>
  <c r="AK180" i="23" s="1"/>
  <c r="K179" i="24"/>
  <c r="G180" i="23"/>
  <c r="H180" i="23" s="1"/>
  <c r="AK180" i="24"/>
  <c r="AL180" i="24" s="1"/>
  <c r="X180" i="23"/>
  <c r="Y180" i="23" s="1"/>
  <c r="BY14" i="24" a="1"/>
  <c r="BY14" i="24" s="1"/>
  <c r="BY13" i="24" a="1"/>
  <c r="BY13" i="24" s="1"/>
  <c r="BJ180" i="24" l="1"/>
  <c r="BG180" i="24"/>
  <c r="AO180" i="24"/>
  <c r="BH180" i="24"/>
  <c r="AM180" i="24"/>
  <c r="AN180" i="23"/>
  <c r="AM180" i="23"/>
  <c r="J179" i="23"/>
  <c r="O179" i="23"/>
  <c r="I180" i="23"/>
  <c r="AA180" i="23"/>
  <c r="AB180" i="23"/>
  <c r="N180" i="23"/>
  <c r="P180" i="23"/>
  <c r="AJ181" i="23"/>
  <c r="AK181" i="23" s="1"/>
  <c r="BF181" i="24"/>
  <c r="Y180" i="22"/>
  <c r="K180" i="24"/>
  <c r="J180" i="22"/>
  <c r="K180" i="22"/>
  <c r="G181" i="23"/>
  <c r="H181" i="23" s="1"/>
  <c r="F180" i="22"/>
  <c r="AK181" i="24"/>
  <c r="AL181" i="24" s="1"/>
  <c r="X181" i="23"/>
  <c r="Y181" i="23" s="1"/>
  <c r="Q180" i="22"/>
  <c r="R180" i="22"/>
  <c r="BJ181" i="24" l="1"/>
  <c r="BG181" i="24"/>
  <c r="AO181" i="24"/>
  <c r="BH181" i="24"/>
  <c r="AM181" i="24"/>
  <c r="AN181" i="23"/>
  <c r="AM181" i="23"/>
  <c r="AB181" i="23"/>
  <c r="AA181" i="23"/>
  <c r="I181" i="23"/>
  <c r="J180" i="23"/>
  <c r="O180" i="23"/>
  <c r="N181" i="23"/>
  <c r="P181" i="23"/>
  <c r="R181" i="22"/>
  <c r="F181" i="22"/>
  <c r="Q181" i="22"/>
  <c r="X182" i="23"/>
  <c r="Y182" i="23" s="1"/>
  <c r="AK182" i="24"/>
  <c r="AL182" i="24" s="1"/>
  <c r="AJ182" i="23"/>
  <c r="AK182" i="23" s="1"/>
  <c r="Y181" i="22"/>
  <c r="K181" i="24"/>
  <c r="J181" i="22"/>
  <c r="G182" i="23"/>
  <c r="H182" i="23" s="1"/>
  <c r="K181" i="22"/>
  <c r="H180" i="22"/>
  <c r="G180" i="22"/>
  <c r="AO182" i="24" l="1"/>
  <c r="AM182" i="24"/>
  <c r="J181" i="23"/>
  <c r="O181" i="23"/>
  <c r="N182" i="23"/>
  <c r="P182" i="23"/>
  <c r="AB182" i="23"/>
  <c r="AA182" i="23"/>
  <c r="I182" i="23"/>
  <c r="AN182" i="23"/>
  <c r="AM182" i="23"/>
  <c r="BF182" i="24"/>
  <c r="AJ183" i="23"/>
  <c r="AK183" i="23" s="1"/>
  <c r="Y182" i="22"/>
  <c r="R182" i="22"/>
  <c r="F182" i="22"/>
  <c r="X183" i="23"/>
  <c r="Y183" i="23" s="1"/>
  <c r="AK183" i="24"/>
  <c r="AL183" i="24" s="1"/>
  <c r="Q182" i="22"/>
  <c r="K182" i="24"/>
  <c r="J182" i="22"/>
  <c r="K182" i="22"/>
  <c r="H183" i="23"/>
  <c r="G181" i="22"/>
  <c r="H181" i="22"/>
  <c r="BJ182" i="24" l="1"/>
  <c r="BG182" i="24"/>
  <c r="AO183" i="24"/>
  <c r="BH182" i="24"/>
  <c r="AM183" i="24"/>
  <c r="J182" i="23"/>
  <c r="O182" i="23"/>
  <c r="AN183" i="23"/>
  <c r="AM183" i="23"/>
  <c r="P183" i="23"/>
  <c r="N183" i="23"/>
  <c r="I183" i="23"/>
  <c r="AB183" i="23"/>
  <c r="AA183" i="23"/>
  <c r="H182" i="22"/>
  <c r="G182" i="22"/>
  <c r="Q183" i="22"/>
  <c r="R183" i="22"/>
  <c r="F183" i="22"/>
  <c r="AK184" i="24"/>
  <c r="AL184" i="24" s="1"/>
  <c r="X184" i="23"/>
  <c r="Y184" i="23" s="1"/>
  <c r="K183" i="24"/>
  <c r="J183" i="22"/>
  <c r="K183" i="22"/>
  <c r="H184" i="23"/>
  <c r="BF183" i="24"/>
  <c r="AJ184" i="23"/>
  <c r="AK184" i="23" s="1"/>
  <c r="Y183" i="22"/>
  <c r="BJ183" i="24" l="1"/>
  <c r="BG183" i="24"/>
  <c r="AO184" i="24"/>
  <c r="BH183" i="24"/>
  <c r="AM184" i="24"/>
  <c r="P184" i="23"/>
  <c r="N184" i="23"/>
  <c r="AB184" i="23"/>
  <c r="AA184" i="23"/>
  <c r="I184" i="23"/>
  <c r="AS17" i="23" s="1"/>
  <c r="J183" i="23"/>
  <c r="O183" i="23"/>
  <c r="AN184" i="23"/>
  <c r="AM184" i="23"/>
  <c r="H183" i="22"/>
  <c r="G183" i="22"/>
  <c r="K184" i="24"/>
  <c r="J184" i="22"/>
  <c r="K184" i="22"/>
  <c r="AD46" i="22" s="1" a="1"/>
  <c r="AD46" i="22" s="1"/>
  <c r="BF184" i="24"/>
  <c r="Y184" i="22"/>
  <c r="AD35" i="22" s="1" a="1"/>
  <c r="AD35" i="22" s="1"/>
  <c r="R184" i="22"/>
  <c r="AD24" i="22" s="1" a="1"/>
  <c r="AD24" i="22" s="1"/>
  <c r="Q184" i="22"/>
  <c r="F184" i="22"/>
  <c r="BJ184" i="24" l="1"/>
  <c r="BG184" i="24"/>
  <c r="BH184" i="24"/>
  <c r="AS38" i="23" a="1"/>
  <c r="AS38" i="23" s="1"/>
  <c r="AS39" i="23" a="1"/>
  <c r="AS39" i="23" s="1"/>
  <c r="BF28" i="23" s="1"/>
  <c r="AS18" i="23"/>
  <c r="BY18" i="24"/>
  <c r="AS26" i="23" a="1"/>
  <c r="AS26" i="23" s="1"/>
  <c r="BF18" i="23" s="1"/>
  <c r="AS25" i="23" a="1"/>
  <c r="AS25" i="23" s="1"/>
  <c r="AS51" i="23" a="1"/>
  <c r="AS51" i="23" s="1"/>
  <c r="AS52" i="23" a="1"/>
  <c r="AS52" i="23" s="1"/>
  <c r="BF43" i="23" s="1"/>
  <c r="J184" i="23"/>
  <c r="O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S162" i="22" l="1"/>
  <c r="T162" i="22"/>
  <c r="S163" i="22"/>
  <c r="T163" i="22"/>
  <c r="Z162" i="22"/>
  <c r="AA162" i="22"/>
  <c r="Z163" i="22"/>
  <c r="AA163" i="22"/>
  <c r="T160" i="22"/>
  <c r="S159" i="22"/>
  <c r="T159" i="22"/>
  <c r="S161" i="22"/>
  <c r="T161" i="22"/>
  <c r="S160" i="22"/>
  <c r="AA161" i="22"/>
  <c r="Z160" i="22"/>
  <c r="AA160" i="22"/>
  <c r="Z161" i="22"/>
  <c r="S155" i="22"/>
  <c r="T158" i="22"/>
  <c r="T155" i="22"/>
  <c r="S157" i="22"/>
  <c r="T156" i="22"/>
  <c r="T151" i="22"/>
  <c r="S152" i="22"/>
  <c r="S153" i="22"/>
  <c r="T153" i="22"/>
  <c r="S151" i="22"/>
  <c r="T152" i="22"/>
  <c r="T154" i="22"/>
  <c r="S150" i="22"/>
  <c r="S154" i="22"/>
  <c r="T150" i="22"/>
  <c r="S158" i="22"/>
  <c r="T157" i="22"/>
  <c r="S156" i="22"/>
  <c r="AA155" i="22"/>
  <c r="Z157" i="22"/>
  <c r="AA150" i="22"/>
  <c r="AA157" i="22"/>
  <c r="Z154" i="22"/>
  <c r="AA154" i="22"/>
  <c r="Z149" i="22"/>
  <c r="Z158" i="22"/>
  <c r="AA158" i="22"/>
  <c r="AA149" i="22"/>
  <c r="Z151" i="22"/>
  <c r="Z153" i="22"/>
  <c r="AA151" i="22"/>
  <c r="AA153" i="22"/>
  <c r="Z156" i="22"/>
  <c r="AA156" i="22"/>
  <c r="Z155" i="22"/>
  <c r="Z159" i="22"/>
  <c r="Z152" i="22"/>
  <c r="AA159" i="22"/>
  <c r="AA152" i="22"/>
  <c r="Z150" i="22"/>
  <c r="T146" i="22"/>
  <c r="T147" i="22"/>
  <c r="S145" i="22"/>
  <c r="S147" i="22"/>
  <c r="T145" i="22"/>
  <c r="T149" i="22"/>
  <c r="S146" i="22"/>
  <c r="T148" i="22"/>
  <c r="S149" i="22"/>
  <c r="S148" i="22"/>
  <c r="S142" i="22"/>
  <c r="T143" i="22"/>
  <c r="T142" i="22"/>
  <c r="T144" i="22"/>
  <c r="S144" i="22"/>
  <c r="S143" i="22"/>
  <c r="Z144" i="22"/>
  <c r="Z148" i="22"/>
  <c r="AA146" i="22"/>
  <c r="AA145" i="22"/>
  <c r="Z146" i="22"/>
  <c r="AA144" i="22"/>
  <c r="Z147" i="22"/>
  <c r="AA143" i="22"/>
  <c r="Z142" i="22"/>
  <c r="AA147" i="22"/>
  <c r="Z143" i="22"/>
  <c r="AA142" i="22"/>
  <c r="Z145" i="22"/>
  <c r="AA148" i="22"/>
  <c r="Z140" i="22"/>
  <c r="Z141" i="22"/>
  <c r="AA140" i="22"/>
  <c r="AA141" i="22"/>
  <c r="S140" i="22"/>
  <c r="T140" i="22"/>
  <c r="S141" i="22"/>
  <c r="T141" i="22"/>
  <c r="Z139" i="22"/>
  <c r="AA139" i="22"/>
  <c r="S139" i="22"/>
  <c r="T139" i="22"/>
  <c r="S138" i="22"/>
  <c r="T138" i="22"/>
  <c r="AA131" i="22"/>
  <c r="Z132" i="22"/>
  <c r="Z138" i="22"/>
  <c r="AA138" i="22"/>
  <c r="Z136" i="22"/>
  <c r="AA132" i="22"/>
  <c r="Z133" i="22"/>
  <c r="Z128" i="22"/>
  <c r="AA133" i="22"/>
  <c r="Z131" i="22"/>
  <c r="Z134" i="22"/>
  <c r="AA128" i="22"/>
  <c r="AA134" i="22"/>
  <c r="Z137" i="22"/>
  <c r="Z129" i="22"/>
  <c r="Z135" i="22"/>
  <c r="Z130" i="22"/>
  <c r="AA129" i="22"/>
  <c r="AA135" i="22"/>
  <c r="AA130" i="22"/>
  <c r="AA136" i="22"/>
  <c r="Z127" i="22"/>
  <c r="AA137" i="22"/>
  <c r="AA127" i="22"/>
  <c r="S136" i="22"/>
  <c r="S131" i="22"/>
  <c r="T136" i="22"/>
  <c r="T131" i="22"/>
  <c r="S137" i="22"/>
  <c r="S132" i="22"/>
  <c r="T137" i="22"/>
  <c r="T132" i="22"/>
  <c r="S127" i="22"/>
  <c r="S133" i="22"/>
  <c r="S130" i="22"/>
  <c r="T130" i="22"/>
  <c r="T127" i="22"/>
  <c r="T133" i="22"/>
  <c r="S128" i="22"/>
  <c r="S134" i="22"/>
  <c r="T128" i="22"/>
  <c r="T134" i="22"/>
  <c r="S129" i="22"/>
  <c r="S135" i="22"/>
  <c r="T129" i="22"/>
  <c r="T135" i="22"/>
  <c r="T126" i="22"/>
  <c r="S126" i="22"/>
  <c r="Z126" i="22"/>
  <c r="AA126" i="22"/>
  <c r="S124" i="22"/>
  <c r="T124" i="22"/>
  <c r="S125" i="22"/>
  <c r="T125" i="22"/>
  <c r="AA125" i="22"/>
  <c r="Z125" i="22"/>
  <c r="AS14" i="23" a="1"/>
  <c r="AS14" i="23" s="1"/>
  <c r="AS13" i="23" a="1"/>
  <c r="AS13" i="23" s="1"/>
  <c r="BY41" i="24"/>
  <c r="AS41" i="23"/>
  <c r="BY28" i="24"/>
  <c r="AS28" i="23"/>
  <c r="BY54" i="24"/>
  <c r="AS54" i="23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R163" i="23" l="1"/>
  <c r="Q163" i="23"/>
  <c r="Q162" i="23"/>
  <c r="R162" i="23"/>
  <c r="AE163" i="23"/>
  <c r="AF163" i="23"/>
  <c r="AE162" i="23"/>
  <c r="AF162" i="23"/>
  <c r="BV162" i="24"/>
  <c r="BU162" i="24"/>
  <c r="BV163" i="24"/>
  <c r="BU163" i="24"/>
  <c r="L163" i="22"/>
  <c r="M163" i="22"/>
  <c r="AP163" i="23"/>
  <c r="AO162" i="23"/>
  <c r="AP162" i="23"/>
  <c r="AO163" i="23"/>
  <c r="AF160" i="23"/>
  <c r="AE161" i="23"/>
  <c r="AF161" i="23"/>
  <c r="AE160" i="23"/>
  <c r="AO160" i="23"/>
  <c r="AP160" i="23"/>
  <c r="AP161" i="23"/>
  <c r="AO161" i="23"/>
  <c r="BV161" i="24"/>
  <c r="BU151" i="24"/>
  <c r="BV156" i="24"/>
  <c r="BV150" i="24"/>
  <c r="BU157" i="24"/>
  <c r="BV159" i="24"/>
  <c r="BU155" i="24"/>
  <c r="BU160" i="24"/>
  <c r="BV145" i="24"/>
  <c r="BU159" i="24"/>
  <c r="BU161" i="24"/>
  <c r="BU156" i="24"/>
  <c r="BV148" i="24"/>
  <c r="BV155" i="24"/>
  <c r="BU150" i="24"/>
  <c r="BV160" i="24"/>
  <c r="BU158" i="24"/>
  <c r="BV157" i="24"/>
  <c r="BU153" i="24"/>
  <c r="BV147" i="24"/>
  <c r="BV152" i="24"/>
  <c r="BU152" i="24"/>
  <c r="BV149" i="24"/>
  <c r="BV158" i="24"/>
  <c r="BU149" i="24"/>
  <c r="BV153" i="24"/>
  <c r="BU154" i="24"/>
  <c r="BV154" i="24"/>
  <c r="BV151" i="24"/>
  <c r="BV146" i="24"/>
  <c r="L161" i="22"/>
  <c r="M161" i="22"/>
  <c r="M162" i="22"/>
  <c r="L162" i="22"/>
  <c r="Q160" i="23"/>
  <c r="R161" i="23"/>
  <c r="R160" i="23"/>
  <c r="Q161" i="23"/>
  <c r="AE149" i="23"/>
  <c r="AF149" i="23"/>
  <c r="AF155" i="23"/>
  <c r="AE150" i="23"/>
  <c r="AE156" i="23"/>
  <c r="AF154" i="23"/>
  <c r="AF150" i="23"/>
  <c r="AF156" i="23"/>
  <c r="AF157" i="23"/>
  <c r="AE152" i="23"/>
  <c r="AE155" i="23"/>
  <c r="AE151" i="23"/>
  <c r="AE157" i="23"/>
  <c r="AF151" i="23"/>
  <c r="AE158" i="23"/>
  <c r="AF148" i="23"/>
  <c r="AF152" i="23"/>
  <c r="AF158" i="23"/>
  <c r="AF159" i="23"/>
  <c r="AE148" i="23"/>
  <c r="AE153" i="23"/>
  <c r="AE159" i="23"/>
  <c r="AF153" i="23"/>
  <c r="AE154" i="23"/>
  <c r="Q153" i="23"/>
  <c r="R156" i="23"/>
  <c r="R150" i="23"/>
  <c r="Q150" i="23"/>
  <c r="R153" i="23"/>
  <c r="Q157" i="23"/>
  <c r="Q159" i="23"/>
  <c r="Q154" i="23"/>
  <c r="R157" i="23"/>
  <c r="R152" i="23"/>
  <c r="Q151" i="23"/>
  <c r="R154" i="23"/>
  <c r="R151" i="23"/>
  <c r="R149" i="23"/>
  <c r="Q148" i="23"/>
  <c r="Q158" i="23"/>
  <c r="Q149" i="23"/>
  <c r="Q156" i="23"/>
  <c r="R148" i="23"/>
  <c r="Q155" i="23"/>
  <c r="R158" i="23"/>
  <c r="R159" i="23"/>
  <c r="Q152" i="23"/>
  <c r="R155" i="23"/>
  <c r="AP149" i="23"/>
  <c r="AP153" i="23"/>
  <c r="AP157" i="23"/>
  <c r="AO150" i="23"/>
  <c r="AO158" i="23"/>
  <c r="AP150" i="23"/>
  <c r="AP154" i="23"/>
  <c r="AP158" i="23"/>
  <c r="AP156" i="23"/>
  <c r="AO149" i="23"/>
  <c r="AO154" i="23"/>
  <c r="AP152" i="23"/>
  <c r="AO157" i="23"/>
  <c r="AO151" i="23"/>
  <c r="AO155" i="23"/>
  <c r="AO159" i="23"/>
  <c r="AP151" i="23"/>
  <c r="AP155" i="23"/>
  <c r="AP159" i="23"/>
  <c r="AO148" i="23"/>
  <c r="AO152" i="23"/>
  <c r="AO156" i="23"/>
  <c r="AP148" i="23"/>
  <c r="AO153" i="23"/>
  <c r="L150" i="22"/>
  <c r="M150" i="22"/>
  <c r="M151" i="22"/>
  <c r="L151" i="22"/>
  <c r="M152" i="22"/>
  <c r="L152" i="22"/>
  <c r="M153" i="22"/>
  <c r="L153" i="22"/>
  <c r="L154" i="22"/>
  <c r="M154" i="22"/>
  <c r="L155" i="22"/>
  <c r="M155" i="22"/>
  <c r="L156" i="22"/>
  <c r="M156" i="22"/>
  <c r="L157" i="22"/>
  <c r="M157" i="22"/>
  <c r="L158" i="22"/>
  <c r="M158" i="22"/>
  <c r="M159" i="22"/>
  <c r="L159" i="22"/>
  <c r="L160" i="22"/>
  <c r="M160" i="22"/>
  <c r="AF140" i="23"/>
  <c r="AF143" i="23"/>
  <c r="AE143" i="23"/>
  <c r="AE142" i="23"/>
  <c r="AE147" i="23"/>
  <c r="AF147" i="23"/>
  <c r="AE145" i="23"/>
  <c r="AF142" i="23"/>
  <c r="AF145" i="23"/>
  <c r="AE141" i="23"/>
  <c r="AF141" i="23"/>
  <c r="AF146" i="23"/>
  <c r="AE144" i="23"/>
  <c r="AF144" i="23"/>
  <c r="AE146" i="23"/>
  <c r="AE140" i="23"/>
  <c r="R142" i="23"/>
  <c r="Q143" i="23"/>
  <c r="Q147" i="23"/>
  <c r="R143" i="23"/>
  <c r="R147" i="23"/>
  <c r="Q144" i="23"/>
  <c r="Q141" i="23"/>
  <c r="R144" i="23"/>
  <c r="R141" i="23"/>
  <c r="Q140" i="23"/>
  <c r="Q145" i="23"/>
  <c r="R145" i="23"/>
  <c r="R140" i="23"/>
  <c r="Q146" i="23"/>
  <c r="Q139" i="23"/>
  <c r="R146" i="23"/>
  <c r="R139" i="23"/>
  <c r="Q142" i="23"/>
  <c r="AO144" i="23"/>
  <c r="AP144" i="23"/>
  <c r="AP142" i="23"/>
  <c r="AO145" i="23"/>
  <c r="AP145" i="23"/>
  <c r="AO142" i="23"/>
  <c r="AO146" i="23"/>
  <c r="AP141" i="23"/>
  <c r="AP146" i="23"/>
  <c r="AO143" i="23"/>
  <c r="AO141" i="23"/>
  <c r="AP147" i="23"/>
  <c r="AP143" i="23"/>
  <c r="AO147" i="23"/>
  <c r="BU143" i="24"/>
  <c r="BU148" i="24"/>
  <c r="BU145" i="24"/>
  <c r="BV143" i="24"/>
  <c r="BV144" i="24"/>
  <c r="BU146" i="24"/>
  <c r="BV137" i="24"/>
  <c r="BU138" i="24"/>
  <c r="BU137" i="24"/>
  <c r="BU147" i="24"/>
  <c r="BV138" i="24"/>
  <c r="BU144" i="24"/>
  <c r="BU142" i="24"/>
  <c r="BV142" i="24"/>
  <c r="BU139" i="24"/>
  <c r="BU140" i="24"/>
  <c r="BV139" i="24"/>
  <c r="BU141" i="24"/>
  <c r="BV141" i="24"/>
  <c r="BV140" i="24"/>
  <c r="L142" i="22"/>
  <c r="M142" i="22"/>
  <c r="L143" i="22"/>
  <c r="M143" i="22"/>
  <c r="L144" i="22"/>
  <c r="M144" i="22"/>
  <c r="M145" i="22"/>
  <c r="L145" i="22"/>
  <c r="M146" i="22"/>
  <c r="L146" i="22"/>
  <c r="L147" i="22"/>
  <c r="M147" i="22"/>
  <c r="M148" i="22"/>
  <c r="L148" i="22"/>
  <c r="M149" i="22"/>
  <c r="L149" i="22"/>
  <c r="L141" i="22"/>
  <c r="M141" i="22"/>
  <c r="AP139" i="23"/>
  <c r="AO140" i="23"/>
  <c r="AP140" i="23"/>
  <c r="AO139" i="23"/>
  <c r="L140" i="22"/>
  <c r="M140" i="22"/>
  <c r="AE139" i="23"/>
  <c r="AF139" i="23"/>
  <c r="BU131" i="24"/>
  <c r="BV131" i="24"/>
  <c r="BU129" i="24"/>
  <c r="BU136" i="24"/>
  <c r="BU134" i="24"/>
  <c r="BV129" i="24"/>
  <c r="BV136" i="24"/>
  <c r="BV134" i="24"/>
  <c r="BU130" i="24"/>
  <c r="BU135" i="24"/>
  <c r="BV130" i="24"/>
  <c r="BV135" i="24"/>
  <c r="BU127" i="24"/>
  <c r="BV127" i="24"/>
  <c r="BU132" i="24"/>
  <c r="BU128" i="24"/>
  <c r="BV132" i="24"/>
  <c r="BV128" i="24"/>
  <c r="BU133" i="24"/>
  <c r="BV133" i="24"/>
  <c r="Q138" i="23"/>
  <c r="R138" i="23"/>
  <c r="L139" i="22"/>
  <c r="M139" i="22"/>
  <c r="AP138" i="23"/>
  <c r="AO138" i="23"/>
  <c r="AE138" i="23"/>
  <c r="AF138" i="23"/>
  <c r="L138" i="22"/>
  <c r="M138" i="22"/>
  <c r="AE137" i="23"/>
  <c r="AF137" i="23"/>
  <c r="AF136" i="23"/>
  <c r="AE136" i="23"/>
  <c r="Q135" i="23"/>
  <c r="R135" i="23"/>
  <c r="R132" i="23"/>
  <c r="Q132" i="23"/>
  <c r="Q136" i="23"/>
  <c r="Q133" i="23"/>
  <c r="R136" i="23"/>
  <c r="R133" i="23"/>
  <c r="Q137" i="23"/>
  <c r="Q134" i="23"/>
  <c r="R137" i="23"/>
  <c r="R134" i="23"/>
  <c r="AO137" i="23"/>
  <c r="AP137" i="23"/>
  <c r="L127" i="22"/>
  <c r="M127" i="22"/>
  <c r="M128" i="22"/>
  <c r="L128" i="22"/>
  <c r="L129" i="22"/>
  <c r="M129" i="22"/>
  <c r="M130" i="22"/>
  <c r="L130" i="22"/>
  <c r="L131" i="22"/>
  <c r="M131" i="22"/>
  <c r="M132" i="22"/>
  <c r="L132" i="22"/>
  <c r="L133" i="22"/>
  <c r="M133" i="22"/>
  <c r="M134" i="22"/>
  <c r="L134" i="22"/>
  <c r="L135" i="22"/>
  <c r="M135" i="22"/>
  <c r="L136" i="22"/>
  <c r="M136" i="22"/>
  <c r="L137" i="22"/>
  <c r="M137" i="22"/>
  <c r="Q128" i="23"/>
  <c r="R127" i="23"/>
  <c r="R128" i="23"/>
  <c r="R129" i="23"/>
  <c r="Q129" i="23"/>
  <c r="R131" i="23"/>
  <c r="R130" i="23"/>
  <c r="Q130" i="23"/>
  <c r="Q127" i="23"/>
  <c r="Q131" i="23"/>
  <c r="AO127" i="23"/>
  <c r="AO131" i="23"/>
  <c r="AO135" i="23"/>
  <c r="AP127" i="23"/>
  <c r="AP131" i="23"/>
  <c r="AP135" i="23"/>
  <c r="AO128" i="23"/>
  <c r="AO132" i="23"/>
  <c r="AO136" i="23"/>
  <c r="AP128" i="23"/>
  <c r="AP132" i="23"/>
  <c r="AP136" i="23"/>
  <c r="AO133" i="23"/>
  <c r="AO129" i="23"/>
  <c r="AP129" i="23"/>
  <c r="AP133" i="23"/>
  <c r="AO130" i="23"/>
  <c r="AO134" i="23"/>
  <c r="AP130" i="23"/>
  <c r="AP134" i="23"/>
  <c r="AE128" i="23"/>
  <c r="AF61" i="23"/>
  <c r="AF73" i="23"/>
  <c r="AE133" i="23"/>
  <c r="AE135" i="23"/>
  <c r="AF128" i="23"/>
  <c r="AE131" i="23"/>
  <c r="AF62" i="23"/>
  <c r="AF133" i="23"/>
  <c r="AF135" i="23"/>
  <c r="AF131" i="23"/>
  <c r="AF63" i="23"/>
  <c r="AF64" i="23"/>
  <c r="AF65" i="23"/>
  <c r="AE129" i="23"/>
  <c r="AE132" i="23"/>
  <c r="AF66" i="23"/>
  <c r="AE126" i="23"/>
  <c r="AF129" i="23"/>
  <c r="AF132" i="23"/>
  <c r="AF67" i="23"/>
  <c r="AE134" i="23"/>
  <c r="AF126" i="23"/>
  <c r="AF68" i="23"/>
  <c r="AF134" i="23"/>
  <c r="AE130" i="23"/>
  <c r="AF57" i="23"/>
  <c r="AF69" i="23"/>
  <c r="AE127" i="23"/>
  <c r="AF130" i="23"/>
  <c r="AF58" i="23"/>
  <c r="AF70" i="23"/>
  <c r="AF72" i="23"/>
  <c r="AF127" i="23"/>
  <c r="AF59" i="23"/>
  <c r="AF71" i="23"/>
  <c r="AF60" i="23"/>
  <c r="AE125" i="23"/>
  <c r="AF125" i="23"/>
  <c r="AO125" i="23"/>
  <c r="AP125" i="23"/>
  <c r="AO126" i="23"/>
  <c r="AP126" i="23"/>
  <c r="BV126" i="24"/>
  <c r="BV125" i="24"/>
  <c r="BU126" i="24"/>
  <c r="BU125" i="24"/>
  <c r="M126" i="22"/>
  <c r="M125" i="22"/>
  <c r="L126" i="22"/>
  <c r="L125" i="22"/>
  <c r="R125" i="23"/>
  <c r="Q126" i="23"/>
  <c r="Q125" i="23"/>
  <c r="R126" i="23"/>
  <c r="M122" i="22"/>
  <c r="L122" i="22"/>
  <c r="L123" i="22"/>
  <c r="M123" i="22"/>
  <c r="L124" i="22"/>
  <c r="M124" i="22"/>
  <c r="AF160" i="24"/>
  <c r="AE123" i="24"/>
  <c r="AF134" i="24"/>
  <c r="AF180" i="24"/>
  <c r="AF119" i="24"/>
  <c r="AF176" i="24"/>
  <c r="AF39" i="24"/>
  <c r="AE23" i="24"/>
  <c r="AE56" i="24"/>
  <c r="AF183" i="24"/>
  <c r="AE173" i="24"/>
  <c r="AE122" i="24"/>
  <c r="AE145" i="24"/>
  <c r="AE168" i="24"/>
  <c r="AE179" i="24"/>
  <c r="AE178" i="24"/>
  <c r="AF165" i="24"/>
  <c r="AE164" i="24"/>
  <c r="AE151" i="24"/>
  <c r="AE150" i="24"/>
  <c r="AE41" i="24"/>
  <c r="AF42" i="24"/>
  <c r="AF16" i="24"/>
  <c r="AE39" i="24"/>
  <c r="AF54" i="24"/>
  <c r="AE25" i="24"/>
  <c r="AF24" i="24"/>
  <c r="AF23" i="24"/>
  <c r="AE33" i="24"/>
  <c r="AF56" i="24"/>
  <c r="AE49" i="24"/>
  <c r="AE31" i="24"/>
  <c r="AE183" i="24"/>
  <c r="AF173" i="24"/>
  <c r="AF122" i="24"/>
  <c r="AF145" i="24"/>
  <c r="AF168" i="24"/>
  <c r="AF179" i="24"/>
  <c r="AF178" i="24"/>
  <c r="AE165" i="24"/>
  <c r="AF164" i="24"/>
  <c r="AF151" i="24"/>
  <c r="AF150" i="24"/>
  <c r="AF41" i="24"/>
  <c r="AF25" i="24"/>
  <c r="AE46" i="24"/>
  <c r="AF21" i="24"/>
  <c r="AE44" i="24"/>
  <c r="AF49" i="24"/>
  <c r="AF31" i="24"/>
  <c r="AF171" i="24"/>
  <c r="AE182" i="24"/>
  <c r="AE161" i="24"/>
  <c r="AE133" i="24"/>
  <c r="AE156" i="24"/>
  <c r="AE167" i="24"/>
  <c r="AE166" i="24"/>
  <c r="AF153" i="24"/>
  <c r="AE152" i="24"/>
  <c r="AE139" i="24"/>
  <c r="AE138" i="24"/>
  <c r="AE52" i="24"/>
  <c r="AF27" i="24"/>
  <c r="AE50" i="24"/>
  <c r="AF46" i="24"/>
  <c r="AE21" i="24"/>
  <c r="AF44" i="24"/>
  <c r="AE171" i="24"/>
  <c r="AF182" i="24"/>
  <c r="AF161" i="24"/>
  <c r="AF133" i="24"/>
  <c r="AF156" i="24"/>
  <c r="AF167" i="24"/>
  <c r="AF166" i="24"/>
  <c r="AE153" i="24"/>
  <c r="AF152" i="24"/>
  <c r="AF139" i="24"/>
  <c r="AF138" i="24"/>
  <c r="AE29" i="24"/>
  <c r="AF52" i="24"/>
  <c r="AE27" i="24"/>
  <c r="AF50" i="24"/>
  <c r="AE34" i="24"/>
  <c r="AE32" i="24"/>
  <c r="AE19" i="24"/>
  <c r="AF159" i="24"/>
  <c r="AE170" i="24"/>
  <c r="AE136" i="24"/>
  <c r="AE121" i="24"/>
  <c r="AE144" i="24"/>
  <c r="AE155" i="24"/>
  <c r="AE154" i="24"/>
  <c r="AF141" i="24"/>
  <c r="AE140" i="24"/>
  <c r="AE127" i="24"/>
  <c r="AE126" i="24"/>
  <c r="AF29" i="24"/>
  <c r="AE38" i="24"/>
  <c r="AE60" i="24"/>
  <c r="AF34" i="24"/>
  <c r="AE61" i="24"/>
  <c r="AF9" i="24"/>
  <c r="AF32" i="24"/>
  <c r="AF19" i="24"/>
  <c r="AF136" i="24"/>
  <c r="AF144" i="24"/>
  <c r="AF154" i="24"/>
  <c r="AF140" i="24"/>
  <c r="AF126" i="24"/>
  <c r="AE17" i="24"/>
  <c r="AE18" i="24"/>
  <c r="AF15" i="24"/>
  <c r="AF38" i="24"/>
  <c r="AF61" i="24"/>
  <c r="AE20" i="24"/>
  <c r="AE159" i="24"/>
  <c r="AF170" i="24"/>
  <c r="AF121" i="24"/>
  <c r="AF155" i="24"/>
  <c r="AE141" i="24"/>
  <c r="AF127" i="24"/>
  <c r="AE40" i="24"/>
  <c r="AF60" i="24"/>
  <c r="AE9" i="24"/>
  <c r="AE184" i="24"/>
  <c r="AF147" i="24"/>
  <c r="AE158" i="24"/>
  <c r="AE181" i="24"/>
  <c r="AE125" i="24"/>
  <c r="AE132" i="24"/>
  <c r="AE143" i="24"/>
  <c r="AE142" i="24"/>
  <c r="AF129" i="24"/>
  <c r="AE128" i="24"/>
  <c r="AE149" i="24"/>
  <c r="AE30" i="24"/>
  <c r="AF17" i="24"/>
  <c r="AF40" i="24"/>
  <c r="AF18" i="24"/>
  <c r="AE15" i="24"/>
  <c r="AE26" i="24"/>
  <c r="AE47" i="24"/>
  <c r="AE22" i="24"/>
  <c r="AF57" i="24"/>
  <c r="AF20" i="24"/>
  <c r="AF184" i="24"/>
  <c r="AE147" i="24"/>
  <c r="AF158" i="24"/>
  <c r="AF181" i="24"/>
  <c r="AF125" i="24"/>
  <c r="AF132" i="24"/>
  <c r="AF143" i="24"/>
  <c r="AF142" i="24"/>
  <c r="AE129" i="24"/>
  <c r="AF128" i="24"/>
  <c r="AF149" i="24"/>
  <c r="AF30" i="24"/>
  <c r="AF26" i="24"/>
  <c r="AE48" i="24"/>
  <c r="AE59" i="24"/>
  <c r="AF47" i="24"/>
  <c r="AF22" i="24"/>
  <c r="AE57" i="24"/>
  <c r="AE37" i="24"/>
  <c r="AE55" i="24"/>
  <c r="AE172" i="24"/>
  <c r="AF135" i="24"/>
  <c r="AE146" i="24"/>
  <c r="AE169" i="24"/>
  <c r="AE148" i="24"/>
  <c r="AE120" i="24"/>
  <c r="AE131" i="24"/>
  <c r="AE130" i="24"/>
  <c r="AE137" i="24"/>
  <c r="AE175" i="24"/>
  <c r="AE174" i="24"/>
  <c r="AE28" i="24"/>
  <c r="AE14" i="24"/>
  <c r="AF48" i="24"/>
  <c r="AF59" i="24"/>
  <c r="AE10" i="24"/>
  <c r="AF37" i="24"/>
  <c r="AE8" i="24"/>
  <c r="AF55" i="24"/>
  <c r="AF172" i="24"/>
  <c r="AE135" i="24"/>
  <c r="AF146" i="24"/>
  <c r="AF169" i="24"/>
  <c r="AF148" i="24"/>
  <c r="AF120" i="24"/>
  <c r="AF131" i="24"/>
  <c r="AF130" i="24"/>
  <c r="AF137" i="24"/>
  <c r="AF175" i="24"/>
  <c r="AF174" i="24"/>
  <c r="AE53" i="24"/>
  <c r="AF28" i="24"/>
  <c r="AF51" i="24"/>
  <c r="AF14" i="24"/>
  <c r="AE36" i="24"/>
  <c r="AE35" i="24"/>
  <c r="AF10" i="24"/>
  <c r="AF45" i="24"/>
  <c r="AF8" i="24"/>
  <c r="AE43" i="24"/>
  <c r="AE160" i="24"/>
  <c r="AF123" i="24"/>
  <c r="AE134" i="24"/>
  <c r="AE157" i="24"/>
  <c r="AE180" i="24"/>
  <c r="AE124" i="24"/>
  <c r="AE119" i="24"/>
  <c r="AF177" i="24"/>
  <c r="AE176" i="24"/>
  <c r="AE163" i="24"/>
  <c r="AE162" i="24"/>
  <c r="AF53" i="24"/>
  <c r="AE51" i="24"/>
  <c r="AF36" i="24"/>
  <c r="AF35" i="24"/>
  <c r="AE58" i="24"/>
  <c r="AE45" i="24"/>
  <c r="AF43" i="24"/>
  <c r="AF157" i="24"/>
  <c r="AF124" i="24"/>
  <c r="AE177" i="24"/>
  <c r="AF163" i="24"/>
  <c r="AF162" i="24"/>
  <c r="AE42" i="24"/>
  <c r="AE16" i="24"/>
  <c r="AE54" i="24"/>
  <c r="AE24" i="24"/>
  <c r="AF58" i="24"/>
  <c r="AF33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R8" i="23"/>
  <c r="R20" i="23"/>
  <c r="R32" i="23"/>
  <c r="R44" i="23"/>
  <c r="R56" i="23"/>
  <c r="Q14" i="23"/>
  <c r="Q26" i="23"/>
  <c r="Q38" i="23"/>
  <c r="Q50" i="23"/>
  <c r="Q53" i="23"/>
  <c r="R9" i="23"/>
  <c r="R21" i="23"/>
  <c r="R33" i="23"/>
  <c r="R45" i="23"/>
  <c r="R57" i="23"/>
  <c r="Q15" i="23"/>
  <c r="Q27" i="23"/>
  <c r="Q39" i="23"/>
  <c r="Q51" i="23"/>
  <c r="R10" i="23"/>
  <c r="R22" i="23"/>
  <c r="R34" i="23"/>
  <c r="R46" i="23"/>
  <c r="R58" i="23"/>
  <c r="Q16" i="23"/>
  <c r="Q28" i="23"/>
  <c r="Q40" i="23"/>
  <c r="Q52" i="23"/>
  <c r="Q41" i="23"/>
  <c r="R11" i="23"/>
  <c r="R23" i="23"/>
  <c r="R35" i="23"/>
  <c r="R47" i="23"/>
  <c r="R59" i="23"/>
  <c r="Q17" i="23"/>
  <c r="Q29" i="23"/>
  <c r="R12" i="23"/>
  <c r="R24" i="23"/>
  <c r="R36" i="23"/>
  <c r="R48" i="23"/>
  <c r="R60" i="23"/>
  <c r="Q18" i="23"/>
  <c r="Q30" i="23"/>
  <c r="Q42" i="23"/>
  <c r="Q54" i="23"/>
  <c r="R13" i="23"/>
  <c r="R25" i="23"/>
  <c r="R37" i="23"/>
  <c r="R49" i="23"/>
  <c r="R61" i="23"/>
  <c r="Q19" i="23"/>
  <c r="Q31" i="23"/>
  <c r="Q43" i="23"/>
  <c r="Q55" i="23"/>
  <c r="R19" i="23"/>
  <c r="Q49" i="23"/>
  <c r="R14" i="23"/>
  <c r="R26" i="23"/>
  <c r="R38" i="23"/>
  <c r="R50" i="23"/>
  <c r="Q8" i="23"/>
  <c r="Q20" i="23"/>
  <c r="Q32" i="23"/>
  <c r="Q44" i="23"/>
  <c r="Q56" i="23"/>
  <c r="Q25" i="23"/>
  <c r="R15" i="23"/>
  <c r="R27" i="23"/>
  <c r="R39" i="23"/>
  <c r="R51" i="23"/>
  <c r="Q9" i="23"/>
  <c r="Q21" i="23"/>
  <c r="Q33" i="23"/>
  <c r="Q45" i="23"/>
  <c r="Q57" i="23"/>
  <c r="R31" i="23"/>
  <c r="Q61" i="23"/>
  <c r="R16" i="23"/>
  <c r="R28" i="23"/>
  <c r="R40" i="23"/>
  <c r="R52" i="23"/>
  <c r="Q10" i="23"/>
  <c r="Q22" i="23"/>
  <c r="Q34" i="23"/>
  <c r="Q46" i="23"/>
  <c r="Q58" i="23"/>
  <c r="R55" i="23"/>
  <c r="R17" i="23"/>
  <c r="R29" i="23"/>
  <c r="R41" i="23"/>
  <c r="R53" i="23"/>
  <c r="Q11" i="23"/>
  <c r="Q23" i="23"/>
  <c r="Q35" i="23"/>
  <c r="Q47" i="23"/>
  <c r="Q59" i="23"/>
  <c r="Q13" i="23"/>
  <c r="R18" i="23"/>
  <c r="R30" i="23"/>
  <c r="R42" i="23"/>
  <c r="R54" i="23"/>
  <c r="Q12" i="23"/>
  <c r="Q24" i="23"/>
  <c r="Q36" i="23"/>
  <c r="Q48" i="23"/>
  <c r="Q60" i="23"/>
  <c r="R43" i="23"/>
  <c r="Q37" i="23"/>
  <c r="AP19" i="23"/>
  <c r="AP31" i="23"/>
  <c r="AP43" i="23"/>
  <c r="AP55" i="23"/>
  <c r="AO13" i="23"/>
  <c r="AO25" i="23"/>
  <c r="AO37" i="23"/>
  <c r="AO49" i="23"/>
  <c r="AO61" i="23"/>
  <c r="AP8" i="23"/>
  <c r="AP20" i="23"/>
  <c r="AP32" i="23"/>
  <c r="AP44" i="23"/>
  <c r="AP56" i="23"/>
  <c r="AO14" i="23"/>
  <c r="AO26" i="23"/>
  <c r="AO38" i="23"/>
  <c r="AO50" i="23"/>
  <c r="AO62" i="23"/>
  <c r="AP9" i="23"/>
  <c r="AP21" i="23"/>
  <c r="AP33" i="23"/>
  <c r="AP45" i="23"/>
  <c r="AP57" i="23"/>
  <c r="AO15" i="23"/>
  <c r="AO27" i="23"/>
  <c r="AO39" i="23"/>
  <c r="AO51" i="23"/>
  <c r="AP10" i="23"/>
  <c r="AP22" i="23"/>
  <c r="AP34" i="23"/>
  <c r="AP46" i="23"/>
  <c r="AP58" i="23"/>
  <c r="AO16" i="23"/>
  <c r="AO28" i="23"/>
  <c r="AO40" i="23"/>
  <c r="AO52" i="23"/>
  <c r="AO36" i="23"/>
  <c r="AP11" i="23"/>
  <c r="AP23" i="23"/>
  <c r="AP35" i="23"/>
  <c r="AP47" i="23"/>
  <c r="AP59" i="23"/>
  <c r="AO17" i="23"/>
  <c r="AO29" i="23"/>
  <c r="AO41" i="23"/>
  <c r="AO53" i="23"/>
  <c r="AO12" i="23"/>
  <c r="AP12" i="23"/>
  <c r="AP24" i="23"/>
  <c r="AP36" i="23"/>
  <c r="AP48" i="23"/>
  <c r="AP60" i="23"/>
  <c r="AO18" i="23"/>
  <c r="AO30" i="23"/>
  <c r="AO42" i="23"/>
  <c r="AO54" i="23"/>
  <c r="AO48" i="23"/>
  <c r="AP13" i="23"/>
  <c r="AP25" i="23"/>
  <c r="AP37" i="23"/>
  <c r="AP49" i="23"/>
  <c r="AP61" i="23"/>
  <c r="AO19" i="23"/>
  <c r="AO31" i="23"/>
  <c r="AO43" i="23"/>
  <c r="AO55" i="23"/>
  <c r="AO24" i="23"/>
  <c r="AP14" i="23"/>
  <c r="AP26" i="23"/>
  <c r="AP38" i="23"/>
  <c r="AP50" i="23"/>
  <c r="AO8" i="23"/>
  <c r="AO20" i="23"/>
  <c r="AO32" i="23"/>
  <c r="AO44" i="23"/>
  <c r="AO56" i="23"/>
  <c r="AO60" i="23"/>
  <c r="AP15" i="23"/>
  <c r="AP27" i="23"/>
  <c r="AP39" i="23"/>
  <c r="AP51" i="23"/>
  <c r="AO9" i="23"/>
  <c r="AO21" i="23"/>
  <c r="AO33" i="23"/>
  <c r="AO45" i="23"/>
  <c r="AO57" i="23"/>
  <c r="AP16" i="23"/>
  <c r="AP28" i="23"/>
  <c r="AP40" i="23"/>
  <c r="AP52" i="23"/>
  <c r="AO10" i="23"/>
  <c r="AO22" i="23"/>
  <c r="AO34" i="23"/>
  <c r="AO46" i="23"/>
  <c r="AO58" i="23"/>
  <c r="AP17" i="23"/>
  <c r="AP29" i="23"/>
  <c r="AP41" i="23"/>
  <c r="AP53" i="23"/>
  <c r="AO11" i="23"/>
  <c r="AO23" i="23"/>
  <c r="AO35" i="23"/>
  <c r="AO47" i="23"/>
  <c r="AO59" i="23"/>
  <c r="AP18" i="23"/>
  <c r="AP30" i="23"/>
  <c r="AP42" i="23"/>
  <c r="AP54" i="23"/>
  <c r="AF8" i="23"/>
  <c r="AF20" i="23"/>
  <c r="AF32" i="23"/>
  <c r="AF44" i="23"/>
  <c r="AF56" i="23"/>
  <c r="AE17" i="23"/>
  <c r="AE29" i="23"/>
  <c r="AE41" i="23"/>
  <c r="AE53" i="23"/>
  <c r="AF23" i="23"/>
  <c r="AF9" i="23"/>
  <c r="AF21" i="23"/>
  <c r="AF33" i="23"/>
  <c r="AF45" i="23"/>
  <c r="AE18" i="23"/>
  <c r="AE30" i="23"/>
  <c r="AE42" i="23"/>
  <c r="AE54" i="23"/>
  <c r="AE19" i="23"/>
  <c r="AE8" i="23"/>
  <c r="AF10" i="23"/>
  <c r="AF22" i="23"/>
  <c r="AE31" i="23"/>
  <c r="AE43" i="23"/>
  <c r="AE55" i="23"/>
  <c r="AF12" i="23"/>
  <c r="AF24" i="23"/>
  <c r="AF36" i="23"/>
  <c r="AF48" i="23"/>
  <c r="AE9" i="23"/>
  <c r="AE21" i="23"/>
  <c r="AE33" i="23"/>
  <c r="AE45" i="23"/>
  <c r="AE57" i="23"/>
  <c r="AE32" i="23"/>
  <c r="AF13" i="23"/>
  <c r="AF25" i="23"/>
  <c r="AF37" i="23"/>
  <c r="AF49" i="23"/>
  <c r="AE10" i="23"/>
  <c r="AE22" i="23"/>
  <c r="AE34" i="23"/>
  <c r="AE46" i="23"/>
  <c r="AE58" i="23"/>
  <c r="AF41" i="23"/>
  <c r="AF11" i="23"/>
  <c r="AE56" i="23"/>
  <c r="AF14" i="23"/>
  <c r="AF26" i="23"/>
  <c r="AF38" i="23"/>
  <c r="AF50" i="23"/>
  <c r="AE11" i="23"/>
  <c r="AE23" i="23"/>
  <c r="AE35" i="23"/>
  <c r="AE47" i="23"/>
  <c r="AE59" i="23"/>
  <c r="AE14" i="23"/>
  <c r="AF15" i="23"/>
  <c r="AF27" i="23"/>
  <c r="AF39" i="23"/>
  <c r="AF51" i="23"/>
  <c r="AE12" i="23"/>
  <c r="AE24" i="23"/>
  <c r="AE36" i="23"/>
  <c r="AE48" i="23"/>
  <c r="AE60" i="23"/>
  <c r="AF53" i="23"/>
  <c r="AF16" i="23"/>
  <c r="AF28" i="23"/>
  <c r="AF40" i="23"/>
  <c r="AF52" i="23"/>
  <c r="AE13" i="23"/>
  <c r="AE25" i="23"/>
  <c r="AE37" i="23"/>
  <c r="AE49" i="23"/>
  <c r="AE61" i="23"/>
  <c r="AE38" i="23"/>
  <c r="AF47" i="23"/>
  <c r="AF17" i="23"/>
  <c r="AF29" i="23"/>
  <c r="AE26" i="23"/>
  <c r="AE50" i="23"/>
  <c r="AE44" i="23"/>
  <c r="AF18" i="23"/>
  <c r="AF30" i="23"/>
  <c r="AF42" i="23"/>
  <c r="AF54" i="23"/>
  <c r="AE15" i="23"/>
  <c r="AE27" i="23"/>
  <c r="AE39" i="23"/>
  <c r="AE51" i="23"/>
  <c r="AF34" i="23"/>
  <c r="AF35" i="23"/>
  <c r="AF19" i="23"/>
  <c r="AF31" i="23"/>
  <c r="AF43" i="23"/>
  <c r="AF55" i="23"/>
  <c r="AE16" i="23"/>
  <c r="AE28" i="23"/>
  <c r="AE40" i="23"/>
  <c r="AE52" i="23"/>
  <c r="AF46" i="23"/>
  <c r="AE20" i="23"/>
  <c r="AP114" i="23"/>
  <c r="AP79" i="23"/>
  <c r="AO64" i="23"/>
  <c r="AO65" i="23"/>
  <c r="AO114" i="23"/>
  <c r="AO89" i="23"/>
  <c r="AP118" i="23"/>
  <c r="AO113" i="23"/>
  <c r="AP111" i="23"/>
  <c r="AP117" i="23"/>
  <c r="AO103" i="23"/>
  <c r="BU64" i="24"/>
  <c r="BV70" i="24"/>
  <c r="BU76" i="24"/>
  <c r="BV82" i="24"/>
  <c r="BV88" i="24"/>
  <c r="BU94" i="24"/>
  <c r="BU100" i="24"/>
  <c r="BV106" i="24"/>
  <c r="BU112" i="24"/>
  <c r="BU118" i="24"/>
  <c r="AP124" i="23"/>
  <c r="AP98" i="23"/>
  <c r="AO112" i="23"/>
  <c r="AO108" i="23"/>
  <c r="AP112" i="23"/>
  <c r="AO87" i="23"/>
  <c r="AP68" i="23"/>
  <c r="AP100" i="23"/>
  <c r="AO74" i="23"/>
  <c r="AO123" i="23"/>
  <c r="AO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O124" i="23"/>
  <c r="AO92" i="23"/>
  <c r="AP81" i="23"/>
  <c r="AO81" i="23"/>
  <c r="AP99" i="23"/>
  <c r="AO117" i="23"/>
  <c r="AO73" i="23"/>
  <c r="AO99" i="23"/>
  <c r="AO100" i="23"/>
  <c r="AP123" i="23"/>
  <c r="AP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P91" i="23"/>
  <c r="AP90" i="23"/>
  <c r="AO105" i="23"/>
  <c r="AP94" i="23"/>
  <c r="AO82" i="23"/>
  <c r="AP101" i="23"/>
  <c r="AP104" i="23"/>
  <c r="AP96" i="23"/>
  <c r="AP122" i="23"/>
  <c r="AP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O75" i="23"/>
  <c r="AP105" i="23"/>
  <c r="AP108" i="23"/>
  <c r="AO102" i="23"/>
  <c r="AP92" i="23"/>
  <c r="AP66" i="23"/>
  <c r="AP71" i="23"/>
  <c r="AO67" i="23"/>
  <c r="AP109" i="23"/>
  <c r="AO122" i="23"/>
  <c r="AO69" i="23"/>
  <c r="BU72" i="24"/>
  <c r="BU78" i="24"/>
  <c r="BU84" i="24"/>
  <c r="BU90" i="24"/>
  <c r="BU96" i="24"/>
  <c r="BU102" i="24"/>
  <c r="BU108" i="24"/>
  <c r="BU114" i="24"/>
  <c r="BU74" i="24"/>
  <c r="BV99" i="24"/>
  <c r="AP65" i="23"/>
  <c r="AO78" i="23"/>
  <c r="AP93" i="23"/>
  <c r="AO98" i="23"/>
  <c r="AP72" i="23"/>
  <c r="AP85" i="23"/>
  <c r="AO88" i="23"/>
  <c r="AP119" i="23"/>
  <c r="AO109" i="23"/>
  <c r="AO119" i="23"/>
  <c r="AP116" i="23"/>
  <c r="BU67" i="24"/>
  <c r="BV73" i="24"/>
  <c r="BU79" i="24"/>
  <c r="BV85" i="24"/>
  <c r="BU91" i="24"/>
  <c r="BU97" i="24"/>
  <c r="BV115" i="24"/>
  <c r="BV110" i="24"/>
  <c r="BV111" i="24"/>
  <c r="AO70" i="23"/>
  <c r="AP64" i="23"/>
  <c r="AP88" i="23"/>
  <c r="AP107" i="23"/>
  <c r="AP115" i="23"/>
  <c r="AP95" i="23"/>
  <c r="AP62" i="23"/>
  <c r="AO68" i="23"/>
  <c r="AO71" i="23"/>
  <c r="AO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P73" i="23"/>
  <c r="AO91" i="23"/>
  <c r="AP80" i="23"/>
  <c r="AO93" i="23"/>
  <c r="AP82" i="23"/>
  <c r="AP74" i="23"/>
  <c r="AO104" i="23"/>
  <c r="AO76" i="23"/>
  <c r="AO118" i="23"/>
  <c r="AO80" i="23"/>
  <c r="BV104" i="24"/>
  <c r="BV93" i="24"/>
  <c r="AP67" i="23"/>
  <c r="AO63" i="23"/>
  <c r="AP110" i="23"/>
  <c r="AP76" i="23"/>
  <c r="AO101" i="23"/>
  <c r="AO97" i="23"/>
  <c r="AO66" i="23"/>
  <c r="AO96" i="23"/>
  <c r="AO120" i="23"/>
  <c r="AO79" i="23"/>
  <c r="BU68" i="24"/>
  <c r="BV74" i="24"/>
  <c r="BU80" i="24"/>
  <c r="BV86" i="24"/>
  <c r="BV92" i="24"/>
  <c r="BV98" i="24"/>
  <c r="BU104" i="24"/>
  <c r="BU87" i="24"/>
  <c r="AO83" i="23"/>
  <c r="AO107" i="23"/>
  <c r="AO115" i="23"/>
  <c r="AO106" i="23"/>
  <c r="AO116" i="23"/>
  <c r="AO110" i="23"/>
  <c r="AO111" i="23"/>
  <c r="AP86" i="23"/>
  <c r="AP120" i="23"/>
  <c r="AP87" i="23"/>
  <c r="BV75" i="24"/>
  <c r="BU81" i="24"/>
  <c r="BV87" i="24"/>
  <c r="BU93" i="24"/>
  <c r="BV117" i="24"/>
  <c r="AO90" i="23"/>
  <c r="AP75" i="23"/>
  <c r="AP102" i="23"/>
  <c r="AO84" i="23"/>
  <c r="AP103" i="23"/>
  <c r="AP77" i="23"/>
  <c r="AP106" i="23"/>
  <c r="AO94" i="23"/>
  <c r="AO121" i="23"/>
  <c r="AP83" i="23"/>
  <c r="BU69" i="24"/>
  <c r="BU75" i="24"/>
  <c r="BV81" i="24"/>
  <c r="AP69" i="23"/>
  <c r="AP89" i="23"/>
  <c r="AO72" i="23"/>
  <c r="AP70" i="23"/>
  <c r="AP113" i="23"/>
  <c r="AP78" i="23"/>
  <c r="AP97" i="23"/>
  <c r="AO77" i="23"/>
  <c r="AO85" i="23"/>
  <c r="AP84" i="23"/>
  <c r="BU70" i="24"/>
  <c r="BV76" i="24"/>
  <c r="BU82" i="24"/>
  <c r="BU88" i="24"/>
  <c r="BV94" i="24"/>
  <c r="BV100" i="24"/>
  <c r="BU106" i="24"/>
  <c r="BV112" i="24"/>
  <c r="AS16" i="23"/>
  <c r="BY16" i="24"/>
  <c r="BA64" i="24"/>
  <c r="BA70" i="24"/>
  <c r="BA76" i="24"/>
  <c r="BA82" i="24"/>
  <c r="BA88" i="24"/>
  <c r="BA94" i="24"/>
  <c r="AF102" i="23"/>
  <c r="AE124" i="23"/>
  <c r="AZ64" i="24"/>
  <c r="AZ70" i="24"/>
  <c r="AZ76" i="24"/>
  <c r="AZ82" i="24"/>
  <c r="AZ88" i="24"/>
  <c r="AZ94" i="24"/>
  <c r="AZ100" i="24"/>
  <c r="AZ106" i="24"/>
  <c r="AZ112" i="24"/>
  <c r="AZ118" i="24"/>
  <c r="AE121" i="23"/>
  <c r="AE112" i="23"/>
  <c r="AF75" i="23"/>
  <c r="AF103" i="23"/>
  <c r="AF78" i="23"/>
  <c r="AE91" i="23"/>
  <c r="AE93" i="23"/>
  <c r="AE70" i="23"/>
  <c r="AE72" i="23"/>
  <c r="AZ73" i="24"/>
  <c r="BA109" i="24"/>
  <c r="AE68" i="23"/>
  <c r="AE89" i="23"/>
  <c r="AF121" i="23"/>
  <c r="AE107" i="23"/>
  <c r="AF124" i="23"/>
  <c r="BA65" i="24"/>
  <c r="BA71" i="24"/>
  <c r="AZ77" i="24"/>
  <c r="AZ83" i="24"/>
  <c r="AZ89" i="24"/>
  <c r="BA95" i="24"/>
  <c r="BA101" i="24"/>
  <c r="BA107" i="24"/>
  <c r="BA113" i="24"/>
  <c r="BA119" i="24"/>
  <c r="AF120" i="23"/>
  <c r="AE115" i="23"/>
  <c r="AF87" i="23"/>
  <c r="AE75" i="23"/>
  <c r="AF94" i="23"/>
  <c r="AF91" i="23"/>
  <c r="AF83" i="23"/>
  <c r="AF101" i="23"/>
  <c r="AE82" i="23"/>
  <c r="AF122" i="23"/>
  <c r="AZ97" i="24"/>
  <c r="AZ103" i="24"/>
  <c r="AZ115" i="24"/>
  <c r="AF92" i="23"/>
  <c r="AE86" i="23"/>
  <c r="AE118" i="23"/>
  <c r="BA106" i="24"/>
  <c r="AF108" i="23"/>
  <c r="AZ65" i="24"/>
  <c r="AZ71" i="24"/>
  <c r="BA77" i="24"/>
  <c r="BA83" i="24"/>
  <c r="BA89" i="24"/>
  <c r="AZ95" i="24"/>
  <c r="AZ101" i="24"/>
  <c r="AZ107" i="24"/>
  <c r="AZ113" i="24"/>
  <c r="AZ119" i="24"/>
  <c r="AE120" i="23"/>
  <c r="AF118" i="23"/>
  <c r="AF99" i="23"/>
  <c r="AE64" i="23"/>
  <c r="AE79" i="23"/>
  <c r="AF107" i="23"/>
  <c r="AE74" i="23"/>
  <c r="AE94" i="23"/>
  <c r="AF88" i="23"/>
  <c r="AZ85" i="24"/>
  <c r="AF76" i="23"/>
  <c r="AE99" i="23"/>
  <c r="AF82" i="23"/>
  <c r="BA112" i="24"/>
  <c r="AE123" i="23"/>
  <c r="BA66" i="24"/>
  <c r="AZ72" i="24"/>
  <c r="AZ78" i="24"/>
  <c r="BA84" i="24"/>
  <c r="AZ90" i="24"/>
  <c r="AZ96" i="24"/>
  <c r="AZ102" i="24"/>
  <c r="BA108" i="24"/>
  <c r="BA114" i="24"/>
  <c r="AE109" i="23"/>
  <c r="AF111" i="23"/>
  <c r="AE84" i="23"/>
  <c r="AE103" i="23"/>
  <c r="AF81" i="23"/>
  <c r="AE80" i="23"/>
  <c r="AE63" i="23"/>
  <c r="AE106" i="23"/>
  <c r="AE73" i="23"/>
  <c r="AZ79" i="24"/>
  <c r="AF115" i="23"/>
  <c r="AF90" i="23"/>
  <c r="AZ111" i="24"/>
  <c r="AF109" i="23"/>
  <c r="AF123" i="23"/>
  <c r="AZ66" i="24"/>
  <c r="BA72" i="24"/>
  <c r="BA78" i="24"/>
  <c r="AZ84" i="24"/>
  <c r="BA90" i="24"/>
  <c r="BA96" i="24"/>
  <c r="BA102" i="24"/>
  <c r="AZ108" i="24"/>
  <c r="AZ114" i="24"/>
  <c r="AE113" i="23"/>
  <c r="AF117" i="23"/>
  <c r="AE96" i="23"/>
  <c r="AF93" i="23"/>
  <c r="AE76" i="23"/>
  <c r="AF74" i="23"/>
  <c r="AE97" i="23"/>
  <c r="BA67" i="24"/>
  <c r="AE66" i="23"/>
  <c r="AZ117" i="24"/>
  <c r="AE62" i="23"/>
  <c r="BA100" i="24"/>
  <c r="AE122" i="23"/>
  <c r="AZ67" i="24"/>
  <c r="BA73" i="24"/>
  <c r="BA79" i="24"/>
  <c r="BA85" i="24"/>
  <c r="BA91" i="24"/>
  <c r="BA97" i="24"/>
  <c r="BA103" i="24"/>
  <c r="AZ109" i="24"/>
  <c r="BA115" i="24"/>
  <c r="AE114" i="23"/>
  <c r="AF119" i="23"/>
  <c r="AE108" i="23"/>
  <c r="AF80" i="23"/>
  <c r="AF95" i="23"/>
  <c r="AF105" i="23"/>
  <c r="AE81" i="23"/>
  <c r="AE87" i="23"/>
  <c r="AF86" i="23"/>
  <c r="AF89" i="23"/>
  <c r="AZ91" i="24"/>
  <c r="AF112" i="23"/>
  <c r="AF98" i="23"/>
  <c r="AE95" i="23"/>
  <c r="AE101" i="23"/>
  <c r="AZ62" i="24"/>
  <c r="AZ68" i="24"/>
  <c r="BA74" i="24"/>
  <c r="BA80" i="24"/>
  <c r="BA86" i="24"/>
  <c r="BA92" i="24"/>
  <c r="AZ98" i="24"/>
  <c r="AZ104" i="24"/>
  <c r="AZ110" i="24"/>
  <c r="BA116" i="24"/>
  <c r="AF116" i="23"/>
  <c r="AE117" i="23"/>
  <c r="AF100" i="23"/>
  <c r="AF104" i="23"/>
  <c r="AE104" i="23"/>
  <c r="AE78" i="23"/>
  <c r="AE88" i="23"/>
  <c r="AE100" i="23"/>
  <c r="AF110" i="23"/>
  <c r="BA69" i="24"/>
  <c r="AZ99" i="24"/>
  <c r="AF114" i="23"/>
  <c r="AF97" i="23"/>
  <c r="AF77" i="23"/>
  <c r="AZ63" i="24"/>
  <c r="BA68" i="24"/>
  <c r="AZ74" i="24"/>
  <c r="AZ80" i="24"/>
  <c r="AZ86" i="24"/>
  <c r="AZ92" i="24"/>
  <c r="BA98" i="24"/>
  <c r="BA104" i="24"/>
  <c r="BA110" i="24"/>
  <c r="AZ116" i="24"/>
  <c r="AE110" i="23"/>
  <c r="AE119" i="23"/>
  <c r="AE85" i="23"/>
  <c r="AE65" i="23"/>
  <c r="AF84" i="23"/>
  <c r="AE90" i="23"/>
  <c r="AE67" i="23"/>
  <c r="AE71" i="23"/>
  <c r="AF79" i="23"/>
  <c r="AZ87" i="24"/>
  <c r="AE105" i="23"/>
  <c r="AE111" i="23"/>
  <c r="AF106" i="23"/>
  <c r="BA62" i="24"/>
  <c r="AZ69" i="24"/>
  <c r="AZ75" i="24"/>
  <c r="BA81" i="24"/>
  <c r="BA87" i="24"/>
  <c r="AZ93" i="24"/>
  <c r="BA99" i="24"/>
  <c r="BA105" i="24"/>
  <c r="BA111" i="24"/>
  <c r="BA117" i="24"/>
  <c r="AE116" i="23"/>
  <c r="AF113" i="23"/>
  <c r="AE77" i="23"/>
  <c r="AE69" i="23"/>
  <c r="AE102" i="23"/>
  <c r="AE92" i="23"/>
  <c r="AF85" i="23"/>
  <c r="AE83" i="23"/>
  <c r="BA63" i="24"/>
  <c r="BA75" i="24"/>
  <c r="AZ81" i="24"/>
  <c r="BA93" i="24"/>
  <c r="AZ105" i="24"/>
  <c r="AE98" i="23"/>
  <c r="AF96" i="23"/>
  <c r="BA118" i="24"/>
  <c r="Q124" i="23"/>
  <c r="R124" i="23"/>
  <c r="Q123" i="23"/>
  <c r="AF67" i="24"/>
  <c r="AF73" i="24"/>
  <c r="AF79" i="24"/>
  <c r="AE85" i="24"/>
  <c r="AF91" i="24"/>
  <c r="AF97" i="24"/>
  <c r="AF103" i="24"/>
  <c r="AF109" i="24"/>
  <c r="AE115" i="24"/>
  <c r="Q116" i="23"/>
  <c r="R113" i="23"/>
  <c r="Q105" i="23"/>
  <c r="R85" i="23"/>
  <c r="Q70" i="23"/>
  <c r="R80" i="23"/>
  <c r="R96" i="23"/>
  <c r="R93" i="23"/>
  <c r="R82" i="23"/>
  <c r="R77" i="23"/>
  <c r="Q121" i="23"/>
  <c r="AE67" i="24"/>
  <c r="AE73" i="24"/>
  <c r="AE79" i="24"/>
  <c r="AF85" i="24"/>
  <c r="AE91" i="24"/>
  <c r="AE97" i="24"/>
  <c r="AE103" i="24"/>
  <c r="AE109" i="24"/>
  <c r="AF115" i="24"/>
  <c r="Q117" i="23"/>
  <c r="R112" i="23"/>
  <c r="R81" i="23"/>
  <c r="Q80" i="23"/>
  <c r="R88" i="23"/>
  <c r="R98" i="23"/>
  <c r="Q78" i="23"/>
  <c r="Q94" i="23"/>
  <c r="Q82" i="23"/>
  <c r="R89" i="23"/>
  <c r="R67" i="23"/>
  <c r="Q77" i="23"/>
  <c r="AE87" i="24"/>
  <c r="AE117" i="24"/>
  <c r="Q107" i="23"/>
  <c r="Q74" i="23"/>
  <c r="Q68" i="23"/>
  <c r="AF88" i="24"/>
  <c r="Q108" i="23"/>
  <c r="Q98" i="23"/>
  <c r="Q115" i="23"/>
  <c r="R75" i="23"/>
  <c r="R106" i="23"/>
  <c r="R63" i="23"/>
  <c r="AE77" i="24"/>
  <c r="R78" i="23"/>
  <c r="AF84" i="24"/>
  <c r="R83" i="23"/>
  <c r="AE63" i="24"/>
  <c r="AF68" i="24"/>
  <c r="AF74" i="24"/>
  <c r="AF80" i="24"/>
  <c r="AE86" i="24"/>
  <c r="AE92" i="24"/>
  <c r="AE98" i="24"/>
  <c r="AF104" i="24"/>
  <c r="AE110" i="24"/>
  <c r="AF116" i="24"/>
  <c r="Q118" i="23"/>
  <c r="Q111" i="23"/>
  <c r="Q95" i="23"/>
  <c r="Q76" i="23"/>
  <c r="Q79" i="23"/>
  <c r="Q62" i="23"/>
  <c r="Q84" i="23"/>
  <c r="R73" i="23"/>
  <c r="AE81" i="24"/>
  <c r="AF99" i="24"/>
  <c r="Q102" i="23"/>
  <c r="R99" i="23"/>
  <c r="AE100" i="24"/>
  <c r="R117" i="23"/>
  <c r="R62" i="23"/>
  <c r="Q73" i="23"/>
  <c r="R116" i="23"/>
  <c r="Q101" i="23"/>
  <c r="Q96" i="23"/>
  <c r="Q87" i="23"/>
  <c r="R94" i="23"/>
  <c r="R122" i="23"/>
  <c r="AE95" i="24"/>
  <c r="R109" i="23"/>
  <c r="Q66" i="23"/>
  <c r="AF72" i="24"/>
  <c r="AE108" i="24"/>
  <c r="R87" i="23"/>
  <c r="Q65" i="23"/>
  <c r="AF62" i="24"/>
  <c r="AE68" i="24"/>
  <c r="AE74" i="24"/>
  <c r="AE80" i="24"/>
  <c r="AF86" i="24"/>
  <c r="AF92" i="24"/>
  <c r="AF98" i="24"/>
  <c r="AE104" i="24"/>
  <c r="AF110" i="24"/>
  <c r="AE116" i="24"/>
  <c r="Q119" i="23"/>
  <c r="Q113" i="23"/>
  <c r="R97" i="23"/>
  <c r="R64" i="23"/>
  <c r="R95" i="23"/>
  <c r="Q103" i="23"/>
  <c r="R79" i="23"/>
  <c r="R92" i="23"/>
  <c r="Q93" i="23"/>
  <c r="Q89" i="23"/>
  <c r="R74" i="23"/>
  <c r="AE62" i="24"/>
  <c r="AE69" i="24"/>
  <c r="AE75" i="24"/>
  <c r="AF81" i="24"/>
  <c r="AF87" i="24"/>
  <c r="AE93" i="24"/>
  <c r="AE99" i="24"/>
  <c r="AE105" i="24"/>
  <c r="AE111" i="24"/>
  <c r="AF117" i="24"/>
  <c r="R114" i="23"/>
  <c r="R111" i="23"/>
  <c r="Q110" i="23"/>
  <c r="Q104" i="23"/>
  <c r="Q85" i="23"/>
  <c r="R71" i="23"/>
  <c r="R102" i="23"/>
  <c r="Q106" i="23"/>
  <c r="AF75" i="24"/>
  <c r="AF105" i="24"/>
  <c r="R86" i="23"/>
  <c r="Q71" i="23"/>
  <c r="AE82" i="24"/>
  <c r="AF112" i="24"/>
  <c r="Q99" i="23"/>
  <c r="R105" i="23"/>
  <c r="Q69" i="23"/>
  <c r="Q97" i="23"/>
  <c r="R100" i="23"/>
  <c r="AF65" i="24"/>
  <c r="AE113" i="24"/>
  <c r="R90" i="23"/>
  <c r="R65" i="23"/>
  <c r="AF66" i="24"/>
  <c r="AE114" i="24"/>
  <c r="Q67" i="23"/>
  <c r="AF63" i="24"/>
  <c r="AF69" i="24"/>
  <c r="AF93" i="24"/>
  <c r="AF111" i="24"/>
  <c r="Q120" i="23"/>
  <c r="R101" i="23"/>
  <c r="AF106" i="24"/>
  <c r="Q114" i="23"/>
  <c r="Q64" i="23"/>
  <c r="R70" i="23"/>
  <c r="R107" i="23"/>
  <c r="Q83" i="23"/>
  <c r="R118" i="23"/>
  <c r="R72" i="23"/>
  <c r="AF83" i="24"/>
  <c r="AE101" i="24"/>
  <c r="R115" i="23"/>
  <c r="Q90" i="23"/>
  <c r="AE78" i="24"/>
  <c r="R119" i="23"/>
  <c r="Q109" i="23"/>
  <c r="AF64" i="24"/>
  <c r="AE70" i="24"/>
  <c r="AF76" i="24"/>
  <c r="AF94" i="24"/>
  <c r="AF118" i="24"/>
  <c r="Q72" i="23"/>
  <c r="Q92" i="23"/>
  <c r="AE71" i="24"/>
  <c r="R68" i="23"/>
  <c r="AE102" i="24"/>
  <c r="Q86" i="23"/>
  <c r="AE64" i="24"/>
  <c r="AF70" i="24"/>
  <c r="AE76" i="24"/>
  <c r="AF82" i="24"/>
  <c r="AE88" i="24"/>
  <c r="AE94" i="24"/>
  <c r="AF100" i="24"/>
  <c r="AE106" i="24"/>
  <c r="AE112" i="24"/>
  <c r="AE118" i="24"/>
  <c r="R76" i="23"/>
  <c r="AE107" i="24"/>
  <c r="R104" i="23"/>
  <c r="AF90" i="24"/>
  <c r="Q75" i="23"/>
  <c r="R121" i="23"/>
  <c r="AE65" i="24"/>
  <c r="AF71" i="24"/>
  <c r="AF77" i="24"/>
  <c r="AE83" i="24"/>
  <c r="AE89" i="24"/>
  <c r="AF95" i="24"/>
  <c r="AF101" i="24"/>
  <c r="AF107" i="24"/>
  <c r="AF113" i="24"/>
  <c r="R108" i="23"/>
  <c r="AF89" i="24"/>
  <c r="R69" i="23"/>
  <c r="R123" i="23"/>
  <c r="AE96" i="24"/>
  <c r="R110" i="23"/>
  <c r="Q91" i="23"/>
  <c r="Q122" i="23"/>
  <c r="AE66" i="24"/>
  <c r="AE72" i="24"/>
  <c r="AF78" i="24"/>
  <c r="AE84" i="24"/>
  <c r="AE90" i="24"/>
  <c r="AF96" i="24"/>
  <c r="AF102" i="24"/>
  <c r="AF108" i="24"/>
  <c r="AF114" i="24"/>
  <c r="R120" i="23"/>
  <c r="Q112" i="23"/>
  <c r="Q88" i="23"/>
  <c r="R84" i="23"/>
  <c r="Q100" i="23"/>
  <c r="Q81" i="23"/>
  <c r="R103" i="23"/>
  <c r="R91" i="23"/>
  <c r="R66" i="23"/>
  <c r="Q63" i="23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  <c r="AD12" i="24" l="1"/>
  <c r="AE12" i="24"/>
  <c r="AB12" i="24"/>
  <c r="AF12" i="24"/>
  <c r="AA12" i="24"/>
  <c r="AB11" i="24"/>
  <c r="AF11" i="24"/>
  <c r="AA11" i="24"/>
  <c r="AE11" i="24"/>
  <c r="AF13" i="24"/>
  <c r="AA13" i="24"/>
  <c r="AB13" i="24"/>
  <c r="AD13" i="24"/>
  <c r="BY51" i="24" a="1"/>
  <c r="BY51" i="24" s="1"/>
  <c r="AD11" i="24"/>
  <c r="BY52" i="24" a="1"/>
  <c r="BY52" i="24" s="1"/>
  <c r="CL43" i="24" s="1"/>
  <c r="AE13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tc={A31BDA61-CB03-4589-AEDD-5DBC77775160}</author>
    <author>tc={7BE39CE0-31A0-4271-9AA0-823748DBF6B6}</author>
    <author>tc={6309FC12-6801-488A-98E6-0897E47B5D66}</author>
    <author>tc={9F495C09-5724-4158-AA5F-E592AFE5A86E}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T3" authorId="0" shapeId="0" xr:uid="{A31BDA61-CB03-4589-AEDD-5DBC7777516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T4" authorId="1" shapeId="0" xr:uid="{7BE39CE0-31A0-4271-9AA0-823748DBF6B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T5" authorId="2" shapeId="0" xr:uid="{6309FC12-6801-488A-98E6-0897E47B5D6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T6" authorId="3" shapeId="0" xr:uid="{9F495C09-5724-4158-AA5F-E592AFE5A86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tc={BB0CE72B-86F5-40CC-A38D-61CE1AB51BF1}</author>
    <author>tc={0A75884C-28A9-44E8-B517-A5859A3D3EC5}</author>
    <author>tc={9DA0AE34-ACAD-4BEE-AFA0-4063CA815C6D}</author>
    <author>tc={C0E20805-0FA1-4030-9D4B-CC20AC2CEB72}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BB0CE72B-86F5-40CC-A38D-61CE1AB51BF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0A75884C-28A9-44E8-B517-A5859A3D3E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9DA0AE34-ACAD-4BEE-AFA0-4063CA815C6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C0E20805-0FA1-4030-9D4B-CC20AC2CEB7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<sst xmlns="http://schemas.openxmlformats.org/spreadsheetml/2006/main" count="37588" uniqueCount="5350">
  <si>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</si>
  <si>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</si>
  <si>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</si>
  <si>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</si>
  <si>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</si>
  <si>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</si>
  <si>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</si>
  <si>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</si>
  <si>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</si>
  <si>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</si>
  <si>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</si>
  <si>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</si>
  <si>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</si>
  <si>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</si>
  <si>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</si>
  <si>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</si>
  <si>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</si>
  <si>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</si>
  <si>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</si>
  <si>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</si>
  <si>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</si>
  <si>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</si>
  <si>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</si>
  <si>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</si>
  <si>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</si>
  <si>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</si>
  <si>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</si>
  <si>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</si>
  <si>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</si>
  <si>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</si>
  <si>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</si>
  <si>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</si>
  <si>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</si>
  <si>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</si>
  <si>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</si>
  <si>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</si>
  <si>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</si>
  <si>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</si>
  <si>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</si>
  <si>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</si>
  <si>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</si>
  <si>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</si>
  <si>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</si>
  <si>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</si>
  <si>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</si>
  <si>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</si>
  <si>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</si>
  <si>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</si>
  <si>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</si>
  <si>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</si>
  <si>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</si>
  <si>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</si>
  <si>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</si>
  <si>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</si>
  <si>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</si>
  <si>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</si>
  <si>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</si>
  <si>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</si>
  <si>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</si>
  <si>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</si>
  <si>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</si>
  <si>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</si>
  <si>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</si>
  <si>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</si>
  <si>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</si>
  <si>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</si>
  <si>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</si>
  <si>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</si>
  <si>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</si>
  <si>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</si>
  <si>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</si>
  <si>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</si>
  <si>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</si>
  <si>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</si>
  <si>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</si>
  <si>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</si>
  <si>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</si>
  <si>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</si>
  <si>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</si>
  <si>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</si>
  <si>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</si>
  <si>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</si>
  <si>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</si>
  <si>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</si>
  <si>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</si>
  <si>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</si>
  <si>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</si>
  <si>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</si>
  <si>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</si>
  <si>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</si>
  <si>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</si>
  <si>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</si>
  <si>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</si>
  <si>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</si>
  <si>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</si>
  <si>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</si>
  <si>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</si>
  <si>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</si>
  <si>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</si>
  <si>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</si>
  <si>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</si>
  <si>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</si>
  <si>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</si>
  <si>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</si>
  <si>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</si>
  <si>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</si>
  <si>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</si>
  <si>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</si>
  <si>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</si>
  <si>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</si>
  <si>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</si>
  <si>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</si>
  <si>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</si>
  <si>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</si>
  <si>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</si>
  <si>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</si>
  <si>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</si>
  <si>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</si>
  <si>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</si>
  <si>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</si>
  <si>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</si>
  <si>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</si>
  <si>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</si>
  <si>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</si>
  <si>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</si>
  <si>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</si>
  <si>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</si>
  <si>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</si>
  <si>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</si>
  <si>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</si>
  <si>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</si>
  <si>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</si>
  <si>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</si>
  <si>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</si>
  <si>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</si>
  <si>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</si>
  <si>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</si>
  <si>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</si>
  <si>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</si>
  <si>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</si>
  <si>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</si>
  <si>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</si>
  <si>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</si>
  <si>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</si>
  <si>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</si>
  <si>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</si>
  <si>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</si>
  <si>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</si>
  <si>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</si>
  <si>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</si>
  <si>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</si>
  <si>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</si>
  <si>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</si>
  <si>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</si>
  <si>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</si>
  <si>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</si>
  <si>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</si>
  <si>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</si>
  <si>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</si>
  <si>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</si>
  <si>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</si>
  <si>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</si>
  <si>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</si>
  <si>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</si>
  <si>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</si>
  <si>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</si>
  <si>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</si>
  <si>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</si>
  <si>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</si>
  <si>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</si>
  <si>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</si>
  <si>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</si>
  <si>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</si>
  <si>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</si>
  <si>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</si>
  <si>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</si>
  <si>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</si>
  <si>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</si>
  <si>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</si>
  <si>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</si>
  <si>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</si>
  <si>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</si>
  <si>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</si>
  <si>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</si>
  <si>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</si>
  <si>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</si>
  <si>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</si>
  <si>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</si>
  <si>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</si>
  <si>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</si>
  <si>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</si>
  <si>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</si>
  <si>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</si>
  <si>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</si>
  <si>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</si>
  <si>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</si>
  <si>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</si>
  <si>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</si>
  <si>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</si>
  <si>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</si>
  <si>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</si>
  <si>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</si>
  <si>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</si>
  <si>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</si>
  <si>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</si>
  <si>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</si>
  <si>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</si>
  <si>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</si>
  <si>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</si>
  <si>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</si>
  <si>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</si>
  <si>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</si>
  <si>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</si>
  <si>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</si>
  <si>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</si>
  <si>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</si>
  <si>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</si>
  <si>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</si>
  <si>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</si>
  <si>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</si>
  <si>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</si>
  <si>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</si>
  <si>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</si>
  <si>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</si>
  <si>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</si>
  <si>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</si>
  <si>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</si>
  <si>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</si>
  <si>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</si>
  <si>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</si>
  <si>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</si>
  <si>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</si>
  <si>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</si>
  <si>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</si>
  <si>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</si>
  <si>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</si>
  <si>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</si>
  <si>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</si>
  <si>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</si>
  <si>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</si>
  <si>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</si>
  <si>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</si>
  <si>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</si>
  <si>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</si>
  <si>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</si>
  <si>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</si>
  <si>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</si>
  <si>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</si>
  <si>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</si>
  <si>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</si>
  <si>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</si>
  <si>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</si>
  <si>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</si>
  <si>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</si>
  <si>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</si>
  <si>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</si>
  <si>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</si>
  <si>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</si>
  <si>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</si>
  <si>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</si>
  <si>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</si>
  <si>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</si>
  <si>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</si>
  <si>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</si>
  <si>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</si>
  <si>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</si>
  <si>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</si>
  <si>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</si>
  <si>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</si>
  <si>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</si>
  <si>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</si>
  <si>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</si>
  <si>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</si>
  <si>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</si>
  <si>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</si>
  <si>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</si>
  <si>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</si>
  <si>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</si>
  <si>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</si>
  <si>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</si>
  <si>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</si>
  <si>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</si>
  <si>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</si>
  <si>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</si>
  <si>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</si>
  <si>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</si>
  <si>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</si>
  <si>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</si>
  <si>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</si>
  <si>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</si>
  <si>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</si>
  <si>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sum of regions</t>
  </si>
  <si>
    <t>Lower CI_</t>
  </si>
  <si>
    <t>Upper CI_</t>
  </si>
  <si>
    <t>rest of Italy data</t>
  </si>
  <si>
    <t>Upper CI__</t>
  </si>
  <si>
    <t>Lower CI__</t>
  </si>
  <si>
    <t>Italy cumul. Fit</t>
  </si>
  <si>
    <t>rest of Italy cum. Data</t>
  </si>
  <si>
    <t>Peak value (mode)</t>
  </si>
  <si>
    <t>Modeling function: Lognormal</t>
  </si>
  <si>
    <t>Italiy sum of regions  (Norm.)</t>
  </si>
  <si>
    <t>Italy fit (Norm:)</t>
  </si>
  <si>
    <t>rest of Italy fit (Norm.)</t>
  </si>
  <si>
    <t>&lt; x__________ Today___________ y&gt;</t>
  </si>
  <si>
    <t>Italy sum of regions (Norm.)</t>
  </si>
  <si>
    <t>Italy cum.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</si>
  <si>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</si>
  <si>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</si>
  <si>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</si>
  <si>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</si>
  <si>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</si>
  <si>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</si>
  <si>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</si>
  <si>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</si>
  <si>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</si>
  <si>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</si>
  <si>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</si>
  <si>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</si>
  <si>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</si>
  <si>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</si>
  <si>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</si>
  <si>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</si>
  <si>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</si>
  <si>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</si>
  <si>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</si>
  <si>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</si>
  <si>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</si>
  <si>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</si>
  <si>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</si>
  <si>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</si>
  <si>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</si>
  <si>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</si>
  <si>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</si>
  <si>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</si>
  <si>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</si>
  <si>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</si>
  <si>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</si>
  <si>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</si>
  <si>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</si>
  <si>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</si>
  <si>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</si>
  <si>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</si>
  <si>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</si>
  <si>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</si>
  <si>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</si>
  <si>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</si>
  <si>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</si>
  <si>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</si>
  <si>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</si>
  <si>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</si>
  <si>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</si>
  <si>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</si>
  <si>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</si>
  <si>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</si>
  <si>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</si>
  <si>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t>p=</t>
  </si>
  <si>
    <t>Italy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</si>
  <si>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</si>
  <si>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</si>
  <si>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</si>
  <si>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</si>
  <si>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</si>
  <si>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</si>
  <si>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</si>
  <si>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</si>
  <si>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</si>
  <si>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</si>
  <si>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</si>
  <si>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</si>
  <si>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</si>
  <si>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</si>
  <si>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</si>
  <si>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</si>
  <si>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</si>
  <si>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</si>
  <si>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</si>
  <si>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</si>
  <si>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</si>
  <si>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</si>
  <si>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</si>
  <si>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</si>
  <si>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</si>
  <si>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</si>
  <si>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</si>
  <si>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</si>
  <si>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</si>
  <si>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</si>
  <si>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</si>
  <si>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</si>
  <si>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</si>
  <si>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</si>
  <si>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</si>
  <si>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</si>
  <si>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</si>
  <si>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</si>
  <si>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</si>
  <si>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</si>
  <si>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</si>
  <si>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</si>
  <si>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</si>
  <si>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</si>
  <si>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</si>
  <si>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</si>
  <si>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</si>
  <si>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</si>
  <si>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</si>
  <si>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</si>
  <si>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</si>
  <si>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</si>
  <si>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</si>
  <si>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</si>
  <si>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</si>
  <si>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</si>
  <si>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</si>
  <si>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</si>
  <si>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</si>
  <si>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</si>
  <si>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</si>
  <si>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</si>
  <si>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</si>
  <si>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</si>
  <si>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</si>
  <si>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</si>
  <si>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</si>
  <si>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</si>
  <si>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</si>
  <si>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</si>
  <si>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</si>
  <si>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</si>
  <si>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</si>
  <si>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</si>
  <si>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</si>
  <si>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</si>
  <si>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</si>
  <si>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</si>
  <si>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</si>
  <si>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</si>
  <si>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</si>
  <si>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</si>
  <si>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</si>
  <si>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</si>
  <si>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</si>
  <si>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</si>
  <si>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</si>
  <si>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</si>
  <si>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</si>
  <si>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</si>
  <si>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</si>
  <si>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</si>
  <si>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</si>
  <si>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</si>
  <si>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</si>
  <si>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</si>
  <si>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</si>
  <si>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</si>
  <si>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</si>
  <si>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</si>
  <si>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</si>
  <si>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</si>
  <si>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</si>
  <si>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</si>
  <si>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</si>
  <si>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</si>
  <si>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</si>
  <si>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</si>
  <si>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</si>
  <si>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</si>
  <si>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</si>
  <si>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</si>
  <si>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</si>
  <si>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</si>
  <si>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</si>
  <si>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</si>
  <si>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</si>
  <si>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</si>
  <si>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</si>
  <si>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</si>
  <si>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</si>
  <si>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</si>
  <si>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</si>
  <si>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</si>
  <si>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</si>
  <si>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</si>
  <si>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</si>
  <si>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</si>
  <si>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</si>
  <si>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</si>
  <si>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</si>
  <si>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</si>
  <si>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</si>
  <si>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</si>
  <si>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</si>
  <si>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</si>
  <si>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</si>
  <si>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</si>
  <si>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</si>
  <si>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</si>
  <si>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</si>
  <si>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</si>
  <si>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</si>
  <si>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</si>
  <si>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</si>
  <si>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</si>
  <si>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</si>
  <si>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</si>
  <si>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</si>
  <si>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</si>
  <si>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</si>
  <si>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</si>
  <si>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</si>
  <si>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</si>
  <si>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</si>
  <si>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</si>
  <si>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</si>
  <si>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</si>
  <si>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</si>
  <si>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</si>
  <si>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</si>
  <si>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</si>
  <si>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</si>
  <si>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</si>
  <si>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</si>
  <si>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</si>
  <si>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</si>
  <si>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</si>
  <si>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</si>
  <si>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</si>
  <si>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</si>
  <si>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</si>
  <si>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</si>
  <si>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</si>
  <si>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</si>
  <si>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</si>
  <si>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</si>
  <si>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</si>
  <si>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</si>
  <si>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</si>
  <si>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</si>
  <si>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</si>
  <si>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</si>
  <si>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</si>
  <si>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</si>
  <si>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</si>
  <si>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</si>
  <si>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</si>
  <si>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</si>
  <si>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</si>
  <si>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</si>
  <si>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</si>
  <si>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</si>
  <si>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</si>
  <si>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</si>
  <si>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</si>
  <si>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</si>
  <si>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</si>
  <si>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</si>
  <si>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</si>
  <si>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</si>
  <si>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</si>
  <si>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</si>
  <si>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</si>
  <si>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</si>
  <si>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</si>
  <si>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</si>
  <si>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</si>
  <si>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</si>
  <si>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</si>
  <si>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</si>
  <si>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</si>
  <si>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</si>
  <si>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</si>
  <si>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</si>
  <si>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</si>
  <si>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</si>
  <si>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</si>
  <si>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</si>
  <si>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</si>
  <si>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</si>
  <si>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</si>
  <si>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</si>
  <si>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</si>
  <si>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</si>
  <si>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</si>
  <si>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</si>
  <si>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</si>
  <si>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</si>
  <si>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</si>
  <si>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</si>
  <si>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</si>
  <si>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</si>
  <si>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</si>
  <si>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</si>
  <si>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</si>
  <si>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</si>
  <si>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</si>
  <si>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</si>
  <si>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</si>
  <si>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</si>
  <si>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</si>
  <si>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</si>
  <si>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</si>
  <si>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</si>
  <si>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</si>
  <si>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</si>
  <si>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</si>
  <si>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</si>
  <si>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</si>
  <si>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</si>
  <si>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</si>
  <si>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</si>
  <si>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</si>
  <si>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</si>
  <si>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</si>
  <si>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</si>
  <si>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</si>
  <si>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</si>
  <si>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</si>
  <si>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</si>
  <si>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</si>
  <si>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</si>
  <si>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</si>
  <si>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</si>
  <si>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</si>
  <si>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</si>
  <si>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</si>
  <si>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</si>
  <si>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</si>
  <si>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</si>
  <si>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</si>
  <si>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</si>
  <si>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</si>
  <si>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</si>
  <si>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</si>
  <si>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</si>
  <si>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</si>
  <si>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</si>
  <si>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</si>
  <si>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</si>
  <si>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</si>
  <si>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</si>
  <si>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</si>
  <si>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</si>
  <si>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</si>
  <si>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</si>
  <si>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</si>
  <si>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</si>
  <si>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</si>
  <si>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</si>
  <si>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</si>
  <si>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</si>
  <si>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</si>
  <si>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</si>
  <si>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</si>
  <si>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</si>
  <si>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</si>
  <si>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</si>
  <si>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</si>
  <si>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</si>
  <si>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</si>
  <si>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</si>
  <si>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</si>
  <si>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</si>
  <si>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</si>
  <si>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</si>
  <si>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</si>
  <si>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</si>
  <si>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</si>
  <si>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</si>
  <si>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</si>
  <si>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</si>
  <si>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</si>
  <si>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</si>
  <si>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</si>
  <si>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</si>
  <si>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</si>
  <si>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</si>
  <si>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</si>
  <si>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</si>
  <si>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</si>
  <si>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</si>
  <si>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</si>
  <si>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</si>
  <si>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</si>
  <si>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</si>
  <si>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</si>
  <si>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</si>
  <si>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</si>
  <si>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</si>
  <si>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</si>
  <si>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</si>
  <si>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</si>
  <si>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</si>
  <si>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</si>
  <si>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</si>
  <si>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</si>
  <si>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</si>
  <si>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</si>
  <si>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</si>
  <si>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</si>
  <si>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</si>
  <si>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</si>
  <si>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</si>
  <si>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</si>
  <si>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</si>
  <si>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</si>
  <si>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</si>
  <si>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</si>
  <si>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</si>
  <si>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</si>
  <si>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</si>
  <si>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</si>
  <si>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</si>
  <si>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</si>
  <si>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</si>
  <si>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</si>
  <si>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</si>
  <si>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</si>
  <si>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</si>
  <si>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</si>
  <si>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</si>
  <si>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</si>
  <si>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</si>
  <si>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</si>
  <si>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</si>
  <si>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</si>
  <si>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</si>
  <si>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</si>
  <si>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</si>
  <si>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</si>
  <si>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</si>
  <si>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</si>
  <si>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</si>
  <si>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</si>
  <si>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</si>
  <si>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</si>
  <si>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</si>
  <si>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</si>
  <si>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</si>
  <si>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</si>
  <si>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</si>
  <si>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</si>
  <si>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</si>
  <si>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</si>
  <si>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</si>
  <si>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</si>
  <si>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</si>
  <si>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</si>
  <si>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</si>
  <si>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</si>
  <si>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</si>
  <si>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</si>
  <si>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</si>
  <si>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</si>
  <si>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</si>
  <si>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</si>
  <si>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</si>
  <si>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</si>
  <si>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</si>
  <si>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</si>
  <si>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</si>
  <si>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</si>
  <si>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</si>
  <si>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</si>
  <si>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</si>
  <si>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</si>
  <si>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</si>
  <si>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</si>
  <si>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</si>
  <si>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</si>
  <si>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</si>
  <si>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</si>
  <si>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</si>
  <si>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</si>
  <si>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</si>
  <si>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</si>
  <si>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</si>
  <si>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</si>
  <si>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</si>
  <si>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</si>
  <si>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</si>
  <si>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</si>
  <si>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</si>
  <si>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</si>
  <si>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</si>
  <si>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</si>
  <si>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</si>
  <si>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</si>
  <si>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</si>
  <si>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</si>
  <si>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</si>
  <si>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</si>
  <si>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</si>
  <si>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</si>
  <si>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</si>
  <si>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</si>
  <si>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</si>
  <si>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</si>
  <si>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</si>
  <si>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</si>
  <si>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</si>
  <si>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</si>
  <si>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</si>
  <si>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</si>
  <si>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</si>
  <si>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</si>
  <si>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</si>
  <si>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</si>
  <si>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</si>
  <si>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</si>
  <si>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</si>
  <si>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</si>
  <si>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</si>
  <si>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</si>
  <si>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</si>
  <si>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</si>
  <si>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</si>
  <si>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</si>
  <si>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</si>
  <si>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</si>
  <si>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</si>
  <si>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</si>
  <si>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</si>
  <si>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</si>
  <si>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</si>
  <si>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</si>
  <si>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</si>
  <si>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</si>
  <si>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</si>
  <si>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</si>
  <si>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</si>
  <si>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</si>
  <si>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</si>
  <si>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</si>
  <si>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</si>
  <si>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</si>
  <si>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</si>
  <si>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</si>
  <si>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</si>
  <si>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</si>
  <si>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</si>
  <si>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</si>
  <si>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</si>
  <si>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</si>
  <si>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</si>
  <si>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</si>
  <si>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</si>
  <si>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</si>
  <si>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</si>
  <si>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</si>
  <si>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</si>
  <si>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</si>
  <si>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</si>
  <si>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</si>
  <si>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</si>
  <si>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</si>
  <si>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</si>
  <si>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</si>
  <si>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</si>
  <si>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</si>
  <si>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</si>
  <si>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</si>
  <si>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</si>
  <si>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</si>
  <si>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</si>
  <si>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</si>
  <si>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</si>
  <si>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</si>
  <si>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</si>
  <si>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</si>
  <si>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</si>
  <si>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</si>
  <si>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</si>
  <si>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</si>
  <si>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</si>
  <si>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</si>
  <si>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</si>
  <si>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</si>
  <si>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</si>
  <si>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</si>
  <si>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</si>
  <si>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</si>
  <si>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</si>
  <si>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</si>
  <si>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</si>
  <si>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</si>
  <si>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</si>
  <si>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</si>
  <si>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</si>
  <si>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</si>
  <si>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</si>
  <si>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</si>
  <si>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</si>
  <si>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</si>
  <si>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</si>
  <si>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</si>
  <si>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</si>
  <si>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</si>
  <si>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</si>
  <si>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</si>
  <si>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</si>
  <si>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</si>
  <si>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</si>
  <si>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</si>
  <si>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</si>
  <si>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</si>
  <si>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</si>
  <si>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</si>
  <si>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</si>
  <si>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</si>
  <si>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</si>
  <si>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</si>
  <si>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</si>
  <si>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</si>
  <si>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</si>
  <si>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</si>
  <si>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</si>
  <si>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</si>
  <si>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</si>
  <si>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</si>
  <si>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</si>
  <si>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</si>
  <si>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</si>
  <si>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</si>
  <si>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</si>
  <si>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</si>
  <si>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</si>
  <si>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</si>
  <si>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</si>
  <si>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</si>
  <si>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</si>
  <si>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</si>
  <si>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</si>
  <si>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</si>
  <si>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</si>
  <si>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</si>
  <si>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</si>
  <si>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</si>
  <si>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</si>
  <si>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</si>
  <si>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</si>
  <si>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</si>
  <si>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</si>
  <si>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</si>
  <si>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</si>
  <si>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</si>
  <si>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</si>
  <si>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</si>
  <si>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</si>
  <si>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</si>
  <si>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</si>
  <si>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</si>
  <si>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</si>
  <si>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</si>
  <si>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</si>
  <si>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</si>
  <si>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</si>
  <si>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</si>
  <si>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</si>
  <si>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</si>
  <si>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</si>
  <si>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</si>
  <si>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</si>
  <si>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</si>
  <si>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</si>
  <si>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</si>
  <si>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</si>
  <si>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</si>
  <si>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</si>
  <si>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</si>
  <si>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</si>
  <si>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</si>
  <si>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</si>
  <si>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</si>
  <si>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</si>
  <si>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</si>
  <si>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</si>
  <si>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</si>
  <si>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</si>
  <si>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</si>
  <si>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</si>
  <si>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</si>
  <si>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</si>
  <si>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</si>
  <si>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</si>
  <si>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</si>
  <si>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</si>
  <si>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</si>
  <si>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</si>
  <si>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</si>
  <si>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</si>
  <si>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</si>
  <si>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</si>
  <si>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</si>
  <si>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</si>
  <si>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</si>
  <si>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</si>
  <si>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</si>
  <si>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</si>
  <si>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</si>
  <si>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</si>
  <si>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</si>
  <si>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</si>
  <si>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</si>
  <si>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</si>
  <si>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</si>
  <si>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</si>
  <si>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</si>
  <si>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</si>
  <si>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</si>
  <si>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</si>
  <si>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</si>
  <si>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</si>
  <si>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</si>
  <si>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</si>
  <si>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</si>
  <si>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</si>
  <si>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</si>
  <si>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</si>
  <si>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</si>
  <si>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</si>
  <si>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</si>
  <si>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</si>
  <si>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</si>
  <si>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</si>
  <si>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</si>
  <si>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</si>
  <si>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</si>
  <si>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</si>
  <si>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</si>
  <si>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</si>
  <si>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</si>
  <si>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</si>
  <si>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</si>
  <si>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</si>
  <si>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</si>
  <si>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</si>
  <si>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</si>
  <si>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</si>
  <si>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</si>
  <si>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</si>
  <si>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</si>
  <si>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</si>
  <si>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</si>
  <si>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</si>
  <si>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</si>
  <si>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</si>
  <si>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</si>
  <si>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</si>
  <si>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</si>
  <si>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</si>
  <si>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</si>
  <si>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</si>
  <si>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</si>
  <si>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</si>
  <si>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</si>
  <si>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</si>
  <si>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</si>
  <si>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</si>
  <si>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</si>
  <si>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</si>
  <si>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</si>
  <si>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</si>
  <si>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</si>
  <si>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</si>
  <si>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</si>
  <si>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</si>
  <si>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</si>
  <si>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</si>
  <si>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</si>
  <si>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</si>
  <si>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</si>
  <si>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</si>
  <si>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</si>
  <si>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</si>
  <si>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</si>
  <si>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</si>
  <si>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</si>
  <si>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</si>
  <si>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</si>
  <si>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</si>
  <si>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</si>
  <si>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</si>
  <si>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</si>
  <si>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</si>
  <si>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</si>
  <si>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</si>
  <si>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</si>
  <si>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</si>
  <si>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</si>
  <si>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</si>
  <si>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</si>
  <si>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</si>
  <si>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</si>
  <si>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</si>
  <si>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</si>
  <si>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</si>
  <si>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</si>
  <si>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</si>
  <si>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</si>
  <si>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</si>
  <si>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</si>
  <si>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</si>
  <si>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</si>
  <si>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</si>
  <si>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</si>
  <si>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</si>
  <si>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</si>
  <si>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</si>
  <si>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</si>
  <si>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</si>
  <si>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</si>
  <si>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</si>
  <si>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</si>
  <si>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</si>
  <si>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</si>
  <si>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</si>
  <si>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</si>
  <si>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</si>
  <si>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</si>
  <si>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</si>
  <si>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</si>
  <si>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</si>
  <si>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</si>
  <si>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</si>
  <si>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</si>
  <si>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</si>
  <si>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</si>
  <si>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</si>
  <si>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</si>
  <si>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</si>
  <si>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</si>
  <si>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</si>
  <si>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</si>
  <si>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</si>
  <si>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</si>
  <si>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</si>
  <si>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</si>
  <si>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</si>
  <si>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</si>
  <si>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</si>
  <si>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</si>
  <si>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</si>
  <si>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</si>
  <si>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</si>
  <si>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</si>
  <si>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</si>
  <si>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</si>
  <si>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</si>
  <si>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</si>
  <si>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</si>
  <si>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</si>
  <si>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</si>
  <si>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</si>
  <si>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</si>
  <si>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</si>
  <si>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</si>
  <si>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</si>
  <si>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</si>
  <si>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</si>
  <si>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</si>
  <si>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</si>
  <si>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</si>
  <si>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</si>
  <si>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</si>
  <si>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</si>
  <si>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</si>
  <si>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</si>
  <si>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</si>
  <si>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</si>
  <si>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</si>
  <si>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</si>
  <si>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</si>
  <si>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</si>
  <si>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</si>
  <si>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</si>
  <si>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</si>
  <si>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</si>
  <si>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</si>
  <si>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</si>
  <si>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</si>
  <si>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</si>
  <si>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</si>
  <si>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</si>
  <si>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</si>
  <si>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</si>
  <si>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</si>
  <si>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</si>
  <si>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</si>
  <si>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</si>
  <si>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</si>
  <si>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</si>
  <si>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</si>
  <si>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</si>
  <si>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</si>
  <si>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</si>
  <si>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</si>
  <si>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</si>
  <si>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</si>
  <si>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</si>
  <si>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</si>
  <si>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</si>
  <si>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</si>
  <si>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</si>
  <si>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</si>
  <si>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</si>
  <si>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</si>
  <si>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</si>
  <si>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</si>
  <si>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</si>
  <si>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</si>
  <si>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</si>
  <si>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</si>
  <si>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</si>
  <si>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</si>
  <si>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</si>
  <si>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</si>
  <si>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</si>
  <si>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</si>
  <si>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</si>
  <si>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</si>
  <si>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</si>
  <si>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</si>
  <si>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</si>
  <si>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</si>
  <si>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</si>
  <si>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</si>
  <si>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</si>
  <si>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</si>
  <si>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</si>
  <si>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</si>
  <si>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</si>
  <si>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</si>
  <si>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</si>
  <si>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</si>
  <si>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</si>
  <si>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</si>
  <si>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</si>
  <si>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</si>
  <si>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</si>
  <si>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</si>
  <si>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</si>
  <si>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</si>
  <si>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</si>
  <si>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</si>
  <si>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</si>
  <si>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</si>
  <si>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</si>
  <si>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</si>
  <si>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</si>
  <si>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</si>
  <si>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</si>
  <si>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</si>
  <si>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</si>
  <si>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</si>
  <si>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</si>
  <si>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</si>
  <si>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</si>
  <si>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</si>
  <si>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</si>
  <si>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</si>
  <si>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</si>
  <si>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</si>
  <si>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</si>
  <si>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</si>
  <si>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</si>
  <si>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</si>
  <si>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</si>
  <si>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</si>
  <si>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</si>
  <si>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</si>
  <si>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</si>
  <si>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</si>
  <si>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</si>
  <si>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</si>
  <si>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</si>
  <si>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</si>
  <si>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</si>
  <si>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</si>
  <si>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</si>
  <si>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</si>
  <si>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</si>
  <si>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</si>
  <si>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</si>
  <si>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</si>
  <si>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</si>
  <si>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</si>
  <si>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</si>
  <si>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</si>
  <si>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</si>
  <si>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</si>
  <si>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</si>
  <si>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</si>
  <si>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</si>
  <si>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</si>
  <si>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</si>
  <si>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</si>
  <si>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</si>
  <si>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</si>
  <si>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</si>
  <si>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</si>
  <si>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</si>
  <si>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</si>
  <si>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</si>
  <si>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</si>
  <si>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</si>
  <si>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</si>
  <si>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</si>
  <si>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</si>
  <si>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</si>
  <si>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</si>
  <si>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</si>
  <si>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</si>
  <si>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</si>
  <si>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</si>
  <si>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</si>
  <si>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</si>
  <si>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</si>
  <si>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</si>
  <si>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</si>
  <si>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</si>
  <si>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</si>
  <si>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</si>
  <si>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</si>
  <si>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</si>
  <si>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</si>
  <si>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</si>
  <si>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</si>
  <si>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</si>
  <si>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</si>
  <si>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</si>
  <si>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</si>
  <si>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</si>
  <si>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</si>
  <si>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</si>
  <si>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</si>
  <si>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</si>
  <si>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</si>
  <si>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</si>
  <si>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</si>
  <si>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</si>
  <si>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</si>
  <si>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</si>
  <si>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</si>
  <si>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</si>
  <si>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</si>
  <si>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</si>
  <si>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</si>
  <si>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</si>
  <si>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</si>
  <si>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</si>
  <si>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</si>
  <si>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</si>
  <si>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</si>
  <si>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</si>
  <si>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</si>
  <si>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</si>
  <si>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</si>
  <si>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</si>
  <si>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</si>
  <si>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</si>
  <si>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</si>
  <si>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</si>
  <si>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</si>
  <si>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</si>
  <si>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</si>
  <si>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</si>
  <si>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</si>
  <si>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</si>
  <si>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</si>
  <si>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</si>
  <si>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</si>
  <si>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</si>
  <si>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</si>
  <si>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</si>
  <si>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</si>
  <si>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</si>
  <si>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</si>
  <si>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</si>
  <si>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</si>
  <si>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</si>
  <si>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</si>
  <si>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</si>
  <si>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</si>
  <si>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</si>
  <si>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</si>
  <si>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</si>
  <si>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</si>
  <si>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</si>
  <si>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</si>
  <si>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</si>
  <si>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</si>
  <si>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</si>
  <si>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</si>
  <si>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</si>
  <si>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</si>
  <si>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</si>
  <si>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</si>
  <si>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</si>
  <si>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</si>
  <si>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</si>
  <si>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</si>
  <si>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</si>
  <si>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</si>
  <si>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</si>
  <si>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</si>
  <si>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</si>
  <si>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</si>
  <si>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</si>
  <si>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</si>
  <si>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</si>
  <si>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</si>
  <si>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</si>
  <si>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</si>
  <si>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</si>
  <si>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</si>
  <si>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</si>
  <si>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</si>
  <si>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</si>
  <si>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</si>
  <si>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</si>
  <si>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</si>
  <si>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</si>
  <si>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</si>
  <si>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</si>
  <si>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</si>
  <si>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</si>
  <si>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</si>
  <si>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</si>
  <si>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</si>
  <si>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</si>
  <si>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</si>
  <si>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</si>
  <si>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</si>
  <si>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</si>
  <si>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</si>
  <si>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</si>
  <si>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</si>
  <si>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</si>
  <si>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</si>
  <si>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</si>
  <si>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</si>
  <si>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</si>
  <si>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</si>
  <si>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</si>
  <si>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</si>
  <si>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</si>
  <si>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</si>
  <si>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</si>
  <si>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</si>
  <si>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</si>
  <si>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</si>
  <si>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</si>
  <si>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</si>
  <si>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</si>
  <si>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</si>
  <si>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</si>
  <si>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</si>
  <si>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</si>
  <si>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</si>
  <si>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</si>
  <si>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</si>
  <si>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</si>
  <si>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</si>
  <si>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</si>
  <si>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</si>
  <si>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</si>
  <si>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</si>
  <si>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</si>
  <si>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</si>
  <si>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</si>
  <si>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</si>
  <si>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</si>
  <si>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</si>
  <si>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</si>
  <si>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</si>
  <si>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</si>
  <si>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</si>
  <si>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</si>
  <si>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</si>
  <si>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</si>
  <si>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</si>
  <si>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</si>
  <si>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</si>
  <si>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</si>
  <si>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</si>
  <si>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</si>
  <si>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</si>
  <si>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</si>
  <si>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</si>
  <si>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</si>
  <si>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</si>
  <si>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</si>
  <si>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</si>
  <si>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</si>
  <si>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</si>
  <si>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</si>
  <si>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</si>
  <si>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</si>
  <si>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</si>
  <si>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</si>
  <si>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</si>
  <si>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</si>
  <si>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</si>
  <si>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</si>
  <si>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</si>
  <si>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</si>
  <si>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</si>
  <si>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</si>
  <si>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</si>
  <si>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</si>
  <si>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</si>
  <si>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</si>
  <si>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</si>
  <si>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</si>
  <si>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</si>
  <si>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</si>
  <si>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</si>
  <si>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</si>
  <si>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</si>
  <si>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</si>
  <si>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</si>
  <si>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</si>
  <si>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</si>
  <si>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</si>
  <si>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</si>
  <si>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</si>
  <si>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</si>
  <si>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</si>
  <si>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</si>
  <si>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</si>
  <si>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</si>
  <si>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</si>
  <si>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</si>
  <si>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</si>
  <si>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</si>
  <si>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</si>
  <si>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</si>
  <si>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</si>
  <si>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</si>
  <si>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</si>
  <si>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</si>
  <si>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</si>
  <si>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</si>
  <si>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</si>
  <si>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</si>
  <si>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</si>
  <si>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</si>
  <si>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</si>
  <si>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</si>
  <si>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</si>
  <si>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</si>
  <si>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</si>
  <si>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</si>
  <si>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</si>
  <si>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</si>
  <si>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</si>
  <si>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</si>
  <si>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</si>
  <si>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</si>
  <si>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</si>
  <si>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</si>
  <si>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</si>
  <si>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</si>
  <si>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</si>
  <si>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</si>
  <si>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</si>
  <si>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</si>
  <si>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</si>
  <si>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</si>
  <si>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</si>
  <si>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</si>
  <si>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</si>
  <si>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</si>
  <si>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</si>
  <si>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</si>
  <si>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</si>
  <si>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</si>
  <si>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</si>
  <si>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</si>
  <si>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</si>
  <si>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</si>
  <si>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</si>
  <si>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</si>
  <si>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</si>
  <si>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</si>
  <si>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</si>
  <si>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</si>
  <si>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</si>
  <si>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</si>
  <si>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</si>
  <si>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</si>
  <si>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</si>
  <si>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</si>
  <si>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</si>
  <si>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</si>
  <si>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</si>
  <si>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</si>
  <si>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</si>
  <si>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</si>
  <si>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</si>
  <si>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</si>
  <si>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</si>
  <si>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</si>
  <si>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</si>
  <si>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</si>
  <si>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</si>
  <si>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</si>
  <si>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</si>
  <si>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</si>
  <si>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</si>
  <si>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</si>
  <si>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</si>
  <si>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</si>
  <si>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</si>
  <si>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</si>
  <si>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</si>
  <si>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</si>
  <si>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</si>
  <si>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</si>
  <si>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</si>
  <si>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</si>
  <si>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</si>
  <si>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</si>
  <si>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</si>
  <si>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</si>
  <si>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</si>
  <si>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</si>
  <si>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</si>
  <si>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</si>
  <si>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</si>
  <si>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</si>
  <si>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</si>
  <si>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</si>
  <si>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</si>
  <si>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</si>
  <si>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</si>
  <si>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</si>
  <si>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</si>
  <si>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</si>
  <si>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</si>
  <si>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</si>
  <si>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</si>
  <si>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</si>
  <si>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</si>
  <si>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</si>
  <si>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</si>
  <si>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</si>
  <si>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</si>
  <si>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</si>
  <si>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</si>
  <si>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</si>
  <si>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</si>
  <si>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</si>
  <si>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</si>
  <si>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</si>
  <si>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</si>
  <si>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</si>
  <si>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</si>
  <si>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</si>
  <si>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</si>
  <si>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</si>
  <si>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</si>
  <si>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</si>
  <si>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</si>
  <si>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</si>
  <si>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</si>
  <si>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</si>
  <si>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</si>
  <si>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</si>
  <si>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</si>
  <si>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</si>
  <si>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</si>
  <si>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</si>
  <si>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</si>
  <si>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</si>
  <si>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</si>
  <si>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</si>
  <si>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</si>
  <si>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</si>
  <si>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</si>
  <si>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</si>
  <si>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</si>
  <si>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</si>
  <si>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</si>
  <si>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</si>
  <si>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</si>
  <si>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</si>
  <si>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</si>
  <si>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</si>
  <si>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</si>
  <si>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</si>
  <si>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</si>
  <si>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</si>
  <si>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</si>
  <si>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</si>
  <si>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</si>
  <si>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</si>
  <si>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</si>
  <si>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</si>
  <si>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</si>
  <si>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</si>
  <si>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</si>
  <si>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</si>
  <si>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</si>
  <si>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</si>
  <si>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</si>
  <si>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</si>
  <si>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</si>
  <si>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</si>
  <si>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</si>
  <si>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</si>
  <si>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</si>
  <si>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</si>
  <si>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</si>
  <si>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</si>
  <si>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</si>
  <si>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</si>
  <si>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</si>
  <si>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</si>
  <si>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</si>
  <si>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</si>
  <si>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</si>
  <si>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</si>
  <si>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</si>
  <si>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</si>
  <si>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</si>
  <si>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</si>
  <si>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</si>
  <si>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</si>
  <si>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</si>
  <si>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</si>
  <si>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</si>
  <si>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</si>
  <si>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</si>
  <si>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</si>
  <si>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</si>
  <si>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</si>
  <si>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</si>
  <si>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</si>
  <si>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</si>
  <si>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</si>
  <si>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</si>
  <si>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</si>
  <si>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</si>
  <si>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</si>
  <si>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</si>
  <si>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</si>
  <si>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</si>
  <si>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</si>
  <si>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</si>
  <si>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</si>
  <si>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</si>
  <si>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</si>
  <si>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</si>
  <si>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</si>
  <si>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</si>
  <si>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</si>
  <si>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</si>
  <si>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</si>
  <si>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</si>
  <si>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</si>
  <si>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</si>
  <si>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</si>
  <si>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</si>
  <si>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</si>
  <si>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</si>
  <si>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</si>
  <si>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</si>
  <si>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</si>
  <si>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</si>
  <si>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</si>
  <si>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</si>
  <si>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</si>
  <si>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</si>
  <si>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</si>
  <si>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</si>
  <si>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</si>
  <si>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</si>
  <si>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</si>
  <si>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</si>
  <si>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</si>
  <si>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</si>
  <si>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</si>
  <si>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</si>
  <si>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</si>
  <si>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</si>
  <si>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</si>
  <si>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</si>
  <si>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</si>
  <si>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</si>
  <si>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</si>
  <si>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</si>
  <si>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</si>
  <si>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</si>
  <si>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</si>
  <si>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</si>
  <si>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</si>
  <si>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</si>
  <si>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</si>
  <si>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</si>
  <si>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</si>
  <si>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</si>
  <si>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</si>
  <si>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</si>
  <si>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</si>
  <si>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</si>
  <si>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</si>
  <si>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</si>
  <si>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</si>
  <si>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</si>
  <si>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</si>
  <si>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</si>
  <si>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</si>
  <si>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</si>
  <si>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</si>
  <si>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</si>
  <si>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</si>
  <si>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</si>
  <si>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</si>
  <si>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</si>
  <si>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</si>
  <si>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</si>
  <si>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</si>
  <si>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</si>
  <si>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</si>
  <si>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</si>
  <si>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</si>
  <si>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</si>
  <si>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</si>
  <si>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</si>
  <si>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</si>
  <si>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</si>
  <si>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</si>
  <si>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</si>
  <si>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</si>
  <si>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</si>
  <si>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</si>
  <si>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</si>
  <si>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</si>
  <si>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</si>
  <si>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</si>
  <si>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</si>
  <si>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</si>
  <si>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</si>
  <si>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</si>
  <si>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</si>
  <si>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</si>
  <si>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</si>
  <si>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</si>
  <si>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</si>
  <si>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</si>
  <si>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</si>
  <si>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</si>
  <si>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</si>
  <si>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</si>
  <si>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</si>
  <si>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</si>
  <si>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</si>
  <si>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</si>
  <si>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</si>
  <si>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</si>
  <si>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</si>
  <si>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</si>
  <si>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</si>
  <si>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</si>
  <si>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</si>
  <si>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</si>
  <si>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</si>
  <si>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</si>
  <si>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</si>
  <si>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</si>
  <si>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</si>
  <si>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</si>
  <si>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</si>
  <si>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</si>
  <si>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</si>
  <si>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</si>
  <si>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</si>
  <si>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</si>
  <si>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</si>
  <si>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</si>
  <si>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</si>
  <si>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</si>
  <si>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</si>
  <si>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</si>
  <si>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</si>
  <si>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</si>
  <si>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</si>
  <si>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</si>
  <si>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</si>
  <si>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</si>
  <si>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</si>
  <si>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</si>
  <si>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</si>
  <si>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</si>
  <si>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</si>
  <si>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</si>
  <si>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</si>
  <si>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</si>
  <si>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</si>
  <si>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</si>
  <si>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</si>
  <si>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</si>
  <si>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</si>
  <si>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</si>
  <si>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</si>
  <si>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</si>
  <si>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</si>
  <si>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</si>
  <si>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</si>
  <si>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</si>
  <si>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</si>
  <si>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</si>
  <si>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</si>
  <si>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</si>
  <si>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</si>
  <si>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</si>
  <si>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</si>
  <si>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</si>
  <si>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</si>
  <si>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</si>
  <si>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</si>
  <si>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</si>
  <si>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</si>
  <si>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</si>
  <si>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</si>
  <si>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</si>
  <si>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</si>
  <si>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</si>
  <si>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</si>
  <si>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</si>
  <si>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</si>
  <si>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</si>
  <si>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</si>
  <si>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</si>
  <si>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</si>
  <si>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</si>
  <si>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</si>
  <si>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</si>
  <si>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</si>
  <si>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</si>
  <si>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</si>
  <si>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</si>
  <si>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</si>
  <si>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</si>
  <si>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</si>
  <si>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</si>
  <si>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</si>
  <si>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</si>
  <si>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</si>
  <si>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</si>
  <si>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</si>
  <si>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</si>
  <si>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</si>
  <si>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</si>
  <si>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</si>
  <si>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</si>
  <si>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</si>
  <si>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</si>
  <si>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</si>
  <si>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</si>
  <si>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</si>
  <si>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</si>
  <si>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</si>
  <si>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</si>
  <si>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</si>
  <si>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</si>
  <si>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</si>
  <si>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</si>
  <si>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</si>
  <si>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</si>
  <si>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</si>
  <si>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</si>
  <si>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</si>
  <si>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</si>
  <si>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</si>
  <si>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</si>
  <si>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</si>
  <si>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</si>
  <si>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</si>
  <si>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</si>
  <si>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</si>
  <si>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</si>
  <si>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</si>
  <si>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</si>
  <si>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</si>
  <si>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</si>
  <si>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</si>
  <si>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</si>
  <si>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</si>
  <si>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</si>
  <si>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</si>
  <si>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</si>
  <si>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</si>
  <si>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</si>
  <si>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</si>
  <si>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</si>
  <si>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</si>
  <si>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</si>
  <si>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</si>
  <si>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</si>
  <si>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</si>
  <si>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</si>
  <si>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</si>
  <si>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</si>
  <si>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</si>
  <si>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</si>
  <si>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</si>
  <si>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</si>
  <si>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</si>
  <si>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</si>
  <si>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</si>
  <si>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</si>
  <si>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</si>
  <si>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</si>
  <si>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</si>
  <si>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</si>
  <si>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</si>
  <si>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</si>
  <si>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</si>
  <si>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</si>
  <si>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</si>
  <si>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</si>
  <si>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</si>
  <si>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</si>
  <si>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</si>
  <si>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</si>
  <si>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</si>
  <si>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</si>
  <si>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</si>
  <si>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</si>
  <si>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</si>
  <si>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</si>
  <si>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</si>
  <si>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</si>
  <si>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</si>
  <si>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</si>
  <si>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</si>
  <si>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</si>
  <si>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</si>
  <si>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</si>
  <si>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</si>
  <si>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</si>
  <si>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</si>
  <si>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</si>
  <si>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</si>
  <si>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</si>
  <si>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</si>
  <si>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</si>
  <si>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</si>
  <si>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</si>
  <si>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</si>
  <si>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</si>
  <si>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</si>
  <si>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</si>
  <si>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</si>
  <si>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</si>
  <si>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</si>
  <si>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</si>
  <si>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</si>
  <si>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</si>
  <si>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</si>
  <si>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</si>
  <si>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</si>
  <si>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</si>
  <si>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</si>
  <si>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</si>
  <si>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</si>
  <si>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</si>
  <si>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</si>
  <si>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</si>
  <si>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</si>
  <si>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</si>
  <si>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</si>
  <si>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</si>
  <si>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</si>
  <si>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</si>
  <si>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</si>
  <si>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</si>
  <si>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</si>
  <si>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</si>
  <si>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</si>
  <si>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</si>
  <si>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</si>
  <si>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</si>
  <si>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</si>
  <si>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</si>
  <si>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</si>
  <si>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</si>
  <si>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</si>
  <si>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</si>
  <si>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</si>
  <si>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</si>
  <si>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</si>
  <si>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</si>
  <si>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</si>
  <si>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</si>
  <si>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</si>
  <si>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</si>
  <si>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</si>
  <si>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</si>
  <si>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</si>
  <si>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</si>
  <si>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</si>
  <si>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</si>
  <si>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</si>
  <si>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</si>
  <si>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</si>
  <si>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</si>
  <si>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</si>
  <si>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</si>
  <si>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</si>
  <si>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</si>
  <si>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</si>
  <si>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</si>
  <si>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</si>
  <si>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</si>
  <si>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</si>
  <si>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</si>
  <si>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</si>
  <si>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</si>
  <si>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</si>
  <si>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</si>
  <si>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</si>
  <si>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</si>
  <si>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</si>
  <si>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</si>
  <si>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</si>
  <si>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</si>
  <si>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</si>
  <si>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</si>
  <si>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</si>
  <si>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</si>
  <si>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</si>
  <si>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</si>
  <si>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</si>
  <si>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</si>
  <si>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</si>
  <si>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</si>
  <si>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</si>
  <si>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</si>
  <si>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</si>
  <si>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</si>
  <si>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</si>
  <si>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</si>
  <si>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</si>
  <si>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</si>
  <si>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</si>
  <si>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</si>
  <si>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</si>
  <si>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</si>
  <si>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</si>
  <si>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</si>
  <si>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</si>
  <si>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</si>
  <si>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</si>
  <si>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</si>
  <si>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</si>
  <si>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</si>
  <si>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</si>
  <si>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</si>
  <si>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</si>
  <si>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</si>
  <si>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</si>
  <si>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</si>
  <si>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</si>
  <si>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</si>
  <si>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</si>
  <si>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</si>
  <si>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</si>
  <si>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</si>
  <si>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</si>
  <si>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</si>
  <si>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</si>
  <si>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</si>
  <si>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</si>
  <si>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</si>
  <si>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</si>
  <si>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</si>
  <si>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</si>
  <si>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</si>
  <si>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</si>
  <si>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</si>
  <si>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</si>
  <si>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</si>
  <si>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</si>
  <si>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</si>
  <si>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</si>
  <si>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</si>
  <si>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</si>
  <si>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</si>
  <si>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</si>
  <si>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</si>
  <si>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</si>
  <si>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</si>
  <si>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</si>
  <si>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</si>
  <si>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</si>
  <si>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</si>
  <si>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</si>
  <si>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</si>
  <si>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</si>
  <si>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</si>
  <si>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</si>
  <si>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</si>
  <si>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</si>
  <si>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</si>
  <si>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</si>
  <si>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</si>
  <si>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</si>
  <si>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</si>
  <si>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</si>
  <si>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</si>
  <si>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</si>
  <si>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</si>
  <si>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</si>
  <si>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</si>
  <si>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</si>
  <si>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</si>
  <si>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</si>
  <si>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</si>
  <si>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</si>
  <si>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</si>
  <si>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</si>
  <si>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</si>
  <si>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</si>
  <si>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</si>
  <si>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</si>
  <si>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</si>
  <si>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</si>
  <si>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</si>
  <si>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</si>
  <si>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</si>
  <si>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</si>
  <si>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</si>
  <si>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</si>
  <si>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</si>
  <si>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</si>
  <si>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</si>
  <si>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</si>
  <si>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</si>
  <si>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</si>
  <si>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</si>
  <si>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</si>
  <si>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</si>
  <si>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</si>
  <si>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</si>
  <si>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</si>
  <si>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</si>
  <si>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</si>
  <si>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</si>
  <si>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</si>
  <si>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</si>
  <si>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</si>
  <si>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</si>
  <si>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</si>
  <si>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</si>
  <si>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</si>
  <si>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</si>
  <si>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</si>
  <si>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</si>
  <si>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</si>
  <si>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</si>
  <si>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</si>
  <si>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</si>
  <si>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</si>
  <si>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</si>
  <si>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</si>
  <si>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</si>
  <si>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</si>
  <si>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</si>
  <si>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</si>
  <si>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</si>
  <si>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</si>
  <si>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</si>
  <si>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</si>
  <si>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</si>
  <si>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</si>
  <si>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</si>
  <si>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</si>
  <si>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</si>
  <si>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</si>
  <si>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</si>
  <si>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</si>
  <si>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</si>
  <si>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</si>
  <si>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</si>
  <si>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</si>
  <si>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</si>
  <si>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</si>
  <si>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</si>
  <si>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</si>
  <si>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</si>
  <si>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</si>
  <si>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</si>
  <si>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</si>
  <si>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</si>
  <si>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</si>
  <si>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</si>
  <si>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</si>
  <si>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</si>
  <si>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</si>
  <si>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</si>
  <si>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</si>
  <si>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</si>
  <si>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</si>
  <si>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</si>
  <si>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</si>
  <si>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</si>
  <si>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</si>
  <si>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</si>
  <si>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</si>
  <si>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</si>
  <si>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</si>
  <si>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</si>
  <si>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</si>
  <si>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</si>
  <si>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</si>
  <si>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</si>
  <si>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</si>
  <si>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</si>
  <si>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</si>
  <si>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</si>
  <si>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</si>
  <si>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</si>
  <si>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</si>
  <si>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</si>
  <si>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</si>
  <si>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</si>
  <si>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</si>
  <si>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</si>
  <si>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</si>
  <si>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</si>
  <si>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</si>
  <si>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</si>
  <si>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</si>
  <si>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</si>
  <si>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</si>
  <si>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</si>
  <si>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</si>
  <si>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</si>
  <si>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</si>
  <si>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</si>
  <si>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</si>
  <si>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</si>
  <si>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</si>
  <si>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</si>
  <si>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</si>
  <si>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</si>
  <si>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</si>
  <si>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</si>
  <si>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</si>
  <si>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</si>
  <si>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</si>
  <si>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</si>
  <si>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</si>
  <si>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</si>
  <si>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</si>
  <si>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</si>
  <si>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</si>
  <si>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</si>
  <si>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</si>
  <si>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</si>
  <si>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</si>
  <si>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</si>
  <si>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</si>
  <si>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</si>
  <si>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</si>
  <si>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</si>
  <si>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</si>
  <si>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</si>
  <si>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</si>
  <si>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</si>
  <si>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</si>
  <si>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</si>
  <si>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</si>
  <si>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</si>
  <si>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</si>
  <si>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</si>
  <si>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</si>
  <si>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</si>
  <si>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</si>
  <si>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</si>
  <si>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</si>
  <si>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</si>
  <si>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</si>
  <si>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</si>
  <si>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</si>
  <si>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</si>
  <si>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</si>
  <si>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</si>
  <si>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</si>
  <si>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</si>
  <si>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</si>
  <si>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</si>
  <si>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</si>
  <si>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</si>
  <si>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</si>
  <si>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</si>
  <si>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</si>
  <si>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</si>
  <si>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</si>
  <si>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</si>
  <si>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</si>
  <si>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</si>
  <si>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</si>
  <si>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</si>
  <si>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</si>
  <si>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</si>
  <si>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</si>
  <si>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</si>
  <si>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</si>
  <si>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</si>
  <si>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</si>
  <si>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</si>
  <si>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</si>
  <si>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</si>
  <si>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</si>
  <si>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</si>
  <si>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</si>
  <si>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</si>
  <si>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</si>
  <si>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</si>
  <si>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</si>
  <si>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</si>
  <si>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</si>
  <si>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</si>
  <si>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</si>
  <si>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</si>
  <si>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</si>
  <si>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</si>
  <si>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</si>
  <si>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</si>
  <si>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</si>
  <si>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</si>
  <si>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</si>
  <si>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</si>
  <si>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</si>
  <si>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</si>
  <si>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</si>
  <si>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</si>
  <si>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</si>
  <si>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</si>
  <si>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</si>
  <si>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</si>
  <si>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</si>
  <si>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</si>
  <si>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</si>
  <si>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</si>
  <si>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</si>
  <si>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</si>
  <si>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</si>
  <si>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</si>
  <si>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</si>
  <si>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</si>
  <si>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</si>
  <si>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</si>
  <si>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</si>
  <si>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</si>
  <si>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</si>
  <si>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</si>
  <si>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</si>
  <si>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</si>
  <si>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</si>
  <si>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</si>
  <si>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</si>
  <si>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</si>
  <si>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</si>
  <si>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</si>
  <si>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</si>
  <si>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</si>
  <si>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</si>
  <si>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</si>
  <si>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</si>
  <si>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</si>
  <si>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</si>
  <si>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</si>
  <si>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</si>
  <si>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</si>
  <si>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</si>
  <si>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</si>
  <si>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</si>
  <si>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</si>
  <si>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</si>
  <si>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</si>
  <si>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</si>
  <si>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</si>
  <si>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</si>
  <si>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</si>
  <si>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</si>
  <si>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</si>
  <si>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</si>
  <si>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</si>
  <si>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</si>
  <si>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</si>
  <si>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</si>
  <si>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</si>
  <si>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</si>
  <si>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</si>
  <si>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</si>
  <si>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</si>
  <si>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</si>
  <si>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</si>
  <si>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</si>
  <si>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</si>
  <si>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</si>
  <si>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</si>
  <si>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</si>
  <si>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</si>
  <si>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</si>
  <si>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</si>
  <si>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</si>
  <si>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</si>
  <si>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</si>
  <si>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</si>
  <si>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</si>
  <si>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</si>
  <si>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</si>
  <si>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</si>
  <si>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</si>
  <si>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</si>
  <si>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</si>
  <si>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</si>
  <si>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</si>
  <si>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</si>
  <si>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</si>
  <si>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</si>
  <si>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</si>
  <si>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</si>
  <si>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</si>
  <si>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</si>
  <si>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</si>
  <si>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</si>
  <si>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</si>
  <si>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</si>
  <si>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</si>
  <si>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</si>
  <si>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</si>
  <si>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</si>
  <si>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</si>
  <si>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</si>
  <si>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</si>
  <si>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</si>
  <si>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</si>
  <si>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</si>
  <si>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</si>
  <si>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</si>
  <si>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</si>
  <si>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</si>
  <si>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</si>
  <si>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</si>
  <si>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</si>
  <si>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</si>
  <si>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</si>
  <si>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</si>
  <si>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</si>
  <si>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</si>
  <si>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</si>
  <si>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</si>
  <si>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</si>
  <si>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</si>
  <si>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</si>
  <si>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</si>
  <si>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</si>
  <si>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</si>
  <si>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</si>
  <si>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</si>
  <si>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</si>
  <si>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</si>
  <si>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</si>
  <si>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</si>
  <si>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</si>
  <si>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</si>
  <si>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</si>
  <si>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</si>
  <si>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</si>
  <si>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</si>
  <si>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</si>
  <si>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</si>
  <si>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</si>
  <si>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</si>
  <si>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</si>
  <si>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</si>
  <si>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</si>
  <si>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</si>
  <si>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</si>
  <si>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</si>
  <si>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</si>
  <si>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</si>
  <si>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</si>
  <si>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</si>
  <si>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</si>
  <si>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</si>
  <si>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</si>
  <si>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</si>
  <si>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</si>
  <si>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</si>
  <si>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</si>
  <si>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</si>
  <si>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</si>
  <si>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</si>
  <si>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</si>
  <si>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</si>
  <si>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</si>
  <si>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</si>
  <si>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</si>
  <si>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</si>
  <si>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</si>
  <si>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</si>
  <si>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</si>
  <si>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</si>
  <si>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</si>
  <si>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</si>
  <si>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</si>
  <si>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</si>
  <si>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</si>
  <si>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</si>
  <si>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</si>
  <si>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</si>
  <si>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</si>
  <si>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</si>
  <si>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</si>
  <si>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</si>
  <si>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</si>
  <si>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</si>
  <si>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</si>
  <si>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</si>
  <si>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</si>
  <si>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</si>
  <si>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</si>
  <si>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</si>
  <si>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</si>
  <si>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</si>
  <si>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</si>
  <si>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</si>
  <si>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</si>
  <si>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</si>
  <si>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</si>
  <si>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</si>
  <si>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</si>
  <si>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</si>
  <si>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</si>
  <si>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</si>
  <si>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</si>
  <si>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</si>
  <si>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</si>
  <si>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</si>
  <si>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</si>
  <si>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</si>
  <si>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</si>
  <si>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</si>
  <si>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</si>
  <si>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</si>
  <si>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</si>
  <si>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</si>
  <si>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</si>
  <si>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</si>
  <si>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</si>
  <si>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</si>
  <si>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</si>
  <si>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</si>
  <si>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</si>
  <si>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</si>
  <si>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</si>
  <si>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</si>
  <si>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</si>
  <si>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</si>
  <si>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</si>
  <si>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</si>
  <si>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</si>
  <si>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</si>
  <si>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</si>
  <si>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</si>
  <si>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</si>
  <si>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</si>
  <si>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</si>
  <si>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</si>
  <si>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</si>
  <si>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</si>
  <si>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</si>
  <si>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</si>
  <si>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</si>
  <si>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</si>
  <si>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</si>
  <si>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</si>
  <si>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</si>
  <si>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</si>
  <si>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</si>
  <si>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</si>
  <si>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</si>
  <si>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</si>
  <si>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</si>
  <si>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</si>
  <si>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</si>
  <si>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</si>
  <si>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</si>
  <si>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</si>
  <si>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</si>
  <si>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</si>
  <si>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</si>
  <si>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</si>
  <si>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</si>
  <si>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</si>
  <si>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</si>
  <si>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</si>
  <si>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</si>
  <si>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</si>
  <si>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</si>
  <si>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</si>
  <si>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</si>
  <si>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</si>
  <si>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</si>
  <si>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</si>
  <si>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</si>
  <si>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</si>
  <si>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</si>
  <si>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</si>
  <si>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</si>
  <si>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</si>
  <si>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</si>
  <si>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</si>
  <si>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</si>
  <si>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</si>
  <si>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</si>
  <si>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</si>
  <si>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</si>
  <si>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</si>
  <si>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</si>
  <si>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</si>
  <si>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</si>
  <si>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</si>
  <si>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</si>
  <si>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</si>
  <si>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</si>
  <si>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</si>
  <si>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</si>
  <si>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</si>
  <si>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</si>
  <si>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</si>
  <si>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</si>
  <si>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</si>
  <si>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</si>
  <si>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</si>
  <si>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</si>
  <si>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</si>
  <si>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</si>
  <si>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</si>
  <si>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</si>
  <si>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</si>
  <si>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</si>
  <si>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</si>
  <si>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</si>
  <si>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</si>
  <si>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</si>
  <si>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</si>
  <si>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</si>
  <si>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</si>
  <si>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</si>
  <si>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</si>
  <si>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</si>
  <si>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</si>
  <si>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</si>
  <si>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</si>
  <si>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</si>
  <si>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</si>
  <si>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</si>
  <si>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</si>
  <si>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</si>
  <si>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</si>
  <si>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</si>
  <si>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</si>
  <si>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</si>
  <si>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</si>
  <si>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</si>
  <si>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</si>
  <si>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</si>
  <si>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</si>
  <si>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</si>
  <si>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</si>
  <si>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</si>
  <si>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</si>
  <si>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</si>
  <si>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</si>
  <si>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</si>
  <si>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</si>
  <si>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</si>
  <si>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</si>
  <si>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</si>
  <si>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</si>
  <si>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</si>
  <si>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</si>
  <si>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</si>
  <si>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</si>
  <si>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</si>
  <si>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</si>
  <si>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</si>
  <si>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</si>
  <si>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</si>
  <si>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</si>
  <si>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</si>
  <si>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</si>
  <si>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</si>
  <si>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</si>
  <si>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</si>
  <si>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</si>
  <si>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</si>
  <si>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</si>
  <si>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</si>
  <si>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</si>
  <si>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</si>
  <si>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</si>
  <si>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</si>
  <si>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</si>
  <si>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</si>
  <si>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</si>
  <si>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</si>
  <si>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</si>
  <si>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</si>
  <si>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</si>
  <si>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</si>
  <si>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</si>
  <si>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</si>
  <si>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</si>
  <si>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</si>
  <si>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</si>
  <si>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</si>
  <si>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</si>
  <si>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</si>
  <si>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</si>
  <si>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</si>
  <si>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</si>
  <si>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</si>
  <si>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</si>
  <si>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</si>
  <si>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</si>
  <si>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</si>
  <si>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</si>
  <si>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</si>
  <si>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</si>
  <si>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</si>
  <si>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</si>
  <si>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</si>
  <si>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</si>
  <si>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</si>
  <si>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</si>
  <si>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</si>
  <si>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</si>
  <si>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</si>
  <si>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</si>
  <si>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</si>
  <si>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</si>
  <si>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</si>
  <si>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</si>
  <si>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</si>
  <si>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</si>
  <si>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</si>
  <si>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</si>
  <si>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</si>
  <si>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</si>
  <si>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</si>
  <si>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</si>
  <si>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</si>
  <si>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</si>
  <si>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</si>
  <si>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</si>
  <si>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</si>
  <si>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</si>
  <si>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</si>
  <si>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</si>
  <si>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</si>
  <si>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</si>
  <si>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</si>
  <si>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</si>
  <si>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</si>
  <si>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</si>
  <si>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</si>
  <si>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</si>
  <si>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</si>
  <si>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</si>
  <si>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</si>
  <si>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</si>
  <si>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</si>
  <si>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</si>
  <si>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</si>
  <si>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</si>
  <si>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</si>
  <si>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</si>
  <si>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</si>
  <si>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</si>
  <si>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</si>
  <si>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</si>
  <si>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</si>
  <si>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</si>
  <si>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</si>
  <si>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</si>
  <si>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</si>
  <si>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</si>
  <si>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</si>
  <si>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</si>
  <si>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</si>
  <si>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</si>
  <si>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</si>
  <si>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</si>
  <si>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</si>
  <si>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</si>
  <si>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</si>
  <si>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</si>
  <si>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</si>
  <si>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</si>
  <si>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</si>
  <si>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</si>
  <si>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</si>
  <si>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</si>
  <si>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</si>
  <si>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</si>
  <si>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</si>
  <si>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</si>
  <si>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</si>
  <si>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</si>
  <si>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</si>
  <si>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</si>
  <si>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</si>
  <si>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</si>
  <si>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</si>
  <si>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</si>
  <si>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</si>
  <si>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</si>
  <si>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</si>
  <si>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</si>
  <si>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</si>
  <si>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</si>
  <si>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</si>
  <si>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</si>
  <si>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</si>
  <si>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</si>
  <si>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</si>
  <si>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</si>
  <si>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</si>
  <si>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</si>
  <si>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</si>
  <si>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</si>
  <si>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</si>
  <si>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</si>
  <si>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</si>
  <si>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</si>
  <si>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</si>
  <si>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</si>
  <si>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</si>
  <si>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</si>
  <si>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</si>
  <si>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</si>
  <si>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</si>
  <si>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</si>
  <si>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</si>
  <si>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</si>
  <si>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</si>
  <si>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</si>
  <si>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</si>
  <si>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</si>
  <si>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</si>
  <si>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</si>
  <si>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</si>
  <si>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</si>
  <si>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</si>
  <si>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</si>
  <si>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</si>
  <si>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</si>
  <si>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</si>
  <si>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</si>
  <si>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</si>
  <si>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</si>
  <si>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</si>
  <si>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</si>
  <si>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</si>
  <si>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</si>
  <si>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</si>
  <si>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</si>
  <si>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</si>
  <si>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</si>
  <si>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</si>
  <si>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</si>
  <si>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</si>
  <si>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</si>
  <si>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</si>
  <si>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</si>
  <si>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</si>
  <si>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</si>
  <si>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</si>
  <si>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</si>
  <si>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</si>
  <si>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</si>
  <si>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</si>
  <si>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</si>
  <si>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</si>
  <si>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</si>
  <si>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</si>
  <si>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</si>
  <si>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</si>
  <si>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</si>
  <si>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</si>
  <si>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</si>
  <si>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</si>
  <si>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</si>
  <si>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</si>
  <si>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</si>
  <si>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</si>
  <si>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</si>
  <si>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</si>
  <si>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</si>
  <si>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</si>
  <si>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</si>
  <si>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</si>
  <si>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</si>
  <si>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</si>
  <si>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</si>
  <si>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</si>
  <si>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</si>
  <si>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</si>
  <si>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</si>
  <si>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</si>
  <si>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</si>
  <si>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</si>
  <si>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</si>
  <si>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</si>
  <si>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</si>
  <si>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</si>
  <si>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</si>
  <si>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</si>
  <si>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</si>
  <si>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</si>
  <si>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</si>
  <si>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</si>
  <si>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</si>
  <si>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</si>
  <si>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</si>
  <si>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</si>
  <si>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</si>
  <si>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</si>
  <si>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</si>
  <si>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</si>
  <si>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</si>
  <si>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</si>
  <si>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</si>
  <si>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</si>
  <si>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</si>
  <si>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</si>
  <si>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</si>
  <si>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</si>
  <si>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</si>
  <si>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</si>
  <si>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</si>
  <si>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</si>
  <si>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</si>
  <si>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</si>
  <si>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</si>
  <si>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</si>
  <si>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</si>
  <si>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</si>
  <si>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</si>
  <si>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</si>
  <si>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</si>
  <si>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</si>
  <si>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</si>
  <si>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</si>
  <si>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</si>
  <si>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</si>
  <si>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</si>
  <si>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</si>
  <si>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</si>
  <si>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</si>
  <si>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</si>
  <si>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</si>
  <si>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</si>
  <si>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</si>
  <si>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</si>
  <si>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</si>
  <si>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</si>
  <si>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</si>
  <si>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</si>
  <si>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</si>
  <si>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</si>
  <si>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</si>
  <si>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</si>
  <si>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</si>
  <si>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</si>
  <si>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</si>
  <si>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</si>
  <si>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</si>
  <si>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</si>
  <si>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</si>
  <si>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</si>
  <si>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</si>
  <si>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</si>
  <si>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</si>
  <si>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</si>
  <si>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</si>
  <si>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</si>
  <si>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</si>
  <si>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</si>
  <si>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</si>
  <si>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</si>
  <si>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</si>
  <si>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</si>
  <si>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</si>
  <si>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</si>
  <si>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</si>
  <si>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</si>
  <si>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</si>
  <si>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</si>
  <si>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</si>
  <si>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</si>
  <si>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</si>
  <si>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</si>
  <si>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</si>
  <si>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</si>
  <si>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</si>
  <si>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</si>
  <si>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</si>
  <si>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</si>
  <si>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</si>
  <si>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</si>
  <si>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</si>
  <si>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</si>
  <si>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</si>
  <si>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</si>
  <si>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</si>
  <si>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</si>
  <si>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</si>
  <si>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</si>
  <si>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</si>
  <si>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</si>
  <si>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</si>
  <si>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</si>
  <si>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</si>
  <si>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</si>
  <si>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</si>
  <si>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</si>
  <si>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</si>
  <si>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</si>
  <si>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</si>
  <si>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</si>
  <si>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</si>
  <si>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</si>
  <si>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</si>
  <si>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</si>
  <si>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</si>
  <si>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</si>
  <si>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</si>
  <si>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</si>
  <si>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</si>
  <si>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</si>
  <si>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</si>
  <si>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</si>
  <si>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</si>
  <si>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</si>
  <si>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</si>
  <si>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</si>
  <si>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</si>
  <si>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</si>
  <si>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</si>
  <si>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</si>
  <si>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</si>
  <si>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</si>
  <si>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</si>
  <si>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</si>
  <si>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</si>
  <si>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</si>
  <si>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</si>
  <si>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</si>
  <si>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</si>
  <si>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</si>
  <si>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</si>
  <si>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</si>
  <si>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</si>
  <si>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</si>
  <si>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</si>
  <si>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</si>
  <si>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</si>
  <si>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</si>
  <si>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</si>
  <si>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</si>
  <si>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</si>
  <si>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</si>
  <si>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</si>
  <si>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</si>
  <si>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</si>
  <si>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</si>
  <si>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</si>
  <si>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</si>
  <si>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</si>
  <si>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</si>
  <si>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</si>
  <si>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</si>
  <si>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</si>
  <si>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</si>
  <si>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</si>
  <si>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</si>
  <si>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</si>
  <si>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</si>
  <si>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</si>
  <si>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</si>
  <si>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</si>
  <si>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</si>
  <si>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</si>
  <si>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</si>
  <si>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</si>
  <si>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</si>
  <si>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</si>
  <si>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</si>
  <si>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</si>
  <si>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</si>
  <si>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</si>
  <si>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</si>
  <si>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</si>
  <si>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</si>
  <si>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</si>
  <si>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</si>
  <si>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</si>
  <si>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</si>
  <si>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</si>
  <si>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</si>
  <si>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</si>
  <si>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</si>
  <si>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</si>
  <si>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</si>
  <si>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</si>
  <si>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</si>
  <si>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</si>
  <si>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</si>
  <si>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</si>
  <si>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</si>
  <si>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</si>
  <si>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</si>
  <si>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</si>
  <si>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</si>
  <si>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</si>
  <si>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</si>
  <si>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</si>
  <si>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</si>
  <si>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</si>
  <si>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</si>
  <si>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</si>
  <si>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</si>
  <si>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</si>
  <si>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</si>
  <si>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</si>
  <si>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</si>
  <si>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</si>
  <si>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</si>
  <si>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</si>
  <si>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</si>
  <si>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</si>
  <si>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</si>
  <si>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</si>
  <si>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</si>
  <si>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</si>
  <si>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</si>
  <si>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</si>
  <si>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</si>
  <si>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</si>
  <si>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</si>
  <si>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</si>
  <si>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</si>
  <si>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</si>
  <si>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</si>
  <si>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</si>
  <si>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</si>
  <si>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</si>
  <si>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</si>
  <si>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</si>
  <si>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</si>
  <si>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</si>
  <si>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</si>
  <si>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</si>
  <si>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</si>
  <si>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</si>
  <si>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</si>
  <si>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</si>
  <si>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</si>
  <si>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</si>
  <si>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</si>
  <si>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</si>
  <si>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</si>
  <si>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</si>
  <si>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</si>
  <si>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</si>
  <si>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</si>
  <si>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</si>
  <si>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</si>
  <si>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</si>
  <si>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</si>
  <si>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</si>
  <si>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</si>
  <si>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</si>
  <si>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</si>
  <si>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</si>
  <si>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</si>
  <si>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</si>
  <si>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</si>
  <si>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</si>
  <si>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</si>
  <si>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</si>
  <si>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</si>
  <si>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</si>
  <si>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</si>
  <si>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</si>
  <si>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</si>
  <si>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</si>
  <si>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</si>
  <si>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</si>
  <si>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</si>
  <si>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</si>
  <si>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</si>
  <si>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</si>
  <si>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</si>
  <si>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</si>
  <si>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</si>
  <si>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</si>
  <si>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</si>
  <si>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</si>
  <si>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</si>
  <si>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</si>
  <si>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</si>
  <si>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</si>
  <si>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</si>
  <si>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</si>
  <si>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</si>
  <si>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</si>
  <si>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</si>
  <si>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</si>
  <si>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</si>
  <si>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</si>
  <si>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</si>
  <si>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</si>
  <si>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</si>
  <si>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</si>
  <si>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</si>
  <si>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</si>
  <si>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</si>
  <si>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</si>
  <si>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</si>
  <si>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</si>
  <si>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</si>
  <si>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</si>
  <si>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</si>
  <si>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</si>
  <si>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</si>
  <si>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</si>
  <si>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</si>
  <si>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</si>
  <si>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</si>
  <si>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</si>
  <si>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</si>
  <si>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</si>
  <si>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</si>
  <si>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</si>
  <si>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</si>
  <si>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</si>
  <si>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</si>
  <si>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</si>
  <si>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</si>
  <si>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</si>
  <si>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</si>
  <si>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</si>
  <si>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</si>
  <si>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</si>
  <si>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</si>
  <si>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</si>
  <si>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</si>
  <si>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</si>
  <si>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</si>
  <si>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</si>
  <si>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</si>
  <si>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</si>
  <si>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</si>
  <si>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</si>
  <si>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</si>
  <si>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</si>
  <si>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</si>
  <si>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</si>
  <si>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</si>
  <si>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</si>
  <si>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</si>
  <si>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</si>
  <si>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</si>
  <si>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</si>
  <si>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</si>
  <si>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</si>
  <si>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</si>
  <si>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</si>
  <si>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</si>
  <si>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</si>
  <si>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</si>
  <si>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</si>
  <si>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</si>
  <si>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</si>
  <si>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</si>
  <si>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</si>
  <si>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</si>
  <si>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</si>
  <si>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</si>
  <si>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</si>
  <si>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</si>
  <si>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</si>
  <si>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</si>
  <si>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</si>
  <si>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</si>
  <si>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</si>
  <si>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</si>
  <si>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</si>
  <si>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</si>
  <si>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</si>
  <si>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</si>
  <si>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</si>
  <si>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</si>
  <si>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</si>
  <si>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</si>
  <si>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</si>
  <si>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</si>
  <si>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</si>
  <si>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</si>
  <si>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</si>
  <si>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</si>
  <si>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</si>
  <si>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</si>
  <si>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</si>
  <si>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</si>
  <si>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</si>
  <si>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</si>
  <si>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</si>
  <si>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</si>
  <si>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</si>
  <si>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</si>
  <si>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</si>
  <si>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</si>
  <si>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</si>
  <si>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</si>
  <si>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</si>
  <si>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</si>
  <si>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</si>
  <si>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</si>
  <si>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</si>
  <si>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</si>
  <si>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</si>
  <si>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</si>
  <si>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</si>
  <si>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</si>
  <si>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</si>
  <si>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</si>
  <si>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</si>
  <si>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</si>
  <si>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</si>
  <si>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</si>
  <si>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</si>
  <si>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</si>
  <si>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</si>
  <si>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</si>
  <si>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</si>
  <si>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</si>
  <si>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</si>
  <si>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</si>
  <si>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</si>
  <si>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</si>
  <si>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</si>
  <si>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</si>
  <si>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</si>
  <si>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</si>
  <si>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</si>
  <si>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</si>
  <si>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</si>
  <si>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</si>
  <si>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</si>
  <si>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</si>
  <si>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</si>
  <si>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</si>
  <si>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</si>
  <si>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</si>
  <si>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</si>
  <si>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</si>
  <si>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</si>
  <si>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</si>
  <si>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</si>
  <si>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</si>
  <si>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</si>
  <si>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</si>
  <si>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</si>
  <si>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</si>
  <si>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</si>
  <si>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</si>
  <si>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</si>
  <si>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</si>
  <si>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</si>
  <si>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</si>
  <si>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</si>
  <si>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</si>
  <si>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</si>
  <si>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</si>
  <si>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</si>
  <si>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</si>
  <si>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</si>
  <si>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</si>
  <si>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</si>
  <si>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</si>
  <si>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</si>
  <si>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</si>
  <si>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</si>
  <si>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</si>
  <si>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</si>
  <si>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</si>
  <si>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</si>
  <si>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</si>
  <si>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</si>
  <si>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</si>
  <si>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</si>
  <si>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</si>
  <si>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</si>
  <si>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</si>
  <si>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</si>
  <si>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</si>
  <si>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</si>
  <si>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</si>
  <si>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</si>
  <si>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</si>
  <si>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</si>
  <si>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</si>
  <si>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</si>
  <si>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</si>
  <si>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</si>
  <si>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</si>
  <si>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</si>
  <si>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</si>
  <si>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</si>
  <si>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</si>
  <si>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</si>
  <si>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</si>
  <si>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</si>
  <si>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</si>
  <si>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</si>
  <si>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</si>
  <si>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</si>
  <si>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</si>
  <si>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</si>
  <si>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</si>
  <si>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</si>
  <si>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</si>
  <si>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</si>
  <si>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</si>
  <si>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</si>
  <si>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</si>
  <si>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</si>
  <si>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</si>
  <si>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</si>
  <si>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</si>
  <si>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</si>
  <si>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</si>
  <si>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</si>
  <si>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</si>
  <si>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</si>
  <si>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</si>
  <si>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</si>
  <si>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</si>
  <si>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</si>
  <si>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</si>
  <si>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</si>
  <si>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</si>
  <si>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</si>
  <si>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</si>
  <si>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</si>
  <si>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</si>
  <si>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</si>
  <si>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</si>
  <si>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</si>
  <si>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</si>
  <si>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</si>
  <si>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</si>
  <si>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</si>
  <si>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</si>
  <si>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</si>
  <si>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</si>
  <si>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</si>
  <si>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</si>
  <si>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</si>
  <si>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</si>
  <si>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</si>
  <si>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</si>
  <si>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</si>
  <si>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</si>
  <si>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</si>
  <si>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</si>
  <si>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</si>
  <si>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</si>
  <si>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</si>
  <si>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</si>
  <si>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</si>
  <si>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</si>
  <si>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</si>
  <si>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</si>
  <si>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</si>
  <si>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</si>
  <si>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</si>
  <si>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</si>
  <si>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</si>
  <si>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</si>
  <si>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</si>
  <si>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</si>
  <si>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</si>
  <si>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</si>
  <si>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</si>
  <si>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</si>
  <si>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</si>
  <si>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</si>
  <si>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</si>
  <si>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</si>
  <si>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</si>
  <si>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</si>
  <si>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</si>
  <si>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</si>
  <si>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</si>
  <si>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</si>
  <si>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</si>
  <si>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</si>
  <si>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</si>
  <si>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</si>
  <si>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</si>
  <si>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</si>
  <si>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</si>
  <si>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</si>
  <si>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</si>
  <si>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</si>
  <si>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</si>
  <si>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</si>
  <si>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</si>
  <si>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</si>
  <si>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</si>
  <si>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</si>
  <si>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</si>
  <si>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</si>
  <si>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</si>
  <si>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</si>
  <si>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</si>
  <si>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</si>
  <si>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</si>
  <si>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</si>
  <si>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</si>
  <si>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</si>
  <si>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</si>
  <si>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</si>
  <si>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</si>
  <si>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</si>
  <si>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</si>
  <si>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</si>
  <si>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</si>
  <si>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</si>
  <si>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</si>
  <si>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</si>
  <si>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</si>
  <si>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</si>
  <si>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</si>
  <si>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</si>
  <si>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</si>
  <si>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</si>
  <si>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</si>
  <si>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</si>
  <si>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</si>
  <si>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</si>
  <si>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</si>
  <si>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</si>
  <si>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</si>
  <si>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</si>
  <si>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</si>
  <si>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</si>
  <si>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</si>
  <si>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</si>
  <si>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</si>
  <si>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</si>
  <si>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</si>
  <si>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</si>
  <si>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</si>
  <si>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</si>
  <si>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</si>
  <si>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</si>
  <si>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</si>
  <si>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</si>
  <si>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</si>
  <si>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</si>
  <si>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</si>
  <si>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</si>
  <si>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</si>
  <si>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</si>
  <si>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</si>
  <si>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</si>
  <si>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</si>
  <si>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</si>
  <si>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</si>
  <si>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</si>
  <si>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</si>
  <si>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</si>
  <si>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</si>
  <si>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</si>
  <si>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</si>
  <si>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</si>
  <si>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</si>
  <si>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</si>
  <si>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</si>
  <si>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</si>
  <si>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</si>
  <si>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</si>
  <si>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</si>
  <si>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</si>
  <si>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</si>
  <si>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</si>
  <si>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</si>
  <si>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</si>
  <si>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</si>
  <si>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</si>
  <si>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</si>
  <si>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</si>
  <si>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</si>
  <si>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</si>
  <si>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</si>
  <si>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</si>
  <si>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</si>
  <si>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</si>
  <si>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</si>
  <si>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</si>
  <si>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</si>
  <si>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</si>
  <si>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</si>
  <si>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</si>
  <si>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</si>
  <si>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</si>
  <si>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</si>
  <si>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</si>
  <si>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</si>
  <si>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</si>
  <si>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</si>
  <si>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</si>
  <si>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</si>
  <si>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</si>
  <si>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</si>
  <si>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</si>
  <si>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</si>
  <si>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</si>
  <si>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</si>
  <si>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</si>
  <si>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</si>
  <si>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</si>
  <si>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</si>
  <si>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</si>
  <si>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</si>
  <si>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</si>
  <si>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</si>
  <si>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</si>
  <si>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</si>
  <si>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</si>
  <si>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</si>
  <si>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</si>
  <si>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</si>
  <si>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</si>
  <si>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</si>
  <si>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</si>
  <si>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</si>
  <si>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</si>
  <si>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</si>
  <si>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</si>
  <si>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</si>
  <si>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</si>
  <si>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</si>
  <si>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</si>
  <si>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</si>
  <si>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</si>
  <si>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</si>
  <si>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</si>
  <si>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</si>
  <si>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</si>
  <si>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</si>
  <si>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</si>
  <si>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</si>
  <si>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</si>
  <si>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</si>
  <si>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</si>
  <si>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</si>
  <si>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</si>
  <si>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</si>
  <si>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</si>
  <si>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</si>
  <si>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</si>
  <si>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</si>
  <si>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</si>
  <si>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</si>
  <si>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</si>
  <si>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</si>
  <si>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</si>
  <si>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</si>
  <si>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</si>
  <si>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</si>
  <si>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</si>
  <si>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</si>
  <si>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</si>
  <si>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</si>
  <si>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</si>
  <si>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</si>
  <si>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</si>
  <si>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</si>
  <si>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</si>
  <si>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</si>
  <si>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</si>
  <si>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</si>
  <si>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</si>
  <si>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</si>
  <si>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</si>
  <si>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</si>
  <si>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</si>
  <si>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</si>
  <si>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</si>
  <si>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</si>
  <si>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</si>
  <si>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</si>
  <si>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</si>
  <si>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</si>
  <si>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</si>
  <si>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</si>
  <si>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</si>
  <si>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</si>
  <si>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</si>
  <si>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</si>
  <si>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</si>
  <si>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</si>
  <si>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</si>
  <si>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</si>
  <si>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</si>
  <si>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</si>
  <si>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</si>
  <si>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</si>
  <si>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</si>
  <si>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</si>
  <si>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</si>
  <si>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</si>
  <si>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</si>
  <si>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</si>
  <si>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</si>
  <si>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</si>
  <si>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</si>
  <si>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</si>
  <si>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</si>
  <si>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</si>
  <si>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</si>
  <si>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</si>
  <si>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</si>
  <si>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</si>
  <si>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</si>
  <si>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</si>
  <si>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</si>
  <si>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</si>
  <si>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</si>
  <si>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</si>
  <si>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</si>
  <si>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</si>
  <si>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</si>
  <si>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</si>
  <si>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</si>
  <si>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</si>
  <si>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</si>
  <si>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</si>
  <si>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</si>
  <si>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</si>
  <si>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</si>
  <si>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</si>
  <si>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</si>
  <si>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</si>
  <si>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</si>
  <si>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</si>
  <si>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</si>
  <si>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</si>
  <si>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</si>
  <si>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</si>
  <si>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</si>
  <si>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</si>
  <si>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</si>
  <si>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</si>
  <si>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</si>
  <si>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</si>
  <si>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</si>
  <si>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</si>
  <si>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</si>
  <si>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</si>
  <si>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</si>
  <si>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</si>
  <si>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</si>
  <si>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</si>
  <si>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</si>
  <si>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</si>
  <si>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</si>
  <si>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</si>
  <si>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</si>
  <si>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</si>
  <si>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</si>
  <si>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</si>
  <si>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</si>
  <si>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</si>
  <si>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</si>
  <si>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</si>
  <si>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</si>
  <si>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</si>
  <si>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</si>
  <si>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</si>
  <si>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</si>
  <si>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</si>
  <si>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</si>
  <si>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</si>
  <si>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</si>
  <si>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</si>
  <si>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</si>
  <si>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</si>
  <si>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</si>
  <si>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</si>
  <si>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</si>
  <si>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</si>
  <si>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</si>
  <si>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</si>
  <si>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</si>
  <si>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</si>
  <si>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</si>
  <si>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</si>
  <si>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</si>
  <si>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</si>
  <si>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</si>
  <si>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</si>
  <si>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</si>
  <si>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</si>
  <si>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</si>
  <si>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</si>
  <si>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</si>
  <si>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</si>
  <si>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</si>
  <si>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</si>
  <si>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</si>
  <si>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</si>
  <si>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</si>
  <si>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</si>
  <si>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</si>
  <si>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</si>
  <si>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</si>
  <si>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</si>
  <si>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</si>
  <si>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</si>
  <si>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</si>
  <si>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</si>
  <si>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</si>
  <si>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</si>
  <si>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</si>
  <si>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</si>
  <si>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</si>
  <si>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</si>
  <si>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</si>
  <si>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</si>
  <si>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</si>
  <si>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</si>
  <si>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</si>
  <si>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</si>
  <si>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</si>
  <si>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</si>
  <si>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</si>
  <si>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</si>
  <si>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</si>
  <si>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</si>
  <si>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</si>
  <si>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</si>
  <si>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</si>
  <si>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</si>
  <si>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</si>
  <si>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</si>
  <si>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</si>
  <si>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</si>
  <si>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</si>
  <si>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</si>
  <si>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</si>
  <si>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</si>
  <si>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</si>
  <si>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</si>
  <si>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</si>
  <si>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</si>
  <si>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</si>
  <si>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</si>
  <si>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</si>
  <si>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</si>
  <si>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</si>
  <si>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</si>
  <si>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</si>
  <si>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</si>
  <si>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</si>
  <si>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</si>
  <si>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</si>
  <si>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</si>
  <si>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</si>
  <si>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</si>
  <si>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</si>
  <si>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</si>
  <si>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</si>
  <si>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</si>
  <si>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</si>
  <si>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</si>
  <si>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</si>
  <si>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</si>
  <si>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</si>
  <si>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</si>
  <si>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</si>
  <si>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</si>
  <si>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</si>
  <si>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</si>
  <si>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</si>
  <si>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</si>
  <si>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</si>
  <si>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</si>
  <si>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</si>
  <si>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</si>
  <si>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</si>
  <si>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</si>
  <si>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</si>
  <si>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</si>
  <si>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</si>
  <si>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</si>
  <si>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</si>
  <si>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</si>
  <si>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</si>
  <si>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</si>
  <si>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</si>
  <si>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</si>
  <si>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</si>
  <si>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</si>
  <si>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</si>
  <si>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</si>
  <si>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</si>
  <si>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</si>
  <si>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</si>
  <si>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</si>
  <si>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</si>
  <si>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</si>
  <si>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</si>
  <si>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</si>
  <si>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</si>
  <si>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</si>
  <si>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</si>
  <si>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</si>
  <si>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</si>
  <si>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</si>
  <si>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</si>
  <si>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</si>
  <si>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</si>
  <si>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</si>
  <si>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</si>
  <si>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</si>
  <si>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</si>
  <si>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</si>
  <si>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</si>
  <si>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</si>
  <si>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</si>
  <si>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</si>
  <si>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</si>
  <si>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</si>
  <si>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</si>
  <si>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</si>
  <si>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</si>
  <si>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</si>
  <si>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</si>
  <si>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</si>
  <si>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</si>
  <si>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</si>
  <si>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</si>
  <si>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</si>
  <si>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</si>
  <si>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</si>
  <si>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</si>
  <si>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</si>
  <si>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</si>
  <si>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</si>
  <si>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</si>
  <si>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</si>
  <si>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</si>
  <si>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</si>
  <si>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</si>
  <si>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</si>
  <si>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</si>
  <si>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</si>
  <si>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</si>
  <si>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</si>
  <si>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</si>
  <si>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</si>
  <si>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</si>
  <si>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</si>
  <si>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</si>
  <si>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</si>
  <si>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</si>
  <si>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</si>
  <si>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</si>
  <si>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</si>
  <si>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</si>
  <si>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</si>
  <si>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</si>
  <si>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</si>
  <si>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</si>
  <si>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</si>
  <si>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</si>
  <si>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</si>
  <si>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</si>
  <si>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</si>
  <si>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</si>
  <si>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</si>
  <si>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</si>
  <si>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</si>
  <si>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</si>
  <si>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</si>
  <si>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</si>
  <si>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</si>
  <si>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</si>
  <si>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</si>
  <si>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</si>
  <si>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</si>
  <si>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</si>
  <si>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</si>
  <si>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</si>
  <si>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</si>
  <si>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</si>
  <si>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</si>
  <si>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</si>
  <si>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</si>
  <si>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</si>
  <si>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</si>
  <si>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</si>
  <si>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</si>
  <si>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</si>
  <si>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</si>
  <si>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</si>
  <si>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</si>
  <si>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</si>
  <si>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</si>
  <si>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</si>
  <si>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</si>
  <si>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</si>
  <si>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</si>
  <si>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</si>
  <si>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</si>
  <si>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</si>
  <si>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</si>
  <si>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</si>
  <si>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</si>
  <si>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</si>
  <si>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</si>
  <si>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</si>
  <si>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</si>
  <si>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</si>
  <si>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</si>
  <si>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</si>
  <si>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</si>
  <si>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</si>
  <si>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</si>
  <si>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</si>
  <si>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</si>
  <si>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</si>
  <si>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</si>
  <si>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</si>
  <si>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</si>
  <si>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</si>
  <si>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</si>
  <si>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</si>
  <si>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</si>
  <si>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</si>
  <si>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</si>
  <si>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</si>
  <si>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</si>
  <si>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</si>
  <si>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</si>
  <si>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</si>
  <si>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</si>
  <si>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</si>
  <si>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</si>
  <si>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</si>
  <si>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</si>
  <si>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</si>
  <si>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</si>
  <si>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</si>
  <si>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</si>
  <si>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</si>
  <si>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</si>
  <si>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</si>
  <si>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</si>
  <si>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</si>
  <si>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</si>
  <si>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</si>
  <si>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</si>
  <si>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</si>
  <si>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</si>
  <si>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</si>
  <si>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</si>
  <si>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</si>
  <si>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</si>
  <si>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</si>
  <si>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</si>
  <si>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</si>
  <si>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</si>
  <si>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</si>
  <si>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</si>
  <si>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</si>
  <si>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</si>
  <si>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</si>
  <si>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</si>
  <si>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</si>
  <si>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</si>
  <si>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</si>
  <si>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</si>
  <si>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</si>
  <si>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</si>
  <si>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</si>
  <si>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</si>
  <si>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</si>
  <si>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</si>
  <si>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</si>
  <si>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</si>
  <si>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</si>
  <si>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</si>
  <si>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</si>
  <si>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</si>
  <si>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</si>
  <si>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</si>
  <si>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</si>
  <si>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</si>
  <si>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</si>
  <si>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</si>
  <si>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</si>
  <si>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</si>
  <si>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</si>
  <si>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</si>
  <si>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</si>
  <si>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</si>
  <si>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</si>
  <si>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</si>
  <si>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</si>
  <si>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</si>
  <si>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</si>
  <si>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</si>
  <si>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</si>
  <si>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</si>
  <si>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</si>
  <si>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</si>
  <si>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</si>
  <si>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</si>
  <si>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</si>
  <si>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</si>
  <si>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</si>
  <si>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</si>
  <si>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</si>
  <si>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</si>
  <si>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</si>
  <si>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</si>
  <si>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</si>
  <si>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</si>
  <si>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</si>
  <si>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</si>
  <si>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</si>
  <si>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</si>
  <si>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</si>
  <si>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</si>
  <si>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</si>
  <si>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</si>
  <si>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</si>
  <si>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</si>
  <si>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</si>
  <si>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</si>
  <si>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</si>
  <si>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</si>
  <si>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</si>
  <si>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</si>
  <si>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</si>
  <si>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</si>
  <si>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</si>
  <si>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</si>
  <si>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</si>
  <si>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</si>
  <si>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</si>
  <si>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</si>
  <si>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</si>
  <si>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</si>
  <si>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</si>
  <si>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</si>
  <si>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</si>
  <si>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</si>
  <si>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</si>
  <si>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</si>
  <si>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</si>
  <si>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</si>
  <si>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</si>
  <si>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</si>
  <si>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</si>
  <si>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</si>
  <si>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</si>
  <si>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</si>
  <si>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</si>
  <si>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</si>
  <si>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</si>
  <si>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</si>
  <si>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</si>
  <si>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</si>
  <si>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</si>
  <si>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</si>
  <si>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</si>
  <si>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</si>
  <si>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</si>
  <si>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</si>
  <si>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</si>
  <si>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</si>
  <si>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</si>
  <si>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</si>
  <si>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</si>
  <si>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</si>
  <si>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</si>
  <si>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</si>
  <si>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</si>
  <si>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</si>
  <si>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</si>
  <si>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</si>
  <si>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</si>
  <si>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</si>
  <si>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</si>
  <si>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</si>
  <si>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</si>
  <si>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</si>
  <si>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</si>
  <si>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</si>
  <si>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</si>
  <si>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</si>
  <si>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</si>
  <si>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</si>
  <si>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</si>
  <si>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</si>
  <si>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</si>
  <si>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</si>
  <si>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</si>
  <si>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</si>
  <si>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</si>
  <si>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</si>
  <si>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</si>
  <si>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</si>
  <si>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</si>
  <si>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</si>
  <si>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</si>
  <si>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</si>
  <si>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</si>
  <si>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</si>
  <si>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rest of Italy d.t.</t>
  </si>
  <si>
    <t>Italy g.r.</t>
  </si>
  <si>
    <t>Italy acc. fit</t>
  </si>
  <si>
    <t>Italy velocity</t>
  </si>
  <si>
    <t>rest of Italy acc. fit</t>
  </si>
  <si>
    <t>rest of Italy velocity</t>
  </si>
  <si>
    <t>rest of Italy g.r.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</si>
  <si>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</si>
  <si>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</si>
  <si>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26443</t>
  </si>
  <si>
    <t>10364</t>
  </si>
  <si>
    <t>18423</t>
  </si>
  <si>
    <t>29834</t>
  </si>
  <si>
    <t>42463</t>
  </si>
  <si>
    <t>111041</t>
  </si>
  <si>
    <t>39330</t>
  </si>
  <si>
    <t>95719</t>
  </si>
  <si>
    <t>28739</t>
  </si>
  <si>
    <t>211523</t>
  </si>
  <si>
    <t>35617</t>
  </si>
  <si>
    <t>5423</t>
  </si>
  <si>
    <t>99144</t>
  </si>
  <si>
    <t>55897</t>
  </si>
  <si>
    <t>19424</t>
  </si>
  <si>
    <t>66749</t>
  </si>
  <si>
    <t>100869</t>
  </si>
  <si>
    <t>20199</t>
  </si>
  <si>
    <t>22492</t>
  </si>
  <si>
    <t>192751</t>
  </si>
  <si>
    <t>27-apr</t>
  </si>
  <si>
    <t>Lombardy x=(ln(t-p)-mu)/sigma2</t>
  </si>
  <si>
    <t>Italy h.t.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</si>
  <si>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</si>
  <si>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</si>
  <si>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</si>
  <si>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</si>
  <si>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</si>
  <si>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</si>
  <si>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</si>
  <si>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</si>
  <si>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</si>
  <si>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</si>
  <si>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</si>
  <si>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</si>
  <si>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</si>
  <si>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t_alpha_o+plus</t>
  </si>
  <si>
    <t>t_alpha_o-minus</t>
  </si>
  <si>
    <t>x_o_alpha©+plus</t>
  </si>
  <si>
    <t>x_o_alpha©-minus</t>
  </si>
  <si>
    <t>c_o</t>
  </si>
  <si>
    <t>rest of Italy h.t.</t>
  </si>
  <si>
    <t>Italy d.t. (Norm. To val. at lockdown)</t>
  </si>
  <si>
    <t>Italy g.r. (Norm. To val. at lockdown)</t>
  </si>
  <si>
    <t>Italy h.t. (Norm. To val. at lockdown)</t>
  </si>
  <si>
    <t>Italy acc. Fit (Norm. To val. at lockdown)</t>
  </si>
  <si>
    <t>27054</t>
  </si>
  <si>
    <t>10889</t>
  </si>
  <si>
    <t>18567</t>
  </si>
  <si>
    <t>31802</t>
  </si>
  <si>
    <t>42690</t>
  </si>
  <si>
    <t>116624</t>
  </si>
  <si>
    <t>41273</t>
  </si>
  <si>
    <t>98968</t>
  </si>
  <si>
    <t>29794</t>
  </si>
  <si>
    <t>216526</t>
  </si>
  <si>
    <t>36650</t>
  </si>
  <si>
    <t>5538</t>
  </si>
  <si>
    <t>102514</t>
  </si>
  <si>
    <t>57574</t>
  </si>
  <si>
    <t>20053</t>
  </si>
  <si>
    <t>68729</t>
  </si>
  <si>
    <t>103891</t>
  </si>
  <si>
    <t>20539</t>
  </si>
  <si>
    <t>23263</t>
  </si>
  <si>
    <t>5069</t>
  </si>
  <si>
    <t>196864</t>
  </si>
  <si>
    <t>28-apr</t>
  </si>
  <si>
    <t>temporal autocorrelation of residuals=</t>
  </si>
  <si>
    <t>dc-IT-0015</t>
  </si>
  <si>
    <t>dc-EN-0015</t>
  </si>
  <si>
    <t>dc-IT-0017</t>
  </si>
  <si>
    <t>dc-EN-0017</t>
  </si>
  <si>
    <t>dc-IT-0019</t>
  </si>
  <si>
    <t>dc-EN-0019</t>
  </si>
  <si>
    <t>dc-IT-0021</t>
  </si>
  <si>
    <t>dc-EN-0021</t>
  </si>
  <si>
    <t>dc-IT-0023</t>
  </si>
  <si>
    <t>dc-EN-0023</t>
  </si>
  <si>
    <t>dc-IT-0025</t>
  </si>
  <si>
    <t>dc-EN-0025</t>
  </si>
  <si>
    <t>27703</t>
  </si>
  <si>
    <t>11331</t>
  </si>
  <si>
    <t>18844</t>
  </si>
  <si>
    <t>32961</t>
  </si>
  <si>
    <t>43449</t>
  </si>
  <si>
    <t>118881</t>
  </si>
  <si>
    <t>42902</t>
  </si>
  <si>
    <t>103435</t>
  </si>
  <si>
    <t>30669</t>
  </si>
  <si>
    <t>223952</t>
  </si>
  <si>
    <t>37877</t>
  </si>
  <si>
    <t>5857</t>
  </si>
  <si>
    <t>106179</t>
  </si>
  <si>
    <t>59801</t>
  </si>
  <si>
    <t>21071</t>
  </si>
  <si>
    <t>71301</t>
  </si>
  <si>
    <t>106150</t>
  </si>
  <si>
    <t>20944</t>
  </si>
  <si>
    <t>24079</t>
  </si>
  <si>
    <t>5337</t>
  </si>
  <si>
    <t>200737</t>
  </si>
  <si>
    <t>28351</t>
  </si>
  <si>
    <t>12774</t>
  </si>
  <si>
    <t>19178</t>
  </si>
  <si>
    <t>33950</t>
  </si>
  <si>
    <t>44233</t>
  </si>
  <si>
    <t>122430</t>
  </si>
  <si>
    <t>43691</t>
  </si>
  <si>
    <t>107497</t>
  </si>
  <si>
    <t>31520</t>
  </si>
  <si>
    <t>229880</t>
  </si>
  <si>
    <t>39145</t>
  </si>
  <si>
    <t>6228</t>
  </si>
  <si>
    <t>110157</t>
  </si>
  <si>
    <t>61439</t>
  </si>
  <si>
    <t>22358</t>
  </si>
  <si>
    <t>74541</t>
  </si>
  <si>
    <t>108596</t>
  </si>
  <si>
    <t>21622</t>
  </si>
  <si>
    <t>25317</t>
  </si>
  <si>
    <t>5647</t>
  </si>
  <si>
    <t>206347</t>
  </si>
  <si>
    <t>29024</t>
  </si>
  <si>
    <t>13269</t>
  </si>
  <si>
    <t>19705</t>
  </si>
  <si>
    <t>35101</t>
  </si>
  <si>
    <t>44975</t>
  </si>
  <si>
    <t>125636</t>
  </si>
  <si>
    <t>45566</t>
  </si>
  <si>
    <t>111988</t>
  </si>
  <si>
    <t>dc-IT-0014</t>
  </si>
  <si>
    <t>dc-EN-0014</t>
  </si>
  <si>
    <t>32794</t>
  </si>
  <si>
    <t>236822</t>
  </si>
  <si>
    <t>40123</t>
  </si>
  <si>
    <t>6450</t>
  </si>
  <si>
    <t>114786</t>
  </si>
  <si>
    <t>62702</t>
  </si>
  <si>
    <t>23442</t>
  </si>
  <si>
    <t>77490</t>
  </si>
  <si>
    <t>111349</t>
  </si>
  <si>
    <t>22602</t>
  </si>
  <si>
    <t>26285</t>
  </si>
  <si>
    <t>5818</t>
  </si>
  <si>
    <t>212706</t>
  </si>
  <si>
    <t>29308</t>
  </si>
  <si>
    <t>13722</t>
  </si>
  <si>
    <t>20036</t>
  </si>
  <si>
    <t>35975</t>
  </si>
  <si>
    <t>45955</t>
  </si>
  <si>
    <t>128005</t>
  </si>
  <si>
    <t>47259</t>
  </si>
  <si>
    <t>114761</t>
  </si>
  <si>
    <t>34037</t>
  </si>
  <si>
    <t>243383</t>
  </si>
  <si>
    <t>dc-IT-0016</t>
  </si>
  <si>
    <t>dc-EN-0016</t>
  </si>
  <si>
    <t>41156</t>
  </si>
  <si>
    <t>6808</t>
  </si>
  <si>
    <t>118814</t>
  </si>
  <si>
    <t>63782</t>
  </si>
  <si>
    <t>24065</t>
  </si>
  <si>
    <t>77590</t>
  </si>
  <si>
    <t>112437</t>
  </si>
  <si>
    <t>23380</t>
  </si>
  <si>
    <t>26463</t>
  </si>
  <si>
    <t>5931</t>
  </si>
  <si>
    <t>216997</t>
  </si>
  <si>
    <t>29788</t>
  </si>
  <si>
    <t>14210</t>
  </si>
  <si>
    <t>20166</t>
  </si>
  <si>
    <t>36874</t>
  </si>
  <si>
    <t>47027</t>
  </si>
  <si>
    <t>131047</t>
  </si>
  <si>
    <t>48041</t>
  </si>
  <si>
    <t>117796</t>
  </si>
  <si>
    <t>34613</t>
  </si>
  <si>
    <t>247176</t>
  </si>
  <si>
    <t>42281</t>
  </si>
  <si>
    <t>121176</t>
  </si>
  <si>
    <t>64781</t>
  </si>
  <si>
    <t>24662</t>
  </si>
  <si>
    <t>78409</t>
  </si>
  <si>
    <t>114354</t>
  </si>
  <si>
    <t>24085</t>
  </si>
  <si>
    <t>26973</t>
  </si>
  <si>
    <t>6046</t>
  </si>
  <si>
    <t>220598</t>
  </si>
  <si>
    <t>30047</t>
  </si>
  <si>
    <t>14455</t>
  </si>
  <si>
    <t>20333</t>
  </si>
  <si>
    <t>37390</t>
  </si>
  <si>
    <t>48275</t>
  </si>
  <si>
    <t>133329</t>
  </si>
  <si>
    <t>48250</t>
  </si>
  <si>
    <t>120095</t>
  </si>
  <si>
    <t>35443</t>
  </si>
  <si>
    <t>251661</t>
  </si>
  <si>
    <t>42838</t>
  </si>
  <si>
    <t>7057</t>
  </si>
  <si>
    <t>123801</t>
  </si>
  <si>
    <t>65789</t>
  </si>
  <si>
    <t>24926</t>
  </si>
  <si>
    <t>dc-IT-0018</t>
  </si>
  <si>
    <t>dc-EN-0018</t>
  </si>
  <si>
    <t>79336</t>
  </si>
  <si>
    <t>115065</t>
  </si>
  <si>
    <t>24500</t>
  </si>
  <si>
    <t>27152</t>
  </si>
  <si>
    <t>6200</t>
  </si>
  <si>
    <t>223968</t>
  </si>
  <si>
    <t>30835</t>
  </si>
  <si>
    <t>15028</t>
  </si>
  <si>
    <t>20561</t>
  </si>
  <si>
    <t>38461</t>
  </si>
  <si>
    <t>48733</t>
  </si>
  <si>
    <t>136310</t>
  </si>
  <si>
    <t>50135</t>
  </si>
  <si>
    <t>122541</t>
  </si>
  <si>
    <t>36150</t>
  </si>
  <si>
    <t>255292</t>
  </si>
  <si>
    <t>44045</t>
  </si>
  <si>
    <t>7252</t>
  </si>
  <si>
    <t>126685</t>
  </si>
  <si>
    <t>67238</t>
  </si>
  <si>
    <t>25631</t>
  </si>
  <si>
    <t>82079</t>
  </si>
  <si>
    <t>118265</t>
  </si>
  <si>
    <t>25137</t>
  </si>
  <si>
    <t>27822</t>
  </si>
  <si>
    <t>6342</t>
  </si>
  <si>
    <t>227579</t>
  </si>
  <si>
    <t>31502</t>
  </si>
  <si>
    <t>15619</t>
  </si>
  <si>
    <t>20872</t>
  </si>
  <si>
    <t>39780</t>
  </si>
  <si>
    <t>49478</t>
  </si>
  <si>
    <t>138871</t>
  </si>
  <si>
    <t>50698</t>
  </si>
  <si>
    <t>125897</t>
  </si>
  <si>
    <t>37177</t>
  </si>
  <si>
    <t>262964</t>
  </si>
  <si>
    <t>dc-IT-0020</t>
  </si>
  <si>
    <t>dc-EN-0020</t>
  </si>
  <si>
    <t>45026</t>
  </si>
  <si>
    <t>7604</t>
  </si>
  <si>
    <t>131269</t>
  </si>
  <si>
    <t>68760</t>
  </si>
  <si>
    <t>26598</t>
  </si>
  <si>
    <t>83908</t>
  </si>
  <si>
    <t>121066</t>
  </si>
  <si>
    <t>26161</t>
  </si>
  <si>
    <t>28712</t>
  </si>
  <si>
    <t>6461</t>
  </si>
  <si>
    <t>231469</t>
  </si>
  <si>
    <t>32186</t>
  </si>
  <si>
    <t>15780</t>
  </si>
  <si>
    <t>dc-IT-0022</t>
  </si>
  <si>
    <t>dc-EN-0022</t>
  </si>
  <si>
    <t>21284</t>
  </si>
  <si>
    <t>40806</t>
  </si>
  <si>
    <t>50463</t>
  </si>
  <si>
    <t>141468</t>
  </si>
  <si>
    <t>51123</t>
  </si>
  <si>
    <t>130351</t>
  </si>
  <si>
    <t>38071</t>
  </si>
  <si>
    <t>46258</t>
  </si>
  <si>
    <t>134567</t>
  </si>
  <si>
    <t>51638</t>
  </si>
  <si>
    <t>27540</t>
  </si>
  <si>
    <t>85674</t>
  </si>
  <si>
    <t>124295</t>
  </si>
  <si>
    <t>28486</t>
  </si>
  <si>
    <t>29708</t>
  </si>
  <si>
    <t>6702</t>
  </si>
  <si>
    <t>236281</t>
  </si>
  <si>
    <t>32619</t>
  </si>
  <si>
    <t>16285</t>
  </si>
  <si>
    <t>dc-IT-0024</t>
  </si>
  <si>
    <t>dc-EN-0024</t>
  </si>
  <si>
    <t>21572</t>
  </si>
  <si>
    <t>41902</t>
  </si>
  <si>
    <t>51402</t>
  </si>
  <si>
    <t>144009</t>
  </si>
  <si>
    <t>52784</t>
  </si>
  <si>
    <t>133674</t>
  </si>
  <si>
    <t>277106</t>
  </si>
  <si>
    <t>47092</t>
  </si>
  <si>
    <t>8177</t>
  </si>
  <si>
    <t>138830</t>
  </si>
  <si>
    <t>53194</t>
  </si>
  <si>
    <t>28519</t>
  </si>
  <si>
    <t>88497</t>
  </si>
  <si>
    <t>126752</t>
  </si>
  <si>
    <t>29188</t>
  </si>
  <si>
    <t>30704</t>
  </si>
  <si>
    <t>6999</t>
  </si>
  <si>
    <t>240535</t>
  </si>
  <si>
    <t>33013</t>
  </si>
  <si>
    <t>16941</t>
  </si>
  <si>
    <t>21969</t>
  </si>
  <si>
    <t>42993</t>
  </si>
  <si>
    <t>52593</t>
  </si>
  <si>
    <t>146642</t>
  </si>
  <si>
    <t>55319</t>
  </si>
  <si>
    <t>137428</t>
  </si>
  <si>
    <t>39600</t>
  </si>
  <si>
    <t>282817</t>
  </si>
  <si>
    <t>47827</t>
  </si>
  <si>
    <t>8375</t>
  </si>
  <si>
    <t>141515</t>
  </si>
  <si>
    <t>54181</t>
  </si>
  <si>
    <t>29503</t>
  </si>
  <si>
    <t>90885</t>
  </si>
  <si>
    <t>129382</t>
  </si>
  <si>
    <t>30354</t>
  </si>
  <si>
    <t>31679</t>
  </si>
  <si>
    <t>7130</t>
  </si>
  <si>
    <t>244930</t>
  </si>
  <si>
    <t>Somma di dimessi_guariti</t>
  </si>
  <si>
    <t>Somma di deceduti</t>
  </si>
  <si>
    <t>29-apr</t>
  </si>
  <si>
    <t>30-apr</t>
  </si>
  <si>
    <t>01-mag</t>
  </si>
  <si>
    <t>02-mag</t>
  </si>
  <si>
    <t>03-mag</t>
  </si>
  <si>
    <t>04-mag</t>
  </si>
  <si>
    <t>05-mag</t>
  </si>
  <si>
    <t>06-mag</t>
  </si>
  <si>
    <t>07-mag</t>
  </si>
  <si>
    <t>08-mag</t>
  </si>
  <si>
    <t>09-mag</t>
  </si>
  <si>
    <t>33876</t>
  </si>
  <si>
    <t>17424</t>
  </si>
  <si>
    <t>22265</t>
  </si>
  <si>
    <t>44284</t>
  </si>
  <si>
    <t>53475</t>
  </si>
  <si>
    <t>149276</t>
  </si>
  <si>
    <t>56205</t>
  </si>
  <si>
    <t>141233</t>
  </si>
  <si>
    <t>40751</t>
  </si>
  <si>
    <t>287330</t>
  </si>
  <si>
    <t>49194</t>
  </si>
  <si>
    <t>9008</t>
  </si>
  <si>
    <t>145131</t>
  </si>
  <si>
    <t>54781</t>
  </si>
  <si>
    <t>30086</t>
  </si>
  <si>
    <t>91748</t>
  </si>
  <si>
    <t>131788</t>
  </si>
  <si>
    <t>30808</t>
  </si>
  <si>
    <t>32713</t>
  </si>
  <si>
    <t>7467</t>
  </si>
  <si>
    <t>247617</t>
  </si>
  <si>
    <t>10-mag</t>
  </si>
  <si>
    <t>phi=</t>
  </si>
  <si>
    <t>psi=</t>
  </si>
  <si>
    <t>34428</t>
  </si>
  <si>
    <t>17774</t>
  </si>
  <si>
    <t>22500</t>
  </si>
  <si>
    <t>45438</t>
  </si>
  <si>
    <t>54822</t>
  </si>
  <si>
    <t>151040</t>
  </si>
  <si>
    <t>57130</t>
  </si>
  <si>
    <t>143970</t>
  </si>
  <si>
    <t>41535</t>
  </si>
  <si>
    <t>292603</t>
  </si>
  <si>
    <t>50206</t>
  </si>
  <si>
    <t>9247</t>
  </si>
  <si>
    <t>147318</t>
  </si>
  <si>
    <t>55794</t>
  </si>
  <si>
    <t>30582</t>
  </si>
  <si>
    <t>92609</t>
  </si>
  <si>
    <t>132464</t>
  </si>
  <si>
    <t>31970</t>
  </si>
  <si>
    <t>33027</t>
  </si>
  <si>
    <t>7651</t>
  </si>
  <si>
    <t>250175</t>
  </si>
  <si>
    <t>11-mag</t>
  </si>
  <si>
    <t>phi =</t>
  </si>
  <si>
    <t>psi =</t>
  </si>
  <si>
    <r>
      <t>fitting parameter - constraint (</t>
    </r>
    <r>
      <rPr>
        <b/>
        <sz val="11"/>
        <color theme="3"/>
        <rFont val="Calibri"/>
        <family val="2"/>
      </rPr>
      <t>&gt;</t>
    </r>
    <r>
      <rPr>
        <b/>
        <sz val="12.65"/>
        <color theme="3"/>
        <rFont val="Calibri"/>
        <family val="2"/>
      </rPr>
      <t>0</t>
    </r>
    <r>
      <rPr>
        <b/>
        <sz val="11"/>
        <color theme="3"/>
        <rFont val="Calibri"/>
        <family val="2"/>
        <scheme val="minor"/>
      </rPr>
      <t>)</t>
    </r>
  </si>
  <si>
    <t>region data</t>
  </si>
  <si>
    <t>region fit</t>
  </si>
  <si>
    <t>region fit (Norm.)</t>
  </si>
  <si>
    <t>moving avg fit</t>
  </si>
  <si>
    <t>dc-IT-0027</t>
  </si>
  <si>
    <t>dc-EN-0027</t>
  </si>
  <si>
    <t>35241</t>
  </si>
  <si>
    <t>18608</t>
  </si>
  <si>
    <t>22731</t>
  </si>
  <si>
    <t>46593</t>
  </si>
  <si>
    <t>55406</t>
  </si>
  <si>
    <t>153074</t>
  </si>
  <si>
    <t>58395</t>
  </si>
  <si>
    <t>147010</t>
  </si>
  <si>
    <t>42200</t>
  </si>
  <si>
    <t>305152</t>
  </si>
  <si>
    <t>dc-IT-0026</t>
  </si>
  <si>
    <t>dc-EN-0026</t>
  </si>
  <si>
    <t>51176</t>
  </si>
  <si>
    <t>9582</t>
  </si>
  <si>
    <t>149386</t>
  </si>
  <si>
    <t>57060</t>
  </si>
  <si>
    <t>31351</t>
  </si>
  <si>
    <t>94034</t>
  </si>
  <si>
    <t>136285</t>
  </si>
  <si>
    <t>33082</t>
  </si>
  <si>
    <t>34207</t>
  </si>
  <si>
    <t>7956</t>
  </si>
  <si>
    <t>253374</t>
  </si>
  <si>
    <t>12-mag</t>
  </si>
  <si>
    <t>&lt;&lt;&lt; curve fit starting date&gt;&gt;&gt;</t>
  </si>
  <si>
    <t>&lt;&lt;&lt; curve fit starting day &gt;&gt;&gt;</t>
  </si>
  <si>
    <t>&lt;&lt;&lt; curve fit starting date &gt;&gt;&gt;</t>
  </si>
  <si>
    <t>Modeling function: hiperbolic tangent (basic SIR)</t>
  </si>
  <si>
    <t>Modeling function: hiperbolic secant (basic SIR)</t>
  </si>
  <si>
    <t>6-days moving avg</t>
  </si>
  <si>
    <t>6-days moving avg fit</t>
  </si>
  <si>
    <t>35898</t>
  </si>
  <si>
    <t>19186</t>
  </si>
  <si>
    <t>23120</t>
  </si>
  <si>
    <t>47960</t>
  </si>
  <si>
    <t>56390</t>
  </si>
  <si>
    <t>155476</t>
  </si>
  <si>
    <t>58936</t>
  </si>
  <si>
    <t>150097</t>
  </si>
  <si>
    <t>43272</t>
  </si>
  <si>
    <t>310896</t>
  </si>
  <si>
    <t>52041</t>
  </si>
  <si>
    <t>9773</t>
  </si>
  <si>
    <t>154504</t>
  </si>
  <si>
    <t>58383</t>
  </si>
  <si>
    <t>32449</t>
  </si>
  <si>
    <t>96860</t>
  </si>
  <si>
    <t>138465</t>
  </si>
  <si>
    <t>34662</t>
  </si>
  <si>
    <t>35313</t>
  </si>
  <si>
    <t>8254</t>
  </si>
  <si>
    <t>257017</t>
  </si>
  <si>
    <t>13-mag</t>
  </si>
  <si>
    <t>region cumul. data</t>
  </si>
  <si>
    <t>rest of Italy cum. data</t>
  </si>
  <si>
    <t>rest of Italy cumul. fit</t>
  </si>
  <si>
    <t>rest of Italy com. fit (Norm.)</t>
  </si>
  <si>
    <t>Italy remov. rate fit</t>
  </si>
  <si>
    <t>rem. rate residuals</t>
  </si>
  <si>
    <t>Italy remov. rate fit (Norm.)</t>
  </si>
  <si>
    <t>Italy remov. rate data</t>
  </si>
  <si>
    <t>Italy (fit of selected region + fitted sum of the other regions)</t>
  </si>
  <si>
    <t>Italy cumul. fit</t>
  </si>
  <si>
    <t>Italy cum. fit (Norm.)</t>
  </si>
  <si>
    <t>region cum. fit (Norm.)</t>
  </si>
  <si>
    <t>region cumul. fit</t>
  </si>
  <si>
    <t>Italy cumul. data</t>
  </si>
  <si>
    <t>alpha=</t>
  </si>
  <si>
    <t>2*psi/gamma</t>
  </si>
  <si>
    <t>R_0 (basic reproductive rate) = 1+alpha*tanh(phi)</t>
  </si>
  <si>
    <t>gamma=1/18</t>
  </si>
  <si>
    <t>Italy rate data</t>
  </si>
  <si>
    <t xml:space="preserve">Italy accel. data </t>
  </si>
  <si>
    <t>selected region cumul. data</t>
  </si>
  <si>
    <t>selected region rate data</t>
  </si>
  <si>
    <t xml:space="preserve">selected region accel. data </t>
  </si>
  <si>
    <t>sel. region cumul. fit</t>
  </si>
  <si>
    <t>sel region cum. fit (Norm.)</t>
  </si>
  <si>
    <t>sel. region velocity</t>
  </si>
  <si>
    <t>sel. region g.r.</t>
  </si>
  <si>
    <t>sel. region h.t.</t>
  </si>
  <si>
    <t>sel. region acc. fit</t>
  </si>
  <si>
    <t>sel. region fit (Norm.)</t>
  </si>
  <si>
    <t>rest of Italy rate data</t>
  </si>
  <si>
    <t xml:space="preserve">rest of Italy accel. data </t>
  </si>
  <si>
    <t>rest of Italy cum. fit (Norm.)</t>
  </si>
  <si>
    <t>Italy acc. fit (Norm.)</t>
  </si>
  <si>
    <t>sel. region d.t.</t>
  </si>
  <si>
    <t>74,24033469</t>
  </si>
  <si>
    <t>dc-IT-0029</t>
  </si>
  <si>
    <t>dc-EN-0029</t>
  </si>
  <si>
    <t>36844</t>
  </si>
  <si>
    <t>19789</t>
  </si>
  <si>
    <t>23487</t>
  </si>
  <si>
    <t>49196</t>
  </si>
  <si>
    <t>57684</t>
  </si>
  <si>
    <t>158371</t>
  </si>
  <si>
    <t>60177</t>
  </si>
  <si>
    <t>153894</t>
  </si>
  <si>
    <t>44390</t>
  </si>
  <si>
    <t>318289</t>
  </si>
  <si>
    <t>53030</t>
  </si>
  <si>
    <t>10052</t>
  </si>
  <si>
    <t>158112</t>
  </si>
  <si>
    <t>59815</t>
  </si>
  <si>
    <t>33526</t>
  </si>
  <si>
    <t>dc-IT-0028</t>
  </si>
  <si>
    <t>dc-EN-0028</t>
  </si>
  <si>
    <t>99900</t>
  </si>
  <si>
    <t>141430</t>
  </si>
  <si>
    <t>36359</t>
  </si>
  <si>
    <t>36495</t>
  </si>
  <si>
    <t>8537</t>
  </si>
  <si>
    <t>260706</t>
  </si>
  <si>
    <t>14-mag</t>
  </si>
  <si>
    <t>dc-IT-0031</t>
  </si>
  <si>
    <t>dc-EN-0031</t>
  </si>
  <si>
    <t>pd-IT-0019</t>
  </si>
  <si>
    <t>pd-EN-0019</t>
  </si>
  <si>
    <t>dc-IT-0033</t>
  </si>
  <si>
    <t>dc-EN-0033</t>
  </si>
  <si>
    <t>37587</t>
  </si>
  <si>
    <t>20359</t>
  </si>
  <si>
    <t>23969</t>
  </si>
  <si>
    <t>50847</t>
  </si>
  <si>
    <t>59162</t>
  </si>
  <si>
    <t>160622</t>
  </si>
  <si>
    <t>62319</t>
  </si>
  <si>
    <t>157880</t>
  </si>
  <si>
    <t>dc-IT-0030</t>
  </si>
  <si>
    <t>dc-EN-0030</t>
  </si>
  <si>
    <t>45307</t>
  </si>
  <si>
    <t>325071</t>
  </si>
  <si>
    <t>53813</t>
  </si>
  <si>
    <t>10281</t>
  </si>
  <si>
    <t>161854</t>
  </si>
  <si>
    <t>60613</t>
  </si>
  <si>
    <t>34864</t>
  </si>
  <si>
    <t>101487</t>
  </si>
  <si>
    <t>144237</t>
  </si>
  <si>
    <t>38273</t>
  </si>
  <si>
    <t>37660</t>
  </si>
  <si>
    <t>8814</t>
  </si>
  <si>
    <t>264091</t>
  </si>
  <si>
    <t>38681</t>
  </si>
  <si>
    <t>20966</t>
  </si>
  <si>
    <t>24316</t>
  </si>
  <si>
    <t>52257</t>
  </si>
  <si>
    <t>61574</t>
  </si>
  <si>
    <t>163067</t>
  </si>
  <si>
    <t>63251</t>
  </si>
  <si>
    <t>161405</t>
  </si>
  <si>
    <t>46304</t>
  </si>
  <si>
    <t>333243</t>
  </si>
  <si>
    <t>54804</t>
  </si>
  <si>
    <t>10666</t>
  </si>
  <si>
    <t>165849</t>
  </si>
  <si>
    <t>61942</t>
  </si>
  <si>
    <t>35933</t>
  </si>
  <si>
    <t>103103</t>
  </si>
  <si>
    <t>145946</t>
  </si>
  <si>
    <t>39613</t>
  </si>
  <si>
    <t>38663</t>
  </si>
  <si>
    <t>9181</t>
  </si>
  <si>
    <t>269003</t>
  </si>
  <si>
    <t>39788</t>
  </si>
  <si>
    <t>21627</t>
  </si>
  <si>
    <t>24677</t>
  </si>
  <si>
    <t>53470</t>
  </si>
  <si>
    <t>63039</t>
  </si>
  <si>
    <t>163117</t>
  </si>
  <si>
    <t>64558</t>
  </si>
  <si>
    <t>164779</t>
  </si>
  <si>
    <t>47381</t>
  </si>
  <si>
    <t>340164</t>
  </si>
  <si>
    <t>55667</t>
  </si>
  <si>
    <t>168295</t>
  </si>
  <si>
    <t>62886</t>
  </si>
  <si>
    <t>36736</t>
  </si>
  <si>
    <t>105074</t>
  </si>
  <si>
    <t>148060</t>
  </si>
  <si>
    <t>41383</t>
  </si>
  <si>
    <t>39272</t>
  </si>
  <si>
    <t>9469</t>
  </si>
  <si>
    <t>272938</t>
  </si>
  <si>
    <t>40345</t>
  </si>
  <si>
    <t>22016</t>
  </si>
  <si>
    <t>24930</t>
  </si>
  <si>
    <t>54333</t>
  </si>
  <si>
    <t>67155</t>
  </si>
  <si>
    <t>166240</t>
  </si>
  <si>
    <t>65184</t>
  </si>
  <si>
    <t>167859</t>
  </si>
  <si>
    <t>47984</t>
  </si>
  <si>
    <t>343213</t>
  </si>
  <si>
    <t>55988</t>
  </si>
  <si>
    <t>11285</t>
  </si>
  <si>
    <t>170556</t>
  </si>
  <si>
    <t>63403</t>
  </si>
  <si>
    <t>37684</t>
  </si>
  <si>
    <t>106277</t>
  </si>
  <si>
    <t>148580</t>
  </si>
  <si>
    <t>pd-IT-0018</t>
  </si>
  <si>
    <t>pd-EN-0018</t>
  </si>
  <si>
    <t>39512</t>
  </si>
  <si>
    <t>9595</t>
  </si>
  <si>
    <t>275851</t>
  </si>
  <si>
    <t>41162</t>
  </si>
  <si>
    <t>22767</t>
  </si>
  <si>
    <t>25263</t>
  </si>
  <si>
    <t>55270</t>
  </si>
  <si>
    <t>69264</t>
  </si>
  <si>
    <t>168367</t>
  </si>
  <si>
    <t>65476</t>
  </si>
  <si>
    <t>171353</t>
  </si>
  <si>
    <t>49038</t>
  </si>
  <si>
    <t>353579</t>
  </si>
  <si>
    <t>56668</t>
  </si>
  <si>
    <t>dc-IT-0032</t>
  </si>
  <si>
    <t>dc-EN-0032</t>
  </si>
  <si>
    <t>11354</t>
  </si>
  <si>
    <t>173201</t>
  </si>
  <si>
    <t>64779</t>
  </si>
  <si>
    <t>38503</t>
  </si>
  <si>
    <t>109195</t>
  </si>
  <si>
    <t>151093</t>
  </si>
  <si>
    <t>42125</t>
  </si>
  <si>
    <t>40651</t>
  </si>
  <si>
    <t>9862</t>
  </si>
  <si>
    <t>280629</t>
  </si>
  <si>
    <t>42244</t>
  </si>
  <si>
    <t>23376</t>
  </si>
  <si>
    <t>25601</t>
  </si>
  <si>
    <t>56209</t>
  </si>
  <si>
    <t>71118</t>
  </si>
  <si>
    <t>171903</t>
  </si>
  <si>
    <t>67449</t>
  </si>
  <si>
    <t>173903</t>
  </si>
  <si>
    <t>49819</t>
  </si>
  <si>
    <t>359922</t>
  </si>
  <si>
    <t>57604</t>
  </si>
  <si>
    <t>11727</t>
  </si>
  <si>
    <t>177088</t>
  </si>
  <si>
    <t>66164</t>
  </si>
  <si>
    <t>39460</t>
  </si>
  <si>
    <t>110205</t>
  </si>
  <si>
    <t>154671</t>
  </si>
  <si>
    <t>42140</t>
  </si>
  <si>
    <t>41748</t>
  </si>
  <si>
    <t>10079</t>
  </si>
  <si>
    <t>285786</t>
  </si>
  <si>
    <t>42768</t>
  </si>
  <si>
    <t>23903</t>
  </si>
  <si>
    <t>25999</t>
  </si>
  <si>
    <t>57465</t>
  </si>
  <si>
    <t>73912</t>
  </si>
  <si>
    <t>174485</t>
  </si>
  <si>
    <t>68882</t>
  </si>
  <si>
    <t>177749</t>
  </si>
  <si>
    <t>50812</t>
  </si>
  <si>
    <t>368046</t>
  </si>
  <si>
    <t>58667</t>
  </si>
  <si>
    <t>11819</t>
  </si>
  <si>
    <t>179877</t>
  </si>
  <si>
    <t>67562</t>
  </si>
  <si>
    <t>40461</t>
  </si>
  <si>
    <t>112329</t>
  </si>
  <si>
    <t>157388</t>
  </si>
  <si>
    <t>42954</t>
  </si>
  <si>
    <t>42720</t>
  </si>
  <si>
    <t>10380</t>
  </si>
  <si>
    <t>290682</t>
  </si>
  <si>
    <t>15-mag</t>
  </si>
  <si>
    <t>16-mag</t>
  </si>
  <si>
    <t>17-mag</t>
  </si>
  <si>
    <t>18-mag</t>
  </si>
  <si>
    <t>19-mag</t>
  </si>
  <si>
    <t>20-mag</t>
  </si>
  <si>
    <t>21-mag</t>
  </si>
  <si>
    <t>pd-IT-0021</t>
  </si>
  <si>
    <t>pd-EN-0021</t>
  </si>
  <si>
    <t>dc-IT-0035</t>
  </si>
  <si>
    <t>dc-EN-0035</t>
  </si>
  <si>
    <t>dc-IT-0037</t>
  </si>
  <si>
    <t>dc-EN-0037</t>
  </si>
  <si>
    <t>nd-IT-0016</t>
  </si>
  <si>
    <t>nd-EN-0016</t>
  </si>
  <si>
    <t>pd-IT-0023</t>
  </si>
  <si>
    <t>pd-EN-0023</t>
  </si>
  <si>
    <t>43904</t>
  </si>
  <si>
    <t>24395</t>
  </si>
  <si>
    <t>26585</t>
  </si>
  <si>
    <t>58588</t>
  </si>
  <si>
    <t>76907</t>
  </si>
  <si>
    <t>176464</t>
  </si>
  <si>
    <t>70035</t>
  </si>
  <si>
    <t>182266</t>
  </si>
  <si>
    <t>51771</t>
  </si>
  <si>
    <t>378934</t>
  </si>
  <si>
    <t>59673</t>
  </si>
  <si>
    <t>12173</t>
  </si>
  <si>
    <t>182970</t>
  </si>
  <si>
    <t>41603</t>
  </si>
  <si>
    <t>114230</t>
  </si>
  <si>
    <t>160266</t>
  </si>
  <si>
    <t>43885</t>
  </si>
  <si>
    <t>43686</t>
  </si>
  <si>
    <t>10607</t>
  </si>
  <si>
    <t>295343</t>
  </si>
  <si>
    <t>44680</t>
  </si>
  <si>
    <t>24841</t>
  </si>
  <si>
    <t>27549</t>
  </si>
  <si>
    <t>59633</t>
  </si>
  <si>
    <t>79655</t>
  </si>
  <si>
    <t>179022</t>
  </si>
  <si>
    <t>71043</t>
  </si>
  <si>
    <t>185285</t>
  </si>
  <si>
    <t>52664</t>
  </si>
  <si>
    <t>389648</t>
  </si>
  <si>
    <t>60232</t>
  </si>
  <si>
    <t>12552</t>
  </si>
  <si>
    <t>185963</t>
  </si>
  <si>
    <t>68485</t>
  </si>
  <si>
    <t>42790</t>
  </si>
  <si>
    <t>116517</t>
  </si>
  <si>
    <t>162433</t>
  </si>
  <si>
    <t>45304</t>
  </si>
  <si>
    <t>44473</t>
  </si>
  <si>
    <t>10858</t>
  </si>
  <si>
    <t>300799</t>
  </si>
  <si>
    <t>45516</t>
  </si>
  <si>
    <t>25431</t>
  </si>
  <si>
    <t>60693</t>
  </si>
  <si>
    <t>80942</t>
  </si>
  <si>
    <t>182002</t>
  </si>
  <si>
    <t>72104</t>
  </si>
  <si>
    <t>187994</t>
  </si>
  <si>
    <t>53230</t>
  </si>
  <si>
    <t>396992</t>
  </si>
  <si>
    <t>pd-IT-0020</t>
  </si>
  <si>
    <t>pd-EN-0020</t>
  </si>
  <si>
    <t>60949</t>
  </si>
  <si>
    <t>12751</t>
  </si>
  <si>
    <t>188716</t>
  </si>
  <si>
    <t>71032</t>
  </si>
  <si>
    <t>43661</t>
  </si>
  <si>
    <t>117242</t>
  </si>
  <si>
    <t>164469</t>
  </si>
  <si>
    <t>45860</t>
  </si>
  <si>
    <t>45131</t>
  </si>
  <si>
    <t>11035</t>
  </si>
  <si>
    <t>304944</t>
  </si>
  <si>
    <t>46146</t>
  </si>
  <si>
    <t>25944</t>
  </si>
  <si>
    <t>28189</t>
  </si>
  <si>
    <t>61249</t>
  </si>
  <si>
    <t>82786</t>
  </si>
  <si>
    <t>183187</t>
  </si>
  <si>
    <t>73079</t>
  </si>
  <si>
    <t>190052</t>
  </si>
  <si>
    <t>53791</t>
  </si>
  <si>
    <t>400252</t>
  </si>
  <si>
    <t>61347</t>
  </si>
  <si>
    <t>12819</t>
  </si>
  <si>
    <t>191129</t>
  </si>
  <si>
    <t>72042</t>
  </si>
  <si>
    <t>43924</t>
  </si>
  <si>
    <t>dc-IT-0034</t>
  </si>
  <si>
    <t>dc-EN-0034</t>
  </si>
  <si>
    <t>118208</t>
  </si>
  <si>
    <t>165114</t>
  </si>
  <si>
    <t>45531</t>
  </si>
  <si>
    <t>45268</t>
  </si>
  <si>
    <t>11123</t>
  </si>
  <si>
    <t>308128</t>
  </si>
  <si>
    <t>46960</t>
  </si>
  <si>
    <t>26807</t>
  </si>
  <si>
    <t>28401</t>
  </si>
  <si>
    <t>62255</t>
  </si>
  <si>
    <t>85780</t>
  </si>
  <si>
    <t>185125</t>
  </si>
  <si>
    <t>73911</t>
  </si>
  <si>
    <t>192591</t>
  </si>
  <si>
    <t>54918</t>
  </si>
  <si>
    <t>405650</t>
  </si>
  <si>
    <t>61923</t>
  </si>
  <si>
    <t>12940</t>
  </si>
  <si>
    <t>193954</t>
  </si>
  <si>
    <t>73226</t>
  </si>
  <si>
    <t>44663</t>
  </si>
  <si>
    <t>120206</t>
  </si>
  <si>
    <t>168150</t>
  </si>
  <si>
    <t>45926</t>
  </si>
  <si>
    <t>46044</t>
  </si>
  <si>
    <t>11190</t>
  </si>
  <si>
    <t>312632</t>
  </si>
  <si>
    <t>48112</t>
  </si>
  <si>
    <t>27344</t>
  </si>
  <si>
    <t>28809</t>
  </si>
  <si>
    <t>63372</t>
  </si>
  <si>
    <t>88874</t>
  </si>
  <si>
    <t>186933</t>
  </si>
  <si>
    <t>74332</t>
  </si>
  <si>
    <t>195001</t>
  </si>
  <si>
    <t>55899</t>
  </si>
  <si>
    <t>413483</t>
  </si>
  <si>
    <t>62815</t>
  </si>
  <si>
    <t>13087</t>
  </si>
  <si>
    <t>196790</t>
  </si>
  <si>
    <t>74686</t>
  </si>
  <si>
    <t>45745</t>
  </si>
  <si>
    <t>122130</t>
  </si>
  <si>
    <t>170802</t>
  </si>
  <si>
    <t>46350</t>
  </si>
  <si>
    <t>46975</t>
  </si>
  <si>
    <t>11322</t>
  </si>
  <si>
    <t>317690</t>
  </si>
  <si>
    <t>49084</t>
  </si>
  <si>
    <t>27952</t>
  </si>
  <si>
    <t>64697</t>
  </si>
  <si>
    <t>90670</t>
  </si>
  <si>
    <t>191112</t>
  </si>
  <si>
    <t>76369</t>
  </si>
  <si>
    <t>198207</t>
  </si>
  <si>
    <t>56739</t>
  </si>
  <si>
    <t>422568</t>
  </si>
  <si>
    <t>63611</t>
  </si>
  <si>
    <t>13266</t>
  </si>
  <si>
    <t>199286</t>
  </si>
  <si>
    <t>75959</t>
  </si>
  <si>
    <t>46815</t>
  </si>
  <si>
    <t>122600</t>
  </si>
  <si>
    <t>173406</t>
  </si>
  <si>
    <t>46735</t>
  </si>
  <si>
    <t>47920</t>
  </si>
  <si>
    <t>323097</t>
  </si>
  <si>
    <t>50043</t>
  </si>
  <si>
    <t>28209</t>
  </si>
  <si>
    <t>29680</t>
  </si>
  <si>
    <t>65872</t>
  </si>
  <si>
    <t>93464</t>
  </si>
  <si>
    <t>193318</t>
  </si>
  <si>
    <t>78151</t>
  </si>
  <si>
    <t>201082</t>
  </si>
  <si>
    <t>57376</t>
  </si>
  <si>
    <t>430863</t>
  </si>
  <si>
    <t>64361</t>
  </si>
  <si>
    <t>dc-IT-0036</t>
  </si>
  <si>
    <t>dc-EN-0036</t>
  </si>
  <si>
    <t>13506</t>
  </si>
  <si>
    <t>202227</t>
  </si>
  <si>
    <t>77211</t>
  </si>
  <si>
    <t>47841</t>
  </si>
  <si>
    <t>125340</t>
  </si>
  <si>
    <t>175489</t>
  </si>
  <si>
    <t>47349</t>
  </si>
  <si>
    <t>48873</t>
  </si>
  <si>
    <t>11572</t>
  </si>
  <si>
    <t>326795</t>
  </si>
  <si>
    <t>nd-IT-0015</t>
  </si>
  <si>
    <t>nd-EN-0015</t>
  </si>
  <si>
    <t>28685</t>
  </si>
  <si>
    <t>30308</t>
  </si>
  <si>
    <t>67075</t>
  </si>
  <si>
    <t>95903</t>
  </si>
  <si>
    <t>195492</t>
  </si>
  <si>
    <t>78972</t>
  </si>
  <si>
    <t>204232</t>
  </si>
  <si>
    <t>58665</t>
  </si>
  <si>
    <t>438415</t>
  </si>
  <si>
    <t>64947</t>
  </si>
  <si>
    <t>13734</t>
  </si>
  <si>
    <t>205102</t>
  </si>
  <si>
    <t>78458</t>
  </si>
  <si>
    <t>48432</t>
  </si>
  <si>
    <t>127725</t>
  </si>
  <si>
    <t>177686</t>
  </si>
  <si>
    <t>47908</t>
  </si>
  <si>
    <t>49760</t>
  </si>
  <si>
    <t>11741</t>
  </si>
  <si>
    <t>331390</t>
  </si>
  <si>
    <t>50050</t>
  </si>
  <si>
    <t>pd-IT-0022</t>
  </si>
  <si>
    <t>pd-EN-0022</t>
  </si>
  <si>
    <t>29130</t>
  </si>
  <si>
    <t>30790</t>
  </si>
  <si>
    <t>68015</t>
  </si>
  <si>
    <t>98096</t>
  </si>
  <si>
    <t>197423</t>
  </si>
  <si>
    <t>80223</t>
  </si>
  <si>
    <t>206235</t>
  </si>
  <si>
    <t>59374</t>
  </si>
  <si>
    <t>445930</t>
  </si>
  <si>
    <t>65617</t>
  </si>
  <si>
    <t>13985</t>
  </si>
  <si>
    <t>207714</t>
  </si>
  <si>
    <t>79314</t>
  </si>
  <si>
    <t>49016</t>
  </si>
  <si>
    <t>128717</t>
  </si>
  <si>
    <t>179296</t>
  </si>
  <si>
    <t>48665</t>
  </si>
  <si>
    <t>50271</t>
  </si>
  <si>
    <t>11926</t>
  </si>
  <si>
    <t>333834</t>
  </si>
  <si>
    <t>52646</t>
  </si>
  <si>
    <t>29196</t>
  </si>
  <si>
    <t>31254</t>
  </si>
  <si>
    <t>68633</t>
  </si>
  <si>
    <t>99580</t>
  </si>
  <si>
    <t>198884</t>
  </si>
  <si>
    <t>80085</t>
  </si>
  <si>
    <t>208081</t>
  </si>
  <si>
    <t>60117</t>
  </si>
  <si>
    <t>447874</t>
  </si>
  <si>
    <t>65848</t>
  </si>
  <si>
    <t>14147</t>
  </si>
  <si>
    <t>209006</t>
  </si>
  <si>
    <t>80390</t>
  </si>
  <si>
    <t>49354</t>
  </si>
  <si>
    <t>129103</t>
  </si>
  <si>
    <t>180233</t>
  </si>
  <si>
    <t>48853</t>
  </si>
  <si>
    <t>50790</t>
  </si>
  <si>
    <t>11950</t>
  </si>
  <si>
    <t>335650</t>
  </si>
  <si>
    <t>22-mag</t>
  </si>
  <si>
    <t>23-mag</t>
  </si>
  <si>
    <t>24-mag</t>
  </si>
  <si>
    <t>25-mag</t>
  </si>
  <si>
    <t>26-mag</t>
  </si>
  <si>
    <t>27-mag</t>
  </si>
  <si>
    <t>28-mag</t>
  </si>
  <si>
    <t>29-mag</t>
  </si>
  <si>
    <t>30-mag</t>
  </si>
  <si>
    <t>31-mag</t>
  </si>
  <si>
    <t>01-giu</t>
  </si>
  <si>
    <t>53279</t>
  </si>
  <si>
    <t>29664</t>
  </si>
  <si>
    <t>31610</t>
  </si>
  <si>
    <t>69419</t>
  </si>
  <si>
    <t>100269</t>
  </si>
  <si>
    <t>201267</t>
  </si>
  <si>
    <t>80795</t>
  </si>
  <si>
    <t>209892</t>
  </si>
  <si>
    <t>60631</t>
  </si>
  <si>
    <t>451502</t>
  </si>
  <si>
    <t>66434</t>
  </si>
  <si>
    <t>14278</t>
  </si>
  <si>
    <t>211174</t>
  </si>
  <si>
    <t>81372</t>
  </si>
  <si>
    <t>49736</t>
  </si>
  <si>
    <t>130886</t>
  </si>
  <si>
    <t>182335</t>
  </si>
  <si>
    <t>49173</t>
  </si>
  <si>
    <t>51508</t>
  </si>
  <si>
    <t>12027</t>
  </si>
  <si>
    <t>340051</t>
  </si>
  <si>
    <t>53555</t>
  </si>
  <si>
    <t>29938</t>
  </si>
  <si>
    <t>31800</t>
  </si>
  <si>
    <t>69978</t>
  </si>
  <si>
    <t>101664</t>
  </si>
  <si>
    <t>202506</t>
  </si>
  <si>
    <t>81683</t>
  </si>
  <si>
    <t>211669</t>
  </si>
  <si>
    <t>61006</t>
  </si>
  <si>
    <t>458782</t>
  </si>
  <si>
    <t>66805</t>
  </si>
  <si>
    <t>14439</t>
  </si>
  <si>
    <t>212012</t>
  </si>
  <si>
    <t>82041</t>
  </si>
  <si>
    <t>50057</t>
  </si>
  <si>
    <t>131820</t>
  </si>
  <si>
    <t>183229</t>
  </si>
  <si>
    <t>49626</t>
  </si>
  <si>
    <t>51310</t>
  </si>
  <si>
    <t>12084</t>
  </si>
  <si>
    <t>341333</t>
  </si>
  <si>
    <t>02-giu</t>
  </si>
  <si>
    <t>03-giu</t>
  </si>
  <si>
    <t>dc-IT-0039</t>
  </si>
  <si>
    <t>54527</t>
  </si>
  <si>
    <t>30706</t>
  </si>
  <si>
    <t>32135</t>
  </si>
  <si>
    <t>70813</t>
  </si>
  <si>
    <t>102305</t>
  </si>
  <si>
    <t>204614</t>
  </si>
  <si>
    <t>81854</t>
  </si>
  <si>
    <t>214051</t>
  </si>
  <si>
    <t>61688</t>
  </si>
  <si>
    <t>460658</t>
  </si>
  <si>
    <t>67429</t>
  </si>
  <si>
    <t>dc-IT-0038</t>
  </si>
  <si>
    <t>15261</t>
  </si>
  <si>
    <t>214551</t>
  </si>
  <si>
    <t>83870</t>
  </si>
  <si>
    <t>50865</t>
  </si>
  <si>
    <t>134035</t>
  </si>
  <si>
    <t>186632</t>
  </si>
  <si>
    <t>49920</t>
  </si>
  <si>
    <t>52223</t>
  </si>
  <si>
    <t>12156</t>
  </si>
  <si>
    <t>344495</t>
  </si>
  <si>
    <t>04-giu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</si>
</sst>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[$-409]d\-mmm;@"/>
  </numFmts>
  <fonts count="5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.65"/>
      <color theme="3"/>
      <name val="Calibri"/>
      <family val="2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  <fill>
      <patternFill patternType="lightGray"/>
    </fill>
    <fill>
      <patternFill patternType="lightGray">
        <bgColor rgb="FFFF0000"/>
      </patternFill>
    </fill>
    <fill>
      <patternFill patternType="mediumGray"/>
    </fill>
  </fills>
  <borders count="3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rgb="FFFF8001"/>
      </bottom>
      <diagonal/>
    </border>
  </borders>
  <cellStyleXfs count="14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  <xf numFmtId="0" fontId="50" fillId="12" borderId="29" applyNumberFormat="0" applyAlignment="0" applyProtection="0"/>
    <xf numFmtId="0" fontId="51" fillId="0" borderId="37" applyNumberFormat="0" applyFill="0" applyAlignment="0" applyProtection="0"/>
  </cellStyleXfs>
  <cellXfs count="339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0" fillId="0" borderId="0" xfId="0"/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3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6" fillId="25" borderId="0" xfId="0" applyFont="1" applyFill="1" applyAlignment="1">
      <alignment wrapText="1"/>
    </xf>
    <xf numFmtId="0" fontId="34" fillId="26" borderId="0" xfId="0" applyFont="1" applyFill="1"/>
    <xf numFmtId="1" fontId="36" fillId="26" borderId="0" xfId="0" applyNumberFormat="1" applyFont="1" applyFill="1"/>
    <xf numFmtId="0" fontId="35" fillId="26" borderId="0" xfId="0" applyFont="1" applyFill="1"/>
    <xf numFmtId="2" fontId="36" fillId="26" borderId="0" xfId="0" applyNumberFormat="1" applyFont="1" applyFill="1"/>
    <xf numFmtId="0" fontId="36" fillId="25" borderId="0" xfId="0" applyFont="1" applyFill="1"/>
    <xf numFmtId="2" fontId="36" fillId="25" borderId="0" xfId="0" applyNumberFormat="1" applyFont="1" applyFill="1"/>
    <xf numFmtId="1" fontId="36" fillId="25" borderId="0" xfId="0" applyNumberFormat="1" applyFont="1" applyFill="1"/>
    <xf numFmtId="164" fontId="36" fillId="25" borderId="0" xfId="0" applyNumberFormat="1" applyFont="1" applyFill="1"/>
    <xf numFmtId="0" fontId="38" fillId="25" borderId="0" xfId="0" applyFont="1" applyFill="1"/>
    <xf numFmtId="1" fontId="38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1" fontId="39" fillId="26" borderId="0" xfId="0" applyNumberFormat="1" applyFont="1" applyFill="1"/>
    <xf numFmtId="2" fontId="39" fillId="26" borderId="0" xfId="0" applyNumberFormat="1" applyFont="1" applyFill="1"/>
    <xf numFmtId="0" fontId="39" fillId="25" borderId="0" xfId="0" applyFont="1" applyFill="1"/>
    <xf numFmtId="2" fontId="39" fillId="25" borderId="0" xfId="0" applyNumberFormat="1" applyFont="1" applyFill="1"/>
    <xf numFmtId="1" fontId="39" fillId="25" borderId="0" xfId="0" applyNumberFormat="1" applyFont="1" applyFill="1"/>
    <xf numFmtId="164" fontId="39" fillId="25" borderId="0" xfId="0" applyNumberFormat="1" applyFont="1" applyFill="1"/>
    <xf numFmtId="0" fontId="41" fillId="25" borderId="0" xfId="0" applyFont="1" applyFill="1"/>
    <xf numFmtId="1" fontId="41" fillId="25" borderId="0" xfId="0" applyNumberFormat="1" applyFont="1" applyFill="1"/>
    <xf numFmtId="165" fontId="41" fillId="25" borderId="0" xfId="0" applyNumberFormat="1" applyFont="1" applyFill="1"/>
    <xf numFmtId="0" fontId="42" fillId="26" borderId="0" xfId="0" applyFont="1" applyFill="1"/>
    <xf numFmtId="0" fontId="43" fillId="26" borderId="0" xfId="0" applyNumberFormat="1" applyFont="1" applyFill="1"/>
    <xf numFmtId="0" fontId="44" fillId="25" borderId="0" xfId="0" applyFont="1" applyFill="1" applyAlignment="1">
      <alignment horizontal="center" wrapText="1"/>
    </xf>
    <xf numFmtId="0" fontId="46" fillId="25" borderId="0" xfId="0" applyFont="1" applyFill="1" applyAlignment="1">
      <alignment wrapText="1"/>
    </xf>
    <xf numFmtId="0" fontId="44" fillId="25" borderId="0" xfId="0" applyFont="1" applyFill="1"/>
    <xf numFmtId="1" fontId="44" fillId="25" borderId="0" xfId="0" applyNumberFormat="1" applyFont="1" applyFill="1"/>
    <xf numFmtId="165" fontId="44" fillId="25" borderId="0" xfId="0" applyNumberFormat="1" applyFont="1" applyFill="1"/>
    <xf numFmtId="0" fontId="45" fillId="26" borderId="0" xfId="0" applyFont="1" applyFill="1"/>
    <xf numFmtId="0" fontId="46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47" fillId="25" borderId="0" xfId="0" applyFont="1" applyFill="1"/>
    <xf numFmtId="1" fontId="47" fillId="25" borderId="0" xfId="0" applyNumberFormat="1" applyFont="1" applyFill="1"/>
    <xf numFmtId="165" fontId="47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48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170" fontId="0" fillId="0" borderId="0" xfId="0" applyNumberFormat="1" applyAlignment="1">
      <alignment horizontal="center"/>
    </xf>
    <xf numFmtId="170" fontId="3" fillId="11" borderId="0" xfId="0" applyNumberFormat="1" applyFont="1" applyFill="1" applyAlignment="1">
      <alignment horizontal="center"/>
    </xf>
    <xf numFmtId="0" fontId="0" fillId="0" borderId="0" xfId="0"/>
    <xf numFmtId="0" fontId="0" fillId="0" borderId="0" xfId="0"/>
    <xf numFmtId="14" fontId="31" fillId="12" borderId="28" xfId="9" applyNumberFormat="1" applyBorder="1" applyAlignment="1">
      <alignment horizontal="center"/>
    </xf>
    <xf numFmtId="0" fontId="0" fillId="0" borderId="0" xfId="0"/>
    <xf numFmtId="0" fontId="0" fillId="0" borderId="0" xfId="0"/>
    <xf numFmtId="0" fontId="32" fillId="0" borderId="0" xfId="0" applyFont="1" applyAlignment="1">
      <alignment horizontal="left" vertical="center"/>
    </xf>
    <xf numFmtId="0" fontId="0" fillId="1" borderId="6" xfId="0" applyFill="1" applyBorder="1"/>
    <xf numFmtId="164" fontId="1" fillId="1" borderId="3" xfId="0" applyNumberFormat="1" applyFont="1" applyFill="1" applyBorder="1"/>
    <xf numFmtId="0" fontId="1" fillId="1" borderId="3" xfId="0" applyFont="1" applyFill="1" applyBorder="1"/>
    <xf numFmtId="0" fontId="1" fillId="1" borderId="5" xfId="0" applyFont="1" applyFill="1" applyBorder="1"/>
    <xf numFmtId="0" fontId="0" fillId="1" borderId="3" xfId="0" applyFill="1" applyBorder="1"/>
    <xf numFmtId="0" fontId="0" fillId="1" borderId="4" xfId="0" applyFill="1" applyBorder="1"/>
    <xf numFmtId="164" fontId="18" fillId="1" borderId="3" xfId="0" applyNumberFormat="1" applyFont="1" applyFill="1" applyBorder="1"/>
    <xf numFmtId="0" fontId="18" fillId="1" borderId="3" xfId="0" applyFont="1" applyFill="1" applyBorder="1"/>
    <xf numFmtId="0" fontId="18" fillId="1" borderId="5" xfId="0" applyFont="1" applyFill="1" applyBorder="1"/>
    <xf numFmtId="164" fontId="7" fillId="1" borderId="3" xfId="0" applyNumberFormat="1" applyFont="1" applyFill="1" applyBorder="1"/>
    <xf numFmtId="0" fontId="7" fillId="1" borderId="3" xfId="0" applyFont="1" applyFill="1" applyBorder="1"/>
    <xf numFmtId="0" fontId="7" fillId="1" borderId="7" xfId="0" applyFont="1" applyFill="1" applyBorder="1"/>
    <xf numFmtId="0" fontId="0" fillId="1" borderId="2" xfId="0" applyFill="1" applyBorder="1" applyAlignment="1">
      <alignment horizontal="center" vertical="center" wrapText="1"/>
    </xf>
    <xf numFmtId="0" fontId="24" fillId="27" borderId="0" xfId="0" applyFont="1" applyFill="1" applyAlignment="1">
      <alignment horizontal="center" wrapText="1"/>
    </xf>
    <xf numFmtId="0" fontId="0" fillId="0" borderId="0" xfId="0"/>
    <xf numFmtId="0" fontId="32" fillId="0" borderId="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0" xfId="0"/>
    <xf numFmtId="0" fontId="5" fillId="6" borderId="0" xfId="0" applyNumberFormat="1" applyFont="1" applyFill="1"/>
    <xf numFmtId="0" fontId="13" fillId="0" borderId="10" xfId="5" applyAlignment="1">
      <alignment horizontal="left" vertical="center"/>
    </xf>
    <xf numFmtId="0" fontId="0" fillId="0" borderId="0" xfId="0"/>
    <xf numFmtId="0" fontId="1" fillId="29" borderId="21" xfId="0" applyFont="1" applyFill="1" applyBorder="1" applyAlignment="1">
      <alignment horizontal="center"/>
    </xf>
    <xf numFmtId="0" fontId="39" fillId="27" borderId="0" xfId="0" applyNumberFormat="1" applyFont="1" applyFill="1" applyAlignment="1">
      <alignment horizontal="center"/>
    </xf>
    <xf numFmtId="0" fontId="39" fillId="28" borderId="0" xfId="0" applyNumberFormat="1" applyFont="1" applyFill="1" applyAlignment="1">
      <alignment horizontal="center"/>
    </xf>
    <xf numFmtId="2" fontId="31" fillId="12" borderId="28" xfId="9" applyNumberFormat="1" applyBorder="1" applyAlignment="1">
      <alignment horizontal="center"/>
    </xf>
    <xf numFmtId="165" fontId="50" fillId="12" borderId="30" xfId="12" applyNumberFormat="1" applyBorder="1" applyAlignment="1">
      <alignment horizontal="center"/>
    </xf>
    <xf numFmtId="0" fontId="0" fillId="3" borderId="34" xfId="1" applyFont="1" applyBorder="1"/>
    <xf numFmtId="0" fontId="0" fillId="3" borderId="35" xfId="1" applyFont="1" applyBorder="1"/>
    <xf numFmtId="0" fontId="9" fillId="3" borderId="35" xfId="1" applyFont="1" applyBorder="1"/>
    <xf numFmtId="0" fontId="1" fillId="3" borderId="36" xfId="1" applyFont="1" applyBorder="1" applyAlignment="1">
      <alignment horizontal="center"/>
    </xf>
    <xf numFmtId="0" fontId="51" fillId="27" borderId="37" xfId="13" applyFill="1"/>
    <xf numFmtId="9" fontId="51" fillId="27" borderId="37" xfId="1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8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2" fillId="0" borderId="0" xfId="0" applyFont="1" applyAlignment="1">
      <alignment horizontal="center"/>
    </xf>
    <xf numFmtId="0" fontId="14" fillId="4" borderId="31" xfId="6" applyBorder="1"/>
    <xf numFmtId="0" fontId="14" fillId="4" borderId="32" xfId="6" applyBorder="1"/>
    <xf numFmtId="0" fontId="14" fillId="4" borderId="33" xfId="6" applyBorder="1"/>
    <xf numFmtId="0" fontId="0" fillId="1" borderId="6" xfId="0" applyFill="1" applyBorder="1" applyAlignment="1">
      <alignment horizontal="center" vertical="center" textRotation="255" wrapText="1"/>
    </xf>
    <xf numFmtId="0" fontId="0" fillId="1" borderId="3" xfId="0" applyFill="1" applyBorder="1" applyAlignment="1">
      <alignment horizontal="center" vertical="center" textRotation="255" wrapText="1"/>
    </xf>
    <xf numFmtId="0" fontId="0" fillId="1" borderId="7" xfId="0" applyFill="1" applyBorder="1" applyAlignment="1">
      <alignment horizontal="center" vertical="center" textRotation="255" wrapText="1"/>
    </xf>
    <xf numFmtId="0" fontId="1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1" fillId="29" borderId="21" xfId="0" applyFont="1" applyFill="1" applyBorder="1" applyAlignment="1">
      <alignment horizontal="right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</cellXfs>
  <cellStyles count="14">
    <cellStyle name="20% - Colore 2" xfId="7" builtinId="34"/>
    <cellStyle name="20% - Colore 6" xfId="10" builtinId="50"/>
    <cellStyle name="60% - Colore 1" xfId="8" builtinId="32"/>
    <cellStyle name="Calcolo" xfId="12" builtinId="22"/>
    <cellStyle name="Cella collegata" xfId="13" builtinId="24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</dxf>
    <dxf>
      <numFmt numFmtId="1" formatCode="0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lightGray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lightGray">
          <fgColor indexed="64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and deaths)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Removals - basic SIR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77.070441965511719</c:v>
                </c:pt>
                <c:pt idx="14">
                  <c:v>750.02880466726651</c:v>
                </c:pt>
                <c:pt idx="15">
                  <c:v>1454.0217877526813</c:v>
                </c:pt>
                <c:pt idx="16">
                  <c:v>2190.2545183341754</c:v>
                </c:pt>
                <c:pt idx="17">
                  <c:v>2959.9562438705416</c:v>
                </c:pt>
                <c:pt idx="18">
                  <c:v>3764.3783741574816</c:v>
                </c:pt>
                <c:pt idx="19">
                  <c:v>4604.7922121401743</c:v>
                </c:pt>
                <c:pt idx="20">
                  <c:v>5482.4863523891363</c:v>
                </c:pt>
                <c:pt idx="21">
                  <c:v>6398.7637263480547</c:v>
                </c:pt>
                <c:pt idx="22">
                  <c:v>7389.4138836783432</c:v>
                </c:pt>
                <c:pt idx="23">
                  <c:v>8441.8094643272179</c:v>
                </c:pt>
                <c:pt idx="24">
                  <c:v>9538.5211994804795</c:v>
                </c:pt>
                <c:pt idx="25">
                  <c:v>10680.910902604917</c:v>
                </c:pt>
                <c:pt idx="26">
                  <c:v>11870.333464420413</c:v>
                </c:pt>
                <c:pt idx="27">
                  <c:v>13108.131275381153</c:v>
                </c:pt>
                <c:pt idx="28">
                  <c:v>14395.628180179738</c:v>
                </c:pt>
                <c:pt idx="29">
                  <c:v>15734.122960103821</c:v>
                </c:pt>
                <c:pt idx="30">
                  <c:v>17124.882343653757</c:v>
                </c:pt>
                <c:pt idx="31">
                  <c:v>18569.133551064984</c:v>
                </c:pt>
                <c:pt idx="32">
                  <c:v>20068.056384284446</c:v>
                </c:pt>
                <c:pt idx="33">
                  <c:v>21622.774880525831</c:v>
                </c:pt>
                <c:pt idx="34">
                  <c:v>23234.348554755386</c:v>
                </c:pt>
                <c:pt idx="35">
                  <c:v>24903.763264309178</c:v>
                </c:pt>
                <c:pt idx="36">
                  <c:v>26631.921737257591</c:v>
                </c:pt>
                <c:pt idx="37">
                  <c:v>28419.633815037767</c:v>
                </c:pt>
                <c:pt idx="38">
                  <c:v>30267.606469172108</c:v>
                </c:pt>
                <c:pt idx="39">
                  <c:v>32176.433661451116</c:v>
                </c:pt>
                <c:pt idx="40">
                  <c:v>34146.58612663333</c:v>
                </c:pt>
                <c:pt idx="41">
                  <c:v>36178.401166320909</c:v>
                </c:pt>
                <c:pt idx="42">
                  <c:v>38272.072552003163</c:v>
                </c:pt>
                <c:pt idx="43">
                  <c:v>40427.640644093641</c:v>
                </c:pt>
                <c:pt idx="44">
                  <c:v>42644.982841863493</c:v>
                </c:pt>
                <c:pt idx="45">
                  <c:v>44923.8044862346</c:v>
                </c:pt>
                <c:pt idx="46">
                  <c:v>47263.630343155382</c:v>
                </c:pt>
                <c:pt idx="47">
                  <c:v>49663.796799462943</c:v>
                </c:pt>
                <c:pt idx="48">
                  <c:v>52123.444905455843</c:v>
                </c:pt>
                <c:pt idx="49">
                  <c:v>54641.514398602907</c:v>
                </c:pt>
                <c:pt idx="50">
                  <c:v>57216.738840653212</c:v>
                </c:pt>
                <c:pt idx="51">
                  <c:v>59847.641995690487</c:v>
                </c:pt>
                <c:pt idx="52">
                  <c:v>62532.535569234526</c:v>
                </c:pt>
                <c:pt idx="53">
                  <c:v>65269.518418237632</c:v>
                </c:pt>
                <c:pt idx="54">
                  <c:v>68056.477328725043</c:v>
                </c:pt>
                <c:pt idx="55">
                  <c:v>70891.089441934222</c:v>
                </c:pt>
                <c:pt idx="56">
                  <c:v>73770.826391250637</c:v>
                </c:pt>
                <c:pt idx="57">
                  <c:v>76692.960191236518</c:v>
                </c:pt>
                <c:pt idx="58">
                  <c:v>79654.570896913807</c:v>
                </c:pt>
                <c:pt idx="59">
                  <c:v>82652.556026585313</c:v>
                </c:pt>
                <c:pt idx="60">
                  <c:v>85683.64171533499</c:v>
                </c:pt>
                <c:pt idx="61">
                  <c:v>88744.395539481207</c:v>
                </c:pt>
                <c:pt idx="62">
                  <c:v>91831.240925264763</c:v>
                </c:pt>
                <c:pt idx="63">
                  <c:v>94940.473028572465</c:v>
                </c:pt>
                <c:pt idx="64">
                  <c:v>98068.275947182163</c:v>
                </c:pt>
                <c:pt idx="65">
                  <c:v>101210.74110351775</c:v>
                </c:pt>
                <c:pt idx="66">
                  <c:v>104363.88661484266</c:v>
                </c:pt>
                <c:pt idx="67">
                  <c:v>107523.67744977848</c:v>
                </c:pt>
                <c:pt idx="68">
                  <c:v>110686.04615550228</c:v>
                </c:pt>
                <c:pt idx="69">
                  <c:v>113846.91392937522</c:v>
                </c:pt>
                <c:pt idx="70">
                  <c:v>117002.21180237434</c:v>
                </c:pt>
                <c:pt idx="71">
                  <c:v>120147.90169973321</c:v>
                </c:pt>
                <c:pt idx="72">
                  <c:v>123279.99714669076</c:v>
                </c:pt>
                <c:pt idx="73">
                  <c:v>126394.58339413148</c:v>
                </c:pt>
                <c:pt idx="74">
                  <c:v>129487.83674997033</c:v>
                </c:pt>
                <c:pt idx="75">
                  <c:v>132556.04291707158</c:v>
                </c:pt>
                <c:pt idx="76">
                  <c:v>135595.61415687006</c:v>
                </c:pt>
                <c:pt idx="77">
                  <c:v>138603.10511916946</c:v>
                </c:pt>
                <c:pt idx="78">
                  <c:v>141575.22720224608</c:v>
                </c:pt>
                <c:pt idx="79">
                  <c:v>144508.86133276008</c:v>
                </c:pt>
                <c:pt idx="80">
                  <c:v>147401.06908141807</c:v>
                </c:pt>
                <c:pt idx="81">
                  <c:v>150249.10205719361</c:v>
                </c:pt>
                <c:pt idx="82">
                  <c:v>153050.40954956206</c:v>
                </c:pt>
                <c:pt idx="83">
                  <c:v>155802.64441406151</c:v>
                </c:pt>
                <c:pt idx="84">
                  <c:v>158503.66722101663</c:v>
                </c:pt>
                <c:pt idx="85">
                  <c:v>161151.54871000181</c:v>
                </c:pt>
                <c:pt idx="86">
                  <c:v>163744.57061319341</c:v>
                </c:pt>
                <c:pt idx="87">
                  <c:v>166281.22492887668</c:v>
                </c:pt>
                <c:pt idx="88">
                  <c:v>168760.21174182693</c:v>
                </c:pt>
                <c:pt idx="89">
                  <c:v>171180.43569995553</c:v>
                </c:pt>
                <c:pt idx="90">
                  <c:v>173541.00126647161</c:v>
                </c:pt>
                <c:pt idx="91">
                  <c:v>175841.20687388812</c:v>
                </c:pt>
                <c:pt idx="92">
                  <c:v>178080.53811061257</c:v>
                </c:pt>
                <c:pt idx="93">
                  <c:v>180258.66007276339</c:v>
                </c:pt>
                <c:pt idx="94">
                  <c:v>182375.40901344988</c:v>
                </c:pt>
                <c:pt idx="95">
                  <c:v>184430.78341928954</c:v>
                </c:pt>
                <c:pt idx="96">
                  <c:v>186424.93463967042</c:v>
                </c:pt>
                <c:pt idx="97">
                  <c:v>188358.15718847769</c:v>
                </c:pt>
                <c:pt idx="98">
                  <c:v>190230.87883096651</c:v>
                </c:pt>
                <c:pt idx="99">
                  <c:v>192043.65056045321</c:v>
                </c:pt>
                <c:pt idx="100">
                  <c:v>193797.13656077752</c:v>
                </c:pt>
                <c:pt idx="101">
                  <c:v>195492.10424129743</c:v>
                </c:pt>
                <c:pt idx="102">
                  <c:v>197129.41442174779</c:v>
                </c:pt>
                <c:pt idx="103">
                  <c:v>198710.01173481095</c:v>
                </c:pt>
                <c:pt idx="104">
                  <c:v>200234.91530489761</c:v>
                </c:pt>
                <c:pt idx="105">
                  <c:v>201705.20975255454</c:v>
                </c:pt>
                <c:pt idx="106">
                  <c:v>203122.03656522799</c:v>
                </c:pt>
                <c:pt idx="107">
                  <c:v>204486.58586691483</c:v>
                </c:pt>
                <c:pt idx="108">
                  <c:v>205800.08861159129</c:v>
                </c:pt>
                <c:pt idx="109">
                  <c:v>207063.80921828089</c:v>
                </c:pt>
                <c:pt idx="110">
                  <c:v>208279.03865923037</c:v>
                </c:pt>
                <c:pt idx="111">
                  <c:v>209447.08800692833</c:v>
                </c:pt>
                <c:pt idx="112">
                  <c:v>210569.28244061171</c:v>
                </c:pt>
                <c:pt idx="113">
                  <c:v>211646.95570846469</c:v>
                </c:pt>
                <c:pt idx="114">
                  <c:v>212681.44503787981</c:v>
                </c:pt>
                <c:pt idx="115">
                  <c:v>213674.08648291082</c:v>
                </c:pt>
                <c:pt idx="116">
                  <c:v>214626.21069534984</c:v>
                </c:pt>
                <c:pt idx="117">
                  <c:v>215539.13910367622</c:v>
                </c:pt>
                <c:pt idx="118">
                  <c:v>216414.18048240463</c:v>
                </c:pt>
                <c:pt idx="119">
                  <c:v>217252.62789306178</c:v>
                </c:pt>
                <c:pt idx="120">
                  <c:v>218055.75597710264</c:v>
                </c:pt>
                <c:pt idx="121">
                  <c:v>218824.81858049051</c:v>
                </c:pt>
                <c:pt idx="122">
                  <c:v>219561.04668937618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Cumul_removed_bSIR!$I$7</c:f>
              <c:strCache>
                <c:ptCount val="1"/>
                <c:pt idx="0">
                  <c:v>Italy fit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Cumul_removed_bSIR!$I$62:$I$184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377.33955064412049</c:v>
                </c:pt>
                <c:pt idx="15">
                  <c:v>1128.395261548379</c:v>
                </c:pt>
                <c:pt idx="16">
                  <c:v>1913.1968345634587</c:v>
                </c:pt>
                <c:pt idx="17">
                  <c:v>2733.0005089265746</c:v>
                </c:pt>
                <c:pt idx="18">
                  <c:v>3589.083756533872</c:v>
                </c:pt>
                <c:pt idx="19">
                  <c:v>4482.7429220722188</c:v>
                </c:pt>
                <c:pt idx="20">
                  <c:v>5415.2905334872894</c:v>
                </c:pt>
                <c:pt idx="21">
                  <c:v>6388.0522630551823</c:v>
                </c:pt>
                <c:pt idx="22">
                  <c:v>7402.3635199757218</c:v>
                </c:pt>
                <c:pt idx="23">
                  <c:v>8459.5656563862358</c:v>
                </c:pt>
                <c:pt idx="24">
                  <c:v>9561.0017700512126</c:v>
                </c:pt>
                <c:pt idx="25">
                  <c:v>10708.01208875074</c:v>
                </c:pt>
                <c:pt idx="26">
                  <c:v>11901.928923616581</c:v>
                </c:pt>
                <c:pt idx="27">
                  <c:v>13144.07118138202</c:v>
                </c:pt>
                <c:pt idx="28">
                  <c:v>14435.738428760094</c:v>
                </c:pt>
                <c:pt idx="29">
                  <c:v>15778.204505976713</c:v>
                </c:pt>
                <c:pt idx="30">
                  <c:v>17172.710690883545</c:v>
                </c:pt>
                <c:pt idx="31">
                  <c:v>18620.458420082512</c:v>
                </c:pt>
                <c:pt idx="32">
                  <c:v>20122.601579114606</c:v>
                </c:pt>
                <c:pt idx="33">
                  <c:v>21680.238380000101</c:v>
                </c:pt>
                <c:pt idx="34">
                  <c:v>23294.402851245672</c:v>
                </c:pt>
                <c:pt idx="35">
                  <c:v>24966.055972823433</c:v>
                </c:pt>
                <c:pt idx="36">
                  <c:v>26696.07649652844</c:v>
                </c:pt>
                <c:pt idx="37">
                  <c:v>28485.251500457278</c:v>
                </c:pt>
                <c:pt idx="38">
                  <c:v>30334.266735034074</c:v>
                </c:pt>
                <c:pt idx="39">
                  <c:v>32243.696826918273</c:v>
                </c:pt>
                <c:pt idx="40">
                  <c:v>34213.995416125072</c:v>
                </c:pt>
                <c:pt idx="41">
                  <c:v>36245.48531060703</c:v>
                </c:pt>
                <c:pt idx="42">
                  <c:v>38338.348751196274</c:v>
                </c:pt>
                <c:pt idx="43">
                  <c:v>40492.617887984932</c:v>
                </c:pt>
                <c:pt idx="44">
                  <c:v>42708.165576693667</c:v>
                </c:pt>
                <c:pt idx="45">
                  <c:v>44984.696610108731</c:v>
                </c:pt>
                <c:pt idx="46">
                  <c:v>47321.739504998819</c:v>
                </c:pt>
                <c:pt idx="47">
                  <c:v>49718.638968802377</c:v>
                </c:pt>
                <c:pt idx="48">
                  <c:v>52174.549172553001</c:v>
                </c:pt>
                <c:pt idx="49">
                  <c:v>54688.427956744141</c:v>
                </c:pt>
                <c:pt idx="50">
                  <c:v>57259.032094910166</c:v>
                </c:pt>
                <c:pt idx="51">
                  <c:v>59884.913735434537</c:v>
                </c:pt>
                <c:pt idx="52">
                  <c:v>62564.418135340435</c:v>
                </c:pt>
                <c:pt idx="53">
                  <c:v>65295.682790488063</c:v>
                </c:pt>
                <c:pt idx="54">
                  <c:v>68076.638054658382</c:v>
                </c:pt>
                <c:pt idx="55">
                  <c:v>70905.009325486972</c:v>
                </c:pt>
                <c:pt idx="56">
                  <c:v>73778.320858230261</c:v>
                </c:pt>
                <c:pt idx="57">
                  <c:v>76693.901249090486</c:v>
                </c:pt>
                <c:pt idx="58">
                  <c:v>79648.890608561604</c:v>
                </c:pt>
                <c:pt idx="59">
                  <c:v>82640.249422332548</c:v>
                </c:pt>
                <c:pt idx="60">
                  <c:v>85664.76907311067</c:v>
                </c:pt>
                <c:pt idx="61">
                  <c:v>88719.08397179193</c:v>
                </c:pt>
                <c:pt idx="62">
                  <c:v>91799.685221234817</c:v>
                </c:pt>
                <c:pt idx="63">
                  <c:v>94902.935711064769</c:v>
                </c:pt>
                <c:pt idx="64">
                  <c:v>98025.086518036347</c:v>
                </c:pt>
                <c:pt idx="65">
                  <c:v>101162.29446410119</c:v>
                </c:pt>
                <c:pt idx="66">
                  <c:v>104310.64066404921</c:v>
                </c:pt>
                <c:pt idx="67">
                  <c:v>107466.14987693875</c:v>
                </c:pt>
                <c:pt idx="68">
                  <c:v>110624.81046098692</c:v>
                </c:pt>
                <c:pt idx="69">
                  <c:v>113782.59472055198</c:v>
                </c:pt>
                <c:pt idx="70">
                  <c:v>116935.47942661433</c:v>
                </c:pt>
                <c:pt idx="71">
                  <c:v>120079.46628895003</c:v>
                </c:pt>
                <c:pt idx="72">
                  <c:v>123210.60215908688</c:v>
                </c:pt>
                <c:pt idx="73">
                  <c:v>126324.99874810832</c:v>
                </c:pt>
                <c:pt idx="74">
                  <c:v>129418.85165228606</c:v>
                </c:pt>
                <c:pt idx="75">
                  <c:v>132488.45849213048</c:v>
                </c:pt>
                <c:pt idx="76">
                  <c:v>135530.23598639676</c:v>
                </c:pt>
                <c:pt idx="77">
                  <c:v>138540.73580144349</c:v>
                </c:pt>
                <c:pt idx="78">
                  <c:v>141516.65903760181</c:v>
                </c:pt>
                <c:pt idx="79">
                  <c:v>144454.86923732565</c:v>
                </c:pt>
                <c:pt idx="80">
                  <c:v>147352.40382427152</c:v>
                </c:pt>
                <c:pt idx="81">
                  <c:v>150206.48390750558</c:v>
                </c:pt>
                <c:pt idx="82">
                  <c:v>153014.52241017277</c:v>
                </c:pt>
                <c:pt idx="83">
                  <c:v>155774.13050662907</c:v>
                </c:pt>
                <c:pt idx="84">
                  <c:v>158483.12237572542</c:v>
                </c:pt>
                <c:pt idx="85">
                  <c:v>161139.51830018082</c:v>
                </c:pt>
                <c:pt idx="86">
                  <c:v>163741.54616241201</c:v>
                </c:pt>
                <c:pt idx="87">
                  <c:v>166287.64140548036</c:v>
                </c:pt>
                <c:pt idx="88">
                  <c:v>168776.44554374577</c:v>
                </c:pt>
                <c:pt idx="89">
                  <c:v>171206.8033212224</c:v>
                </c:pt>
                <c:pt idx="90">
                  <c:v>173577.75862644025</c:v>
                </c:pt>
                <c:pt idx="91">
                  <c:v>175888.5492808189</c:v>
                </c:pt>
                <c:pt idx="92">
                  <c:v>178138.60082321835</c:v>
                </c:pt>
                <c:pt idx="93">
                  <c:v>180327.51941655891</c:v>
                </c:pt>
                <c:pt idx="94">
                  <c:v>182455.08400336269</c:v>
                </c:pt>
                <c:pt idx="95">
                  <c:v>184521.23783596262</c:v>
                </c:pt>
                <c:pt idx="96">
                  <c:v>186526.07950417674</c:v>
                </c:pt>
                <c:pt idx="97">
                  <c:v>188469.85357870406</c:v>
                </c:pt>
                <c:pt idx="98">
                  <c:v>190352.94098261287</c:v>
                </c:pt>
                <c:pt idx="99">
                  <c:v>192175.84919632412</c:v>
                </c:pt>
                <c:pt idx="100">
                  <c:v>193939.20239368151</c:v>
                </c:pt>
                <c:pt idx="101">
                  <c:v>195643.73159829059</c:v>
                </c:pt>
                <c:pt idx="102">
                  <c:v>197290.26494051793</c:v>
                </c:pt>
                <c:pt idx="103">
                  <c:v>198879.71808656678</c:v>
                </c:pt>
                <c:pt idx="104">
                  <c:v>200413.08490206895</c:v>
                </c:pt>
                <c:pt idx="105">
                  <c:v>201891.42840380807</c:v>
                </c:pt>
                <c:pt idx="106">
                  <c:v>203315.8720446403</c:v>
                </c:pt>
                <c:pt idx="107">
                  <c:v>204687.59136852549</c:v>
                </c:pt>
                <c:pt idx="108">
                  <c:v>206007.80606489163</c:v>
                </c:pt>
                <c:pt idx="109">
                  <c:v>207277.77244440839</c:v>
                </c:pt>
                <c:pt idx="110">
                  <c:v>208498.77635166788</c:v>
                </c:pt>
                <c:pt idx="111">
                  <c:v>209672.12652430768</c:v>
                </c:pt>
                <c:pt idx="112">
                  <c:v>210799.14840275203</c:v>
                </c:pt>
                <c:pt idx="113">
                  <c:v>211881.17839001075</c:v>
                </c:pt>
                <c:pt idx="114">
                  <c:v>212919.55855683246</c:v>
                </c:pt>
                <c:pt idx="115">
                  <c:v>213915.6317839472</c:v>
                </c:pt>
                <c:pt idx="116">
                  <c:v>214870.73733011831</c:v>
                </c:pt>
                <c:pt idx="117">
                  <c:v>215786.206812227</c:v>
                </c:pt>
                <c:pt idx="118">
                  <c:v>216663.36058158908</c:v>
                </c:pt>
                <c:pt idx="119">
                  <c:v>217503.50447912127</c:v>
                </c:pt>
                <c:pt idx="120">
                  <c:v>218307.92695078562</c:v>
                </c:pt>
                <c:pt idx="121">
                  <c:v>219077.89650390879</c:v>
                </c:pt>
                <c:pt idx="122">
                  <c:v>219814.65948445487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Cumul_removed_bSIR!$P$7</c:f>
              <c:strCache>
                <c:ptCount val="1"/>
                <c:pt idx="0">
                  <c:v>region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Cumul_removed_bSIR!$P$62:$P$184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34.475609649753139</c:v>
                </c:pt>
                <c:pt idx="23">
                  <c:v>89.478241588311164</c:v>
                </c:pt>
                <c:pt idx="24">
                  <c:v>146.25424474947047</c:v>
                </c:pt>
                <c:pt idx="25">
                  <c:v>204.84245522195209</c:v>
                </c:pt>
                <c:pt idx="26">
                  <c:v>265.28119267678937</c:v>
                </c:pt>
                <c:pt idx="27">
                  <c:v>327.60813738385758</c:v>
                </c:pt>
                <c:pt idx="28">
                  <c:v>391.86020047792823</c:v>
                </c:pt>
                <c:pt idx="29">
                  <c:v>458.07338755702551</c:v>
                </c:pt>
                <c:pt idx="30">
                  <c:v>526.28265574970794</c:v>
                </c:pt>
                <c:pt idx="31">
                  <c:v>596.52176444625877</c:v>
                </c:pt>
                <c:pt idx="32">
                  <c:v>668.82311995188422</c:v>
                </c:pt>
                <c:pt idx="33">
                  <c:v>743.21761438747058</c:v>
                </c:pt>
                <c:pt idx="34">
                  <c:v>819.73445923514714</c:v>
                </c:pt>
                <c:pt idx="35">
                  <c:v>898.40101400151593</c:v>
                </c:pt>
                <c:pt idx="36">
                  <c:v>979.24261055032537</c:v>
                </c:pt>
                <c:pt idx="37">
                  <c:v>1062.2823737383162</c:v>
                </c:pt>
                <c:pt idx="38">
                  <c:v>1147.5410390720715</c:v>
                </c:pt>
                <c:pt idx="39">
                  <c:v>1235.0367681893113</c:v>
                </c:pt>
                <c:pt idx="40">
                  <c:v>1324.7849630542669</c:v>
                </c:pt>
                <c:pt idx="41">
                  <c:v>1416.7980798425967</c:v>
                </c:pt>
                <c:pt idx="42">
                  <c:v>1511.0854435755471</c:v>
                </c:pt>
                <c:pt idx="43">
                  <c:v>1607.6530646446565</c:v>
                </c:pt>
                <c:pt idx="44">
                  <c:v>1706.5034584457503</c:v>
                </c:pt>
                <c:pt idx="45">
                  <c:v>1807.6354694130687</c:v>
                </c:pt>
                <c:pt idx="46">
                  <c:v>1911.0441008093981</c:v>
                </c:pt>
                <c:pt idx="47">
                  <c:v>2016.7203516848165</c:v>
                </c:pt>
                <c:pt idx="48">
                  <c:v>2124.6510624632015</c:v>
                </c:pt>
                <c:pt idx="49">
                  <c:v>2234.8187706507611</c:v>
                </c:pt>
                <c:pt idx="50">
                  <c:v>2347.2015781827786</c:v>
                </c:pt>
                <c:pt idx="51">
                  <c:v>2461.773031932195</c:v>
                </c:pt>
                <c:pt idx="52">
                  <c:v>2578.5020188950489</c:v>
                </c:pt>
                <c:pt idx="53">
                  <c:v>2697.3526775422256</c:v>
                </c:pt>
                <c:pt idx="54">
                  <c:v>2818.2843267829389</c:v>
                </c:pt>
                <c:pt idx="55">
                  <c:v>2941.2514139225377</c:v>
                </c:pt>
                <c:pt idx="56">
                  <c:v>3066.203482914575</c:v>
                </c:pt>
                <c:pt idx="57">
                  <c:v>3193.0851641045883</c:v>
                </c:pt>
                <c:pt idx="58">
                  <c:v>3321.8361865405759</c:v>
                </c:pt>
                <c:pt idx="59">
                  <c:v>3452.3914137831289</c:v>
                </c:pt>
                <c:pt idx="60">
                  <c:v>3584.6809039873392</c:v>
                </c:pt>
                <c:pt idx="61">
                  <c:v>3718.6299948500086</c:v>
                </c:pt>
                <c:pt idx="62">
                  <c:v>3854.1594138208616</c:v>
                </c:pt>
                <c:pt idx="63">
                  <c:v>3991.1854137672908</c:v>
                </c:pt>
                <c:pt idx="64">
                  <c:v>4129.6199340608719</c:v>
                </c:pt>
                <c:pt idx="65">
                  <c:v>4269.3707868230831</c:v>
                </c:pt>
                <c:pt idx="66">
                  <c:v>4410.3418678302087</c:v>
                </c:pt>
                <c:pt idx="67">
                  <c:v>4552.4333913365735</c:v>
                </c:pt>
                <c:pt idx="68">
                  <c:v>4695.5421478342996</c:v>
                </c:pt>
                <c:pt idx="69">
                  <c:v>4839.5617835302974</c:v>
                </c:pt>
                <c:pt idx="70">
                  <c:v>4984.3831000909086</c:v>
                </c:pt>
                <c:pt idx="71">
                  <c:v>5129.8943729848661</c:v>
                </c:pt>
                <c:pt idx="72">
                  <c:v>5275.9816865499697</c:v>
                </c:pt>
                <c:pt idx="73">
                  <c:v>5422.5292837210991</c:v>
                </c:pt>
                <c:pt idx="74">
                  <c:v>5569.4199281904339</c:v>
                </c:pt>
                <c:pt idx="75">
                  <c:v>5716.5352766275328</c:v>
                </c:pt>
                <c:pt idx="76">
                  <c:v>5863.7562584701736</c:v>
                </c:pt>
                <c:pt idx="77">
                  <c:v>6010.9634607081543</c:v>
                </c:pt>
                <c:pt idx="78">
                  <c:v>6158.0375150236268</c:v>
                </c:pt>
                <c:pt idx="79">
                  <c:v>6304.8594846236765</c:v>
                </c:pt>
                <c:pt idx="80">
                  <c:v>6451.31124810454</c:v>
                </c:pt>
                <c:pt idx="81">
                  <c:v>6597.2758777218451</c:v>
                </c:pt>
                <c:pt idx="82">
                  <c:v>6742.6380095069053</c:v>
                </c:pt>
                <c:pt idx="83">
                  <c:v>6887.2842027644974</c:v>
                </c:pt>
                <c:pt idx="84">
                  <c:v>7031.1032866105488</c:v>
                </c:pt>
                <c:pt idx="85">
                  <c:v>7173.9866913570713</c:v>
                </c:pt>
                <c:pt idx="86">
                  <c:v>7315.8287627235677</c:v>
                </c:pt>
                <c:pt idx="87">
                  <c:v>7456.5270570461653</c:v>
                </c:pt>
                <c:pt idx="88">
                  <c:v>7595.9826158647757</c:v>
                </c:pt>
                <c:pt idx="89">
                  <c:v>7734.1002184909194</c:v>
                </c:pt>
                <c:pt idx="90">
                  <c:v>7870.78861139131</c:v>
                </c:pt>
                <c:pt idx="91">
                  <c:v>8005.9607134607213</c:v>
                </c:pt>
                <c:pt idx="92">
                  <c:v>8139.5337964990258</c:v>
                </c:pt>
                <c:pt idx="93">
                  <c:v>8271.4296404475808</c:v>
                </c:pt>
                <c:pt idx="94">
                  <c:v>8401.5746631763086</c:v>
                </c:pt>
                <c:pt idx="95">
                  <c:v>8529.9000248417888</c:v>
                </c:pt>
                <c:pt idx="96">
                  <c:v>8656.3417070551914</c:v>
                </c:pt>
                <c:pt idx="97">
                  <c:v>8780.8405673051584</c:v>
                </c:pt>
                <c:pt idx="98">
                  <c:v>8903.3423692717988</c:v>
                </c:pt>
                <c:pt idx="99">
                  <c:v>9023.797789842667</c:v>
                </c:pt>
                <c:pt idx="100">
                  <c:v>9142.1624037981383</c:v>
                </c:pt>
                <c:pt idx="101">
                  <c:v>9258.3966472712036</c:v>
                </c:pt>
                <c:pt idx="102">
                  <c:v>9372.4657612045248</c:v>
                </c:pt>
                <c:pt idx="103">
                  <c:v>9484.339716125518</c:v>
                </c:pt>
                <c:pt idx="104">
                  <c:v>9593.9931196382986</c:v>
                </c:pt>
                <c:pt idx="105">
                  <c:v>9701.4051080897352</c:v>
                </c:pt>
                <c:pt idx="106">
                  <c:v>9806.5592239064936</c:v>
                </c:pt>
                <c:pt idx="107">
                  <c:v>9909.4432801216371</c:v>
                </c:pt>
                <c:pt idx="108">
                  <c:v>10010.049213613984</c:v>
                </c:pt>
                <c:pt idx="109">
                  <c:v>10108.372928572635</c:v>
                </c:pt>
                <c:pt idx="110">
                  <c:v>10204.414131673919</c:v>
                </c:pt>
                <c:pt idx="111">
                  <c:v>10298.17616042016</c:v>
                </c:pt>
                <c:pt idx="112">
                  <c:v>10389.665806040599</c:v>
                </c:pt>
                <c:pt idx="113">
                  <c:v>10478.893132296029</c:v>
                </c:pt>
                <c:pt idx="114">
                  <c:v>10565.871291461937</c:v>
                </c:pt>
                <c:pt idx="115">
                  <c:v>10650.616338691454</c:v>
                </c:pt>
                <c:pt idx="116">
                  <c:v>10733.147045880878</c:v>
                </c:pt>
                <c:pt idx="117">
                  <c:v>10813.484716078272</c:v>
                </c:pt>
                <c:pt idx="118">
                  <c:v>10891.652999390853</c:v>
                </c:pt>
                <c:pt idx="119">
                  <c:v>10967.677711260945</c:v>
                </c:pt>
                <c:pt idx="120">
                  <c:v>11041.586653894092</c:v>
                </c:pt>
                <c:pt idx="121">
                  <c:v>11113.409441537598</c:v>
                </c:pt>
                <c:pt idx="122">
                  <c:v>11183.177330224084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Cumul_removed_bSIR!$W$7</c:f>
              <c:strCache>
                <c:ptCount val="1"/>
                <c:pt idx="0">
                  <c:v>rest of Italy fit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Cumul_removed_bSIR!$W$62:$W$184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77.070441965511719</c:v>
                </c:pt>
                <c:pt idx="14">
                  <c:v>750.02880466726651</c:v>
                </c:pt>
                <c:pt idx="15">
                  <c:v>1454.0217877526813</c:v>
                </c:pt>
                <c:pt idx="16">
                  <c:v>2190.2545183341754</c:v>
                </c:pt>
                <c:pt idx="17">
                  <c:v>2959.9562438705416</c:v>
                </c:pt>
                <c:pt idx="18">
                  <c:v>3764.3783741574816</c:v>
                </c:pt>
                <c:pt idx="19">
                  <c:v>4604.7922121401743</c:v>
                </c:pt>
                <c:pt idx="20">
                  <c:v>5482.4863523891363</c:v>
                </c:pt>
                <c:pt idx="21">
                  <c:v>6398.7637263480547</c:v>
                </c:pt>
                <c:pt idx="22">
                  <c:v>7354.9382740285901</c:v>
                </c:pt>
                <c:pt idx="23">
                  <c:v>8352.3312227389069</c:v>
                </c:pt>
                <c:pt idx="24">
                  <c:v>9392.2669547310088</c:v>
                </c:pt>
                <c:pt idx="25">
                  <c:v>10476.068447382966</c:v>
                </c:pt>
                <c:pt idx="26">
                  <c:v>11605.052271743623</c:v>
                </c:pt>
                <c:pt idx="27">
                  <c:v>12780.523137997296</c:v>
                </c:pt>
                <c:pt idx="28">
                  <c:v>14003.76797970181</c:v>
                </c:pt>
                <c:pt idx="29">
                  <c:v>15276.049572546795</c:v>
                </c:pt>
                <c:pt idx="30">
                  <c:v>16598.59968790405</c:v>
                </c:pt>
                <c:pt idx="31">
                  <c:v>17972.611786618727</c:v>
                </c:pt>
                <c:pt idx="32">
                  <c:v>19399.233264332561</c:v>
                </c:pt>
                <c:pt idx="33">
                  <c:v>20879.557266138359</c:v>
                </c:pt>
                <c:pt idx="34">
                  <c:v>22414.614095520239</c:v>
                </c:pt>
                <c:pt idx="35">
                  <c:v>24005.362250307662</c:v>
                </c:pt>
                <c:pt idx="36">
                  <c:v>25652.679126707266</c:v>
                </c:pt>
                <c:pt idx="37">
                  <c:v>27357.351441299452</c:v>
                </c:pt>
                <c:pt idx="38">
                  <c:v>29120.065430100036</c:v>
                </c:pt>
                <c:pt idx="39">
                  <c:v>30941.396893261805</c:v>
                </c:pt>
                <c:pt idx="40">
                  <c:v>32821.801163579061</c:v>
                </c:pt>
                <c:pt idx="41">
                  <c:v>34761.60308647831</c:v>
                </c:pt>
                <c:pt idx="42">
                  <c:v>36760.987108427616</c:v>
                </c:pt>
                <c:pt idx="43">
                  <c:v>38819.987579448985</c:v>
                </c:pt>
                <c:pt idx="44">
                  <c:v>40938.47938341774</c:v>
                </c:pt>
                <c:pt idx="45">
                  <c:v>43116.169016821528</c:v>
                </c:pt>
                <c:pt idx="46">
                  <c:v>45352.586242345984</c:v>
                </c:pt>
                <c:pt idx="47">
                  <c:v>47647.076447778127</c:v>
                </c:pt>
                <c:pt idx="48">
                  <c:v>49998.793842992643</c:v>
                </c:pt>
                <c:pt idx="49">
                  <c:v>52406.695627952147</c:v>
                </c:pt>
                <c:pt idx="50">
                  <c:v>54869.537262470432</c:v>
                </c:pt>
                <c:pt idx="51">
                  <c:v>57385.868963758294</c:v>
                </c:pt>
                <c:pt idx="52">
                  <c:v>59954.033550339474</c:v>
                </c:pt>
                <c:pt idx="53">
                  <c:v>62572.165740695404</c:v>
                </c:pt>
                <c:pt idx="54">
                  <c:v>65238.193001942105</c:v>
                </c:pt>
                <c:pt idx="55">
                  <c:v>67949.838028011683</c:v>
                </c:pt>
                <c:pt idx="56">
                  <c:v>70704.622908336067</c:v>
                </c:pt>
                <c:pt idx="57">
                  <c:v>73499.87502713193</c:v>
                </c:pt>
                <c:pt idx="58">
                  <c:v>76332.734710373232</c:v>
                </c:pt>
                <c:pt idx="59">
                  <c:v>79200.164612802182</c:v>
                </c:pt>
                <c:pt idx="60">
                  <c:v>82098.960811347657</c:v>
                </c:pt>
                <c:pt idx="61">
                  <c:v>85025.765544631198</c:v>
                </c:pt>
                <c:pt idx="62">
                  <c:v>87977.081511443903</c:v>
                </c:pt>
                <c:pt idx="63">
                  <c:v>90949.287614805173</c:v>
                </c:pt>
                <c:pt idx="64">
                  <c:v>93938.65601312129</c:v>
                </c:pt>
                <c:pt idx="65">
                  <c:v>96941.370316694665</c:v>
                </c:pt>
                <c:pt idx="66">
                  <c:v>99953.544747012449</c:v>
                </c:pt>
                <c:pt idx="67">
                  <c:v>102971.24405844191</c:v>
                </c:pt>
                <c:pt idx="68">
                  <c:v>105990.50400766797</c:v>
                </c:pt>
                <c:pt idx="69">
                  <c:v>109007.35214584492</c:v>
                </c:pt>
                <c:pt idx="70">
                  <c:v>112017.82870228343</c:v>
                </c:pt>
                <c:pt idx="71">
                  <c:v>115018.00732674834</c:v>
                </c:pt>
                <c:pt idx="72">
                  <c:v>118004.01546014078</c:v>
                </c:pt>
                <c:pt idx="73">
                  <c:v>120972.05411041038</c:v>
                </c:pt>
                <c:pt idx="74">
                  <c:v>123918.4168217799</c:v>
                </c:pt>
                <c:pt idx="75">
                  <c:v>126839.50764044405</c:v>
                </c:pt>
                <c:pt idx="76">
                  <c:v>129731.85789839989</c:v>
                </c:pt>
                <c:pt idx="77">
                  <c:v>132592.1416584613</c:v>
                </c:pt>
                <c:pt idx="78">
                  <c:v>135417.18968722245</c:v>
                </c:pt>
                <c:pt idx="79">
                  <c:v>138204.00184813639</c:v>
                </c:pt>
                <c:pt idx="80">
                  <c:v>140949.75783331352</c:v>
                </c:pt>
                <c:pt idx="81">
                  <c:v>143651.82617947177</c:v>
                </c:pt>
                <c:pt idx="82">
                  <c:v>146307.77154005514</c:v>
                </c:pt>
                <c:pt idx="83">
                  <c:v>148915.360211297</c:v>
                </c:pt>
                <c:pt idx="84">
                  <c:v>151472.56393440609</c:v>
                </c:pt>
                <c:pt idx="85">
                  <c:v>153977.56201864473</c:v>
                </c:pt>
                <c:pt idx="86">
                  <c:v>156428.74185046984</c:v>
                </c:pt>
                <c:pt idx="87">
                  <c:v>158824.69787183052</c:v>
                </c:pt>
                <c:pt idx="88">
                  <c:v>161164.22912596216</c:v>
                </c:pt>
                <c:pt idx="89">
                  <c:v>163446.3354814646</c:v>
                </c:pt>
                <c:pt idx="90">
                  <c:v>165670.21265508031</c:v>
                </c:pt>
                <c:pt idx="91">
                  <c:v>167835.2461604274</c:v>
                </c:pt>
                <c:pt idx="92">
                  <c:v>169941.00431411355</c:v>
                </c:pt>
                <c:pt idx="93">
                  <c:v>171987.23043231582</c:v>
                </c:pt>
                <c:pt idx="94">
                  <c:v>173973.83435027357</c:v>
                </c:pt>
                <c:pt idx="95">
                  <c:v>175900.88339444774</c:v>
                </c:pt>
                <c:pt idx="96">
                  <c:v>177768.59293261523</c:v>
                </c:pt>
                <c:pt idx="97">
                  <c:v>179577.31662117253</c:v>
                </c:pt>
                <c:pt idx="98">
                  <c:v>181327.53646169472</c:v>
                </c:pt>
                <c:pt idx="99">
                  <c:v>183019.85277061054</c:v>
                </c:pt>
                <c:pt idx="100">
                  <c:v>184654.97415697938</c:v>
                </c:pt>
                <c:pt idx="101">
                  <c:v>186233.70759402623</c:v>
                </c:pt>
                <c:pt idx="102">
                  <c:v>187756.94866054328</c:v>
                </c:pt>
                <c:pt idx="103">
                  <c:v>189225.67201868544</c:v>
                </c:pt>
                <c:pt idx="104">
                  <c:v>190640.92218525932</c:v>
                </c:pt>
                <c:pt idx="105">
                  <c:v>192003.80464446481</c:v>
                </c:pt>
                <c:pt idx="106">
                  <c:v>193315.4773413215</c:v>
                </c:pt>
                <c:pt idx="107">
                  <c:v>194577.1425867932</c:v>
                </c:pt>
                <c:pt idx="108">
                  <c:v>195790.03939797729</c:v>
                </c:pt>
                <c:pt idx="109">
                  <c:v>196955.43628970825</c:v>
                </c:pt>
                <c:pt idx="110">
                  <c:v>198074.62452755644</c:v>
                </c:pt>
                <c:pt idx="111">
                  <c:v>199148.91184650816</c:v>
                </c:pt>
                <c:pt idx="112">
                  <c:v>200179.61663457111</c:v>
                </c:pt>
                <c:pt idx="113">
                  <c:v>201168.06257616865</c:v>
                </c:pt>
                <c:pt idx="114">
                  <c:v>202115.57374641788</c:v>
                </c:pt>
                <c:pt idx="115">
                  <c:v>203023.47014421938</c:v>
                </c:pt>
                <c:pt idx="116">
                  <c:v>203893.06364946897</c:v>
                </c:pt>
                <c:pt idx="117">
                  <c:v>204725.65438759796</c:v>
                </c:pt>
                <c:pt idx="118">
                  <c:v>205522.52748301378</c:v>
                </c:pt>
                <c:pt idx="119">
                  <c:v>206284.95018180084</c:v>
                </c:pt>
                <c:pt idx="120">
                  <c:v>207014.16932320854</c:v>
                </c:pt>
                <c:pt idx="121">
                  <c:v>207711.40913895291</c:v>
                </c:pt>
                <c:pt idx="122">
                  <c:v>208377.8693591521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Cumul_removed_bSIR!$S$7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169.91071626612398</c:v>
                      </c:pt>
                      <c:pt idx="1">
                        <c:v>169.91071626612398</c:v>
                      </c:pt>
                      <c:pt idx="2">
                        <c:v>169.91071626612398</c:v>
                      </c:pt>
                      <c:pt idx="3">
                        <c:v>169.91071626612398</c:v>
                      </c:pt>
                      <c:pt idx="4">
                        <c:v>169.91071626612398</c:v>
                      </c:pt>
                      <c:pt idx="5">
                        <c:v>169.91071626612398</c:v>
                      </c:pt>
                      <c:pt idx="6">
                        <c:v>169.91071626612398</c:v>
                      </c:pt>
                      <c:pt idx="7">
                        <c:v>169.91071626612398</c:v>
                      </c:pt>
                      <c:pt idx="8">
                        <c:v>169.91071626612398</c:v>
                      </c:pt>
                      <c:pt idx="9">
                        <c:v>169.91071626612398</c:v>
                      </c:pt>
                      <c:pt idx="10">
                        <c:v>169.91071626612398</c:v>
                      </c:pt>
                      <c:pt idx="11">
                        <c:v>169.91071626612398</c:v>
                      </c:pt>
                      <c:pt idx="12">
                        <c:v>169.91071626612398</c:v>
                      </c:pt>
                      <c:pt idx="13">
                        <c:v>169.91071626612398</c:v>
                      </c:pt>
                      <c:pt idx="14">
                        <c:v>169.91071626612398</c:v>
                      </c:pt>
                      <c:pt idx="15">
                        <c:v>169.91071626612398</c:v>
                      </c:pt>
                      <c:pt idx="16">
                        <c:v>169.91071626612398</c:v>
                      </c:pt>
                      <c:pt idx="17">
                        <c:v>169.91071626612398</c:v>
                      </c:pt>
                      <c:pt idx="18">
                        <c:v>169.91071626612398</c:v>
                      </c:pt>
                      <c:pt idx="19">
                        <c:v>169.91071626612398</c:v>
                      </c:pt>
                      <c:pt idx="20">
                        <c:v>169.91071626612398</c:v>
                      </c:pt>
                      <c:pt idx="21">
                        <c:v>169.91071626612398</c:v>
                      </c:pt>
                      <c:pt idx="22">
                        <c:v>169.91071626612398</c:v>
                      </c:pt>
                      <c:pt idx="23">
                        <c:v>169.91071626612398</c:v>
                      </c:pt>
                      <c:pt idx="24">
                        <c:v>169.91071626612398</c:v>
                      </c:pt>
                      <c:pt idx="25">
                        <c:v>169.91071626612398</c:v>
                      </c:pt>
                      <c:pt idx="26">
                        <c:v>169.91071626612398</c:v>
                      </c:pt>
                      <c:pt idx="27">
                        <c:v>169.91071626612398</c:v>
                      </c:pt>
                      <c:pt idx="28">
                        <c:v>169.91071626612398</c:v>
                      </c:pt>
                      <c:pt idx="29">
                        <c:v>169.91071626612398</c:v>
                      </c:pt>
                      <c:pt idx="30">
                        <c:v>169.91071626612398</c:v>
                      </c:pt>
                      <c:pt idx="31">
                        <c:v>169.91071626612398</c:v>
                      </c:pt>
                      <c:pt idx="32">
                        <c:v>169.91071626612398</c:v>
                      </c:pt>
                      <c:pt idx="33">
                        <c:v>169.91071626612398</c:v>
                      </c:pt>
                      <c:pt idx="34">
                        <c:v>169.91071626612398</c:v>
                      </c:pt>
                      <c:pt idx="35">
                        <c:v>169.91071626612398</c:v>
                      </c:pt>
                      <c:pt idx="36">
                        <c:v>169.91071626612398</c:v>
                      </c:pt>
                      <c:pt idx="37">
                        <c:v>169.91071626612398</c:v>
                      </c:pt>
                      <c:pt idx="38">
                        <c:v>169.91071626612398</c:v>
                      </c:pt>
                      <c:pt idx="39">
                        <c:v>169.91071626612398</c:v>
                      </c:pt>
                      <c:pt idx="40">
                        <c:v>169.91071626612398</c:v>
                      </c:pt>
                      <c:pt idx="41">
                        <c:v>169.91071626612398</c:v>
                      </c:pt>
                      <c:pt idx="42">
                        <c:v>169.91071626612398</c:v>
                      </c:pt>
                      <c:pt idx="43">
                        <c:v>169.91071626612398</c:v>
                      </c:pt>
                      <c:pt idx="44">
                        <c:v>169.91071626612398</c:v>
                      </c:pt>
                      <c:pt idx="45">
                        <c:v>169.91071626612398</c:v>
                      </c:pt>
                      <c:pt idx="46">
                        <c:v>169.91071626612398</c:v>
                      </c:pt>
                      <c:pt idx="47">
                        <c:v>169.91071626612398</c:v>
                      </c:pt>
                      <c:pt idx="48">
                        <c:v>169.91071626612398</c:v>
                      </c:pt>
                      <c:pt idx="49">
                        <c:v>169.91071626612398</c:v>
                      </c:pt>
                      <c:pt idx="50">
                        <c:v>169.91071626612398</c:v>
                      </c:pt>
                      <c:pt idx="51">
                        <c:v>169.91071626612398</c:v>
                      </c:pt>
                      <c:pt idx="52">
                        <c:v>169.91071626612398</c:v>
                      </c:pt>
                      <c:pt idx="53">
                        <c:v>169.91071626612398</c:v>
                      </c:pt>
                      <c:pt idx="54">
                        <c:v>169.91071626612398</c:v>
                      </c:pt>
                      <c:pt idx="55">
                        <c:v>169.91071626612398</c:v>
                      </c:pt>
                      <c:pt idx="56">
                        <c:v>169.91071626612398</c:v>
                      </c:pt>
                      <c:pt idx="57">
                        <c:v>169.91071626612398</c:v>
                      </c:pt>
                      <c:pt idx="58">
                        <c:v>169.91071626612398</c:v>
                      </c:pt>
                      <c:pt idx="59">
                        <c:v>169.91071626612398</c:v>
                      </c:pt>
                      <c:pt idx="60">
                        <c:v>169.91071626612398</c:v>
                      </c:pt>
                      <c:pt idx="61">
                        <c:v>169.91071626612398</c:v>
                      </c:pt>
                      <c:pt idx="62">
                        <c:v>169.91071626612398</c:v>
                      </c:pt>
                      <c:pt idx="63">
                        <c:v>169.91071626612398</c:v>
                      </c:pt>
                      <c:pt idx="64">
                        <c:v>169.91071626612398</c:v>
                      </c:pt>
                      <c:pt idx="65">
                        <c:v>169.91071626612398</c:v>
                      </c:pt>
                      <c:pt idx="66">
                        <c:v>169.91071626612398</c:v>
                      </c:pt>
                      <c:pt idx="67">
                        <c:v>169.91071626612398</c:v>
                      </c:pt>
                      <c:pt idx="68">
                        <c:v>169.91071626612398</c:v>
                      </c:pt>
                      <c:pt idx="69">
                        <c:v>169.91071626612398</c:v>
                      </c:pt>
                      <c:pt idx="70">
                        <c:v>169.91071626612398</c:v>
                      </c:pt>
                      <c:pt idx="71">
                        <c:v>169.91071626612398</c:v>
                      </c:pt>
                      <c:pt idx="72">
                        <c:v>169.91071626612398</c:v>
                      </c:pt>
                      <c:pt idx="73">
                        <c:v>169.91071626612398</c:v>
                      </c:pt>
                      <c:pt idx="74">
                        <c:v>169.91071626612398</c:v>
                      </c:pt>
                      <c:pt idx="75">
                        <c:v>169.91071626612398</c:v>
                      </c:pt>
                      <c:pt idx="76">
                        <c:v>204.38632591587714</c:v>
                      </c:pt>
                      <c:pt idx="77">
                        <c:v>259.38895785443515</c:v>
                      </c:pt>
                      <c:pt idx="78">
                        <c:v>316.16496101559449</c:v>
                      </c:pt>
                      <c:pt idx="79">
                        <c:v>374.75317148807608</c:v>
                      </c:pt>
                      <c:pt idx="80">
                        <c:v>435.19190894291336</c:v>
                      </c:pt>
                      <c:pt idx="81">
                        <c:v>497.51885364998157</c:v>
                      </c:pt>
                      <c:pt idx="82">
                        <c:v>561.77091674405222</c:v>
                      </c:pt>
                      <c:pt idx="83">
                        <c:v>627.98410382314955</c:v>
                      </c:pt>
                      <c:pt idx="84">
                        <c:v>696.19337201583198</c:v>
                      </c:pt>
                      <c:pt idx="85">
                        <c:v>766.43248071238281</c:v>
                      </c:pt>
                      <c:pt idx="86">
                        <c:v>838.73383621800826</c:v>
                      </c:pt>
                      <c:pt idx="87">
                        <c:v>913.1283306535945</c:v>
                      </c:pt>
                      <c:pt idx="88">
                        <c:v>989.64517550127107</c:v>
                      </c:pt>
                      <c:pt idx="89">
                        <c:v>1068.3117302676399</c:v>
                      </c:pt>
                      <c:pt idx="90">
                        <c:v>1149.1533268164494</c:v>
                      </c:pt>
                      <c:pt idx="91">
                        <c:v>1232.1930900044401</c:v>
                      </c:pt>
                      <c:pt idx="92">
                        <c:v>1317.4517553381954</c:v>
                      </c:pt>
                      <c:pt idx="93">
                        <c:v>1404.9474844554352</c:v>
                      </c:pt>
                      <c:pt idx="94">
                        <c:v>1494.6956793203908</c:v>
                      </c:pt>
                      <c:pt idx="95">
                        <c:v>1586.7087961087207</c:v>
                      </c:pt>
                      <c:pt idx="96">
                        <c:v>1680.996159841671</c:v>
                      </c:pt>
                      <c:pt idx="97">
                        <c:v>1777.5637809107805</c:v>
                      </c:pt>
                      <c:pt idx="98">
                        <c:v>1876.4141747118742</c:v>
                      </c:pt>
                      <c:pt idx="99">
                        <c:v>1977.5461856791926</c:v>
                      </c:pt>
                      <c:pt idx="100">
                        <c:v>2080.954817075522</c:v>
                      </c:pt>
                      <c:pt idx="101">
                        <c:v>2186.6310679509406</c:v>
                      </c:pt>
                      <c:pt idx="102">
                        <c:v>2294.5617787293254</c:v>
                      </c:pt>
                      <c:pt idx="103">
                        <c:v>2404.729486916885</c:v>
                      </c:pt>
                      <c:pt idx="104">
                        <c:v>2517.1122944489025</c:v>
                      </c:pt>
                      <c:pt idx="105">
                        <c:v>2631.6837481983189</c:v>
                      </c:pt>
                      <c:pt idx="106">
                        <c:v>2748.4127351611728</c:v>
                      </c:pt>
                      <c:pt idx="107">
                        <c:v>2867.2633938083495</c:v>
                      </c:pt>
                      <c:pt idx="108">
                        <c:v>2988.1950430490629</c:v>
                      </c:pt>
                      <c:pt idx="109">
                        <c:v>3111.1621301886616</c:v>
                      </c:pt>
                      <c:pt idx="110">
                        <c:v>3236.114199180699</c:v>
                      </c:pt>
                      <c:pt idx="111">
                        <c:v>3362.9958803707123</c:v>
                      </c:pt>
                      <c:pt idx="112">
                        <c:v>3491.7469028066998</c:v>
                      </c:pt>
                      <c:pt idx="113">
                        <c:v>3622.3021300492528</c:v>
                      </c:pt>
                      <c:pt idx="114">
                        <c:v>3754.5916202534631</c:v>
                      </c:pt>
                      <c:pt idx="115">
                        <c:v>3888.5407111161326</c:v>
                      </c:pt>
                      <c:pt idx="116">
                        <c:v>4024.0701300869855</c:v>
                      </c:pt>
                      <c:pt idx="117">
                        <c:v>4161.0961300334147</c:v>
                      </c:pt>
                      <c:pt idx="118">
                        <c:v>4299.5306503269958</c:v>
                      </c:pt>
                      <c:pt idx="119">
                        <c:v>4439.281503089207</c:v>
                      </c:pt>
                      <c:pt idx="120">
                        <c:v>4580.2525840963326</c:v>
                      </c:pt>
                      <c:pt idx="121">
                        <c:v>4722.3441076026975</c:v>
                      </c:pt>
                      <c:pt idx="122">
                        <c:v>4865.4528641004235</c:v>
                      </c:pt>
                      <c:pt idx="123">
                        <c:v>5009.4724997964213</c:v>
                      </c:pt>
                      <c:pt idx="124">
                        <c:v>5154.2938163570325</c:v>
                      </c:pt>
                      <c:pt idx="125">
                        <c:v>5299.80508925099</c:v>
                      </c:pt>
                      <c:pt idx="126">
                        <c:v>5445.8924028160936</c:v>
                      </c:pt>
                      <c:pt idx="127">
                        <c:v>5592.439999987223</c:v>
                      </c:pt>
                      <c:pt idx="128">
                        <c:v>5739.3306444565578</c:v>
                      </c:pt>
                      <c:pt idx="129">
                        <c:v>5886.4459928936567</c:v>
                      </c:pt>
                      <c:pt idx="130">
                        <c:v>6033.6669747362976</c:v>
                      </c:pt>
                      <c:pt idx="131">
                        <c:v>6180.8741769742783</c:v>
                      </c:pt>
                      <c:pt idx="132">
                        <c:v>6327.9482312897508</c:v>
                      </c:pt>
                      <c:pt idx="133">
                        <c:v>6474.7702008898004</c:v>
                      </c:pt>
                      <c:pt idx="134">
                        <c:v>6621.221964370664</c:v>
                      </c:pt>
                      <c:pt idx="135">
                        <c:v>6767.186593987969</c:v>
                      </c:pt>
                      <c:pt idx="136">
                        <c:v>6912.5487257730292</c:v>
                      </c:pt>
                      <c:pt idx="137">
                        <c:v>7057.1949190306213</c:v>
                      </c:pt>
                      <c:pt idx="138">
                        <c:v>7201.0140028766727</c:v>
                      </c:pt>
                      <c:pt idx="139">
                        <c:v>7343.8974076231952</c:v>
                      </c:pt>
                      <c:pt idx="140">
                        <c:v>7485.7394789896916</c:v>
                      </c:pt>
                      <c:pt idx="141">
                        <c:v>7626.4377733122892</c:v>
                      </c:pt>
                      <c:pt idx="142">
                        <c:v>7765.8933321308996</c:v>
                      </c:pt>
                      <c:pt idx="143">
                        <c:v>7904.0109347570433</c:v>
                      </c:pt>
                      <c:pt idx="144">
                        <c:v>8040.699327657434</c:v>
                      </c:pt>
                      <c:pt idx="145">
                        <c:v>8175.8714297268452</c:v>
                      </c:pt>
                      <c:pt idx="146">
                        <c:v>8309.4445127651506</c:v>
                      </c:pt>
                      <c:pt idx="147">
                        <c:v>8441.3403567137048</c:v>
                      </c:pt>
                      <c:pt idx="148">
                        <c:v>8571.4853794424325</c:v>
                      </c:pt>
                      <c:pt idx="149">
                        <c:v>8699.8107411079127</c:v>
                      </c:pt>
                      <c:pt idx="150">
                        <c:v>8826.2524233213153</c:v>
                      </c:pt>
                      <c:pt idx="151">
                        <c:v>8950.7512835712823</c:v>
                      </c:pt>
                      <c:pt idx="152">
                        <c:v>9073.2530855379227</c:v>
                      </c:pt>
                      <c:pt idx="153">
                        <c:v>9193.708506108791</c:v>
                      </c:pt>
                      <c:pt idx="154">
                        <c:v>9312.0731200642622</c:v>
                      </c:pt>
                      <c:pt idx="155">
                        <c:v>9428.3073635373275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34.931738955828109</c:v>
                      </c:pt>
                      <c:pt idx="80">
                        <c:v>95.37047641066539</c:v>
                      </c:pt>
                      <c:pt idx="81">
                        <c:v>157.6974211177336</c:v>
                      </c:pt>
                      <c:pt idx="82">
                        <c:v>221.94948421180425</c:v>
                      </c:pt>
                      <c:pt idx="83">
                        <c:v>288.16267129090153</c:v>
                      </c:pt>
                      <c:pt idx="84">
                        <c:v>356.37193948358396</c:v>
                      </c:pt>
                      <c:pt idx="85">
                        <c:v>426.61104818013479</c:v>
                      </c:pt>
                      <c:pt idx="86">
                        <c:v>498.91240368576024</c:v>
                      </c:pt>
                      <c:pt idx="87">
                        <c:v>573.30689812134665</c:v>
                      </c:pt>
                      <c:pt idx="88">
                        <c:v>649.82374296902321</c:v>
                      </c:pt>
                      <c:pt idx="89">
                        <c:v>728.49029773539201</c:v>
                      </c:pt>
                      <c:pt idx="90">
                        <c:v>809.33189428420133</c:v>
                      </c:pt>
                      <c:pt idx="91">
                        <c:v>892.37165747219228</c:v>
                      </c:pt>
                      <c:pt idx="92">
                        <c:v>977.63032280594757</c:v>
                      </c:pt>
                      <c:pt idx="93">
                        <c:v>1065.1260519231873</c:v>
                      </c:pt>
                      <c:pt idx="94">
                        <c:v>1154.874246788143</c:v>
                      </c:pt>
                      <c:pt idx="95">
                        <c:v>1246.8873635764728</c:v>
                      </c:pt>
                      <c:pt idx="96">
                        <c:v>1341.1747273094231</c:v>
                      </c:pt>
                      <c:pt idx="97">
                        <c:v>1437.7423483785326</c:v>
                      </c:pt>
                      <c:pt idx="98">
                        <c:v>1536.5927421796264</c:v>
                      </c:pt>
                      <c:pt idx="99">
                        <c:v>1637.7247531469447</c:v>
                      </c:pt>
                      <c:pt idx="100">
                        <c:v>1741.1333845432741</c:v>
                      </c:pt>
                      <c:pt idx="101">
                        <c:v>1846.8096354186926</c:v>
                      </c:pt>
                      <c:pt idx="102">
                        <c:v>1954.7403461970775</c:v>
                      </c:pt>
                      <c:pt idx="103">
                        <c:v>2064.9080543846371</c:v>
                      </c:pt>
                      <c:pt idx="104">
                        <c:v>2177.2908619166546</c:v>
                      </c:pt>
                      <c:pt idx="105">
                        <c:v>2291.862315666071</c:v>
                      </c:pt>
                      <c:pt idx="106">
                        <c:v>2408.591302628925</c:v>
                      </c:pt>
                      <c:pt idx="107">
                        <c:v>2527.4419612761017</c:v>
                      </c:pt>
                      <c:pt idx="108">
                        <c:v>2648.373610516815</c:v>
                      </c:pt>
                      <c:pt idx="109">
                        <c:v>2771.3406976564138</c:v>
                      </c:pt>
                      <c:pt idx="110">
                        <c:v>2896.2927666484511</c:v>
                      </c:pt>
                      <c:pt idx="111">
                        <c:v>3023.1744478384644</c:v>
                      </c:pt>
                      <c:pt idx="112">
                        <c:v>3151.925470274452</c:v>
                      </c:pt>
                      <c:pt idx="113">
                        <c:v>3282.480697517005</c:v>
                      </c:pt>
                      <c:pt idx="114">
                        <c:v>3414.7701877212153</c:v>
                      </c:pt>
                      <c:pt idx="115">
                        <c:v>3548.7192785838847</c:v>
                      </c:pt>
                      <c:pt idx="116">
                        <c:v>3684.2486975547376</c:v>
                      </c:pt>
                      <c:pt idx="117">
                        <c:v>3821.2746975011669</c:v>
                      </c:pt>
                      <c:pt idx="118">
                        <c:v>3959.7092177947479</c:v>
                      </c:pt>
                      <c:pt idx="119">
                        <c:v>4099.4600705569592</c:v>
                      </c:pt>
                      <c:pt idx="120">
                        <c:v>4240.4311515640848</c:v>
                      </c:pt>
                      <c:pt idx="121">
                        <c:v>4382.5226750704496</c:v>
                      </c:pt>
                      <c:pt idx="122">
                        <c:v>4525.6314315681757</c:v>
                      </c:pt>
                      <c:pt idx="123">
                        <c:v>4669.6510672641734</c:v>
                      </c:pt>
                      <c:pt idx="124">
                        <c:v>4814.4723838247846</c:v>
                      </c:pt>
                      <c:pt idx="125">
                        <c:v>4959.9836567187422</c:v>
                      </c:pt>
                      <c:pt idx="126">
                        <c:v>5106.0709702838458</c:v>
                      </c:pt>
                      <c:pt idx="127">
                        <c:v>5252.6185674549752</c:v>
                      </c:pt>
                      <c:pt idx="128">
                        <c:v>5399.50921192431</c:v>
                      </c:pt>
                      <c:pt idx="129">
                        <c:v>5546.6245603614088</c:v>
                      </c:pt>
                      <c:pt idx="130">
                        <c:v>5693.8455422040497</c:v>
                      </c:pt>
                      <c:pt idx="131">
                        <c:v>5841.0527444420304</c:v>
                      </c:pt>
                      <c:pt idx="132">
                        <c:v>5988.1267987575029</c:v>
                      </c:pt>
                      <c:pt idx="133">
                        <c:v>6134.9487683575526</c:v>
                      </c:pt>
                      <c:pt idx="134">
                        <c:v>6281.4005318384161</c:v>
                      </c:pt>
                      <c:pt idx="135">
                        <c:v>6427.3651614557211</c:v>
                      </c:pt>
                      <c:pt idx="136">
                        <c:v>6572.7272932407814</c:v>
                      </c:pt>
                      <c:pt idx="137">
                        <c:v>6717.3734864983735</c:v>
                      </c:pt>
                      <c:pt idx="138">
                        <c:v>6861.1925703444249</c:v>
                      </c:pt>
                      <c:pt idx="139">
                        <c:v>7004.0759750909474</c:v>
                      </c:pt>
                      <c:pt idx="140">
                        <c:v>7145.9180464574438</c:v>
                      </c:pt>
                      <c:pt idx="141">
                        <c:v>7286.6163407800414</c:v>
                      </c:pt>
                      <c:pt idx="142">
                        <c:v>7426.0718995986517</c:v>
                      </c:pt>
                      <c:pt idx="143">
                        <c:v>7564.1895022247954</c:v>
                      </c:pt>
                      <c:pt idx="144">
                        <c:v>7700.8778951251861</c:v>
                      </c:pt>
                      <c:pt idx="145">
                        <c:v>7836.0499971945974</c:v>
                      </c:pt>
                      <c:pt idx="146">
                        <c:v>7969.6230802329019</c:v>
                      </c:pt>
                      <c:pt idx="147">
                        <c:v>8101.5189241814569</c:v>
                      </c:pt>
                      <c:pt idx="148">
                        <c:v>8231.6639469101847</c:v>
                      </c:pt>
                      <c:pt idx="149">
                        <c:v>8359.9893085756648</c:v>
                      </c:pt>
                      <c:pt idx="150">
                        <c:v>8486.4309907890674</c:v>
                      </c:pt>
                      <c:pt idx="151">
                        <c:v>8610.9298510390345</c:v>
                      </c:pt>
                      <c:pt idx="152">
                        <c:v>8733.4316530056749</c:v>
                      </c:pt>
                      <c:pt idx="153">
                        <c:v>8853.8870735765431</c:v>
                      </c:pt>
                      <c:pt idx="154">
                        <c:v>8972.2516875320143</c:v>
                      </c:pt>
                      <c:pt idx="155">
                        <c:v>9088.4859310050797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2813.9722047844634</c:v>
                      </c:pt>
                      <c:pt idx="1">
                        <c:v>2813.9722047844634</c:v>
                      </c:pt>
                      <c:pt idx="2">
                        <c:v>2813.9722047844634</c:v>
                      </c:pt>
                      <c:pt idx="3">
                        <c:v>2813.9722047844634</c:v>
                      </c:pt>
                      <c:pt idx="4">
                        <c:v>2813.9722047844634</c:v>
                      </c:pt>
                      <c:pt idx="5">
                        <c:v>2813.9722047844634</c:v>
                      </c:pt>
                      <c:pt idx="6">
                        <c:v>2813.9722047844634</c:v>
                      </c:pt>
                      <c:pt idx="7">
                        <c:v>2813.9722047844634</c:v>
                      </c:pt>
                      <c:pt idx="8">
                        <c:v>2813.9722047844634</c:v>
                      </c:pt>
                      <c:pt idx="9">
                        <c:v>2813.9722047844634</c:v>
                      </c:pt>
                      <c:pt idx="10">
                        <c:v>2813.9722047844634</c:v>
                      </c:pt>
                      <c:pt idx="11">
                        <c:v>2813.9722047844634</c:v>
                      </c:pt>
                      <c:pt idx="12">
                        <c:v>2813.9722047844634</c:v>
                      </c:pt>
                      <c:pt idx="13">
                        <c:v>2813.9722047844634</c:v>
                      </c:pt>
                      <c:pt idx="14">
                        <c:v>2813.9722047844634</c:v>
                      </c:pt>
                      <c:pt idx="15">
                        <c:v>2813.9722047844634</c:v>
                      </c:pt>
                      <c:pt idx="16">
                        <c:v>2813.9722047844634</c:v>
                      </c:pt>
                      <c:pt idx="17">
                        <c:v>2813.9722047844634</c:v>
                      </c:pt>
                      <c:pt idx="18">
                        <c:v>2813.9722047844634</c:v>
                      </c:pt>
                      <c:pt idx="19">
                        <c:v>2813.9722047844634</c:v>
                      </c:pt>
                      <c:pt idx="20">
                        <c:v>2813.9722047844634</c:v>
                      </c:pt>
                      <c:pt idx="21">
                        <c:v>2813.9722047844634</c:v>
                      </c:pt>
                      <c:pt idx="22">
                        <c:v>2813.9722047844634</c:v>
                      </c:pt>
                      <c:pt idx="23">
                        <c:v>2813.9722047844634</c:v>
                      </c:pt>
                      <c:pt idx="24">
                        <c:v>2813.9722047844634</c:v>
                      </c:pt>
                      <c:pt idx="25">
                        <c:v>2813.9722047844634</c:v>
                      </c:pt>
                      <c:pt idx="26">
                        <c:v>2813.9722047844634</c:v>
                      </c:pt>
                      <c:pt idx="27">
                        <c:v>2813.9722047844634</c:v>
                      </c:pt>
                      <c:pt idx="28">
                        <c:v>2813.9722047844634</c:v>
                      </c:pt>
                      <c:pt idx="29">
                        <c:v>2813.9722047844634</c:v>
                      </c:pt>
                      <c:pt idx="30">
                        <c:v>2813.9722047844634</c:v>
                      </c:pt>
                      <c:pt idx="31">
                        <c:v>2813.9722047844634</c:v>
                      </c:pt>
                      <c:pt idx="32">
                        <c:v>2813.9722047844634</c:v>
                      </c:pt>
                      <c:pt idx="33">
                        <c:v>2813.9722047844634</c:v>
                      </c:pt>
                      <c:pt idx="34">
                        <c:v>2813.9722047844634</c:v>
                      </c:pt>
                      <c:pt idx="35">
                        <c:v>2813.9722047844634</c:v>
                      </c:pt>
                      <c:pt idx="36">
                        <c:v>2813.9722047844634</c:v>
                      </c:pt>
                      <c:pt idx="37">
                        <c:v>2813.9722047844634</c:v>
                      </c:pt>
                      <c:pt idx="38">
                        <c:v>2813.9722047844634</c:v>
                      </c:pt>
                      <c:pt idx="39">
                        <c:v>2813.9722047844634</c:v>
                      </c:pt>
                      <c:pt idx="40">
                        <c:v>2813.9722047844634</c:v>
                      </c:pt>
                      <c:pt idx="41">
                        <c:v>2813.9722047844634</c:v>
                      </c:pt>
                      <c:pt idx="42">
                        <c:v>2813.9722047844634</c:v>
                      </c:pt>
                      <c:pt idx="43">
                        <c:v>2813.9722047844634</c:v>
                      </c:pt>
                      <c:pt idx="44">
                        <c:v>2813.9722047844634</c:v>
                      </c:pt>
                      <c:pt idx="45">
                        <c:v>2813.9722047844634</c:v>
                      </c:pt>
                      <c:pt idx="46">
                        <c:v>2813.9722047844634</c:v>
                      </c:pt>
                      <c:pt idx="47">
                        <c:v>2813.9722047844634</c:v>
                      </c:pt>
                      <c:pt idx="48">
                        <c:v>2813.9722047844634</c:v>
                      </c:pt>
                      <c:pt idx="49">
                        <c:v>2813.9722047844634</c:v>
                      </c:pt>
                      <c:pt idx="50">
                        <c:v>2813.9722047844634</c:v>
                      </c:pt>
                      <c:pt idx="51">
                        <c:v>2813.9722047844634</c:v>
                      </c:pt>
                      <c:pt idx="52">
                        <c:v>2813.9722047844634</c:v>
                      </c:pt>
                      <c:pt idx="53">
                        <c:v>2813.9722047844634</c:v>
                      </c:pt>
                      <c:pt idx="54">
                        <c:v>2813.9722047844634</c:v>
                      </c:pt>
                      <c:pt idx="55">
                        <c:v>2813.9722047844634</c:v>
                      </c:pt>
                      <c:pt idx="56">
                        <c:v>2813.9722047844634</c:v>
                      </c:pt>
                      <c:pt idx="57">
                        <c:v>2813.9722047844634</c:v>
                      </c:pt>
                      <c:pt idx="58">
                        <c:v>2813.9722047844634</c:v>
                      </c:pt>
                      <c:pt idx="59">
                        <c:v>2813.9722047844634</c:v>
                      </c:pt>
                      <c:pt idx="60">
                        <c:v>2813.9722047844634</c:v>
                      </c:pt>
                      <c:pt idx="61">
                        <c:v>2813.9722047844634</c:v>
                      </c:pt>
                      <c:pt idx="62">
                        <c:v>2813.9722047844634</c:v>
                      </c:pt>
                      <c:pt idx="63">
                        <c:v>2813.9722047844634</c:v>
                      </c:pt>
                      <c:pt idx="64">
                        <c:v>2813.9722047844634</c:v>
                      </c:pt>
                      <c:pt idx="65">
                        <c:v>2813.9722047844634</c:v>
                      </c:pt>
                      <c:pt idx="66">
                        <c:v>2813.9722047844634</c:v>
                      </c:pt>
                      <c:pt idx="67">
                        <c:v>2891.0426467499751</c:v>
                      </c:pt>
                      <c:pt idx="68">
                        <c:v>3564.0010094517302</c:v>
                      </c:pt>
                      <c:pt idx="69">
                        <c:v>4267.9939925371445</c:v>
                      </c:pt>
                      <c:pt idx="70">
                        <c:v>5004.2267231186388</c:v>
                      </c:pt>
                      <c:pt idx="71">
                        <c:v>5773.928448655005</c:v>
                      </c:pt>
                      <c:pt idx="72">
                        <c:v>6578.3505789419451</c:v>
                      </c:pt>
                      <c:pt idx="73">
                        <c:v>7418.7644169246378</c:v>
                      </c:pt>
                      <c:pt idx="74">
                        <c:v>8296.4585571735988</c:v>
                      </c:pt>
                      <c:pt idx="75">
                        <c:v>9212.7359311325181</c:v>
                      </c:pt>
                      <c:pt idx="76">
                        <c:v>10168.910478813053</c:v>
                      </c:pt>
                      <c:pt idx="77">
                        <c:v>11166.303427523369</c:v>
                      </c:pt>
                      <c:pt idx="78">
                        <c:v>12206.239159515473</c:v>
                      </c:pt>
                      <c:pt idx="79">
                        <c:v>13290.04065216743</c:v>
                      </c:pt>
                      <c:pt idx="80">
                        <c:v>14419.024476528088</c:v>
                      </c:pt>
                      <c:pt idx="81">
                        <c:v>15594.49534278176</c:v>
                      </c:pt>
                      <c:pt idx="82">
                        <c:v>16817.740184486272</c:v>
                      </c:pt>
                      <c:pt idx="83">
                        <c:v>18090.021777331258</c:v>
                      </c:pt>
                      <c:pt idx="84">
                        <c:v>19412.571892688513</c:v>
                      </c:pt>
                      <c:pt idx="85">
                        <c:v>20786.583991403189</c:v>
                      </c:pt>
                      <c:pt idx="86">
                        <c:v>22213.205469117023</c:v>
                      </c:pt>
                      <c:pt idx="87">
                        <c:v>23693.529470922822</c:v>
                      </c:pt>
                      <c:pt idx="88">
                        <c:v>25228.586300304702</c:v>
                      </c:pt>
                      <c:pt idx="89">
                        <c:v>26819.334455092125</c:v>
                      </c:pt>
                      <c:pt idx="90">
                        <c:v>28466.651331491728</c:v>
                      </c:pt>
                      <c:pt idx="91">
                        <c:v>30171.323646083914</c:v>
                      </c:pt>
                      <c:pt idx="92">
                        <c:v>31934.037634884498</c:v>
                      </c:pt>
                      <c:pt idx="93">
                        <c:v>33755.369098046271</c:v>
                      </c:pt>
                      <c:pt idx="94">
                        <c:v>35635.773368363523</c:v>
                      </c:pt>
                      <c:pt idx="95">
                        <c:v>37575.575291262772</c:v>
                      </c:pt>
                      <c:pt idx="96">
                        <c:v>39574.959313212079</c:v>
                      </c:pt>
                      <c:pt idx="97">
                        <c:v>41633.959784233448</c:v>
                      </c:pt>
                      <c:pt idx="98">
                        <c:v>43752.451588202202</c:v>
                      </c:pt>
                      <c:pt idx="99">
                        <c:v>45930.141221605991</c:v>
                      </c:pt>
                      <c:pt idx="100">
                        <c:v>48166.558447130446</c:v>
                      </c:pt>
                      <c:pt idx="101">
                        <c:v>50461.048652562589</c:v>
                      </c:pt>
                      <c:pt idx="102">
                        <c:v>52812.766047777106</c:v>
                      </c:pt>
                      <c:pt idx="103">
                        <c:v>55220.66783273661</c:v>
                      </c:pt>
                      <c:pt idx="104">
                        <c:v>57683.509467254895</c:v>
                      </c:pt>
                      <c:pt idx="105">
                        <c:v>60199.841168542756</c:v>
                      </c:pt>
                      <c:pt idx="106">
                        <c:v>62768.005755123937</c:v>
                      </c:pt>
                      <c:pt idx="107">
                        <c:v>65386.137945479866</c:v>
                      </c:pt>
                      <c:pt idx="108">
                        <c:v>68052.165206726568</c:v>
                      </c:pt>
                      <c:pt idx="109">
                        <c:v>70763.810232796153</c:v>
                      </c:pt>
                      <c:pt idx="110">
                        <c:v>73518.595113120537</c:v>
                      </c:pt>
                      <c:pt idx="111">
                        <c:v>76313.847231916399</c:v>
                      </c:pt>
                      <c:pt idx="112">
                        <c:v>79146.706915157702</c:v>
                      </c:pt>
                      <c:pt idx="113">
                        <c:v>82014.136817586652</c:v>
                      </c:pt>
                      <c:pt idx="114">
                        <c:v>84912.933016132127</c:v>
                      </c:pt>
                      <c:pt idx="115">
                        <c:v>87839.737749415668</c:v>
                      </c:pt>
                      <c:pt idx="116">
                        <c:v>90791.053716228373</c:v>
                      </c:pt>
                      <c:pt idx="117">
                        <c:v>93763.259819589643</c:v>
                      </c:pt>
                      <c:pt idx="118">
                        <c:v>96752.62821790576</c:v>
                      </c:pt>
                      <c:pt idx="119">
                        <c:v>99755.342521479135</c:v>
                      </c:pt>
                      <c:pt idx="120">
                        <c:v>102767.51695179692</c:v>
                      </c:pt>
                      <c:pt idx="121">
                        <c:v>105785.21626322638</c:v>
                      </c:pt>
                      <c:pt idx="122">
                        <c:v>108804.47621245244</c:v>
                      </c:pt>
                      <c:pt idx="123">
                        <c:v>111821.32435062939</c:v>
                      </c:pt>
                      <c:pt idx="124">
                        <c:v>114831.8009070679</c:v>
                      </c:pt>
                      <c:pt idx="125">
                        <c:v>117831.97953153281</c:v>
                      </c:pt>
                      <c:pt idx="126">
                        <c:v>120817.98766492525</c:v>
                      </c:pt>
                      <c:pt idx="127">
                        <c:v>123786.02631519485</c:v>
                      </c:pt>
                      <c:pt idx="128">
                        <c:v>126732.38902656437</c:v>
                      </c:pt>
                      <c:pt idx="129">
                        <c:v>129653.47984522852</c:v>
                      </c:pt>
                      <c:pt idx="130">
                        <c:v>132545.83010318436</c:v>
                      </c:pt>
                      <c:pt idx="131">
                        <c:v>135406.11386324576</c:v>
                      </c:pt>
                      <c:pt idx="132">
                        <c:v>138231.1618920069</c:v>
                      </c:pt>
                      <c:pt idx="133">
                        <c:v>141017.97405292085</c:v>
                      </c:pt>
                      <c:pt idx="134">
                        <c:v>143763.73003809797</c:v>
                      </c:pt>
                      <c:pt idx="135">
                        <c:v>146465.79838425622</c:v>
                      </c:pt>
                      <c:pt idx="136">
                        <c:v>149121.74374483959</c:v>
                      </c:pt>
                      <c:pt idx="137">
                        <c:v>151729.33241608145</c:v>
                      </c:pt>
                      <c:pt idx="138">
                        <c:v>154286.53613919055</c:v>
                      </c:pt>
                      <c:pt idx="139">
                        <c:v>156791.53422342919</c:v>
                      </c:pt>
                      <c:pt idx="140">
                        <c:v>159242.7140552543</c:v>
                      </c:pt>
                      <c:pt idx="141">
                        <c:v>161638.67007661497</c:v>
                      </c:pt>
                      <c:pt idx="142">
                        <c:v>163978.20133074661</c:v>
                      </c:pt>
                      <c:pt idx="143">
                        <c:v>166260.30768624906</c:v>
                      </c:pt>
                      <c:pt idx="144">
                        <c:v>168484.18485986476</c:v>
                      </c:pt>
                      <c:pt idx="145">
                        <c:v>170649.21836521185</c:v>
                      </c:pt>
                      <c:pt idx="146">
                        <c:v>172754.97651889801</c:v>
                      </c:pt>
                      <c:pt idx="147">
                        <c:v>174801.20263710027</c:v>
                      </c:pt>
                      <c:pt idx="148">
                        <c:v>176787.80655505802</c:v>
                      </c:pt>
                      <c:pt idx="149">
                        <c:v>178714.85559923219</c:v>
                      </c:pt>
                      <c:pt idx="150">
                        <c:v>180582.56513739968</c:v>
                      </c:pt>
                      <c:pt idx="151">
                        <c:v>182391.28882595699</c:v>
                      </c:pt>
                      <c:pt idx="152">
                        <c:v>184141.50866647917</c:v>
                      </c:pt>
                      <c:pt idx="153">
                        <c:v>185833.82497539499</c:v>
                      </c:pt>
                      <c:pt idx="154">
                        <c:v>187468.94636176384</c:v>
                      </c:pt>
                      <c:pt idx="155">
                        <c:v>189047.67979881068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145.98403908607816</c:v>
                      </c:pt>
                      <c:pt idx="72">
                        <c:v>950.4061693730182</c:v>
                      </c:pt>
                      <c:pt idx="73">
                        <c:v>1790.8200073557109</c:v>
                      </c:pt>
                      <c:pt idx="74">
                        <c:v>2668.5141476046729</c:v>
                      </c:pt>
                      <c:pt idx="75">
                        <c:v>3584.7915215635912</c:v>
                      </c:pt>
                      <c:pt idx="76">
                        <c:v>4540.9660692441266</c:v>
                      </c:pt>
                      <c:pt idx="77">
                        <c:v>5538.3590179544435</c:v>
                      </c:pt>
                      <c:pt idx="78">
                        <c:v>6578.2947499465454</c:v>
                      </c:pt>
                      <c:pt idx="79">
                        <c:v>7662.0962425985026</c:v>
                      </c:pt>
                      <c:pt idx="80">
                        <c:v>8791.080066959159</c:v>
                      </c:pt>
                      <c:pt idx="81">
                        <c:v>9966.5509332128313</c:v>
                      </c:pt>
                      <c:pt idx="82">
                        <c:v>11189.795774917347</c:v>
                      </c:pt>
                      <c:pt idx="83">
                        <c:v>12462.077367762333</c:v>
                      </c:pt>
                      <c:pt idx="84">
                        <c:v>13784.627483119588</c:v>
                      </c:pt>
                      <c:pt idx="85">
                        <c:v>15158.639581834264</c:v>
                      </c:pt>
                      <c:pt idx="86">
                        <c:v>16585.261059548098</c:v>
                      </c:pt>
                      <c:pt idx="87">
                        <c:v>18065.585061353897</c:v>
                      </c:pt>
                      <c:pt idx="88">
                        <c:v>19600.641890735777</c:v>
                      </c:pt>
                      <c:pt idx="89">
                        <c:v>21191.3900455232</c:v>
                      </c:pt>
                      <c:pt idx="90">
                        <c:v>22838.706921922803</c:v>
                      </c:pt>
                      <c:pt idx="91">
                        <c:v>24543.379236514989</c:v>
                      </c:pt>
                      <c:pt idx="92">
                        <c:v>26306.093225315573</c:v>
                      </c:pt>
                      <c:pt idx="93">
                        <c:v>28127.424688477342</c:v>
                      </c:pt>
                      <c:pt idx="94">
                        <c:v>30007.828958794598</c:v>
                      </c:pt>
                      <c:pt idx="95">
                        <c:v>31947.630881693847</c:v>
                      </c:pt>
                      <c:pt idx="96">
                        <c:v>33947.014903643154</c:v>
                      </c:pt>
                      <c:pt idx="97">
                        <c:v>36006.015374664523</c:v>
                      </c:pt>
                      <c:pt idx="98">
                        <c:v>38124.507178633277</c:v>
                      </c:pt>
                      <c:pt idx="99">
                        <c:v>40302.196812037066</c:v>
                      </c:pt>
                      <c:pt idx="100">
                        <c:v>42538.614037561521</c:v>
                      </c:pt>
                      <c:pt idx="101">
                        <c:v>44833.104242993664</c:v>
                      </c:pt>
                      <c:pt idx="102">
                        <c:v>47184.821638208181</c:v>
                      </c:pt>
                      <c:pt idx="103">
                        <c:v>49592.723423167685</c:v>
                      </c:pt>
                      <c:pt idx="104">
                        <c:v>52055.56505768597</c:v>
                      </c:pt>
                      <c:pt idx="105">
                        <c:v>54571.896758973831</c:v>
                      </c:pt>
                      <c:pt idx="106">
                        <c:v>57140.061345555012</c:v>
                      </c:pt>
                      <c:pt idx="107">
                        <c:v>59758.193535910941</c:v>
                      </c:pt>
                      <c:pt idx="108">
                        <c:v>62424.220797157643</c:v>
                      </c:pt>
                      <c:pt idx="109">
                        <c:v>65135.865823227221</c:v>
                      </c:pt>
                      <c:pt idx="110">
                        <c:v>67890.650703551597</c:v>
                      </c:pt>
                      <c:pt idx="111">
                        <c:v>70685.90282234746</c:v>
                      </c:pt>
                      <c:pt idx="112">
                        <c:v>73518.762505588762</c:v>
                      </c:pt>
                      <c:pt idx="113">
                        <c:v>76386.192408017712</c:v>
                      </c:pt>
                      <c:pt idx="114">
                        <c:v>79284.988606563187</c:v>
                      </c:pt>
                      <c:pt idx="115">
                        <c:v>82211.793339846728</c:v>
                      </c:pt>
                      <c:pt idx="116">
                        <c:v>85163.109306659433</c:v>
                      </c:pt>
                      <c:pt idx="117">
                        <c:v>88135.315410020703</c:v>
                      </c:pt>
                      <c:pt idx="118">
                        <c:v>91124.68380833682</c:v>
                      </c:pt>
                      <c:pt idx="119">
                        <c:v>94127.398111910195</c:v>
                      </c:pt>
                      <c:pt idx="120">
                        <c:v>97139.572542227979</c:v>
                      </c:pt>
                      <c:pt idx="121">
                        <c:v>100157.27185365744</c:v>
                      </c:pt>
                      <c:pt idx="122">
                        <c:v>103176.5318028835</c:v>
                      </c:pt>
                      <c:pt idx="123">
                        <c:v>106193.37994106046</c:v>
                      </c:pt>
                      <c:pt idx="124">
                        <c:v>109203.85649749896</c:v>
                      </c:pt>
                      <c:pt idx="125">
                        <c:v>112204.03512196387</c:v>
                      </c:pt>
                      <c:pt idx="126">
                        <c:v>115190.04325535632</c:v>
                      </c:pt>
                      <c:pt idx="127">
                        <c:v>118158.08190562591</c:v>
                      </c:pt>
                      <c:pt idx="128">
                        <c:v>121104.44461699543</c:v>
                      </c:pt>
                      <c:pt idx="129">
                        <c:v>124025.53543565958</c:v>
                      </c:pt>
                      <c:pt idx="130">
                        <c:v>126917.88569361542</c:v>
                      </c:pt>
                      <c:pt idx="131">
                        <c:v>129778.16945367683</c:v>
                      </c:pt>
                      <c:pt idx="132">
                        <c:v>132603.21748243799</c:v>
                      </c:pt>
                      <c:pt idx="133">
                        <c:v>135390.02964335194</c:v>
                      </c:pt>
                      <c:pt idx="134">
                        <c:v>138135.78562852906</c:v>
                      </c:pt>
                      <c:pt idx="135">
                        <c:v>140837.85397468731</c:v>
                      </c:pt>
                      <c:pt idx="136">
                        <c:v>143493.79933527068</c:v>
                      </c:pt>
                      <c:pt idx="137">
                        <c:v>146101.38800651254</c:v>
                      </c:pt>
                      <c:pt idx="138">
                        <c:v>148658.59172962164</c:v>
                      </c:pt>
                      <c:pt idx="139">
                        <c:v>151163.58981386028</c:v>
                      </c:pt>
                      <c:pt idx="140">
                        <c:v>153614.76964568539</c:v>
                      </c:pt>
                      <c:pt idx="141">
                        <c:v>156010.72566704606</c:v>
                      </c:pt>
                      <c:pt idx="142">
                        <c:v>158350.2569211777</c:v>
                      </c:pt>
                      <c:pt idx="143">
                        <c:v>160632.36327668015</c:v>
                      </c:pt>
                      <c:pt idx="144">
                        <c:v>162856.24045029585</c:v>
                      </c:pt>
                      <c:pt idx="145">
                        <c:v>165021.27395564294</c:v>
                      </c:pt>
                      <c:pt idx="146">
                        <c:v>167127.0321093291</c:v>
                      </c:pt>
                      <c:pt idx="147">
                        <c:v>169173.25822753136</c:v>
                      </c:pt>
                      <c:pt idx="148">
                        <c:v>171159.86214548911</c:v>
                      </c:pt>
                      <c:pt idx="149">
                        <c:v>173086.91118966328</c:v>
                      </c:pt>
                      <c:pt idx="150">
                        <c:v>174954.62072783077</c:v>
                      </c:pt>
                      <c:pt idx="151">
                        <c:v>176763.34441638808</c:v>
                      </c:pt>
                      <c:pt idx="152">
                        <c:v>178513.56425691026</c:v>
                      </c:pt>
                      <c:pt idx="153">
                        <c:v>180205.88056582608</c:v>
                      </c:pt>
                      <c:pt idx="154">
                        <c:v>181841.00195219493</c:v>
                      </c:pt>
                      <c:pt idx="155">
                        <c:v>183419.73538924177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Cumul_removed_bSIR!$D$7</c:f>
              <c:strCache>
                <c:ptCount val="1"/>
                <c:pt idx="0">
                  <c:v>Italy cumulative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Cumul_removed_bSIR!$D$62:$D$184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79</c:v>
                </c:pt>
                <c:pt idx="6">
                  <c:v>117</c:v>
                </c:pt>
                <c:pt idx="7">
                  <c:v>201</c:v>
                </c:pt>
                <c:pt idx="8">
                  <c:v>239</c:v>
                </c:pt>
                <c:pt idx="9">
                  <c:v>383</c:v>
                </c:pt>
                <c:pt idx="10">
                  <c:v>562</c:v>
                </c:pt>
                <c:pt idx="11">
                  <c:v>720</c:v>
                </c:pt>
                <c:pt idx="12">
                  <c:v>822</c:v>
                </c:pt>
                <c:pt idx="13">
                  <c:v>988</c:v>
                </c:pt>
                <c:pt idx="14">
                  <c:v>1187</c:v>
                </c:pt>
                <c:pt idx="15">
                  <c:v>1635</c:v>
                </c:pt>
                <c:pt idx="16">
                  <c:v>1872</c:v>
                </c:pt>
                <c:pt idx="17">
                  <c:v>2274</c:v>
                </c:pt>
                <c:pt idx="18">
                  <c:v>2705</c:v>
                </c:pt>
                <c:pt idx="19">
                  <c:v>3407</c:v>
                </c:pt>
                <c:pt idx="20">
                  <c:v>4144</c:v>
                </c:pt>
                <c:pt idx="21">
                  <c:v>4907</c:v>
                </c:pt>
                <c:pt idx="22">
                  <c:v>5444</c:v>
                </c:pt>
                <c:pt idx="23">
                  <c:v>7003</c:v>
                </c:pt>
                <c:pt idx="24">
                  <c:v>7845</c:v>
                </c:pt>
                <c:pt idx="25">
                  <c:v>9161</c:v>
                </c:pt>
                <c:pt idx="26">
                  <c:v>10897</c:v>
                </c:pt>
                <c:pt idx="27">
                  <c:v>12500</c:v>
                </c:pt>
                <c:pt idx="28">
                  <c:v>13509</c:v>
                </c:pt>
                <c:pt idx="29">
                  <c:v>15146</c:v>
                </c:pt>
                <c:pt idx="30">
                  <c:v>16865</c:v>
                </c:pt>
                <c:pt idx="31">
                  <c:v>18526</c:v>
                </c:pt>
                <c:pt idx="32">
                  <c:v>20084</c:v>
                </c:pt>
                <c:pt idx="33">
                  <c:v>22407</c:v>
                </c:pt>
                <c:pt idx="34">
                  <c:v>23809</c:v>
                </c:pt>
                <c:pt idx="35">
                  <c:v>26211</c:v>
                </c:pt>
                <c:pt idx="36">
                  <c:v>28157</c:v>
                </c:pt>
                <c:pt idx="37">
                  <c:v>30002</c:v>
                </c:pt>
                <c:pt idx="38">
                  <c:v>32193</c:v>
                </c:pt>
                <c:pt idx="39">
                  <c:v>34439</c:v>
                </c:pt>
                <c:pt idx="40">
                  <c:v>36358</c:v>
                </c:pt>
                <c:pt idx="41">
                  <c:v>37702</c:v>
                </c:pt>
                <c:pt idx="42">
                  <c:v>39360</c:v>
                </c:pt>
                <c:pt idx="43">
                  <c:v>41519</c:v>
                </c:pt>
                <c:pt idx="44">
                  <c:v>44160</c:v>
                </c:pt>
                <c:pt idx="45">
                  <c:v>46749</c:v>
                </c:pt>
                <c:pt idx="46">
                  <c:v>49304</c:v>
                </c:pt>
                <c:pt idx="47">
                  <c:v>52002</c:v>
                </c:pt>
                <c:pt idx="48">
                  <c:v>54110</c:v>
                </c:pt>
                <c:pt idx="49">
                  <c:v>55900</c:v>
                </c:pt>
                <c:pt idx="50">
                  <c:v>58197</c:v>
                </c:pt>
                <c:pt idx="51">
                  <c:v>59737</c:v>
                </c:pt>
                <c:pt idx="52">
                  <c:v>62334</c:v>
                </c:pt>
                <c:pt idx="53">
                  <c:v>65472</c:v>
                </c:pt>
                <c:pt idx="54">
                  <c:v>68154</c:v>
                </c:pt>
                <c:pt idx="55">
                  <c:v>70715</c:v>
                </c:pt>
                <c:pt idx="56">
                  <c:v>72991</c:v>
                </c:pt>
                <c:pt idx="57">
                  <c:v>76248</c:v>
                </c:pt>
                <c:pt idx="58">
                  <c:v>79628</c:v>
                </c:pt>
                <c:pt idx="59">
                  <c:v>83125</c:v>
                </c:pt>
                <c:pt idx="60">
                  <c:v>86467</c:v>
                </c:pt>
                <c:pt idx="61">
                  <c:v>89504</c:v>
                </c:pt>
                <c:pt idx="62">
                  <c:v>91572</c:v>
                </c:pt>
                <c:pt idx="63">
                  <c:v>93601</c:v>
                </c:pt>
                <c:pt idx="64">
                  <c:v>96300</c:v>
                </c:pt>
                <c:pt idx="65">
                  <c:v>98934</c:v>
                </c:pt>
                <c:pt idx="66">
                  <c:v>103912</c:v>
                </c:pt>
                <c:pt idx="67">
                  <c:v>106485</c:v>
                </c:pt>
                <c:pt idx="68">
                  <c:v>108624</c:v>
                </c:pt>
                <c:pt idx="69">
                  <c:v>110538</c:v>
                </c:pt>
                <c:pt idx="70">
                  <c:v>111958</c:v>
                </c:pt>
                <c:pt idx="71">
                  <c:v>114546</c:v>
                </c:pt>
                <c:pt idx="72">
                  <c:v>122929</c:v>
                </c:pt>
                <c:pt idx="73">
                  <c:v>126234</c:v>
                </c:pt>
                <c:pt idx="74">
                  <c:v>129224</c:v>
                </c:pt>
                <c:pt idx="75">
                  <c:v>133426</c:v>
                </c:pt>
                <c:pt idx="76">
                  <c:v>135746</c:v>
                </c:pt>
                <c:pt idx="77">
                  <c:v>137326</c:v>
                </c:pt>
                <c:pt idx="78">
                  <c:v>139950</c:v>
                </c:pt>
                <c:pt idx="79">
                  <c:v>143647</c:v>
                </c:pt>
                <c:pt idx="80">
                  <c:v>146656</c:v>
                </c:pt>
                <c:pt idx="81">
                  <c:v>151815</c:v>
                </c:pt>
                <c:pt idx="82">
                  <c:v>154573</c:v>
                </c:pt>
                <c:pt idx="83">
                  <c:v>157084</c:v>
                </c:pt>
                <c:pt idx="84">
                  <c:v>159333</c:v>
                </c:pt>
                <c:pt idx="85">
                  <c:v>161570</c:v>
                </c:pt>
                <c:pt idx="86">
                  <c:v>164612</c:v>
                </c:pt>
                <c:pt idx="87">
                  <c:v>167046</c:v>
                </c:pt>
                <c:pt idx="88">
                  <c:v>169336</c:v>
                </c:pt>
                <c:pt idx="89">
                  <c:v>171575</c:v>
                </c:pt>
                <c:pt idx="90">
                  <c:v>173264</c:v>
                </c:pt>
                <c:pt idx="91">
                  <c:v>174858</c:v>
                </c:pt>
                <c:pt idx="92">
                  <c:v>177613</c:v>
                </c:pt>
                <c:pt idx="93">
                  <c:v>180173</c:v>
                </c:pt>
                <c:pt idx="94">
                  <c:v>183746</c:v>
                </c:pt>
                <c:pt idx="95">
                  <c:v>186073</c:v>
                </c:pt>
                <c:pt idx="96">
                  <c:v>188973</c:v>
                </c:pt>
                <c:pt idx="97">
                  <c:v>190922</c:v>
                </c:pt>
                <c:pt idx="98">
                  <c:v>191830</c:v>
                </c:pt>
                <c:pt idx="99">
                  <c:v>193622</c:v>
                </c:pt>
                <c:pt idx="100">
                  <c:v>194539</c:v>
                </c:pt>
                <c:pt idx="101">
                  <c:v>195584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Cumul_removed_bSIR!$N$7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Cumul_removed_bSIR!$N$62:$N$184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  <c:pt idx="81">
                  <c:v>6457</c:v>
                </c:pt>
                <c:pt idx="82">
                  <c:v>6578</c:v>
                </c:pt>
                <c:pt idx="83">
                  <c:v>6703</c:v>
                </c:pt>
                <c:pt idx="84">
                  <c:v>6852</c:v>
                </c:pt>
                <c:pt idx="85">
                  <c:v>6993</c:v>
                </c:pt>
                <c:pt idx="86">
                  <c:v>7111</c:v>
                </c:pt>
                <c:pt idx="87">
                  <c:v>7269</c:v>
                </c:pt>
                <c:pt idx="88">
                  <c:v>7481</c:v>
                </c:pt>
                <c:pt idx="89">
                  <c:v>7693</c:v>
                </c:pt>
                <c:pt idx="90">
                  <c:v>7856</c:v>
                </c:pt>
                <c:pt idx="91">
                  <c:v>7941</c:v>
                </c:pt>
                <c:pt idx="92">
                  <c:v>8112</c:v>
                </c:pt>
                <c:pt idx="93">
                  <c:v>8320</c:v>
                </c:pt>
                <c:pt idx="94">
                  <c:v>8460</c:v>
                </c:pt>
                <c:pt idx="95">
                  <c:v>8625</c:v>
                </c:pt>
                <c:pt idx="96">
                  <c:v>8870</c:v>
                </c:pt>
                <c:pt idx="97">
                  <c:v>8994</c:v>
                </c:pt>
                <c:pt idx="98">
                  <c:v>9108</c:v>
                </c:pt>
                <c:pt idx="99">
                  <c:v>9188</c:v>
                </c:pt>
                <c:pt idx="100">
                  <c:v>9237</c:v>
                </c:pt>
                <c:pt idx="101">
                  <c:v>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Cumul_removed_bSIR!$U$7</c:f>
              <c:strCache>
                <c:ptCount val="1"/>
                <c:pt idx="0">
                  <c:v>rest of Italy 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Cumul_removed_bSIR!$U$62:$U$184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75</c:v>
                </c:pt>
                <c:pt idx="6">
                  <c:v>113</c:v>
                </c:pt>
                <c:pt idx="7">
                  <c:v>197</c:v>
                </c:pt>
                <c:pt idx="8">
                  <c:v>234</c:v>
                </c:pt>
                <c:pt idx="9">
                  <c:v>378</c:v>
                </c:pt>
                <c:pt idx="10">
                  <c:v>555</c:v>
                </c:pt>
                <c:pt idx="11">
                  <c:v>712</c:v>
                </c:pt>
                <c:pt idx="12">
                  <c:v>813</c:v>
                </c:pt>
                <c:pt idx="13">
                  <c:v>977</c:v>
                </c:pt>
                <c:pt idx="14">
                  <c:v>1175</c:v>
                </c:pt>
                <c:pt idx="15">
                  <c:v>1622</c:v>
                </c:pt>
                <c:pt idx="16">
                  <c:v>1859</c:v>
                </c:pt>
                <c:pt idx="17">
                  <c:v>2243</c:v>
                </c:pt>
                <c:pt idx="18">
                  <c:v>2664</c:v>
                </c:pt>
                <c:pt idx="19">
                  <c:v>3328</c:v>
                </c:pt>
                <c:pt idx="20">
                  <c:v>4078</c:v>
                </c:pt>
                <c:pt idx="21">
                  <c:v>4815</c:v>
                </c:pt>
                <c:pt idx="22">
                  <c:v>5327</c:v>
                </c:pt>
                <c:pt idx="23">
                  <c:v>6860</c:v>
                </c:pt>
                <c:pt idx="24">
                  <c:v>7669</c:v>
                </c:pt>
                <c:pt idx="25">
                  <c:v>8941</c:v>
                </c:pt>
                <c:pt idx="26">
                  <c:v>10620</c:v>
                </c:pt>
                <c:pt idx="27">
                  <c:v>12186</c:v>
                </c:pt>
                <c:pt idx="28">
                  <c:v>13138</c:v>
                </c:pt>
                <c:pt idx="29">
                  <c:v>14722</c:v>
                </c:pt>
                <c:pt idx="30">
                  <c:v>16386</c:v>
                </c:pt>
                <c:pt idx="31">
                  <c:v>17986</c:v>
                </c:pt>
                <c:pt idx="32">
                  <c:v>19448</c:v>
                </c:pt>
                <c:pt idx="33">
                  <c:v>21671</c:v>
                </c:pt>
                <c:pt idx="34">
                  <c:v>23012</c:v>
                </c:pt>
                <c:pt idx="35">
                  <c:v>25377</c:v>
                </c:pt>
                <c:pt idx="36">
                  <c:v>27249</c:v>
                </c:pt>
                <c:pt idx="37">
                  <c:v>28987</c:v>
                </c:pt>
                <c:pt idx="38">
                  <c:v>31071</c:v>
                </c:pt>
                <c:pt idx="39">
                  <c:v>33220</c:v>
                </c:pt>
                <c:pt idx="40">
                  <c:v>35049</c:v>
                </c:pt>
                <c:pt idx="41">
                  <c:v>36346</c:v>
                </c:pt>
                <c:pt idx="42">
                  <c:v>37928</c:v>
                </c:pt>
                <c:pt idx="43">
                  <c:v>39974</c:v>
                </c:pt>
                <c:pt idx="44">
                  <c:v>42499</c:v>
                </c:pt>
                <c:pt idx="45">
                  <c:v>44982</c:v>
                </c:pt>
                <c:pt idx="46">
                  <c:v>47414</c:v>
                </c:pt>
                <c:pt idx="47">
                  <c:v>49959</c:v>
                </c:pt>
                <c:pt idx="48">
                  <c:v>51949</c:v>
                </c:pt>
                <c:pt idx="49">
                  <c:v>53669</c:v>
                </c:pt>
                <c:pt idx="50">
                  <c:v>55855</c:v>
                </c:pt>
                <c:pt idx="51">
                  <c:v>57265</c:v>
                </c:pt>
                <c:pt idx="52">
                  <c:v>59732</c:v>
                </c:pt>
                <c:pt idx="53">
                  <c:v>62743</c:v>
                </c:pt>
                <c:pt idx="54">
                  <c:v>65265</c:v>
                </c:pt>
                <c:pt idx="55">
                  <c:v>67677</c:v>
                </c:pt>
                <c:pt idx="56">
                  <c:v>69818</c:v>
                </c:pt>
                <c:pt idx="57">
                  <c:v>72947</c:v>
                </c:pt>
                <c:pt idx="58">
                  <c:v>76186</c:v>
                </c:pt>
                <c:pt idx="59">
                  <c:v>79542</c:v>
                </c:pt>
                <c:pt idx="60">
                  <c:v>82731</c:v>
                </c:pt>
                <c:pt idx="61">
                  <c:v>85636</c:v>
                </c:pt>
                <c:pt idx="62">
                  <c:v>87564</c:v>
                </c:pt>
                <c:pt idx="63">
                  <c:v>89539</c:v>
                </c:pt>
                <c:pt idx="64">
                  <c:v>92099</c:v>
                </c:pt>
                <c:pt idx="65">
                  <c:v>94621</c:v>
                </c:pt>
                <c:pt idx="66">
                  <c:v>99470</c:v>
                </c:pt>
                <c:pt idx="67">
                  <c:v>101877</c:v>
                </c:pt>
                <c:pt idx="68">
                  <c:v>103910</c:v>
                </c:pt>
                <c:pt idx="69">
                  <c:v>105730</c:v>
                </c:pt>
                <c:pt idx="70">
                  <c:v>107054</c:v>
                </c:pt>
                <c:pt idx="71">
                  <c:v>109498</c:v>
                </c:pt>
                <c:pt idx="72">
                  <c:v>117684</c:v>
                </c:pt>
                <c:pt idx="73">
                  <c:v>120837</c:v>
                </c:pt>
                <c:pt idx="74">
                  <c:v>123677</c:v>
                </c:pt>
                <c:pt idx="75">
                  <c:v>127670</c:v>
                </c:pt>
                <c:pt idx="76">
                  <c:v>129858</c:v>
                </c:pt>
                <c:pt idx="77">
                  <c:v>131338</c:v>
                </c:pt>
                <c:pt idx="78">
                  <c:v>133866</c:v>
                </c:pt>
                <c:pt idx="79">
                  <c:v>137435</c:v>
                </c:pt>
                <c:pt idx="80">
                  <c:v>140321</c:v>
                </c:pt>
                <c:pt idx="81">
                  <c:v>145358</c:v>
                </c:pt>
                <c:pt idx="82">
                  <c:v>147995</c:v>
                </c:pt>
                <c:pt idx="83">
                  <c:v>150381</c:v>
                </c:pt>
                <c:pt idx="84">
                  <c:v>152481</c:v>
                </c:pt>
                <c:pt idx="85">
                  <c:v>154577</c:v>
                </c:pt>
                <c:pt idx="86">
                  <c:v>157501</c:v>
                </c:pt>
                <c:pt idx="87">
                  <c:v>159777</c:v>
                </c:pt>
                <c:pt idx="88">
                  <c:v>161855</c:v>
                </c:pt>
                <c:pt idx="89">
                  <c:v>163882</c:v>
                </c:pt>
                <c:pt idx="90">
                  <c:v>165408</c:v>
                </c:pt>
                <c:pt idx="91">
                  <c:v>166917</c:v>
                </c:pt>
                <c:pt idx="92">
                  <c:v>169501</c:v>
                </c:pt>
                <c:pt idx="93">
                  <c:v>171853</c:v>
                </c:pt>
                <c:pt idx="94">
                  <c:v>175286</c:v>
                </c:pt>
                <c:pt idx="95">
                  <c:v>177448</c:v>
                </c:pt>
                <c:pt idx="96">
                  <c:v>180103</c:v>
                </c:pt>
                <c:pt idx="97">
                  <c:v>181928</c:v>
                </c:pt>
                <c:pt idx="98">
                  <c:v>182722</c:v>
                </c:pt>
                <c:pt idx="99">
                  <c:v>184434</c:v>
                </c:pt>
                <c:pt idx="100">
                  <c:v>185302</c:v>
                </c:pt>
                <c:pt idx="101">
                  <c:v>186206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Cumul_removed_bSIR!$L$7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2757.9323654779196</c:v>
                      </c:pt>
                      <c:pt idx="1">
                        <c:v>2757.9323654779196</c:v>
                      </c:pt>
                      <c:pt idx="2">
                        <c:v>2757.9323654779196</c:v>
                      </c:pt>
                      <c:pt idx="3">
                        <c:v>2757.9323654779196</c:v>
                      </c:pt>
                      <c:pt idx="4">
                        <c:v>2757.9323654779196</c:v>
                      </c:pt>
                      <c:pt idx="5">
                        <c:v>2757.9323654779196</c:v>
                      </c:pt>
                      <c:pt idx="6">
                        <c:v>2757.9323654779196</c:v>
                      </c:pt>
                      <c:pt idx="7">
                        <c:v>2757.9323654779196</c:v>
                      </c:pt>
                      <c:pt idx="8">
                        <c:v>2757.9323654779196</c:v>
                      </c:pt>
                      <c:pt idx="9">
                        <c:v>2757.9323654779196</c:v>
                      </c:pt>
                      <c:pt idx="10">
                        <c:v>2757.9323654779196</c:v>
                      </c:pt>
                      <c:pt idx="11">
                        <c:v>2757.9323654779196</c:v>
                      </c:pt>
                      <c:pt idx="12">
                        <c:v>2757.9323654779196</c:v>
                      </c:pt>
                      <c:pt idx="13">
                        <c:v>2757.9323654779196</c:v>
                      </c:pt>
                      <c:pt idx="14">
                        <c:v>2757.9323654779196</c:v>
                      </c:pt>
                      <c:pt idx="15">
                        <c:v>2757.9323654779196</c:v>
                      </c:pt>
                      <c:pt idx="16">
                        <c:v>2757.9323654779196</c:v>
                      </c:pt>
                      <c:pt idx="17">
                        <c:v>2757.9323654779196</c:v>
                      </c:pt>
                      <c:pt idx="18">
                        <c:v>2757.9323654779196</c:v>
                      </c:pt>
                      <c:pt idx="19">
                        <c:v>2757.9323654779196</c:v>
                      </c:pt>
                      <c:pt idx="20">
                        <c:v>2757.9323654779196</c:v>
                      </c:pt>
                      <c:pt idx="21">
                        <c:v>2757.9323654779196</c:v>
                      </c:pt>
                      <c:pt idx="22">
                        <c:v>2757.9323654779196</c:v>
                      </c:pt>
                      <c:pt idx="23">
                        <c:v>2757.9323654779196</c:v>
                      </c:pt>
                      <c:pt idx="24">
                        <c:v>2757.9323654779196</c:v>
                      </c:pt>
                      <c:pt idx="25">
                        <c:v>2757.9323654779196</c:v>
                      </c:pt>
                      <c:pt idx="26">
                        <c:v>2757.9323654779196</c:v>
                      </c:pt>
                      <c:pt idx="27">
                        <c:v>2757.9323654779196</c:v>
                      </c:pt>
                      <c:pt idx="28">
                        <c:v>2757.9323654779196</c:v>
                      </c:pt>
                      <c:pt idx="29">
                        <c:v>2757.9323654779196</c:v>
                      </c:pt>
                      <c:pt idx="30">
                        <c:v>2757.9323654779196</c:v>
                      </c:pt>
                      <c:pt idx="31">
                        <c:v>2757.9323654779196</c:v>
                      </c:pt>
                      <c:pt idx="32">
                        <c:v>2757.9323654779196</c:v>
                      </c:pt>
                      <c:pt idx="33">
                        <c:v>2757.9323654779196</c:v>
                      </c:pt>
                      <c:pt idx="34">
                        <c:v>2757.9323654779196</c:v>
                      </c:pt>
                      <c:pt idx="35">
                        <c:v>2757.9323654779196</c:v>
                      </c:pt>
                      <c:pt idx="36">
                        <c:v>2757.9323654779196</c:v>
                      </c:pt>
                      <c:pt idx="37">
                        <c:v>2757.9323654779196</c:v>
                      </c:pt>
                      <c:pt idx="38">
                        <c:v>2757.9323654779196</c:v>
                      </c:pt>
                      <c:pt idx="39">
                        <c:v>2757.9323654779196</c:v>
                      </c:pt>
                      <c:pt idx="40">
                        <c:v>2757.9323654779196</c:v>
                      </c:pt>
                      <c:pt idx="41">
                        <c:v>2757.9323654779196</c:v>
                      </c:pt>
                      <c:pt idx="42">
                        <c:v>2757.9323654779196</c:v>
                      </c:pt>
                      <c:pt idx="43">
                        <c:v>2757.9323654779196</c:v>
                      </c:pt>
                      <c:pt idx="44">
                        <c:v>2757.9323654779196</c:v>
                      </c:pt>
                      <c:pt idx="45">
                        <c:v>2757.9323654779196</c:v>
                      </c:pt>
                      <c:pt idx="46">
                        <c:v>2757.9323654779196</c:v>
                      </c:pt>
                      <c:pt idx="47">
                        <c:v>2757.9323654779196</c:v>
                      </c:pt>
                      <c:pt idx="48">
                        <c:v>2757.9323654779196</c:v>
                      </c:pt>
                      <c:pt idx="49">
                        <c:v>2757.9323654779196</c:v>
                      </c:pt>
                      <c:pt idx="50">
                        <c:v>2757.9323654779196</c:v>
                      </c:pt>
                      <c:pt idx="51">
                        <c:v>2757.9323654779196</c:v>
                      </c:pt>
                      <c:pt idx="52">
                        <c:v>2757.9323654779196</c:v>
                      </c:pt>
                      <c:pt idx="53">
                        <c:v>2757.9323654779196</c:v>
                      </c:pt>
                      <c:pt idx="54">
                        <c:v>2757.9323654779196</c:v>
                      </c:pt>
                      <c:pt idx="55">
                        <c:v>2757.9323654779196</c:v>
                      </c:pt>
                      <c:pt idx="56">
                        <c:v>2757.9323654779196</c:v>
                      </c:pt>
                      <c:pt idx="57">
                        <c:v>2757.9323654779196</c:v>
                      </c:pt>
                      <c:pt idx="58">
                        <c:v>2757.9323654779196</c:v>
                      </c:pt>
                      <c:pt idx="59">
                        <c:v>2757.9323654779196</c:v>
                      </c:pt>
                      <c:pt idx="60">
                        <c:v>2757.9323654779196</c:v>
                      </c:pt>
                      <c:pt idx="61">
                        <c:v>2757.9323654779196</c:v>
                      </c:pt>
                      <c:pt idx="62">
                        <c:v>2757.9323654779196</c:v>
                      </c:pt>
                      <c:pt idx="63">
                        <c:v>2757.9323654779196</c:v>
                      </c:pt>
                      <c:pt idx="64">
                        <c:v>2757.9323654779196</c:v>
                      </c:pt>
                      <c:pt idx="65">
                        <c:v>2757.9323654779196</c:v>
                      </c:pt>
                      <c:pt idx="66">
                        <c:v>2757.9323654779196</c:v>
                      </c:pt>
                      <c:pt idx="67">
                        <c:v>2835.0028074434313</c:v>
                      </c:pt>
                      <c:pt idx="68">
                        <c:v>3507.9611701451859</c:v>
                      </c:pt>
                      <c:pt idx="69">
                        <c:v>4211.9541532306012</c:v>
                      </c:pt>
                      <c:pt idx="70">
                        <c:v>4948.1868838120954</c:v>
                      </c:pt>
                      <c:pt idx="71">
                        <c:v>5717.8886093484616</c:v>
                      </c:pt>
                      <c:pt idx="72">
                        <c:v>6522.3107396354008</c:v>
                      </c:pt>
                      <c:pt idx="73">
                        <c:v>7362.7245776180935</c:v>
                      </c:pt>
                      <c:pt idx="74">
                        <c:v>8240.4187178670563</c:v>
                      </c:pt>
                      <c:pt idx="75">
                        <c:v>9156.6960918259738</c:v>
                      </c:pt>
                      <c:pt idx="76">
                        <c:v>10147.346249156262</c:v>
                      </c:pt>
                      <c:pt idx="77">
                        <c:v>11199.741829805138</c:v>
                      </c:pt>
                      <c:pt idx="78">
                        <c:v>12296.4535649584</c:v>
                      </c:pt>
                      <c:pt idx="79">
                        <c:v>13438.843268082837</c:v>
                      </c:pt>
                      <c:pt idx="80">
                        <c:v>14628.265829898333</c:v>
                      </c:pt>
                      <c:pt idx="81">
                        <c:v>15866.063640859073</c:v>
                      </c:pt>
                      <c:pt idx="82">
                        <c:v>17153.560545657656</c:v>
                      </c:pt>
                      <c:pt idx="83">
                        <c:v>18492.055325581739</c:v>
                      </c:pt>
                      <c:pt idx="84">
                        <c:v>19882.814709131675</c:v>
                      </c:pt>
                      <c:pt idx="85">
                        <c:v>21327.065916542902</c:v>
                      </c:pt>
                      <c:pt idx="86">
                        <c:v>22825.988749762364</c:v>
                      </c:pt>
                      <c:pt idx="87">
                        <c:v>24380.707246003749</c:v>
                      </c:pt>
                      <c:pt idx="88">
                        <c:v>25992.280920233305</c:v>
                      </c:pt>
                      <c:pt idx="89">
                        <c:v>27661.695629787097</c:v>
                      </c:pt>
                      <c:pt idx="90">
                        <c:v>29389.85410273551</c:v>
                      </c:pt>
                      <c:pt idx="91">
                        <c:v>31177.566180515685</c:v>
                      </c:pt>
                      <c:pt idx="92">
                        <c:v>33025.538834650026</c:v>
                      </c:pt>
                      <c:pt idx="93">
                        <c:v>34934.366026929034</c:v>
                      </c:pt>
                      <c:pt idx="94">
                        <c:v>36904.518492111252</c:v>
                      </c:pt>
                      <c:pt idx="95">
                        <c:v>38936.333531798831</c:v>
                      </c:pt>
                      <c:pt idx="96">
                        <c:v>41030.004917481085</c:v>
                      </c:pt>
                      <c:pt idx="97">
                        <c:v>43185.573009571563</c:v>
                      </c:pt>
                      <c:pt idx="98">
                        <c:v>45402.915207341415</c:v>
                      </c:pt>
                      <c:pt idx="99">
                        <c:v>47681.736851712521</c:v>
                      </c:pt>
                      <c:pt idx="100">
                        <c:v>50021.562708633304</c:v>
                      </c:pt>
                      <c:pt idx="101">
                        <c:v>52421.729164940865</c:v>
                      </c:pt>
                      <c:pt idx="102">
                        <c:v>54881.377270933765</c:v>
                      </c:pt>
                      <c:pt idx="103">
                        <c:v>57399.446764080829</c:v>
                      </c:pt>
                      <c:pt idx="104">
                        <c:v>59974.671206131134</c:v>
                      </c:pt>
                      <c:pt idx="105">
                        <c:v>62605.574361168408</c:v>
                      </c:pt>
                      <c:pt idx="106">
                        <c:v>65290.467934712447</c:v>
                      </c:pt>
                      <c:pt idx="107">
                        <c:v>68027.450783715554</c:v>
                      </c:pt>
                      <c:pt idx="108">
                        <c:v>70814.409694202957</c:v>
                      </c:pt>
                      <c:pt idx="109">
                        <c:v>73649.021807412137</c:v>
                      </c:pt>
                      <c:pt idx="110">
                        <c:v>76528.758756728552</c:v>
                      </c:pt>
                      <c:pt idx="111">
                        <c:v>79450.892556714432</c:v>
                      </c:pt>
                      <c:pt idx="112">
                        <c:v>82412.503262391721</c:v>
                      </c:pt>
                      <c:pt idx="113">
                        <c:v>85410.488392063227</c:v>
                      </c:pt>
                      <c:pt idx="114">
                        <c:v>88441.574080812905</c:v>
                      </c:pt>
                      <c:pt idx="115">
                        <c:v>91502.327904959122</c:v>
                      </c:pt>
                      <c:pt idx="116">
                        <c:v>94589.173290742678</c:v>
                      </c:pt>
                      <c:pt idx="117">
                        <c:v>97698.40539405038</c:v>
                      </c:pt>
                      <c:pt idx="118">
                        <c:v>100826.20831266008</c:v>
                      </c:pt>
                      <c:pt idx="119">
                        <c:v>103968.67346899566</c:v>
                      </c:pt>
                      <c:pt idx="120">
                        <c:v>107121.81898032058</c:v>
                      </c:pt>
                      <c:pt idx="121">
                        <c:v>110281.60981525639</c:v>
                      </c:pt>
                      <c:pt idx="122">
                        <c:v>113443.97852098019</c:v>
                      </c:pt>
                      <c:pt idx="123">
                        <c:v>116604.84629485314</c:v>
                      </c:pt>
                      <c:pt idx="124">
                        <c:v>119760.14416785225</c:v>
                      </c:pt>
                      <c:pt idx="125">
                        <c:v>122905.83406521112</c:v>
                      </c:pt>
                      <c:pt idx="126">
                        <c:v>126037.92951216867</c:v>
                      </c:pt>
                      <c:pt idx="127">
                        <c:v>129152.51575960939</c:v>
                      </c:pt>
                      <c:pt idx="128">
                        <c:v>132245.76911544826</c:v>
                      </c:pt>
                      <c:pt idx="129">
                        <c:v>135313.97528254951</c:v>
                      </c:pt>
                      <c:pt idx="130">
                        <c:v>138353.54652234798</c:v>
                      </c:pt>
                      <c:pt idx="131">
                        <c:v>141361.03748464739</c:v>
                      </c:pt>
                      <c:pt idx="132">
                        <c:v>144333.15956772401</c:v>
                      </c:pt>
                      <c:pt idx="133">
                        <c:v>147266.79369823801</c:v>
                      </c:pt>
                      <c:pt idx="134">
                        <c:v>150159.001446896</c:v>
                      </c:pt>
                      <c:pt idx="135">
                        <c:v>153007.03442267154</c:v>
                      </c:pt>
                      <c:pt idx="136">
                        <c:v>155808.34191503999</c:v>
                      </c:pt>
                      <c:pt idx="137">
                        <c:v>158560.57677953943</c:v>
                      </c:pt>
                      <c:pt idx="138">
                        <c:v>161261.59958649456</c:v>
                      </c:pt>
                      <c:pt idx="139">
                        <c:v>163909.48107547974</c:v>
                      </c:pt>
                      <c:pt idx="140">
                        <c:v>166502.50297867134</c:v>
                      </c:pt>
                      <c:pt idx="141">
                        <c:v>169039.15729435461</c:v>
                      </c:pt>
                      <c:pt idx="142">
                        <c:v>171518.14410730486</c:v>
                      </c:pt>
                      <c:pt idx="143">
                        <c:v>173938.36806543346</c:v>
                      </c:pt>
                      <c:pt idx="144">
                        <c:v>176298.93363194953</c:v>
                      </c:pt>
                      <c:pt idx="145">
                        <c:v>178599.13923936605</c:v>
                      </c:pt>
                      <c:pt idx="146">
                        <c:v>180838.4704760905</c:v>
                      </c:pt>
                      <c:pt idx="147">
                        <c:v>183016.59243824132</c:v>
                      </c:pt>
                      <c:pt idx="148">
                        <c:v>185133.34137892781</c:v>
                      </c:pt>
                      <c:pt idx="149">
                        <c:v>187188.71578476747</c:v>
                      </c:pt>
                      <c:pt idx="150">
                        <c:v>189182.86700514835</c:v>
                      </c:pt>
                      <c:pt idx="151">
                        <c:v>191116.08955395562</c:v>
                      </c:pt>
                      <c:pt idx="152">
                        <c:v>192988.81119644444</c:v>
                      </c:pt>
                      <c:pt idx="153">
                        <c:v>194801.58292593114</c:v>
                      </c:pt>
                      <c:pt idx="154">
                        <c:v>196555.06892625545</c:v>
                      </c:pt>
                      <c:pt idx="155">
                        <c:v>198250.03660677536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202.02387839262201</c:v>
                      </c:pt>
                      <c:pt idx="72">
                        <c:v>1006.4460086795621</c:v>
                      </c:pt>
                      <c:pt idx="73">
                        <c:v>1846.8598466622548</c:v>
                      </c:pt>
                      <c:pt idx="74">
                        <c:v>2724.5539869112167</c:v>
                      </c:pt>
                      <c:pt idx="75">
                        <c:v>3640.8313608701351</c:v>
                      </c:pt>
                      <c:pt idx="76">
                        <c:v>4631.481518200424</c:v>
                      </c:pt>
                      <c:pt idx="77">
                        <c:v>5683.8770988492979</c:v>
                      </c:pt>
                      <c:pt idx="78">
                        <c:v>6780.5888340025595</c:v>
                      </c:pt>
                      <c:pt idx="79">
                        <c:v>7922.9785371269973</c:v>
                      </c:pt>
                      <c:pt idx="80">
                        <c:v>9112.4010989424933</c:v>
                      </c:pt>
                      <c:pt idx="81">
                        <c:v>10350.198909903233</c:v>
                      </c:pt>
                      <c:pt idx="82">
                        <c:v>11637.695814701818</c:v>
                      </c:pt>
                      <c:pt idx="83">
                        <c:v>12976.190594625901</c:v>
                      </c:pt>
                      <c:pt idx="84">
                        <c:v>14366.949978175837</c:v>
                      </c:pt>
                      <c:pt idx="85">
                        <c:v>15811.201185587064</c:v>
                      </c:pt>
                      <c:pt idx="86">
                        <c:v>17310.124018806528</c:v>
                      </c:pt>
                      <c:pt idx="87">
                        <c:v>18864.842515047912</c:v>
                      </c:pt>
                      <c:pt idx="88">
                        <c:v>20476.416189277468</c:v>
                      </c:pt>
                      <c:pt idx="89">
                        <c:v>22145.83089883126</c:v>
                      </c:pt>
                      <c:pt idx="90">
                        <c:v>23873.989371779673</c:v>
                      </c:pt>
                      <c:pt idx="91">
                        <c:v>25661.701449559849</c:v>
                      </c:pt>
                      <c:pt idx="92">
                        <c:v>27509.674103694189</c:v>
                      </c:pt>
                      <c:pt idx="93">
                        <c:v>29418.501295973198</c:v>
                      </c:pt>
                      <c:pt idx="94">
                        <c:v>31388.653761155412</c:v>
                      </c:pt>
                      <c:pt idx="95">
                        <c:v>33420.468800842988</c:v>
                      </c:pt>
                      <c:pt idx="96">
                        <c:v>35514.140186525241</c:v>
                      </c:pt>
                      <c:pt idx="97">
                        <c:v>37669.708278615719</c:v>
                      </c:pt>
                      <c:pt idx="98">
                        <c:v>39887.050476385572</c:v>
                      </c:pt>
                      <c:pt idx="99">
                        <c:v>42165.872120756678</c:v>
                      </c:pt>
                      <c:pt idx="100">
                        <c:v>44505.697977677461</c:v>
                      </c:pt>
                      <c:pt idx="101">
                        <c:v>46905.864433985022</c:v>
                      </c:pt>
                      <c:pt idx="102">
                        <c:v>49365.512539977921</c:v>
                      </c:pt>
                      <c:pt idx="103">
                        <c:v>51883.582033124985</c:v>
                      </c:pt>
                      <c:pt idx="104">
                        <c:v>54458.80647517529</c:v>
                      </c:pt>
                      <c:pt idx="105">
                        <c:v>57089.709630212565</c:v>
                      </c:pt>
                      <c:pt idx="106">
                        <c:v>59774.603203756604</c:v>
                      </c:pt>
                      <c:pt idx="107">
                        <c:v>62511.586052759711</c:v>
                      </c:pt>
                      <c:pt idx="108">
                        <c:v>65298.544963247121</c:v>
                      </c:pt>
                      <c:pt idx="109">
                        <c:v>68133.157076456308</c:v>
                      </c:pt>
                      <c:pt idx="110">
                        <c:v>71012.894025772723</c:v>
                      </c:pt>
                      <c:pt idx="111">
                        <c:v>73935.027825758603</c:v>
                      </c:pt>
                      <c:pt idx="112">
                        <c:v>76896.638531435892</c:v>
                      </c:pt>
                      <c:pt idx="113">
                        <c:v>79894.623661107398</c:v>
                      </c:pt>
                      <c:pt idx="114">
                        <c:v>82925.709349857076</c:v>
                      </c:pt>
                      <c:pt idx="115">
                        <c:v>85986.463174003293</c:v>
                      </c:pt>
                      <c:pt idx="116">
                        <c:v>89073.308559786848</c:v>
                      </c:pt>
                      <c:pt idx="117">
                        <c:v>92182.540663094551</c:v>
                      </c:pt>
                      <c:pt idx="118">
                        <c:v>95310.343581704248</c:v>
                      </c:pt>
                      <c:pt idx="119">
                        <c:v>98452.808738039836</c:v>
                      </c:pt>
                      <c:pt idx="120">
                        <c:v>101605.95424936475</c:v>
                      </c:pt>
                      <c:pt idx="121">
                        <c:v>104765.74508430056</c:v>
                      </c:pt>
                      <c:pt idx="122">
                        <c:v>107928.11379002436</c:v>
                      </c:pt>
                      <c:pt idx="123">
                        <c:v>111088.98156389731</c:v>
                      </c:pt>
                      <c:pt idx="124">
                        <c:v>114244.27943689642</c:v>
                      </c:pt>
                      <c:pt idx="125">
                        <c:v>117389.96933425529</c:v>
                      </c:pt>
                      <c:pt idx="126">
                        <c:v>120522.06478121284</c:v>
                      </c:pt>
                      <c:pt idx="127">
                        <c:v>123636.65102865356</c:v>
                      </c:pt>
                      <c:pt idx="128">
                        <c:v>126729.90438449242</c:v>
                      </c:pt>
                      <c:pt idx="129">
                        <c:v>129798.11055159367</c:v>
                      </c:pt>
                      <c:pt idx="130">
                        <c:v>132837.68179139213</c:v>
                      </c:pt>
                      <c:pt idx="131">
                        <c:v>135845.17275369153</c:v>
                      </c:pt>
                      <c:pt idx="132">
                        <c:v>138817.29483676815</c:v>
                      </c:pt>
                      <c:pt idx="133">
                        <c:v>141750.92896728215</c:v>
                      </c:pt>
                      <c:pt idx="134">
                        <c:v>144643.13671594014</c:v>
                      </c:pt>
                      <c:pt idx="135">
                        <c:v>147491.16969171568</c:v>
                      </c:pt>
                      <c:pt idx="136">
                        <c:v>150292.47718408413</c:v>
                      </c:pt>
                      <c:pt idx="137">
                        <c:v>153044.71204858358</c:v>
                      </c:pt>
                      <c:pt idx="138">
                        <c:v>155745.7348555387</c:v>
                      </c:pt>
                      <c:pt idx="139">
                        <c:v>158393.61634452388</c:v>
                      </c:pt>
                      <c:pt idx="140">
                        <c:v>160986.63824771548</c:v>
                      </c:pt>
                      <c:pt idx="141">
                        <c:v>163523.29256339875</c:v>
                      </c:pt>
                      <c:pt idx="142">
                        <c:v>166002.279376349</c:v>
                      </c:pt>
                      <c:pt idx="143">
                        <c:v>168422.5033344776</c:v>
                      </c:pt>
                      <c:pt idx="144">
                        <c:v>170783.06890099368</c:v>
                      </c:pt>
                      <c:pt idx="145">
                        <c:v>173083.27450841019</c:v>
                      </c:pt>
                      <c:pt idx="146">
                        <c:v>175322.60574513464</c:v>
                      </c:pt>
                      <c:pt idx="147">
                        <c:v>177500.72770728546</c:v>
                      </c:pt>
                      <c:pt idx="148">
                        <c:v>179617.47664797195</c:v>
                      </c:pt>
                      <c:pt idx="149">
                        <c:v>181672.85105381161</c:v>
                      </c:pt>
                      <c:pt idx="150">
                        <c:v>183667.00227419249</c:v>
                      </c:pt>
                      <c:pt idx="151">
                        <c:v>185600.22482299976</c:v>
                      </c:pt>
                      <c:pt idx="152">
                        <c:v>187472.94646548858</c:v>
                      </c:pt>
                      <c:pt idx="153">
                        <c:v>189285.71819497528</c:v>
                      </c:pt>
                      <c:pt idx="154">
                        <c:v>191039.20419529959</c:v>
                      </c:pt>
                      <c:pt idx="155">
                        <c:v>192734.17187581951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removals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Cumul_removed_bSIR!$AC$47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Cumul_removed_bSIR!$AD$47</c:f>
              <c:numCache>
                <c:formatCode>00,000</c:formatCode>
                <c:ptCount val="1"/>
                <c:pt idx="0">
                  <c:v>0.99978205079122007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Cumul_removed_bSIR!$AC$49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Cumul_removed_bSIR!$AD$49</c:f>
              <c:numCache>
                <c:formatCode>0</c:formatCode>
                <c:ptCount val="1"/>
                <c:pt idx="0">
                  <c:v>2755.5118431441947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Cumul_removed_bSIR!$AC$41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Cumul_removed_bSIR!$AD$41</c:f>
              <c:numCache>
                <c:formatCode>0</c:formatCode>
                <c:ptCount val="1"/>
                <c:pt idx="0">
                  <c:v>235000.00152445532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Cumul_removed_bSIR!$AC$14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Cumul_removed_bSIR!$AD$14</c:f>
              <c:numCache>
                <c:formatCode>00,000</c:formatCode>
                <c:ptCount val="1"/>
                <c:pt idx="0">
                  <c:v>0.99977253337692196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Cumul_removed_bSIR!$AC$16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Cumul_removed_bSIR!$AD$16</c:f>
              <c:numCache>
                <c:formatCode>0</c:formatCode>
                <c:ptCount val="1"/>
                <c:pt idx="0">
                  <c:v>2757.9323654779196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Cumul_removed_bSIR!$AC$17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Cumul_removed_bSIR!$AD$17</c:f>
              <c:numCache>
                <c:formatCode>0</c:formatCode>
                <c:ptCount val="1"/>
                <c:pt idx="0">
                  <c:v>235000.00152475009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Cumul_removed_bSIR!$AC$25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Cumul_removed_bSIR!$AD$25</c:f>
              <c:numCache>
                <c:formatCode>00,000</c:formatCode>
                <c:ptCount val="1"/>
                <c:pt idx="0">
                  <c:v>0.99958621253771951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Cumul_removed_bSIR!$AC$27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Cumul_removed_bSIR!$AD$27</c:f>
              <c:numCache>
                <c:formatCode>0</c:formatCode>
                <c:ptCount val="1"/>
                <c:pt idx="0">
                  <c:v>169.91071626612398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Cumul_removed_bSIR!$AC$19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Cumul_removed_bSIR!$AD$19</c:f>
              <c:numCache>
                <c:formatCode>0</c:formatCode>
                <c:ptCount val="1"/>
                <c:pt idx="0">
                  <c:v>13155.884997422498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Cumul_removed_bSIR!$AC$36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Cumul_removed_bSIR!$AD$36</c:f>
              <c:numCache>
                <c:formatCode>0.0000</c:formatCode>
                <c:ptCount val="1"/>
                <c:pt idx="0">
                  <c:v>0.9997509464402643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Cumul_removed_bSIR!$AC$38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Cumul_removed_bSIR!$AD$38</c:f>
              <c:numCache>
                <c:formatCode>0</c:formatCode>
                <c:ptCount val="1"/>
                <c:pt idx="0">
                  <c:v>2813.9722047844634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Cumul_removed_bSIR!$AC$30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Cumul_removed_bSIR!$AD$30</c:f>
              <c:numCache>
                <c:formatCode>0</c:formatCode>
                <c:ptCount val="1"/>
                <c:pt idx="0">
                  <c:v>221844.1165273276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and deaths)</a:t>
            </a:r>
            <a:endParaRPr lang="it-IT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Removals - basic SIR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Cumul_removed_bSIR!$J$7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Cumul_removed_bSIR!$J$62:$J$184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1.6057002050906479E-3</c:v>
                </c:pt>
                <c:pt idx="15">
                  <c:v>4.8016819328869339E-3</c:v>
                </c:pt>
                <c:pt idx="16">
                  <c:v>8.1412630729892198E-3</c:v>
                </c:pt>
                <c:pt idx="17">
                  <c:v>1.1629789324244598E-2</c:v>
                </c:pt>
                <c:pt idx="18">
                  <c:v>1.5272696737239695E-2</c:v>
                </c:pt>
                <c:pt idx="19">
                  <c:v>1.9075501672308377E-2</c:v>
                </c:pt>
                <c:pt idx="20">
                  <c:v>2.3043789354715159E-2</c:v>
                </c:pt>
                <c:pt idx="21">
                  <c:v>2.7183200943045136E-2</c:v>
                </c:pt>
                <c:pt idx="22">
                  <c:v>3.1499419029601128E-2</c:v>
                </c:pt>
                <c:pt idx="23">
                  <c:v>3.599815149578154E-2</c:v>
                </c:pt>
                <c:pt idx="24">
                  <c:v>4.0685113651185427E-2</c:v>
                </c:pt>
                <c:pt idx="25">
                  <c:v>4.5566008592712322E-2</c:v>
                </c:pt>
                <c:pt idx="26">
                  <c:v>5.0646505729396787E-2</c:v>
                </c:pt>
                <c:pt idx="27">
                  <c:v>5.5932217430280227E-2</c:v>
                </c:pt>
                <c:pt idx="28">
                  <c:v>6.1428673766446069E-2</c:v>
                </c:pt>
                <c:pt idx="29">
                  <c:v>6.7141295334565143E-2</c:v>
                </c:pt>
                <c:pt idx="30">
                  <c:v>7.3075364168014537E-2</c:v>
                </c:pt>
                <c:pt idx="31">
                  <c:v>7.9235992762939494E-2</c:v>
                </c:pt>
                <c:pt idx="32">
                  <c:v>8.5628091270546408E-2</c:v>
                </c:pt>
                <c:pt idx="33">
                  <c:v>9.2256332933444443E-2</c:v>
                </c:pt>
                <c:pt idx="34">
                  <c:v>9.9125117872910035E-2</c:v>
                </c:pt>
                <c:pt idx="35">
                  <c:v>0.10623853536539375</c:v>
                </c:pt>
                <c:pt idx="36">
                  <c:v>0.11360032478021199</c:v>
                </c:pt>
                <c:pt idx="37">
                  <c:v>0.12121383538583916</c:v>
                </c:pt>
                <c:pt idx="38">
                  <c:v>0.12908198526916748</c:v>
                </c:pt>
                <c:pt idx="39">
                  <c:v>0.13720721965000848</c:v>
                </c:pt>
                <c:pt idx="40">
                  <c:v>0.1455914689113931</c:v>
                </c:pt>
                <c:pt idx="41">
                  <c:v>0.15423610670417437</c:v>
                </c:pt>
                <c:pt idx="42">
                  <c:v>0.16314190852124988</c:v>
                </c:pt>
                <c:pt idx="43">
                  <c:v>0.17230901117152145</c:v>
                </c:pt>
                <c:pt idx="44">
                  <c:v>0.18173687361550606</c:v>
                </c:pt>
                <c:pt idx="45">
                  <c:v>0.19142423965230226</c:v>
                </c:pt>
                <c:pt idx="46">
                  <c:v>0.2013691029703005</c:v>
                </c:pt>
                <c:pt idx="47">
                  <c:v>0.21156867509053356</c:v>
                </c:pt>
                <c:pt idx="48">
                  <c:v>0.22201935674082729</c:v>
                </c:pt>
                <c:pt idx="49">
                  <c:v>0.232716713199906</c:v>
                </c:pt>
                <c:pt idx="50">
                  <c:v>0.24365545414241835</c:v>
                </c:pt>
                <c:pt idx="51">
                  <c:v>0.25482941849769564</c:v>
                </c:pt>
                <c:pt idx="52">
                  <c:v>0.26623156480630772</c:v>
                </c:pt>
                <c:pt idx="53">
                  <c:v>0.27785396751877489</c:v>
                </c:pt>
                <c:pt idx="54">
                  <c:v>0.28968781962996698</c:v>
                </c:pt>
                <c:pt idx="55">
                  <c:v>0.30172344198094919</c:v>
                </c:pt>
                <c:pt idx="56">
                  <c:v>0.3139502994877747</c:v>
                </c:pt>
                <c:pt idx="57">
                  <c:v>0.32635702447478204</c:v>
                </c:pt>
                <c:pt idx="58">
                  <c:v>0.33893144719947133</c:v>
                </c:pt>
                <c:pt idx="59">
                  <c:v>0.35166063355847499</c:v>
                </c:pt>
                <c:pt idx="60">
                  <c:v>0.36453092986127472</c:v>
                </c:pt>
                <c:pt idx="61">
                  <c:v>0.37752801445220147</c:v>
                </c:pt>
                <c:pt idx="62">
                  <c:v>0.3906369558541542</c:v>
                </c:pt>
                <c:pt idx="63">
                  <c:v>0.40384227700180964</c:v>
                </c:pt>
                <c:pt idx="64">
                  <c:v>0.41712802503039709</c:v>
                </c:pt>
                <c:pt idx="65">
                  <c:v>0.43047784599088063</c:v>
                </c:pt>
                <c:pt idx="66">
                  <c:v>0.44387506377609148</c:v>
                </c:pt>
                <c:pt idx="67">
                  <c:v>0.45730276246723883</c:v>
                </c:pt>
                <c:pt idx="68">
                  <c:v>0.47074387124833583</c:v>
                </c:pt>
                <c:pt idx="69">
                  <c:v>0.48418125098910336</c:v>
                </c:pt>
                <c:pt idx="70">
                  <c:v>0.49759778156616485</c:v>
                </c:pt>
                <c:pt idx="71">
                  <c:v>0.51097644897867778</c:v>
                </c:pt>
                <c:pt idx="72">
                  <c:v>0.52430043131835868</c:v>
                </c:pt>
                <c:pt idx="73">
                  <c:v>0.53755318267503194</c:v>
                </c:pt>
                <c:pt idx="74">
                  <c:v>0.5507185140967672</c:v>
                </c:pt>
                <c:pt idx="75">
                  <c:v>0.56378067077732785</c:v>
                </c:pt>
                <c:pt idx="76">
                  <c:v>0.57672440471151565</c:v>
                </c:pt>
                <c:pt idx="77">
                  <c:v>0.58953504213924957</c:v>
                </c:pt>
                <c:pt idx="78">
                  <c:v>0.60219854518968952</c:v>
                </c:pt>
                <c:pt idx="79">
                  <c:v>0.6147015672350663</c:v>
                </c:pt>
                <c:pt idx="80">
                  <c:v>0.62703150156761711</c:v>
                </c:pt>
                <c:pt idx="81">
                  <c:v>0.63917652311961504</c:v>
                </c:pt>
                <c:pt idx="82">
                  <c:v>0.65112562305345045</c:v>
                </c:pt>
                <c:pt idx="83">
                  <c:v>0.66286863615368274</c:v>
                </c:pt>
                <c:pt idx="84">
                  <c:v>0.67439626105378059</c:v>
                </c:pt>
                <c:pt idx="85">
                  <c:v>0.68570007342494332</c:v>
                </c:pt>
                <c:pt idx="86">
                  <c:v>0.69677253234133363</c:v>
                </c:pt>
                <c:pt idx="87">
                  <c:v>0.70760698011389422</c:v>
                </c:pt>
                <c:pt idx="88">
                  <c:v>0.71819763595270447</c:v>
                </c:pt>
                <c:pt idx="89">
                  <c:v>0.72853958387487805</c:v>
                </c:pt>
                <c:pt idx="90">
                  <c:v>0.73862875532099448</c:v>
                </c:pt>
                <c:pt idx="91">
                  <c:v>0.74846190697796666</c:v>
                </c:pt>
                <c:pt idx="92">
                  <c:v>0.758036594330321</c:v>
                </c:pt>
                <c:pt idx="93">
                  <c:v>0.76735114147560157</c:v>
                </c:pt>
                <c:pt idx="94">
                  <c:v>0.77640460774369602</c:v>
                </c:pt>
                <c:pt idx="95">
                  <c:v>0.78519675165517122</c:v>
                </c:pt>
                <c:pt idx="96">
                  <c:v>0.79372799274116546</c:v>
                </c:pt>
                <c:pt idx="97">
                  <c:v>0.80199937172805047</c:v>
                </c:pt>
                <c:pt idx="98">
                  <c:v>0.81001250956504245</c:v>
                </c:pt>
                <c:pt idx="99">
                  <c:v>0.81776956574328064</c:v>
                </c:pt>
                <c:pt idx="100">
                  <c:v>0.82527319632165697</c:v>
                </c:pt>
                <c:pt idx="101">
                  <c:v>0.83252651203889838</c:v>
                </c:pt>
                <c:pt idx="102">
                  <c:v>0.83953303685398861</c:v>
                </c:pt>
                <c:pt idx="103">
                  <c:v>0.84629666721883112</c:v>
                </c:pt>
                <c:pt idx="104">
                  <c:v>0.85282163234885311</c:v>
                </c:pt>
                <c:pt idx="105">
                  <c:v>0.85911245571970007</c:v>
                </c:pt>
                <c:pt idx="106">
                  <c:v>0.86517391798179288</c:v>
                </c:pt>
                <c:pt idx="107">
                  <c:v>0.87101102144982168</c:v>
                </c:pt>
                <c:pt idx="108">
                  <c:v>0.8766289562915317</c:v>
                </c:pt>
                <c:pt idx="109">
                  <c:v>0.88203306850973784</c:v>
                </c:pt>
                <c:pt idx="110">
                  <c:v>0.88722882978351991</c:v>
                </c:pt>
                <c:pt idx="111">
                  <c:v>0.89222180920917193</c:v>
                </c:pt>
                <c:pt idx="112">
                  <c:v>0.89701764695867536</c:v>
                </c:pt>
                <c:pt idx="113">
                  <c:v>0.90162202985331175</c:v>
                </c:pt>
                <c:pt idx="114">
                  <c:v>0.90604066883239975</c:v>
                </c:pt>
                <c:pt idx="115">
                  <c:v>0.91027927828198774</c:v>
                </c:pt>
                <c:pt idx="116">
                  <c:v>0.91434355717549964</c:v>
                </c:pt>
                <c:pt idx="117">
                  <c:v>0.91823917196771232</c:v>
                </c:pt>
                <c:pt idx="118">
                  <c:v>0.92197174117482705</c:v>
                </c:pt>
                <c:pt idx="119">
                  <c:v>0.9255468215666659</c:v>
                </c:pt>
                <c:pt idx="120">
                  <c:v>0.92896989589196821</c:v>
                </c:pt>
                <c:pt idx="121">
                  <c:v>0.9322463620542164</c:v>
                </c:pt>
                <c:pt idx="122">
                  <c:v>0.93538152365322347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Cumul_removed_bSIR!$Q$7</c:f>
              <c:strCache>
                <c:ptCount val="1"/>
                <c:pt idx="0">
                  <c:v>region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Cumul_removed_bSIR!$Q$62:$Q$184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2.6205465961816788E-3</c:v>
                </c:pt>
                <c:pt idx="23">
                  <c:v>6.8013852056202796E-3</c:v>
                </c:pt>
                <c:pt idx="24">
                  <c:v>1.1117020616866492E-2</c:v>
                </c:pt>
                <c:pt idx="25">
                  <c:v>1.5570404823551197E-2</c:v>
                </c:pt>
                <c:pt idx="26">
                  <c:v>2.0164450565565394E-2</c:v>
                </c:pt>
                <c:pt idx="27">
                  <c:v>2.4902021980888599E-2</c:v>
                </c:pt>
                <c:pt idx="28">
                  <c:v>2.978592474430276E-2</c:v>
                </c:pt>
                <c:pt idx="29">
                  <c:v>3.4818895699283724E-2</c:v>
                </c:pt>
                <c:pt idx="30">
                  <c:v>4.0003591993455191E-2</c:v>
                </c:pt>
                <c:pt idx="31">
                  <c:v>4.5342579732426162E-2</c:v>
                </c:pt>
                <c:pt idx="32">
                  <c:v>5.0838322171630423E-2</c:v>
                </c:pt>
                <c:pt idx="33">
                  <c:v>5.6493167470913729E-2</c:v>
                </c:pt>
                <c:pt idx="34">
                  <c:v>6.2309336042064033E-2</c:v>
                </c:pt>
                <c:pt idx="35">
                  <c:v>6.8288907525227746E-2</c:v>
                </c:pt>
                <c:pt idx="36">
                  <c:v>7.4433807436153382E-2</c:v>
                </c:pt>
                <c:pt idx="37">
                  <c:v>8.0745793532433482E-2</c:v>
                </c:pt>
                <c:pt idx="38">
                  <c:v>8.7226441953308184E-2</c:v>
                </c:pt>
                <c:pt idx="39">
                  <c:v>9.3877133194101334E-2</c:v>
                </c:pt>
                <c:pt idx="40">
                  <c:v>0.10069903798291174</c:v>
                </c:pt>
                <c:pt idx="41">
                  <c:v>0.10769310313370602</c:v>
                </c:pt>
                <c:pt idx="42">
                  <c:v>0.11486003745636261</c:v>
                </c:pt>
                <c:pt idx="43">
                  <c:v>0.1222002978104193</c:v>
                </c:pt>
                <c:pt idx="44">
                  <c:v>0.12971407539516258</c:v>
                </c:pt>
                <c:pt idx="45">
                  <c:v>0.13740128237417862</c:v>
                </c:pt>
                <c:pt idx="46">
                  <c:v>0.14526153893742685</c:v>
                </c:pt>
                <c:pt idx="47">
                  <c:v>0.15329416090821199</c:v>
                </c:pt>
                <c:pt idx="48">
                  <c:v>0.16149814800596565</c:v>
                </c:pt>
                <c:pt idx="49">
                  <c:v>0.16987217287841958</c:v>
                </c:pt>
                <c:pt idx="50">
                  <c:v>0.17841457101841818</c:v>
                </c:pt>
                <c:pt idx="51">
                  <c:v>0.18712333168118342</c:v>
                </c:pt>
                <c:pt idx="52">
                  <c:v>0.19599608991719136</c:v>
                </c:pt>
                <c:pt idx="53">
                  <c:v>0.20503011983387595</c:v>
                </c:pt>
                <c:pt idx="54">
                  <c:v>0.21422232919602882</c:v>
                </c:pt>
                <c:pt idx="55">
                  <c:v>0.22356925546998838</c:v>
                </c:pt>
                <c:pt idx="56">
                  <c:v>0.23306706341042857</c:v>
                </c:pt>
                <c:pt idx="57">
                  <c:v>0.24271154428076697</c:v>
                </c:pt>
                <c:pt idx="58">
                  <c:v>0.25249811678890399</c:v>
                </c:pt>
                <c:pt idx="59">
                  <c:v>0.2624218298092087</c:v>
                </c:pt>
                <c:pt idx="60">
                  <c:v>0.2724773669494413</c:v>
                </c:pt>
                <c:pt idx="61">
                  <c:v>0.2826590530077272</c:v>
                </c:pt>
                <c:pt idx="62">
                  <c:v>0.29296086234988894</c:v>
                </c:pt>
                <c:pt idx="63">
                  <c:v>0.30337642922154184</c:v>
                </c:pt>
                <c:pt idx="64">
                  <c:v>0.31389905999253925</c:v>
                </c:pt>
                <c:pt idx="65">
                  <c:v>0.32452174731380967</c:v>
                </c:pt>
                <c:pt idx="66">
                  <c:v>0.33523718614857789</c:v>
                </c:pt>
                <c:pt idx="67">
                  <c:v>0.34603779162165726</c:v>
                </c:pt>
                <c:pt idx="68">
                  <c:v>0.35691571861218385</c:v>
                </c:pt>
                <c:pt idx="69">
                  <c:v>0.36786288299711228</c:v>
                </c:pt>
                <c:pt idx="70">
                  <c:v>0.37887098443528883</c:v>
                </c:pt>
                <c:pt idx="71">
                  <c:v>0.38993153056521213</c:v>
                </c:pt>
                <c:pt idx="72">
                  <c:v>0.40103586247399098</c:v>
                </c:pt>
                <c:pt idx="73">
                  <c:v>0.41217518128073344</c:v>
                </c:pt>
                <c:pt idx="74">
                  <c:v>0.42334057566492828</c:v>
                </c:pt>
                <c:pt idx="75">
                  <c:v>0.43452305015949266</c:v>
                </c:pt>
                <c:pt idx="76">
                  <c:v>0.44571355401928503</c:v>
                </c:pt>
                <c:pt idx="77">
                  <c:v>0.45690301046914161</c:v>
                </c:pt>
                <c:pt idx="78">
                  <c:v>0.46808234613103644</c:v>
                </c:pt>
                <c:pt idx="79">
                  <c:v>0.47924252042784848</c:v>
                </c:pt>
                <c:pt idx="80">
                  <c:v>0.49037455476149888</c:v>
                </c:pt>
                <c:pt idx="81">
                  <c:v>0.50146956126588094</c:v>
                </c:pt>
                <c:pt idx="82">
                  <c:v>0.51251877093999554</c:v>
                </c:pt>
                <c:pt idx="83">
                  <c:v>0.52351356097395618</c:v>
                </c:pt>
                <c:pt idx="84">
                  <c:v>0.534445481089876</c:v>
                </c:pt>
                <c:pt idx="85">
                  <c:v>0.54530627873097093</c:v>
                </c:pt>
                <c:pt idx="86">
                  <c:v>0.55608792294527398</c:v>
                </c:pt>
                <c:pt idx="87">
                  <c:v>0.56678262682495695</c:v>
                </c:pt>
                <c:pt idx="88">
                  <c:v>0.57738286837814268</c:v>
                </c:pt>
                <c:pt idx="89">
                  <c:v>0.58788140972699177</c:v>
                </c:pt>
                <c:pt idx="90">
                  <c:v>0.59827131454351845</c:v>
                </c:pt>
                <c:pt idx="91">
                  <c:v>0.6085459636527113</c:v>
                </c:pt>
                <c:pt idx="92">
                  <c:v>0.6186990687508841</c:v>
                </c:pt>
                <c:pt idx="93">
                  <c:v>0.6287246842054427</c:v>
                </c:pt>
                <c:pt idx="94">
                  <c:v>0.63861721692021067</c:v>
                </c:pt>
                <c:pt idx="95">
                  <c:v>0.6483714342678556</c:v>
                </c:pt>
                <c:pt idx="96">
                  <c:v>0.65798247010757105</c:v>
                </c:pt>
                <c:pt idx="97">
                  <c:v>0.66744582892184767</c:v>
                </c:pt>
                <c:pt idx="98">
                  <c:v>0.67675738812068842</c:v>
                </c:pt>
                <c:pt idx="99">
                  <c:v>0.68591339857490474</c:v>
                </c:pt>
                <c:pt idx="100">
                  <c:v>0.69491048345202711</c:v>
                </c:pt>
                <c:pt idx="101">
                  <c:v>0.70374563543882529</c:v>
                </c:pt>
                <c:pt idx="102">
                  <c:v>0.71241621244338782</c:v>
                </c:pt>
                <c:pt idx="103">
                  <c:v>0.72091993187715542</c:v>
                </c:pt>
                <c:pt idx="104">
                  <c:v>0.72925486362323433</c:v>
                </c:pt>
                <c:pt idx="105">
                  <c:v>0.73741942180175912</c:v>
                </c:pt>
                <c:pt idx="106">
                  <c:v>0.74541235544608331</c:v>
                </c:pt>
                <c:pt idx="107">
                  <c:v>0.75323273820522874</c:v>
                </c:pt>
                <c:pt idx="108">
                  <c:v>0.76087995718837265</c:v>
                </c:pt>
                <c:pt idx="109">
                  <c:v>0.76835370106633405</c:v>
                </c:pt>
                <c:pt idx="110">
                  <c:v>0.77565394754310857</c:v>
                </c:pt>
                <c:pt idx="111">
                  <c:v>0.78278095030762129</c:v>
                </c:pt>
                <c:pt idx="112">
                  <c:v>0.78973522557214082</c:v>
                </c:pt>
                <c:pt idx="113">
                  <c:v>0.79651753829932803</c:v>
                </c:pt>
                <c:pt idx="114">
                  <c:v>0.8031288882148182</c:v>
                </c:pt>
                <c:pt idx="115">
                  <c:v>0.80957049569665007</c:v>
                </c:pt>
                <c:pt idx="116">
                  <c:v>0.8158437876268847</c:v>
                </c:pt>
                <c:pt idx="117">
                  <c:v>0.82195038328450354</c:v>
                </c:pt>
                <c:pt idx="118">
                  <c:v>0.82789208035223383</c:v>
                </c:pt>
                <c:pt idx="119">
                  <c:v>0.83367084110340994</c:v>
                </c:pt>
                <c:pt idx="120">
                  <c:v>0.83928877882843766</c:v>
                </c:pt>
                <c:pt idx="121">
                  <c:v>0.84474814455393454</c:v>
                </c:pt>
                <c:pt idx="122">
                  <c:v>0.85005131410126289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Cumul_removed_bSIR!$X$7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3.4740809525150461E-4</c:v>
                </c:pt>
                <c:pt idx="14">
                  <c:v>3.3808821095098781E-3</c:v>
                </c:pt>
                <c:pt idx="15">
                  <c:v>6.5542499414158201E-3</c:v>
                </c:pt>
                <c:pt idx="16">
                  <c:v>9.8729439059267159E-3</c:v>
                </c:pt>
                <c:pt idx="17">
                  <c:v>1.3342505044554216E-2</c:v>
                </c:pt>
                <c:pt idx="18">
                  <c:v>1.6968574299304311E-2</c:v>
                </c:pt>
                <c:pt idx="19">
                  <c:v>2.0756882283929936E-2</c:v>
                </c:pt>
                <c:pt idx="20">
                  <c:v>2.471323755711945E-2</c:v>
                </c:pt>
                <c:pt idx="21">
                  <c:v>2.884351330344986E-2</c:v>
                </c:pt>
                <c:pt idx="22">
                  <c:v>3.3153632330486356E-2</c:v>
                </c:pt>
                <c:pt idx="23">
                  <c:v>3.764955029451969E-2</c:v>
                </c:pt>
                <c:pt idx="24">
                  <c:v>4.233723707328535E-2</c:v>
                </c:pt>
                <c:pt idx="25">
                  <c:v>4.7222656211811161E-2</c:v>
                </c:pt>
                <c:pt idx="26">
                  <c:v>5.2311742377508887E-2</c:v>
                </c:pt>
                <c:pt idx="27">
                  <c:v>5.7610376772930745E-2</c:v>
                </c:pt>
                <c:pt idx="28">
                  <c:v>6.3124360469468538E-2</c:v>
                </c:pt>
                <c:pt idx="29">
                  <c:v>6.8859385642823817E-2</c:v>
                </c:pt>
                <c:pt idx="30">
                  <c:v>7.482100471147439E-2</c:v>
                </c:pt>
                <c:pt idx="31">
                  <c:v>8.1014597402698271E-2</c:v>
                </c:pt>
                <c:pt idx="32">
                  <c:v>8.7445335797052298E-2</c:v>
                </c:pt>
                <c:pt idx="33">
                  <c:v>9.4118147431538207E-2</c:v>
                </c:pt>
                <c:pt idx="34">
                  <c:v>0.10103767657394296</c:v>
                </c:pt>
                <c:pt idx="35">
                  <c:v>0.10820824381588047</c:v>
                </c:pt>
                <c:pt idx="36">
                  <c:v>0.11563380416963762</c:v>
                </c:pt>
                <c:pt idx="37">
                  <c:v>0.12331790389369857</c:v>
                </c:pt>
                <c:pt idx="38">
                  <c:v>0.13126363631335211</c:v>
                </c:pt>
                <c:pt idx="39">
                  <c:v>0.13947359694549449</c:v>
                </c:pt>
                <c:pt idx="40">
                  <c:v>0.14794983827996153</c:v>
                </c:pt>
                <c:pt idx="41">
                  <c:v>0.15669382461263626</c:v>
                </c:pt>
                <c:pt idx="42">
                  <c:v>0.1657063873672722</c:v>
                </c:pt>
                <c:pt idx="43">
                  <c:v>0.17498768138242238</c:v>
                </c:pt>
                <c:pt idx="44">
                  <c:v>0.18453714267592389</c:v>
                </c:pt>
                <c:pt idx="45">
                  <c:v>0.19435344823089015</c:v>
                </c:pt>
                <c:pt idx="46">
                  <c:v>0.20443447837283205</c:v>
                </c:pt>
                <c:pt idx="47">
                  <c:v>0.21477728232611831</c:v>
                </c:pt>
                <c:pt idx="48">
                  <c:v>0.22537804754823687</c:v>
                </c:pt>
                <c:pt idx="49">
                  <c:v>0.23623207344106642</c:v>
                </c:pt>
                <c:pt idx="50">
                  <c:v>0.24733375002853139</c:v>
                </c:pt>
                <c:pt idx="51">
                  <c:v>0.25867654216869568</c:v>
                </c:pt>
                <c:pt idx="52">
                  <c:v>0.27025297983484775</c:v>
                </c:pt>
                <c:pt idx="53">
                  <c:v>0.28205465495402277</c:v>
                </c:pt>
                <c:pt idx="54">
                  <c:v>0.29407222523255794</c:v>
                </c:pt>
                <c:pt idx="55">
                  <c:v>0.30629542532691584</c:v>
                </c:pt>
                <c:pt idx="56">
                  <c:v>0.31871308563473399</c:v>
                </c:pt>
                <c:pt idx="57">
                  <c:v>0.33131315888685259</c:v>
                </c:pt>
                <c:pt idx="58">
                  <c:v>0.34408275461734084</c:v>
                </c:pt>
                <c:pt idx="59">
                  <c:v>0.35700818147704183</c:v>
                </c:pt>
                <c:pt idx="60">
                  <c:v>0.37007499723903831</c:v>
                </c:pt>
                <c:pt idx="61">
                  <c:v>0.38326806622413806</c:v>
                </c:pt>
                <c:pt idx="62">
                  <c:v>0.39657162375368449</c:v>
                </c:pt>
                <c:pt idx="63">
                  <c:v>0.40996934711857319</c:v>
                </c:pt>
                <c:pt idx="64">
                  <c:v>0.42344443244024266</c:v>
                </c:pt>
                <c:pt idx="65">
                  <c:v>0.43697967669452736</c:v>
                </c:pt>
                <c:pt idx="66">
                  <c:v>0.45055756407540243</c:v>
                </c:pt>
                <c:pt idx="67">
                  <c:v>0.4641603557954061</c:v>
                </c:pt>
                <c:pt idx="68">
                  <c:v>0.47777018235510277</c:v>
                </c:pt>
                <c:pt idx="69">
                  <c:v>0.49136913726723508</c:v>
                </c:pt>
                <c:pt idx="70">
                  <c:v>0.50493937119348686</c:v>
                </c:pt>
                <c:pt idx="71">
                  <c:v>0.51846318544391046</c:v>
                </c:pt>
                <c:pt idx="72">
                  <c:v>0.53192312380123274</c:v>
                </c:pt>
                <c:pt idx="73">
                  <c:v>0.5453020616641352</c:v>
                </c:pt>
                <c:pt idx="74">
                  <c:v>0.55858329155425301</c:v>
                </c:pt>
                <c:pt idx="75">
                  <c:v>0.57175060409961098</c:v>
                </c:pt>
                <c:pt idx="76">
                  <c:v>0.58478836369058729</c:v>
                </c:pt>
                <c:pt idx="77">
                  <c:v>0.59768157810093692</c:v>
                </c:pt>
                <c:pt idx="78">
                  <c:v>0.61041596147329535</c:v>
                </c:pt>
                <c:pt idx="79">
                  <c:v>0.62297799018308386</c:v>
                </c:pt>
                <c:pt idx="80">
                  <c:v>0.6353549512139115</c:v>
                </c:pt>
                <c:pt idx="81">
                  <c:v>0.64753498279850119</c:v>
                </c:pt>
                <c:pt idx="82">
                  <c:v>0.65950710719899752</c:v>
                </c:pt>
                <c:pt idx="83">
                  <c:v>0.67126125561663497</c:v>
                </c:pt>
                <c:pt idx="84">
                  <c:v>0.68278828533073643</c:v>
                </c:pt>
                <c:pt idx="85">
                  <c:v>0.69407998926884862</c:v>
                </c:pt>
                <c:pt idx="86">
                  <c:v>0.7051290983017815</c:v>
                </c:pt>
                <c:pt idx="87">
                  <c:v>0.71592927663811134</c:v>
                </c:pt>
                <c:pt idx="88">
                  <c:v>0.72647511076143112</c:v>
                </c:pt>
                <c:pt idx="89">
                  <c:v>0.73676209240974244</c:v>
                </c:pt>
                <c:pt idx="90">
                  <c:v>0.74678659613978282</c:v>
                </c:pt>
                <c:pt idx="91">
                  <c:v>0.75654585204991365</c:v>
                </c:pt>
                <c:pt idx="92">
                  <c:v>0.76603791425399181</c:v>
                </c:pt>
                <c:pt idx="93">
                  <c:v>0.77526162570612855</c:v>
                </c:pt>
                <c:pt idx="94">
                  <c:v>0.78421657997336525</c:v>
                </c:pt>
                <c:pt idx="95">
                  <c:v>0.79290308054114922</c:v>
                </c:pt>
                <c:pt idx="96">
                  <c:v>0.80132209821628064</c:v>
                </c:pt>
                <c:pt idx="97">
                  <c:v>0.80947522716497877</c:v>
                </c:pt>
                <c:pt idx="98">
                  <c:v>0.81736464009113408</c:v>
                </c:pt>
                <c:pt idx="99">
                  <c:v>0.82499304302291676</c:v>
                </c:pt>
                <c:pt idx="100">
                  <c:v>0.8323636301359062</c:v>
                </c:pt>
                <c:pt idx="101">
                  <c:v>0.83948003899884927</c:v>
                </c:pt>
                <c:pt idx="102">
                  <c:v>0.84634630658512267</c:v>
                </c:pt>
                <c:pt idx="103">
                  <c:v>0.85296682634978016</c:v>
                </c:pt>
                <c:pt idx="104">
                  <c:v>0.85934630662957179</c:v>
                </c:pt>
                <c:pt idx="105">
                  <c:v>0.8654897305821182</c:v>
                </c:pt>
                <c:pt idx="106">
                  <c:v>0.87140231784108713</c:v>
                </c:pt>
                <c:pt idx="107">
                  <c:v>0.87708948802716813</c:v>
                </c:pt>
                <c:pt idx="108">
                  <c:v>0.88255682622017673</c:v>
                </c:pt>
                <c:pt idx="109">
                  <c:v>0.88781005046598349</c:v>
                </c:pt>
                <c:pt idx="110">
                  <c:v>0.89285498136326213</c:v>
                </c:pt>
                <c:pt idx="111">
                  <c:v>0.8976975137493729</c:v>
                </c:pt>
                <c:pt idx="112">
                  <c:v>0.90234359048197799</c:v>
                </c:pt>
                <c:pt idx="113">
                  <c:v>0.90679917829323187</c:v>
                </c:pt>
                <c:pt idx="114">
                  <c:v>0.91107024567640726</c:v>
                </c:pt>
                <c:pt idx="115">
                  <c:v>0.91516274275053933</c:v>
                </c:pt>
                <c:pt idx="116">
                  <c:v>0.91908258303687151</c:v>
                </c:pt>
                <c:pt idx="117">
                  <c:v>0.92283562707140387</c:v>
                </c:pt>
                <c:pt idx="118">
                  <c:v>0.9264276677704758</c:v>
                </c:pt>
                <c:pt idx="119">
                  <c:v>0.92986441746085202</c:v>
                </c:pt>
                <c:pt idx="120">
                  <c:v>0.93315149648202522</c:v>
                </c:pt>
                <c:pt idx="121">
                  <c:v>0.93629442326619572</c:v>
                </c:pt>
                <c:pt idx="122">
                  <c:v>0.93929860580045321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Cumul_removed_bSIR!$B$6</c:f>
              <c:strCache>
                <c:ptCount val="1"/>
                <c:pt idx="0">
                  <c:v>05/06/2020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(Cumul_removed_bSIR!$C$6,Cumul_removed_bSIR!$C$6)</c:f>
              <c:numCache>
                <c:formatCode>General</c:formatCode>
                <c:ptCount val="2"/>
                <c:pt idx="0">
                  <c:v>157</c:v>
                </c:pt>
                <c:pt idx="1">
                  <c:v>157</c:v>
                </c:pt>
              </c:numCache>
            </c:numRef>
          </c:xVal>
          <c:yVal>
            <c:numRef>
              <c:f>(Cumul_removed_bSIR!$F$6,Cumul_removed_bSIR!$G$6)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Cumul_removed_bSIR!$G$7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3.2795932538491791E-4</c:v>
                      </c:pt>
                      <c:pt idx="68">
                        <c:v>3.1916119140461955E-3</c:v>
                      </c:pt>
                      <c:pt idx="69">
                        <c:v>6.1873267162491676E-3</c:v>
                      </c:pt>
                      <c:pt idx="70">
                        <c:v>9.3202319324389403E-3</c:v>
                      </c:pt>
                      <c:pt idx="71">
                        <c:v>1.2595558402831757E-2</c:v>
                      </c:pt>
                      <c:pt idx="72">
                        <c:v>1.6018631275459883E-2</c:v>
                      </c:pt>
                      <c:pt idx="73">
                        <c:v>1.9594860350054935E-2</c:v>
                      </c:pt>
                      <c:pt idx="74">
                        <c:v>2.3329729007732468E-2</c:v>
                      </c:pt>
                      <c:pt idx="75">
                        <c:v>2.7228781637578584E-2</c:v>
                      </c:pt>
                      <c:pt idx="76">
                        <c:v>3.1444314194611162E-2</c:v>
                      </c:pt>
                      <c:pt idx="77">
                        <c:v>3.5922593232145708E-2</c:v>
                      </c:pt>
                      <c:pt idx="78">
                        <c:v>4.0589451649326425E-2</c:v>
                      </c:pt>
                      <c:pt idx="79">
                        <c:v>4.545068439703822E-2</c:v>
                      </c:pt>
                      <c:pt idx="80">
                        <c:v>5.0512056967668723E-2</c:v>
                      </c:pt>
                      <c:pt idx="81">
                        <c:v>5.5779281660985905E-2</c:v>
                      </c:pt>
                      <c:pt idx="82">
                        <c:v>6.1257991858623871E-2</c:v>
                      </c:pt>
                      <c:pt idx="83">
                        <c:v>6.695371428943038E-2</c:v>
                      </c:pt>
                      <c:pt idx="84">
                        <c:v>7.287183928741453E-2</c:v>
                      </c:pt>
                      <c:pt idx="85">
                        <c:v>7.9017589066310248E-2</c:v>
                      </c:pt>
                      <c:pt idx="86">
                        <c:v>8.5395984059901758E-2</c:v>
                      </c:pt>
                      <c:pt idx="87">
                        <c:v>9.2011807405237525E-2</c:v>
                      </c:pt>
                      <c:pt idx="88">
                        <c:v>9.8869567676612785E-2</c:v>
                      </c:pt>
                      <c:pt idx="89">
                        <c:v>0.10597346001160057</c:v>
                      </c:pt>
                      <c:pt idx="90">
                        <c:v>0.11332732580622018</c:v>
                      </c:pt>
                      <c:pt idx="91">
                        <c:v>0.12093461119422429</c:v>
                      </c:pt>
                      <c:pt idx="92">
                        <c:v>0.12879832456505044</c:v>
                      </c:pt>
                      <c:pt idx="93">
                        <c:v>0.13692099341566305</c:v>
                      </c:pt>
                      <c:pt idx="94">
                        <c:v>0.14530462087268126</c:v>
                      </c:pt>
                      <c:pt idx="95">
                        <c:v>0.15395064226206237</c:v>
                      </c:pt>
                      <c:pt idx="96">
                        <c:v>0.16285988214332997</c:v>
                      </c:pt>
                      <c:pt idx="97">
                        <c:v>0.17203251226292363</c:v>
                      </c:pt>
                      <c:pt idx="98">
                        <c:v>0.18146801091561757</c:v>
                      </c:pt>
                      <c:pt idx="99">
                        <c:v>0.19116512423300239</c:v>
                      </c:pt>
                      <c:pt idx="100">
                        <c:v>0.2011218299425313</c:v>
                      </c:pt>
                      <c:pt idx="101">
                        <c:v>0.21133530415842305</c:v>
                      </c:pt>
                      <c:pt idx="102">
                        <c:v>0.2218018917755889</c:v>
                      </c:pt>
                      <c:pt idx="103">
                        <c:v>0.23251708103860624</c:v>
                      </c:pt>
                      <c:pt idx="104">
                        <c:v>0.24347548284856999</c:v>
                      </c:pt>
                      <c:pt idx="105">
                        <c:v>0.25467081535055802</c:v>
                      </c:pt>
                      <c:pt idx="106">
                        <c:v>0.26609589431278635</c:v>
                      </c:pt>
                      <c:pt idx="107">
                        <c:v>0.27774262976489161</c:v>
                      </c:pt>
                      <c:pt idx="108">
                        <c:v>0.28960202930703965</c:v>
                      </c:pt>
                      <c:pt idx="109">
                        <c:v>0.30166420843392211</c:v>
                      </c:pt>
                      <c:pt idx="110">
                        <c:v>0.31391840813873839</c:v>
                      </c:pt>
                      <c:pt idx="111">
                        <c:v>0.32635301997289246</c:v>
                      </c:pt>
                      <c:pt idx="112">
                        <c:v>0.33895561863868595</c:v>
                      </c:pt>
                      <c:pt idx="113">
                        <c:v>0.3517130020864293</c:v>
                      </c:pt>
                      <c:pt idx="114">
                        <c:v>0.36461123897614456</c:v>
                      </c:pt>
                      <c:pt idx="115">
                        <c:v>0.37763572324970685</c:v>
                      </c:pt>
                      <c:pt idx="116">
                        <c:v>0.39077123544440973</c:v>
                      </c:pt>
                      <c:pt idx="117">
                        <c:v>0.40400201026625687</c:v>
                      </c:pt>
                      <c:pt idx="118">
                        <c:v>0.4173118098335572</c:v>
                      </c:pt>
                      <c:pt idx="119">
                        <c:v>0.43068400190141398</c:v>
                      </c:pt>
                      <c:pt idx="120">
                        <c:v>0.44410164228807936</c:v>
                      </c:pt>
                      <c:pt idx="121">
                        <c:v>0.45754756064737362</c:v>
                      </c:pt>
                      <c:pt idx="122">
                        <c:v>0.47100444866952429</c:v>
                      </c:pt>
                      <c:pt idx="123">
                        <c:v>0.48445494974767023</c:v>
                      </c:pt>
                      <c:pt idx="124">
                        <c:v>0.49788174912012384</c:v>
                      </c:pt>
                      <c:pt idx="125">
                        <c:v>0.51126766349011832</c:v>
                      </c:pt>
                      <c:pt idx="126">
                        <c:v>0.52459572913537611</c:v>
                      </c:pt>
                      <c:pt idx="127">
                        <c:v>0.53784928754913075</c:v>
                      </c:pt>
                      <c:pt idx="128">
                        <c:v>0.55101206770133881</c:v>
                      </c:pt>
                      <c:pt idx="129">
                        <c:v>0.56406826407237631</c:v>
                      </c:pt>
                      <c:pt idx="130">
                        <c:v>0.57700260968972461</c:v>
                      </c:pt>
                      <c:pt idx="131">
                        <c:v>0.58980044348881355</c:v>
                      </c:pt>
                      <c:pt idx="132">
                        <c:v>0.60244777141984596</c:v>
                      </c:pt>
                      <c:pt idx="133">
                        <c:v>0.61493132083039781</c:v>
                      </c:pt>
                      <c:pt idx="134">
                        <c:v>0.62723858776611052</c:v>
                      </c:pt>
                      <c:pt idx="135">
                        <c:v>0.63935787694609636</c:v>
                      </c:pt>
                      <c:pt idx="136">
                        <c:v>0.65127833428308668</c:v>
                      </c:pt>
                      <c:pt idx="137">
                        <c:v>0.66298997192837228</c:v>
                      </c:pt>
                      <c:pt idx="138">
                        <c:v>0.6744836859259471</c:v>
                      </c:pt>
                      <c:pt idx="139">
                        <c:v>0.6857512666570319</c:v>
                      </c:pt>
                      <c:pt idx="140">
                        <c:v>0.69678540234370134</c:v>
                      </c:pt>
                      <c:pt idx="141">
                        <c:v>0.70757967595742344</c:v>
                      </c:pt>
                      <c:pt idx="142">
                        <c:v>0.71812855594408664</c:v>
                      </c:pt>
                      <c:pt idx="143">
                        <c:v>0.72842738123100348</c:v>
                      </c:pt>
                      <c:pt idx="144">
                        <c:v>0.73847234102334403</c:v>
                      </c:pt>
                      <c:pt idx="145">
                        <c:v>0.74826044992756569</c:v>
                      </c:pt>
                      <c:pt idx="146">
                        <c:v>0.7577895189581827</c:v>
                      </c:pt>
                      <c:pt idx="147">
                        <c:v>0.76705812299230403</c:v>
                      </c:pt>
                      <c:pt idx="148">
                        <c:v>0.77606556523465464</c:v>
                      </c:pt>
                      <c:pt idx="149">
                        <c:v>0.78481183924530906</c:v>
                      </c:pt>
                      <c:pt idx="150">
                        <c:v>0.79329758906421211</c:v>
                      </c:pt>
                      <c:pt idx="151">
                        <c:v>0.8015240679419311</c:v>
                      </c:pt>
                      <c:pt idx="152">
                        <c:v>0.80949309615613552</c:v>
                      </c:pt>
                      <c:pt idx="153">
                        <c:v>0.81720701835922016</c:v>
                      </c:pt>
                      <c:pt idx="154">
                        <c:v>0.82466866086537838</c:v>
                      </c:pt>
                      <c:pt idx="155">
                        <c:v>0.83188128924632498</c:v>
                      </c:pt>
                      <c:pt idx="156">
                        <c:v>0.83884856656473772</c:v>
                      </c:pt>
                      <c:pt idx="157">
                        <c:v>0.84557451253413252</c:v>
                      </c:pt>
                      <c:pt idx="158">
                        <c:v>0.85206346385410114</c:v>
                      </c:pt>
                      <c:pt idx="159">
                        <c:v>0.85832003593119566</c:v>
                      </c:pt>
                      <c:pt idx="160">
                        <c:v>0.86434908615877293</c:v>
                      </c:pt>
                      <c:pt idx="161">
                        <c:v>0.87015567889423351</c:v>
                      </c:pt>
                      <c:pt idx="162">
                        <c:v>0.87574505223957</c:v>
                      </c:pt>
                      <c:pt idx="163">
                        <c:v>0.88112258670123045</c:v>
                      </c:pt>
                      <c:pt idx="164">
                        <c:v>0.88629377577810153</c:v>
                      </c:pt>
                      <c:pt idx="165">
                        <c:v>0.89126419850201344</c:v>
                      </c:pt>
                      <c:pt idx="166">
                        <c:v>0.89603949393351245</c:v>
                      </c:pt>
                      <c:pt idx="167">
                        <c:v>0.90062533759674956</c:v>
                      </c:pt>
                      <c:pt idx="168">
                        <c:v>0.90502741982101775</c:v>
                      </c:pt>
                      <c:pt idx="169">
                        <c:v>0.90925142594267927</c:v>
                      </c:pt>
                      <c:pt idx="170">
                        <c:v>0.91330301830974892</c:v>
                      </c:pt>
                      <c:pt idx="171">
                        <c:v>0.9171878200221022</c:v>
                      </c:pt>
                      <c:pt idx="172">
                        <c:v>0.92091140033295693</c:v>
                      </c:pt>
                      <c:pt idx="173">
                        <c:v>0.92447926163175298</c:v>
                      </c:pt>
                      <c:pt idx="174">
                        <c:v>0.92789682792464623</c:v>
                      </c:pt>
                      <c:pt idx="175">
                        <c:v>0.93116943472633973</c:v>
                      </c:pt>
                      <c:pt idx="176">
                        <c:v>0.9343023202757389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removals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and deaths)</a:t>
            </a:r>
            <a:endParaRPr lang="it-IT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44546A"/>
                </a:solidFill>
              </a:defRPr>
            </a:pPr>
            <a:r>
              <a:rPr lang="it-IT" sz="1800" b="1" i="0" baseline="0">
                <a:effectLst/>
              </a:rPr>
              <a:t>Cumulative Removals - basic SIR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5"/>
          <c:order val="6"/>
          <c:tx>
            <c:strRef>
              <c:f>Cumul_removed_bSIR!$P$7</c:f>
              <c:strCache>
                <c:ptCount val="1"/>
                <c:pt idx="0">
                  <c:v>region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Cumul_removed_bSIR!$P$62:$P$184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34.475609649753139</c:v>
                </c:pt>
                <c:pt idx="23">
                  <c:v>89.478241588311164</c:v>
                </c:pt>
                <c:pt idx="24">
                  <c:v>146.25424474947047</c:v>
                </c:pt>
                <c:pt idx="25">
                  <c:v>204.84245522195209</c:v>
                </c:pt>
                <c:pt idx="26">
                  <c:v>265.28119267678937</c:v>
                </c:pt>
                <c:pt idx="27">
                  <c:v>327.60813738385758</c:v>
                </c:pt>
                <c:pt idx="28">
                  <c:v>391.86020047792823</c:v>
                </c:pt>
                <c:pt idx="29">
                  <c:v>458.07338755702551</c:v>
                </c:pt>
                <c:pt idx="30">
                  <c:v>526.28265574970794</c:v>
                </c:pt>
                <c:pt idx="31">
                  <c:v>596.52176444625877</c:v>
                </c:pt>
                <c:pt idx="32">
                  <c:v>668.82311995188422</c:v>
                </c:pt>
                <c:pt idx="33">
                  <c:v>743.21761438747058</c:v>
                </c:pt>
                <c:pt idx="34">
                  <c:v>819.73445923514714</c:v>
                </c:pt>
                <c:pt idx="35">
                  <c:v>898.40101400151593</c:v>
                </c:pt>
                <c:pt idx="36">
                  <c:v>979.24261055032537</c:v>
                </c:pt>
                <c:pt idx="37">
                  <c:v>1062.2823737383162</c:v>
                </c:pt>
                <c:pt idx="38">
                  <c:v>1147.5410390720715</c:v>
                </c:pt>
                <c:pt idx="39">
                  <c:v>1235.0367681893113</c:v>
                </c:pt>
                <c:pt idx="40">
                  <c:v>1324.7849630542669</c:v>
                </c:pt>
                <c:pt idx="41">
                  <c:v>1416.7980798425967</c:v>
                </c:pt>
                <c:pt idx="42">
                  <c:v>1511.0854435755471</c:v>
                </c:pt>
                <c:pt idx="43">
                  <c:v>1607.6530646446565</c:v>
                </c:pt>
                <c:pt idx="44">
                  <c:v>1706.5034584457503</c:v>
                </c:pt>
                <c:pt idx="45">
                  <c:v>1807.6354694130687</c:v>
                </c:pt>
                <c:pt idx="46">
                  <c:v>1911.0441008093981</c:v>
                </c:pt>
                <c:pt idx="47">
                  <c:v>2016.7203516848165</c:v>
                </c:pt>
                <c:pt idx="48">
                  <c:v>2124.6510624632015</c:v>
                </c:pt>
                <c:pt idx="49">
                  <c:v>2234.8187706507611</c:v>
                </c:pt>
                <c:pt idx="50">
                  <c:v>2347.2015781827786</c:v>
                </c:pt>
                <c:pt idx="51">
                  <c:v>2461.773031932195</c:v>
                </c:pt>
                <c:pt idx="52">
                  <c:v>2578.5020188950489</c:v>
                </c:pt>
                <c:pt idx="53">
                  <c:v>2697.3526775422256</c:v>
                </c:pt>
                <c:pt idx="54">
                  <c:v>2818.2843267829389</c:v>
                </c:pt>
                <c:pt idx="55">
                  <c:v>2941.2514139225377</c:v>
                </c:pt>
                <c:pt idx="56">
                  <c:v>3066.203482914575</c:v>
                </c:pt>
                <c:pt idx="57">
                  <c:v>3193.0851641045883</c:v>
                </c:pt>
                <c:pt idx="58">
                  <c:v>3321.8361865405759</c:v>
                </c:pt>
                <c:pt idx="59">
                  <c:v>3452.3914137831289</c:v>
                </c:pt>
                <c:pt idx="60">
                  <c:v>3584.6809039873392</c:v>
                </c:pt>
                <c:pt idx="61">
                  <c:v>3718.6299948500086</c:v>
                </c:pt>
                <c:pt idx="62">
                  <c:v>3854.1594138208616</c:v>
                </c:pt>
                <c:pt idx="63">
                  <c:v>3991.1854137672908</c:v>
                </c:pt>
                <c:pt idx="64">
                  <c:v>4129.6199340608719</c:v>
                </c:pt>
                <c:pt idx="65">
                  <c:v>4269.3707868230831</c:v>
                </c:pt>
                <c:pt idx="66">
                  <c:v>4410.3418678302087</c:v>
                </c:pt>
                <c:pt idx="67">
                  <c:v>4552.4333913365735</c:v>
                </c:pt>
                <c:pt idx="68">
                  <c:v>4695.5421478342996</c:v>
                </c:pt>
                <c:pt idx="69">
                  <c:v>4839.5617835302974</c:v>
                </c:pt>
                <c:pt idx="70">
                  <c:v>4984.3831000909086</c:v>
                </c:pt>
                <c:pt idx="71">
                  <c:v>5129.8943729848661</c:v>
                </c:pt>
                <c:pt idx="72">
                  <c:v>5275.9816865499697</c:v>
                </c:pt>
                <c:pt idx="73">
                  <c:v>5422.5292837210991</c:v>
                </c:pt>
                <c:pt idx="74">
                  <c:v>5569.4199281904339</c:v>
                </c:pt>
                <c:pt idx="75">
                  <c:v>5716.5352766275328</c:v>
                </c:pt>
                <c:pt idx="76">
                  <c:v>5863.7562584701736</c:v>
                </c:pt>
                <c:pt idx="77">
                  <c:v>6010.9634607081543</c:v>
                </c:pt>
                <c:pt idx="78">
                  <c:v>6158.0375150236268</c:v>
                </c:pt>
                <c:pt idx="79">
                  <c:v>6304.8594846236765</c:v>
                </c:pt>
                <c:pt idx="80">
                  <c:v>6451.31124810454</c:v>
                </c:pt>
                <c:pt idx="81">
                  <c:v>6597.2758777218451</c:v>
                </c:pt>
                <c:pt idx="82">
                  <c:v>6742.6380095069053</c:v>
                </c:pt>
                <c:pt idx="83">
                  <c:v>6887.2842027644974</c:v>
                </c:pt>
                <c:pt idx="84">
                  <c:v>7031.1032866105488</c:v>
                </c:pt>
                <c:pt idx="85">
                  <c:v>7173.9866913570713</c:v>
                </c:pt>
                <c:pt idx="86">
                  <c:v>7315.8287627235677</c:v>
                </c:pt>
                <c:pt idx="87">
                  <c:v>7456.5270570461653</c:v>
                </c:pt>
                <c:pt idx="88">
                  <c:v>7595.9826158647757</c:v>
                </c:pt>
                <c:pt idx="89">
                  <c:v>7734.1002184909194</c:v>
                </c:pt>
                <c:pt idx="90">
                  <c:v>7870.78861139131</c:v>
                </c:pt>
                <c:pt idx="91">
                  <c:v>8005.9607134607213</c:v>
                </c:pt>
                <c:pt idx="92">
                  <c:v>8139.5337964990258</c:v>
                </c:pt>
                <c:pt idx="93">
                  <c:v>8271.4296404475808</c:v>
                </c:pt>
                <c:pt idx="94">
                  <c:v>8401.5746631763086</c:v>
                </c:pt>
                <c:pt idx="95">
                  <c:v>8529.9000248417888</c:v>
                </c:pt>
                <c:pt idx="96">
                  <c:v>8656.3417070551914</c:v>
                </c:pt>
                <c:pt idx="97">
                  <c:v>8780.8405673051584</c:v>
                </c:pt>
                <c:pt idx="98">
                  <c:v>8903.3423692717988</c:v>
                </c:pt>
                <c:pt idx="99">
                  <c:v>9023.797789842667</c:v>
                </c:pt>
                <c:pt idx="100">
                  <c:v>9142.1624037981383</c:v>
                </c:pt>
                <c:pt idx="101">
                  <c:v>9258.3966472712036</c:v>
                </c:pt>
                <c:pt idx="102">
                  <c:v>9372.4657612045248</c:v>
                </c:pt>
                <c:pt idx="103">
                  <c:v>9484.339716125518</c:v>
                </c:pt>
                <c:pt idx="104">
                  <c:v>9593.9931196382986</c:v>
                </c:pt>
                <c:pt idx="105">
                  <c:v>9701.4051080897352</c:v>
                </c:pt>
                <c:pt idx="106">
                  <c:v>9806.5592239064936</c:v>
                </c:pt>
                <c:pt idx="107">
                  <c:v>9909.4432801216371</c:v>
                </c:pt>
                <c:pt idx="108">
                  <c:v>10010.049213613984</c:v>
                </c:pt>
                <c:pt idx="109">
                  <c:v>10108.372928572635</c:v>
                </c:pt>
                <c:pt idx="110">
                  <c:v>10204.414131673919</c:v>
                </c:pt>
                <c:pt idx="111">
                  <c:v>10298.17616042016</c:v>
                </c:pt>
                <c:pt idx="112">
                  <c:v>10389.665806040599</c:v>
                </c:pt>
                <c:pt idx="113">
                  <c:v>10478.893132296029</c:v>
                </c:pt>
                <c:pt idx="114">
                  <c:v>10565.871291461937</c:v>
                </c:pt>
                <c:pt idx="115">
                  <c:v>10650.616338691454</c:v>
                </c:pt>
                <c:pt idx="116">
                  <c:v>10733.147045880878</c:v>
                </c:pt>
                <c:pt idx="117">
                  <c:v>10813.484716078272</c:v>
                </c:pt>
                <c:pt idx="118">
                  <c:v>10891.652999390853</c:v>
                </c:pt>
                <c:pt idx="119">
                  <c:v>10967.677711260945</c:v>
                </c:pt>
                <c:pt idx="120">
                  <c:v>11041.586653894092</c:v>
                </c:pt>
                <c:pt idx="121">
                  <c:v>11113.409441537598</c:v>
                </c:pt>
                <c:pt idx="122">
                  <c:v>11183.177330224084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09-4F7C-B4D0-66E8A69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Cumul_removed_bSIR!$F$7</c15:sqref>
                        </c15:formulaRef>
                      </c:ext>
                    </c:extLst>
                    <c:strCache>
                      <c:ptCount val="1"/>
                      <c:pt idx="0">
                        <c:v>Italy sum of regions</c:v>
                      </c:pt>
                    </c:strCache>
                  </c:strRef>
                </c:tx>
                <c:spPr>
                  <a:ln w="9525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Cumul_removed_bSIR!$F$8:$F$184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77.070441965511719</c:v>
                      </c:pt>
                      <c:pt idx="68">
                        <c:v>750.02880466726651</c:v>
                      </c:pt>
                      <c:pt idx="69">
                        <c:v>1454.0217877526813</c:v>
                      </c:pt>
                      <c:pt idx="70">
                        <c:v>2190.2545183341754</c:v>
                      </c:pt>
                      <c:pt idx="71">
                        <c:v>2959.9562438705416</c:v>
                      </c:pt>
                      <c:pt idx="72">
                        <c:v>3764.3783741574816</c:v>
                      </c:pt>
                      <c:pt idx="73">
                        <c:v>4604.7922121401743</c:v>
                      </c:pt>
                      <c:pt idx="74">
                        <c:v>5482.4863523891363</c:v>
                      </c:pt>
                      <c:pt idx="75">
                        <c:v>6398.7637263480547</c:v>
                      </c:pt>
                      <c:pt idx="76">
                        <c:v>7389.4138836783432</c:v>
                      </c:pt>
                      <c:pt idx="77">
                        <c:v>8441.8094643272179</c:v>
                      </c:pt>
                      <c:pt idx="78">
                        <c:v>9538.5211994804795</c:v>
                      </c:pt>
                      <c:pt idx="79">
                        <c:v>10680.910902604917</c:v>
                      </c:pt>
                      <c:pt idx="80">
                        <c:v>11870.333464420413</c:v>
                      </c:pt>
                      <c:pt idx="81">
                        <c:v>13108.131275381153</c:v>
                      </c:pt>
                      <c:pt idx="82">
                        <c:v>14395.628180179738</c:v>
                      </c:pt>
                      <c:pt idx="83">
                        <c:v>15734.122960103821</c:v>
                      </c:pt>
                      <c:pt idx="84">
                        <c:v>17124.882343653757</c:v>
                      </c:pt>
                      <c:pt idx="85">
                        <c:v>18569.133551064984</c:v>
                      </c:pt>
                      <c:pt idx="86">
                        <c:v>20068.056384284446</c:v>
                      </c:pt>
                      <c:pt idx="87">
                        <c:v>21622.774880525831</c:v>
                      </c:pt>
                      <c:pt idx="88">
                        <c:v>23234.348554755386</c:v>
                      </c:pt>
                      <c:pt idx="89">
                        <c:v>24903.763264309178</c:v>
                      </c:pt>
                      <c:pt idx="90">
                        <c:v>26631.921737257591</c:v>
                      </c:pt>
                      <c:pt idx="91">
                        <c:v>28419.633815037767</c:v>
                      </c:pt>
                      <c:pt idx="92">
                        <c:v>30267.606469172108</c:v>
                      </c:pt>
                      <c:pt idx="93">
                        <c:v>32176.433661451116</c:v>
                      </c:pt>
                      <c:pt idx="94">
                        <c:v>34146.58612663333</c:v>
                      </c:pt>
                      <c:pt idx="95">
                        <c:v>36178.401166320909</c:v>
                      </c:pt>
                      <c:pt idx="96">
                        <c:v>38272.072552003163</c:v>
                      </c:pt>
                      <c:pt idx="97">
                        <c:v>40427.640644093641</c:v>
                      </c:pt>
                      <c:pt idx="98">
                        <c:v>42644.982841863493</c:v>
                      </c:pt>
                      <c:pt idx="99">
                        <c:v>44923.8044862346</c:v>
                      </c:pt>
                      <c:pt idx="100">
                        <c:v>47263.630343155382</c:v>
                      </c:pt>
                      <c:pt idx="101">
                        <c:v>49663.796799462943</c:v>
                      </c:pt>
                      <c:pt idx="102">
                        <c:v>52123.444905455843</c:v>
                      </c:pt>
                      <c:pt idx="103">
                        <c:v>54641.514398602907</c:v>
                      </c:pt>
                      <c:pt idx="104">
                        <c:v>57216.738840653212</c:v>
                      </c:pt>
                      <c:pt idx="105">
                        <c:v>59847.641995690487</c:v>
                      </c:pt>
                      <c:pt idx="106">
                        <c:v>62532.535569234526</c:v>
                      </c:pt>
                      <c:pt idx="107">
                        <c:v>65269.518418237632</c:v>
                      </c:pt>
                      <c:pt idx="108">
                        <c:v>68056.477328725043</c:v>
                      </c:pt>
                      <c:pt idx="109">
                        <c:v>70891.089441934222</c:v>
                      </c:pt>
                      <c:pt idx="110">
                        <c:v>73770.826391250637</c:v>
                      </c:pt>
                      <c:pt idx="111">
                        <c:v>76692.960191236518</c:v>
                      </c:pt>
                      <c:pt idx="112">
                        <c:v>79654.570896913807</c:v>
                      </c:pt>
                      <c:pt idx="113">
                        <c:v>82652.556026585313</c:v>
                      </c:pt>
                      <c:pt idx="114">
                        <c:v>85683.64171533499</c:v>
                      </c:pt>
                      <c:pt idx="115">
                        <c:v>88744.395539481207</c:v>
                      </c:pt>
                      <c:pt idx="116">
                        <c:v>91831.240925264763</c:v>
                      </c:pt>
                      <c:pt idx="117">
                        <c:v>94940.473028572465</c:v>
                      </c:pt>
                      <c:pt idx="118">
                        <c:v>98068.275947182163</c:v>
                      </c:pt>
                      <c:pt idx="119">
                        <c:v>101210.74110351775</c:v>
                      </c:pt>
                      <c:pt idx="120">
                        <c:v>104363.88661484266</c:v>
                      </c:pt>
                      <c:pt idx="121">
                        <c:v>107523.67744977848</c:v>
                      </c:pt>
                      <c:pt idx="122">
                        <c:v>110686.04615550228</c:v>
                      </c:pt>
                      <c:pt idx="123">
                        <c:v>113846.91392937522</c:v>
                      </c:pt>
                      <c:pt idx="124">
                        <c:v>117002.21180237434</c:v>
                      </c:pt>
                      <c:pt idx="125">
                        <c:v>120147.90169973321</c:v>
                      </c:pt>
                      <c:pt idx="126">
                        <c:v>123279.99714669076</c:v>
                      </c:pt>
                      <c:pt idx="127">
                        <c:v>126394.58339413148</c:v>
                      </c:pt>
                      <c:pt idx="128">
                        <c:v>129487.83674997033</c:v>
                      </c:pt>
                      <c:pt idx="129">
                        <c:v>132556.04291707158</c:v>
                      </c:pt>
                      <c:pt idx="130">
                        <c:v>135595.61415687006</c:v>
                      </c:pt>
                      <c:pt idx="131">
                        <c:v>138603.10511916946</c:v>
                      </c:pt>
                      <c:pt idx="132">
                        <c:v>141575.22720224608</c:v>
                      </c:pt>
                      <c:pt idx="133">
                        <c:v>144508.86133276008</c:v>
                      </c:pt>
                      <c:pt idx="134">
                        <c:v>147401.06908141807</c:v>
                      </c:pt>
                      <c:pt idx="135">
                        <c:v>150249.10205719361</c:v>
                      </c:pt>
                      <c:pt idx="136">
                        <c:v>153050.40954956206</c:v>
                      </c:pt>
                      <c:pt idx="137">
                        <c:v>155802.64441406151</c:v>
                      </c:pt>
                      <c:pt idx="138">
                        <c:v>158503.66722101663</c:v>
                      </c:pt>
                      <c:pt idx="139">
                        <c:v>161151.54871000181</c:v>
                      </c:pt>
                      <c:pt idx="140">
                        <c:v>163744.57061319341</c:v>
                      </c:pt>
                      <c:pt idx="141">
                        <c:v>166281.22492887668</c:v>
                      </c:pt>
                      <c:pt idx="142">
                        <c:v>168760.21174182693</c:v>
                      </c:pt>
                      <c:pt idx="143">
                        <c:v>171180.43569995553</c:v>
                      </c:pt>
                      <c:pt idx="144">
                        <c:v>173541.00126647161</c:v>
                      </c:pt>
                      <c:pt idx="145">
                        <c:v>175841.20687388812</c:v>
                      </c:pt>
                      <c:pt idx="146">
                        <c:v>178080.53811061257</c:v>
                      </c:pt>
                      <c:pt idx="147">
                        <c:v>180258.66007276339</c:v>
                      </c:pt>
                      <c:pt idx="148">
                        <c:v>182375.40901344988</c:v>
                      </c:pt>
                      <c:pt idx="149">
                        <c:v>184430.78341928954</c:v>
                      </c:pt>
                      <c:pt idx="150">
                        <c:v>186424.93463967042</c:v>
                      </c:pt>
                      <c:pt idx="151">
                        <c:v>188358.15718847769</c:v>
                      </c:pt>
                      <c:pt idx="152">
                        <c:v>190230.87883096651</c:v>
                      </c:pt>
                      <c:pt idx="153">
                        <c:v>192043.65056045321</c:v>
                      </c:pt>
                      <c:pt idx="154">
                        <c:v>193797.13656077752</c:v>
                      </c:pt>
                      <c:pt idx="155">
                        <c:v>195492.10424129743</c:v>
                      </c:pt>
                      <c:pt idx="156">
                        <c:v>197129.41442174779</c:v>
                      </c:pt>
                      <c:pt idx="157">
                        <c:v>198710.01173481095</c:v>
                      </c:pt>
                      <c:pt idx="158">
                        <c:v>200234.91530489761</c:v>
                      </c:pt>
                      <c:pt idx="159">
                        <c:v>201705.20975255454</c:v>
                      </c:pt>
                      <c:pt idx="160">
                        <c:v>203122.03656522799</c:v>
                      </c:pt>
                      <c:pt idx="161">
                        <c:v>204486.58586691483</c:v>
                      </c:pt>
                      <c:pt idx="162">
                        <c:v>205800.08861159129</c:v>
                      </c:pt>
                      <c:pt idx="163">
                        <c:v>207063.80921828089</c:v>
                      </c:pt>
                      <c:pt idx="164">
                        <c:v>208279.03865923037</c:v>
                      </c:pt>
                      <c:pt idx="165">
                        <c:v>209447.08800692833</c:v>
                      </c:pt>
                      <c:pt idx="166">
                        <c:v>210569.28244061171</c:v>
                      </c:pt>
                      <c:pt idx="167">
                        <c:v>211646.95570846469</c:v>
                      </c:pt>
                      <c:pt idx="168">
                        <c:v>212681.44503787981</c:v>
                      </c:pt>
                      <c:pt idx="169">
                        <c:v>213674.08648291082</c:v>
                      </c:pt>
                      <c:pt idx="170">
                        <c:v>214626.21069534984</c:v>
                      </c:pt>
                      <c:pt idx="171">
                        <c:v>215539.13910367622</c:v>
                      </c:pt>
                      <c:pt idx="172">
                        <c:v>216414.18048240463</c:v>
                      </c:pt>
                      <c:pt idx="173">
                        <c:v>217252.62789306178</c:v>
                      </c:pt>
                      <c:pt idx="174">
                        <c:v>218055.75597710264</c:v>
                      </c:pt>
                      <c:pt idx="175">
                        <c:v>218824.81858049051</c:v>
                      </c:pt>
                      <c:pt idx="176">
                        <c:v>219561.04668937618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209-4F7C-B4D0-66E8A6935DDB}"/>
                  </c:ext>
                </c:extLst>
              </c15:ser>
            </c15:filteredScatterSeries>
            <c15:filteredScatterSeries>
              <c15:ser>
                <c:idx val="1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Cumul_removed_bSIR!$I$7</c15:sqref>
                        </c15:formulaRef>
                      </c:ext>
                    </c:extLst>
                    <c:strCache>
                      <c:ptCount val="1"/>
                      <c:pt idx="0">
                        <c:v>Italy fit</c:v>
                      </c:pt>
                    </c:strCache>
                  </c:strRef>
                </c:tx>
                <c:spPr>
                  <a:ln w="9525" cap="rnd">
                    <a:solidFill>
                      <a:srgbClr val="0070C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Cumul_removed_bSIR!$I$8:$I$184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377.33955064412049</c:v>
                      </c:pt>
                      <c:pt idx="69">
                        <c:v>1128.395261548379</c:v>
                      </c:pt>
                      <c:pt idx="70">
                        <c:v>1913.1968345634587</c:v>
                      </c:pt>
                      <c:pt idx="71">
                        <c:v>2733.0005089265746</c:v>
                      </c:pt>
                      <c:pt idx="72">
                        <c:v>3589.083756533872</c:v>
                      </c:pt>
                      <c:pt idx="73">
                        <c:v>4482.7429220722188</c:v>
                      </c:pt>
                      <c:pt idx="74">
                        <c:v>5415.2905334872894</c:v>
                      </c:pt>
                      <c:pt idx="75">
                        <c:v>6388.0522630551823</c:v>
                      </c:pt>
                      <c:pt idx="76">
                        <c:v>7402.3635199757218</c:v>
                      </c:pt>
                      <c:pt idx="77">
                        <c:v>8459.5656563862358</c:v>
                      </c:pt>
                      <c:pt idx="78">
                        <c:v>9561.0017700512126</c:v>
                      </c:pt>
                      <c:pt idx="79">
                        <c:v>10708.01208875074</c:v>
                      </c:pt>
                      <c:pt idx="80">
                        <c:v>11901.928923616581</c:v>
                      </c:pt>
                      <c:pt idx="81">
                        <c:v>13144.07118138202</c:v>
                      </c:pt>
                      <c:pt idx="82">
                        <c:v>14435.738428760094</c:v>
                      </c:pt>
                      <c:pt idx="83">
                        <c:v>15778.204505976713</c:v>
                      </c:pt>
                      <c:pt idx="84">
                        <c:v>17172.710690883545</c:v>
                      </c:pt>
                      <c:pt idx="85">
                        <c:v>18620.458420082512</c:v>
                      </c:pt>
                      <c:pt idx="86">
                        <c:v>20122.601579114606</c:v>
                      </c:pt>
                      <c:pt idx="87">
                        <c:v>21680.238380000101</c:v>
                      </c:pt>
                      <c:pt idx="88">
                        <c:v>23294.402851245672</c:v>
                      </c:pt>
                      <c:pt idx="89">
                        <c:v>24966.055972823433</c:v>
                      </c:pt>
                      <c:pt idx="90">
                        <c:v>26696.07649652844</c:v>
                      </c:pt>
                      <c:pt idx="91">
                        <c:v>28485.251500457278</c:v>
                      </c:pt>
                      <c:pt idx="92">
                        <c:v>30334.266735034074</c:v>
                      </c:pt>
                      <c:pt idx="93">
                        <c:v>32243.696826918273</c:v>
                      </c:pt>
                      <c:pt idx="94">
                        <c:v>34213.995416125072</c:v>
                      </c:pt>
                      <c:pt idx="95">
                        <c:v>36245.48531060703</c:v>
                      </c:pt>
                      <c:pt idx="96">
                        <c:v>38338.348751196274</c:v>
                      </c:pt>
                      <c:pt idx="97">
                        <c:v>40492.617887984932</c:v>
                      </c:pt>
                      <c:pt idx="98">
                        <c:v>42708.165576693667</c:v>
                      </c:pt>
                      <c:pt idx="99">
                        <c:v>44984.696610108731</c:v>
                      </c:pt>
                      <c:pt idx="100">
                        <c:v>47321.739504998819</c:v>
                      </c:pt>
                      <c:pt idx="101">
                        <c:v>49718.638968802377</c:v>
                      </c:pt>
                      <c:pt idx="102">
                        <c:v>52174.549172553001</c:v>
                      </c:pt>
                      <c:pt idx="103">
                        <c:v>54688.427956744141</c:v>
                      </c:pt>
                      <c:pt idx="104">
                        <c:v>57259.032094910166</c:v>
                      </c:pt>
                      <c:pt idx="105">
                        <c:v>59884.913735434537</c:v>
                      </c:pt>
                      <c:pt idx="106">
                        <c:v>62564.418135340435</c:v>
                      </c:pt>
                      <c:pt idx="107">
                        <c:v>65295.682790488063</c:v>
                      </c:pt>
                      <c:pt idx="108">
                        <c:v>68076.638054658382</c:v>
                      </c:pt>
                      <c:pt idx="109">
                        <c:v>70905.009325486972</c:v>
                      </c:pt>
                      <c:pt idx="110">
                        <c:v>73778.320858230261</c:v>
                      </c:pt>
                      <c:pt idx="111">
                        <c:v>76693.901249090486</c:v>
                      </c:pt>
                      <c:pt idx="112">
                        <c:v>79648.890608561604</c:v>
                      </c:pt>
                      <c:pt idx="113">
                        <c:v>82640.249422332548</c:v>
                      </c:pt>
                      <c:pt idx="114">
                        <c:v>85664.76907311067</c:v>
                      </c:pt>
                      <c:pt idx="115">
                        <c:v>88719.08397179193</c:v>
                      </c:pt>
                      <c:pt idx="116">
                        <c:v>91799.685221234817</c:v>
                      </c:pt>
                      <c:pt idx="117">
                        <c:v>94902.935711064769</c:v>
                      </c:pt>
                      <c:pt idx="118">
                        <c:v>98025.086518036347</c:v>
                      </c:pt>
                      <c:pt idx="119">
                        <c:v>101162.29446410119</c:v>
                      </c:pt>
                      <c:pt idx="120">
                        <c:v>104310.64066404921</c:v>
                      </c:pt>
                      <c:pt idx="121">
                        <c:v>107466.14987693875</c:v>
                      </c:pt>
                      <c:pt idx="122">
                        <c:v>110624.81046098692</c:v>
                      </c:pt>
                      <c:pt idx="123">
                        <c:v>113782.59472055198</c:v>
                      </c:pt>
                      <c:pt idx="124">
                        <c:v>116935.47942661433</c:v>
                      </c:pt>
                      <c:pt idx="125">
                        <c:v>120079.46628895003</c:v>
                      </c:pt>
                      <c:pt idx="126">
                        <c:v>123210.60215908688</c:v>
                      </c:pt>
                      <c:pt idx="127">
                        <c:v>126324.99874810832</c:v>
                      </c:pt>
                      <c:pt idx="128">
                        <c:v>129418.85165228606</c:v>
                      </c:pt>
                      <c:pt idx="129">
                        <c:v>132488.45849213048</c:v>
                      </c:pt>
                      <c:pt idx="130">
                        <c:v>135530.23598639676</c:v>
                      </c:pt>
                      <c:pt idx="131">
                        <c:v>138540.73580144349</c:v>
                      </c:pt>
                      <c:pt idx="132">
                        <c:v>141516.65903760181</c:v>
                      </c:pt>
                      <c:pt idx="133">
                        <c:v>144454.86923732565</c:v>
                      </c:pt>
                      <c:pt idx="134">
                        <c:v>147352.40382427152</c:v>
                      </c:pt>
                      <c:pt idx="135">
                        <c:v>150206.48390750558</c:v>
                      </c:pt>
                      <c:pt idx="136">
                        <c:v>153014.52241017277</c:v>
                      </c:pt>
                      <c:pt idx="137">
                        <c:v>155774.13050662907</c:v>
                      </c:pt>
                      <c:pt idx="138">
                        <c:v>158483.12237572542</c:v>
                      </c:pt>
                      <c:pt idx="139">
                        <c:v>161139.51830018082</c:v>
                      </c:pt>
                      <c:pt idx="140">
                        <c:v>163741.54616241201</c:v>
                      </c:pt>
                      <c:pt idx="141">
                        <c:v>166287.64140548036</c:v>
                      </c:pt>
                      <c:pt idx="142">
                        <c:v>168776.44554374577</c:v>
                      </c:pt>
                      <c:pt idx="143">
                        <c:v>171206.8033212224</c:v>
                      </c:pt>
                      <c:pt idx="144">
                        <c:v>173577.75862644025</c:v>
                      </c:pt>
                      <c:pt idx="145">
                        <c:v>175888.5492808189</c:v>
                      </c:pt>
                      <c:pt idx="146">
                        <c:v>178138.60082321835</c:v>
                      </c:pt>
                      <c:pt idx="147">
                        <c:v>180327.51941655891</c:v>
                      </c:pt>
                      <c:pt idx="148">
                        <c:v>182455.08400336269</c:v>
                      </c:pt>
                      <c:pt idx="149">
                        <c:v>184521.23783596262</c:v>
                      </c:pt>
                      <c:pt idx="150">
                        <c:v>186526.07950417674</c:v>
                      </c:pt>
                      <c:pt idx="151">
                        <c:v>188469.85357870406</c:v>
                      </c:pt>
                      <c:pt idx="152">
                        <c:v>190352.94098261287</c:v>
                      </c:pt>
                      <c:pt idx="153">
                        <c:v>192175.84919632412</c:v>
                      </c:pt>
                      <c:pt idx="154">
                        <c:v>193939.20239368151</c:v>
                      </c:pt>
                      <c:pt idx="155">
                        <c:v>195643.73159829059</c:v>
                      </c:pt>
                      <c:pt idx="156">
                        <c:v>197290.26494051793</c:v>
                      </c:pt>
                      <c:pt idx="157">
                        <c:v>198879.71808656678</c:v>
                      </c:pt>
                      <c:pt idx="158">
                        <c:v>200413.08490206895</c:v>
                      </c:pt>
                      <c:pt idx="159">
                        <c:v>201891.42840380807</c:v>
                      </c:pt>
                      <c:pt idx="160">
                        <c:v>203315.8720446403</c:v>
                      </c:pt>
                      <c:pt idx="161">
                        <c:v>204687.59136852549</c:v>
                      </c:pt>
                      <c:pt idx="162">
                        <c:v>206007.80606489163</c:v>
                      </c:pt>
                      <c:pt idx="163">
                        <c:v>207277.77244440839</c:v>
                      </c:pt>
                      <c:pt idx="164">
                        <c:v>208498.77635166788</c:v>
                      </c:pt>
                      <c:pt idx="165">
                        <c:v>209672.12652430768</c:v>
                      </c:pt>
                      <c:pt idx="166">
                        <c:v>210799.14840275203</c:v>
                      </c:pt>
                      <c:pt idx="167">
                        <c:v>211881.17839001075</c:v>
                      </c:pt>
                      <c:pt idx="168">
                        <c:v>212919.55855683246</c:v>
                      </c:pt>
                      <c:pt idx="169">
                        <c:v>213915.6317839472</c:v>
                      </c:pt>
                      <c:pt idx="170">
                        <c:v>214870.73733011831</c:v>
                      </c:pt>
                      <c:pt idx="171">
                        <c:v>215786.206812227</c:v>
                      </c:pt>
                      <c:pt idx="172">
                        <c:v>216663.36058158908</c:v>
                      </c:pt>
                      <c:pt idx="173">
                        <c:v>217503.50447912127</c:v>
                      </c:pt>
                      <c:pt idx="174">
                        <c:v>218307.92695078562</c:v>
                      </c:pt>
                      <c:pt idx="175">
                        <c:v>219077.89650390879</c:v>
                      </c:pt>
                      <c:pt idx="176">
                        <c:v>219814.65948445487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09-4F7C-B4D0-66E8A6935DDB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169.91071626612398</c:v>
                      </c:pt>
                      <c:pt idx="1">
                        <c:v>169.91071626612398</c:v>
                      </c:pt>
                      <c:pt idx="2">
                        <c:v>169.91071626612398</c:v>
                      </c:pt>
                      <c:pt idx="3">
                        <c:v>169.91071626612398</c:v>
                      </c:pt>
                      <c:pt idx="4">
                        <c:v>169.91071626612398</c:v>
                      </c:pt>
                      <c:pt idx="5">
                        <c:v>169.91071626612398</c:v>
                      </c:pt>
                      <c:pt idx="6">
                        <c:v>169.91071626612398</c:v>
                      </c:pt>
                      <c:pt idx="7">
                        <c:v>169.91071626612398</c:v>
                      </c:pt>
                      <c:pt idx="8">
                        <c:v>169.91071626612398</c:v>
                      </c:pt>
                      <c:pt idx="9">
                        <c:v>169.91071626612398</c:v>
                      </c:pt>
                      <c:pt idx="10">
                        <c:v>169.91071626612398</c:v>
                      </c:pt>
                      <c:pt idx="11">
                        <c:v>169.91071626612398</c:v>
                      </c:pt>
                      <c:pt idx="12">
                        <c:v>169.91071626612398</c:v>
                      </c:pt>
                      <c:pt idx="13">
                        <c:v>169.91071626612398</c:v>
                      </c:pt>
                      <c:pt idx="14">
                        <c:v>169.91071626612398</c:v>
                      </c:pt>
                      <c:pt idx="15">
                        <c:v>169.91071626612398</c:v>
                      </c:pt>
                      <c:pt idx="16">
                        <c:v>169.91071626612398</c:v>
                      </c:pt>
                      <c:pt idx="17">
                        <c:v>169.91071626612398</c:v>
                      </c:pt>
                      <c:pt idx="18">
                        <c:v>169.91071626612398</c:v>
                      </c:pt>
                      <c:pt idx="19">
                        <c:v>169.91071626612398</c:v>
                      </c:pt>
                      <c:pt idx="20">
                        <c:v>169.91071626612398</c:v>
                      </c:pt>
                      <c:pt idx="21">
                        <c:v>169.91071626612398</c:v>
                      </c:pt>
                      <c:pt idx="22">
                        <c:v>169.91071626612398</c:v>
                      </c:pt>
                      <c:pt idx="23">
                        <c:v>169.91071626612398</c:v>
                      </c:pt>
                      <c:pt idx="24">
                        <c:v>169.91071626612398</c:v>
                      </c:pt>
                      <c:pt idx="25">
                        <c:v>169.91071626612398</c:v>
                      </c:pt>
                      <c:pt idx="26">
                        <c:v>169.91071626612398</c:v>
                      </c:pt>
                      <c:pt idx="27">
                        <c:v>169.91071626612398</c:v>
                      </c:pt>
                      <c:pt idx="28">
                        <c:v>169.91071626612398</c:v>
                      </c:pt>
                      <c:pt idx="29">
                        <c:v>169.91071626612398</c:v>
                      </c:pt>
                      <c:pt idx="30">
                        <c:v>169.91071626612398</c:v>
                      </c:pt>
                      <c:pt idx="31">
                        <c:v>169.91071626612398</c:v>
                      </c:pt>
                      <c:pt idx="32">
                        <c:v>169.91071626612398</c:v>
                      </c:pt>
                      <c:pt idx="33">
                        <c:v>169.91071626612398</c:v>
                      </c:pt>
                      <c:pt idx="34">
                        <c:v>169.91071626612398</c:v>
                      </c:pt>
                      <c:pt idx="35">
                        <c:v>169.91071626612398</c:v>
                      </c:pt>
                      <c:pt idx="36">
                        <c:v>169.91071626612398</c:v>
                      </c:pt>
                      <c:pt idx="37">
                        <c:v>169.91071626612398</c:v>
                      </c:pt>
                      <c:pt idx="38">
                        <c:v>169.91071626612398</c:v>
                      </c:pt>
                      <c:pt idx="39">
                        <c:v>169.91071626612398</c:v>
                      </c:pt>
                      <c:pt idx="40">
                        <c:v>169.91071626612398</c:v>
                      </c:pt>
                      <c:pt idx="41">
                        <c:v>169.91071626612398</c:v>
                      </c:pt>
                      <c:pt idx="42">
                        <c:v>169.91071626612398</c:v>
                      </c:pt>
                      <c:pt idx="43">
                        <c:v>169.91071626612398</c:v>
                      </c:pt>
                      <c:pt idx="44">
                        <c:v>169.91071626612398</c:v>
                      </c:pt>
                      <c:pt idx="45">
                        <c:v>169.91071626612398</c:v>
                      </c:pt>
                      <c:pt idx="46">
                        <c:v>169.91071626612398</c:v>
                      </c:pt>
                      <c:pt idx="47">
                        <c:v>169.91071626612398</c:v>
                      </c:pt>
                      <c:pt idx="48">
                        <c:v>169.91071626612398</c:v>
                      </c:pt>
                      <c:pt idx="49">
                        <c:v>169.91071626612398</c:v>
                      </c:pt>
                      <c:pt idx="50">
                        <c:v>169.91071626612398</c:v>
                      </c:pt>
                      <c:pt idx="51">
                        <c:v>169.91071626612398</c:v>
                      </c:pt>
                      <c:pt idx="52">
                        <c:v>169.91071626612398</c:v>
                      </c:pt>
                      <c:pt idx="53">
                        <c:v>169.91071626612398</c:v>
                      </c:pt>
                      <c:pt idx="54">
                        <c:v>169.91071626612398</c:v>
                      </c:pt>
                      <c:pt idx="55">
                        <c:v>169.91071626612398</c:v>
                      </c:pt>
                      <c:pt idx="56">
                        <c:v>169.91071626612398</c:v>
                      </c:pt>
                      <c:pt idx="57">
                        <c:v>169.91071626612398</c:v>
                      </c:pt>
                      <c:pt idx="58">
                        <c:v>169.91071626612398</c:v>
                      </c:pt>
                      <c:pt idx="59">
                        <c:v>169.91071626612398</c:v>
                      </c:pt>
                      <c:pt idx="60">
                        <c:v>169.91071626612398</c:v>
                      </c:pt>
                      <c:pt idx="61">
                        <c:v>169.91071626612398</c:v>
                      </c:pt>
                      <c:pt idx="62">
                        <c:v>169.91071626612398</c:v>
                      </c:pt>
                      <c:pt idx="63">
                        <c:v>169.91071626612398</c:v>
                      </c:pt>
                      <c:pt idx="64">
                        <c:v>169.91071626612398</c:v>
                      </c:pt>
                      <c:pt idx="65">
                        <c:v>169.91071626612398</c:v>
                      </c:pt>
                      <c:pt idx="66">
                        <c:v>169.91071626612398</c:v>
                      </c:pt>
                      <c:pt idx="67">
                        <c:v>169.91071626612398</c:v>
                      </c:pt>
                      <c:pt idx="68">
                        <c:v>169.91071626612398</c:v>
                      </c:pt>
                      <c:pt idx="69">
                        <c:v>169.91071626612398</c:v>
                      </c:pt>
                      <c:pt idx="70">
                        <c:v>169.91071626612398</c:v>
                      </c:pt>
                      <c:pt idx="71">
                        <c:v>169.91071626612398</c:v>
                      </c:pt>
                      <c:pt idx="72">
                        <c:v>169.91071626612398</c:v>
                      </c:pt>
                      <c:pt idx="73">
                        <c:v>169.91071626612398</c:v>
                      </c:pt>
                      <c:pt idx="74">
                        <c:v>169.91071626612398</c:v>
                      </c:pt>
                      <c:pt idx="75">
                        <c:v>169.91071626612398</c:v>
                      </c:pt>
                      <c:pt idx="76">
                        <c:v>204.38632591587714</c:v>
                      </c:pt>
                      <c:pt idx="77">
                        <c:v>259.38895785443515</c:v>
                      </c:pt>
                      <c:pt idx="78">
                        <c:v>316.16496101559449</c:v>
                      </c:pt>
                      <c:pt idx="79">
                        <c:v>374.75317148807608</c:v>
                      </c:pt>
                      <c:pt idx="80">
                        <c:v>435.19190894291336</c:v>
                      </c:pt>
                      <c:pt idx="81">
                        <c:v>497.51885364998157</c:v>
                      </c:pt>
                      <c:pt idx="82">
                        <c:v>561.77091674405222</c:v>
                      </c:pt>
                      <c:pt idx="83">
                        <c:v>627.98410382314955</c:v>
                      </c:pt>
                      <c:pt idx="84">
                        <c:v>696.19337201583198</c:v>
                      </c:pt>
                      <c:pt idx="85">
                        <c:v>766.43248071238281</c:v>
                      </c:pt>
                      <c:pt idx="86">
                        <c:v>838.73383621800826</c:v>
                      </c:pt>
                      <c:pt idx="87">
                        <c:v>913.1283306535945</c:v>
                      </c:pt>
                      <c:pt idx="88">
                        <c:v>989.64517550127107</c:v>
                      </c:pt>
                      <c:pt idx="89">
                        <c:v>1068.3117302676399</c:v>
                      </c:pt>
                      <c:pt idx="90">
                        <c:v>1149.1533268164494</c:v>
                      </c:pt>
                      <c:pt idx="91">
                        <c:v>1232.1930900044401</c:v>
                      </c:pt>
                      <c:pt idx="92">
                        <c:v>1317.4517553381954</c:v>
                      </c:pt>
                      <c:pt idx="93">
                        <c:v>1404.9474844554352</c:v>
                      </c:pt>
                      <c:pt idx="94">
                        <c:v>1494.6956793203908</c:v>
                      </c:pt>
                      <c:pt idx="95">
                        <c:v>1586.7087961087207</c:v>
                      </c:pt>
                      <c:pt idx="96">
                        <c:v>1680.996159841671</c:v>
                      </c:pt>
                      <c:pt idx="97">
                        <c:v>1777.5637809107805</c:v>
                      </c:pt>
                      <c:pt idx="98">
                        <c:v>1876.4141747118742</c:v>
                      </c:pt>
                      <c:pt idx="99">
                        <c:v>1977.5461856791926</c:v>
                      </c:pt>
                      <c:pt idx="100">
                        <c:v>2080.954817075522</c:v>
                      </c:pt>
                      <c:pt idx="101">
                        <c:v>2186.6310679509406</c:v>
                      </c:pt>
                      <c:pt idx="102">
                        <c:v>2294.5617787293254</c:v>
                      </c:pt>
                      <c:pt idx="103">
                        <c:v>2404.729486916885</c:v>
                      </c:pt>
                      <c:pt idx="104">
                        <c:v>2517.1122944489025</c:v>
                      </c:pt>
                      <c:pt idx="105">
                        <c:v>2631.6837481983189</c:v>
                      </c:pt>
                      <c:pt idx="106">
                        <c:v>2748.4127351611728</c:v>
                      </c:pt>
                      <c:pt idx="107">
                        <c:v>2867.2633938083495</c:v>
                      </c:pt>
                      <c:pt idx="108">
                        <c:v>2988.1950430490629</c:v>
                      </c:pt>
                      <c:pt idx="109">
                        <c:v>3111.1621301886616</c:v>
                      </c:pt>
                      <c:pt idx="110">
                        <c:v>3236.114199180699</c:v>
                      </c:pt>
                      <c:pt idx="111">
                        <c:v>3362.9958803707123</c:v>
                      </c:pt>
                      <c:pt idx="112">
                        <c:v>3491.7469028066998</c:v>
                      </c:pt>
                      <c:pt idx="113">
                        <c:v>3622.3021300492528</c:v>
                      </c:pt>
                      <c:pt idx="114">
                        <c:v>3754.5916202534631</c:v>
                      </c:pt>
                      <c:pt idx="115">
                        <c:v>3888.5407111161326</c:v>
                      </c:pt>
                      <c:pt idx="116">
                        <c:v>4024.0701300869855</c:v>
                      </c:pt>
                      <c:pt idx="117">
                        <c:v>4161.0961300334147</c:v>
                      </c:pt>
                      <c:pt idx="118">
                        <c:v>4299.5306503269958</c:v>
                      </c:pt>
                      <c:pt idx="119">
                        <c:v>4439.281503089207</c:v>
                      </c:pt>
                      <c:pt idx="120">
                        <c:v>4580.2525840963326</c:v>
                      </c:pt>
                      <c:pt idx="121">
                        <c:v>4722.3441076026975</c:v>
                      </c:pt>
                      <c:pt idx="122">
                        <c:v>4865.4528641004235</c:v>
                      </c:pt>
                      <c:pt idx="123">
                        <c:v>5009.4724997964213</c:v>
                      </c:pt>
                      <c:pt idx="124">
                        <c:v>5154.2938163570325</c:v>
                      </c:pt>
                      <c:pt idx="125">
                        <c:v>5299.80508925099</c:v>
                      </c:pt>
                      <c:pt idx="126">
                        <c:v>5445.8924028160936</c:v>
                      </c:pt>
                      <c:pt idx="127">
                        <c:v>5592.439999987223</c:v>
                      </c:pt>
                      <c:pt idx="128">
                        <c:v>5739.3306444565578</c:v>
                      </c:pt>
                      <c:pt idx="129">
                        <c:v>5886.4459928936567</c:v>
                      </c:pt>
                      <c:pt idx="130">
                        <c:v>6033.6669747362976</c:v>
                      </c:pt>
                      <c:pt idx="131">
                        <c:v>6180.8741769742783</c:v>
                      </c:pt>
                      <c:pt idx="132">
                        <c:v>6327.9482312897508</c:v>
                      </c:pt>
                      <c:pt idx="133">
                        <c:v>6474.7702008898004</c:v>
                      </c:pt>
                      <c:pt idx="134">
                        <c:v>6621.221964370664</c:v>
                      </c:pt>
                      <c:pt idx="135">
                        <c:v>6767.186593987969</c:v>
                      </c:pt>
                      <c:pt idx="136">
                        <c:v>6912.5487257730292</c:v>
                      </c:pt>
                      <c:pt idx="137">
                        <c:v>7057.1949190306213</c:v>
                      </c:pt>
                      <c:pt idx="138">
                        <c:v>7201.0140028766727</c:v>
                      </c:pt>
                      <c:pt idx="139">
                        <c:v>7343.8974076231952</c:v>
                      </c:pt>
                      <c:pt idx="140">
                        <c:v>7485.7394789896916</c:v>
                      </c:pt>
                      <c:pt idx="141">
                        <c:v>7626.4377733122892</c:v>
                      </c:pt>
                      <c:pt idx="142">
                        <c:v>7765.8933321308996</c:v>
                      </c:pt>
                      <c:pt idx="143">
                        <c:v>7904.0109347570433</c:v>
                      </c:pt>
                      <c:pt idx="144">
                        <c:v>8040.699327657434</c:v>
                      </c:pt>
                      <c:pt idx="145">
                        <c:v>8175.8714297268452</c:v>
                      </c:pt>
                      <c:pt idx="146">
                        <c:v>8309.4445127651506</c:v>
                      </c:pt>
                      <c:pt idx="147">
                        <c:v>8441.3403567137048</c:v>
                      </c:pt>
                      <c:pt idx="148">
                        <c:v>8571.4853794424325</c:v>
                      </c:pt>
                      <c:pt idx="149">
                        <c:v>8699.8107411079127</c:v>
                      </c:pt>
                      <c:pt idx="150">
                        <c:v>8826.2524233213153</c:v>
                      </c:pt>
                      <c:pt idx="151">
                        <c:v>8950.7512835712823</c:v>
                      </c:pt>
                      <c:pt idx="152">
                        <c:v>9073.2530855379227</c:v>
                      </c:pt>
                      <c:pt idx="153">
                        <c:v>9193.708506108791</c:v>
                      </c:pt>
                      <c:pt idx="154">
                        <c:v>9312.0731200642622</c:v>
                      </c:pt>
                      <c:pt idx="155">
                        <c:v>9428.3073635373275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09-4F7C-B4D0-66E8A6935DDB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34.931738955828109</c:v>
                      </c:pt>
                      <c:pt idx="80">
                        <c:v>95.37047641066539</c:v>
                      </c:pt>
                      <c:pt idx="81">
                        <c:v>157.6974211177336</c:v>
                      </c:pt>
                      <c:pt idx="82">
                        <c:v>221.94948421180425</c:v>
                      </c:pt>
                      <c:pt idx="83">
                        <c:v>288.16267129090153</c:v>
                      </c:pt>
                      <c:pt idx="84">
                        <c:v>356.37193948358396</c:v>
                      </c:pt>
                      <c:pt idx="85">
                        <c:v>426.61104818013479</c:v>
                      </c:pt>
                      <c:pt idx="86">
                        <c:v>498.91240368576024</c:v>
                      </c:pt>
                      <c:pt idx="87">
                        <c:v>573.30689812134665</c:v>
                      </c:pt>
                      <c:pt idx="88">
                        <c:v>649.82374296902321</c:v>
                      </c:pt>
                      <c:pt idx="89">
                        <c:v>728.49029773539201</c:v>
                      </c:pt>
                      <c:pt idx="90">
                        <c:v>809.33189428420133</c:v>
                      </c:pt>
                      <c:pt idx="91">
                        <c:v>892.37165747219228</c:v>
                      </c:pt>
                      <c:pt idx="92">
                        <c:v>977.63032280594757</c:v>
                      </c:pt>
                      <c:pt idx="93">
                        <c:v>1065.1260519231873</c:v>
                      </c:pt>
                      <c:pt idx="94">
                        <c:v>1154.874246788143</c:v>
                      </c:pt>
                      <c:pt idx="95">
                        <c:v>1246.8873635764728</c:v>
                      </c:pt>
                      <c:pt idx="96">
                        <c:v>1341.1747273094231</c:v>
                      </c:pt>
                      <c:pt idx="97">
                        <c:v>1437.7423483785326</c:v>
                      </c:pt>
                      <c:pt idx="98">
                        <c:v>1536.5927421796264</c:v>
                      </c:pt>
                      <c:pt idx="99">
                        <c:v>1637.7247531469447</c:v>
                      </c:pt>
                      <c:pt idx="100">
                        <c:v>1741.1333845432741</c:v>
                      </c:pt>
                      <c:pt idx="101">
                        <c:v>1846.8096354186926</c:v>
                      </c:pt>
                      <c:pt idx="102">
                        <c:v>1954.7403461970775</c:v>
                      </c:pt>
                      <c:pt idx="103">
                        <c:v>2064.9080543846371</c:v>
                      </c:pt>
                      <c:pt idx="104">
                        <c:v>2177.2908619166546</c:v>
                      </c:pt>
                      <c:pt idx="105">
                        <c:v>2291.862315666071</c:v>
                      </c:pt>
                      <c:pt idx="106">
                        <c:v>2408.591302628925</c:v>
                      </c:pt>
                      <c:pt idx="107">
                        <c:v>2527.4419612761017</c:v>
                      </c:pt>
                      <c:pt idx="108">
                        <c:v>2648.373610516815</c:v>
                      </c:pt>
                      <c:pt idx="109">
                        <c:v>2771.3406976564138</c:v>
                      </c:pt>
                      <c:pt idx="110">
                        <c:v>2896.2927666484511</c:v>
                      </c:pt>
                      <c:pt idx="111">
                        <c:v>3023.1744478384644</c:v>
                      </c:pt>
                      <c:pt idx="112">
                        <c:v>3151.925470274452</c:v>
                      </c:pt>
                      <c:pt idx="113">
                        <c:v>3282.480697517005</c:v>
                      </c:pt>
                      <c:pt idx="114">
                        <c:v>3414.7701877212153</c:v>
                      </c:pt>
                      <c:pt idx="115">
                        <c:v>3548.7192785838847</c:v>
                      </c:pt>
                      <c:pt idx="116">
                        <c:v>3684.2486975547376</c:v>
                      </c:pt>
                      <c:pt idx="117">
                        <c:v>3821.2746975011669</c:v>
                      </c:pt>
                      <c:pt idx="118">
                        <c:v>3959.7092177947479</c:v>
                      </c:pt>
                      <c:pt idx="119">
                        <c:v>4099.4600705569592</c:v>
                      </c:pt>
                      <c:pt idx="120">
                        <c:v>4240.4311515640848</c:v>
                      </c:pt>
                      <c:pt idx="121">
                        <c:v>4382.5226750704496</c:v>
                      </c:pt>
                      <c:pt idx="122">
                        <c:v>4525.6314315681757</c:v>
                      </c:pt>
                      <c:pt idx="123">
                        <c:v>4669.6510672641734</c:v>
                      </c:pt>
                      <c:pt idx="124">
                        <c:v>4814.4723838247846</c:v>
                      </c:pt>
                      <c:pt idx="125">
                        <c:v>4959.9836567187422</c:v>
                      </c:pt>
                      <c:pt idx="126">
                        <c:v>5106.0709702838458</c:v>
                      </c:pt>
                      <c:pt idx="127">
                        <c:v>5252.6185674549752</c:v>
                      </c:pt>
                      <c:pt idx="128">
                        <c:v>5399.50921192431</c:v>
                      </c:pt>
                      <c:pt idx="129">
                        <c:v>5546.6245603614088</c:v>
                      </c:pt>
                      <c:pt idx="130">
                        <c:v>5693.8455422040497</c:v>
                      </c:pt>
                      <c:pt idx="131">
                        <c:v>5841.0527444420304</c:v>
                      </c:pt>
                      <c:pt idx="132">
                        <c:v>5988.1267987575029</c:v>
                      </c:pt>
                      <c:pt idx="133">
                        <c:v>6134.9487683575526</c:v>
                      </c:pt>
                      <c:pt idx="134">
                        <c:v>6281.4005318384161</c:v>
                      </c:pt>
                      <c:pt idx="135">
                        <c:v>6427.3651614557211</c:v>
                      </c:pt>
                      <c:pt idx="136">
                        <c:v>6572.7272932407814</c:v>
                      </c:pt>
                      <c:pt idx="137">
                        <c:v>6717.3734864983735</c:v>
                      </c:pt>
                      <c:pt idx="138">
                        <c:v>6861.1925703444249</c:v>
                      </c:pt>
                      <c:pt idx="139">
                        <c:v>7004.0759750909474</c:v>
                      </c:pt>
                      <c:pt idx="140">
                        <c:v>7145.9180464574438</c:v>
                      </c:pt>
                      <c:pt idx="141">
                        <c:v>7286.6163407800414</c:v>
                      </c:pt>
                      <c:pt idx="142">
                        <c:v>7426.0718995986517</c:v>
                      </c:pt>
                      <c:pt idx="143">
                        <c:v>7564.1895022247954</c:v>
                      </c:pt>
                      <c:pt idx="144">
                        <c:v>7700.8778951251861</c:v>
                      </c:pt>
                      <c:pt idx="145">
                        <c:v>7836.0499971945974</c:v>
                      </c:pt>
                      <c:pt idx="146">
                        <c:v>7969.6230802329019</c:v>
                      </c:pt>
                      <c:pt idx="147">
                        <c:v>8101.5189241814569</c:v>
                      </c:pt>
                      <c:pt idx="148">
                        <c:v>8231.6639469101847</c:v>
                      </c:pt>
                      <c:pt idx="149">
                        <c:v>8359.9893085756648</c:v>
                      </c:pt>
                      <c:pt idx="150">
                        <c:v>8486.4309907890674</c:v>
                      </c:pt>
                      <c:pt idx="151">
                        <c:v>8610.9298510390345</c:v>
                      </c:pt>
                      <c:pt idx="152">
                        <c:v>8733.4316530056749</c:v>
                      </c:pt>
                      <c:pt idx="153">
                        <c:v>8853.8870735765431</c:v>
                      </c:pt>
                      <c:pt idx="154">
                        <c:v>8972.2516875320143</c:v>
                      </c:pt>
                      <c:pt idx="155">
                        <c:v>9088.4859310050797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09-4F7C-B4D0-66E8A6935DDB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Cumul_removed_bSIR!$W$7</c15:sqref>
                        </c15:formulaRef>
                      </c:ext>
                    </c:extLst>
                    <c:strCache>
                      <c:ptCount val="1"/>
                      <c:pt idx="0">
                        <c:v>rest of Italy fit</c:v>
                      </c:pt>
                    </c:strCache>
                  </c:strRef>
                </c:tx>
                <c:spPr>
                  <a:ln w="952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Cumul_removed_bSIR!$W$8:$W$184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77.070441965511719</c:v>
                      </c:pt>
                      <c:pt idx="68">
                        <c:v>750.02880466726651</c:v>
                      </c:pt>
                      <c:pt idx="69">
                        <c:v>1454.0217877526813</c:v>
                      </c:pt>
                      <c:pt idx="70">
                        <c:v>2190.2545183341754</c:v>
                      </c:pt>
                      <c:pt idx="71">
                        <c:v>2959.9562438705416</c:v>
                      </c:pt>
                      <c:pt idx="72">
                        <c:v>3764.3783741574816</c:v>
                      </c:pt>
                      <c:pt idx="73">
                        <c:v>4604.7922121401743</c:v>
                      </c:pt>
                      <c:pt idx="74">
                        <c:v>5482.4863523891363</c:v>
                      </c:pt>
                      <c:pt idx="75">
                        <c:v>6398.7637263480547</c:v>
                      </c:pt>
                      <c:pt idx="76">
                        <c:v>7354.9382740285901</c:v>
                      </c:pt>
                      <c:pt idx="77">
                        <c:v>8352.3312227389069</c:v>
                      </c:pt>
                      <c:pt idx="78">
                        <c:v>9392.2669547310088</c:v>
                      </c:pt>
                      <c:pt idx="79">
                        <c:v>10476.068447382966</c:v>
                      </c:pt>
                      <c:pt idx="80">
                        <c:v>11605.052271743623</c:v>
                      </c:pt>
                      <c:pt idx="81">
                        <c:v>12780.523137997296</c:v>
                      </c:pt>
                      <c:pt idx="82">
                        <c:v>14003.76797970181</c:v>
                      </c:pt>
                      <c:pt idx="83">
                        <c:v>15276.049572546795</c:v>
                      </c:pt>
                      <c:pt idx="84">
                        <c:v>16598.59968790405</c:v>
                      </c:pt>
                      <c:pt idx="85">
                        <c:v>17972.611786618727</c:v>
                      </c:pt>
                      <c:pt idx="86">
                        <c:v>19399.233264332561</c:v>
                      </c:pt>
                      <c:pt idx="87">
                        <c:v>20879.557266138359</c:v>
                      </c:pt>
                      <c:pt idx="88">
                        <c:v>22414.614095520239</c:v>
                      </c:pt>
                      <c:pt idx="89">
                        <c:v>24005.362250307662</c:v>
                      </c:pt>
                      <c:pt idx="90">
                        <c:v>25652.679126707266</c:v>
                      </c:pt>
                      <c:pt idx="91">
                        <c:v>27357.351441299452</c:v>
                      </c:pt>
                      <c:pt idx="92">
                        <c:v>29120.065430100036</c:v>
                      </c:pt>
                      <c:pt idx="93">
                        <c:v>30941.396893261805</c:v>
                      </c:pt>
                      <c:pt idx="94">
                        <c:v>32821.801163579061</c:v>
                      </c:pt>
                      <c:pt idx="95">
                        <c:v>34761.60308647831</c:v>
                      </c:pt>
                      <c:pt idx="96">
                        <c:v>36760.987108427616</c:v>
                      </c:pt>
                      <c:pt idx="97">
                        <c:v>38819.987579448985</c:v>
                      </c:pt>
                      <c:pt idx="98">
                        <c:v>40938.47938341774</c:v>
                      </c:pt>
                      <c:pt idx="99">
                        <c:v>43116.169016821528</c:v>
                      </c:pt>
                      <c:pt idx="100">
                        <c:v>45352.586242345984</c:v>
                      </c:pt>
                      <c:pt idx="101">
                        <c:v>47647.076447778127</c:v>
                      </c:pt>
                      <c:pt idx="102">
                        <c:v>49998.793842992643</c:v>
                      </c:pt>
                      <c:pt idx="103">
                        <c:v>52406.695627952147</c:v>
                      </c:pt>
                      <c:pt idx="104">
                        <c:v>54869.537262470432</c:v>
                      </c:pt>
                      <c:pt idx="105">
                        <c:v>57385.868963758294</c:v>
                      </c:pt>
                      <c:pt idx="106">
                        <c:v>59954.033550339474</c:v>
                      </c:pt>
                      <c:pt idx="107">
                        <c:v>62572.165740695404</c:v>
                      </c:pt>
                      <c:pt idx="108">
                        <c:v>65238.193001942105</c:v>
                      </c:pt>
                      <c:pt idx="109">
                        <c:v>67949.838028011683</c:v>
                      </c:pt>
                      <c:pt idx="110">
                        <c:v>70704.622908336067</c:v>
                      </c:pt>
                      <c:pt idx="111">
                        <c:v>73499.87502713193</c:v>
                      </c:pt>
                      <c:pt idx="112">
                        <c:v>76332.734710373232</c:v>
                      </c:pt>
                      <c:pt idx="113">
                        <c:v>79200.164612802182</c:v>
                      </c:pt>
                      <c:pt idx="114">
                        <c:v>82098.960811347657</c:v>
                      </c:pt>
                      <c:pt idx="115">
                        <c:v>85025.765544631198</c:v>
                      </c:pt>
                      <c:pt idx="116">
                        <c:v>87977.081511443903</c:v>
                      </c:pt>
                      <c:pt idx="117">
                        <c:v>90949.287614805173</c:v>
                      </c:pt>
                      <c:pt idx="118">
                        <c:v>93938.65601312129</c:v>
                      </c:pt>
                      <c:pt idx="119">
                        <c:v>96941.370316694665</c:v>
                      </c:pt>
                      <c:pt idx="120">
                        <c:v>99953.544747012449</c:v>
                      </c:pt>
                      <c:pt idx="121">
                        <c:v>102971.24405844191</c:v>
                      </c:pt>
                      <c:pt idx="122">
                        <c:v>105990.50400766797</c:v>
                      </c:pt>
                      <c:pt idx="123">
                        <c:v>109007.35214584492</c:v>
                      </c:pt>
                      <c:pt idx="124">
                        <c:v>112017.82870228343</c:v>
                      </c:pt>
                      <c:pt idx="125">
                        <c:v>115018.00732674834</c:v>
                      </c:pt>
                      <c:pt idx="126">
                        <c:v>118004.01546014078</c:v>
                      </c:pt>
                      <c:pt idx="127">
                        <c:v>120972.05411041038</c:v>
                      </c:pt>
                      <c:pt idx="128">
                        <c:v>123918.4168217799</c:v>
                      </c:pt>
                      <c:pt idx="129">
                        <c:v>126839.50764044405</c:v>
                      </c:pt>
                      <c:pt idx="130">
                        <c:v>129731.85789839989</c:v>
                      </c:pt>
                      <c:pt idx="131">
                        <c:v>132592.1416584613</c:v>
                      </c:pt>
                      <c:pt idx="132">
                        <c:v>135417.18968722245</c:v>
                      </c:pt>
                      <c:pt idx="133">
                        <c:v>138204.00184813639</c:v>
                      </c:pt>
                      <c:pt idx="134">
                        <c:v>140949.75783331352</c:v>
                      </c:pt>
                      <c:pt idx="135">
                        <c:v>143651.82617947177</c:v>
                      </c:pt>
                      <c:pt idx="136">
                        <c:v>146307.77154005514</c:v>
                      </c:pt>
                      <c:pt idx="137">
                        <c:v>148915.360211297</c:v>
                      </c:pt>
                      <c:pt idx="138">
                        <c:v>151472.56393440609</c:v>
                      </c:pt>
                      <c:pt idx="139">
                        <c:v>153977.56201864473</c:v>
                      </c:pt>
                      <c:pt idx="140">
                        <c:v>156428.74185046984</c:v>
                      </c:pt>
                      <c:pt idx="141">
                        <c:v>158824.69787183052</c:v>
                      </c:pt>
                      <c:pt idx="142">
                        <c:v>161164.22912596216</c:v>
                      </c:pt>
                      <c:pt idx="143">
                        <c:v>163446.3354814646</c:v>
                      </c:pt>
                      <c:pt idx="144">
                        <c:v>165670.21265508031</c:v>
                      </c:pt>
                      <c:pt idx="145">
                        <c:v>167835.2461604274</c:v>
                      </c:pt>
                      <c:pt idx="146">
                        <c:v>169941.00431411355</c:v>
                      </c:pt>
                      <c:pt idx="147">
                        <c:v>171987.23043231582</c:v>
                      </c:pt>
                      <c:pt idx="148">
                        <c:v>173973.83435027357</c:v>
                      </c:pt>
                      <c:pt idx="149">
                        <c:v>175900.88339444774</c:v>
                      </c:pt>
                      <c:pt idx="150">
                        <c:v>177768.59293261523</c:v>
                      </c:pt>
                      <c:pt idx="151">
                        <c:v>179577.31662117253</c:v>
                      </c:pt>
                      <c:pt idx="152">
                        <c:v>181327.53646169472</c:v>
                      </c:pt>
                      <c:pt idx="153">
                        <c:v>183019.85277061054</c:v>
                      </c:pt>
                      <c:pt idx="154">
                        <c:v>184654.97415697938</c:v>
                      </c:pt>
                      <c:pt idx="155">
                        <c:v>186233.70759402623</c:v>
                      </c:pt>
                      <c:pt idx="156">
                        <c:v>187756.94866054328</c:v>
                      </c:pt>
                      <c:pt idx="157">
                        <c:v>189225.67201868544</c:v>
                      </c:pt>
                      <c:pt idx="158">
                        <c:v>190640.92218525932</c:v>
                      </c:pt>
                      <c:pt idx="159">
                        <c:v>192003.80464446481</c:v>
                      </c:pt>
                      <c:pt idx="160">
                        <c:v>193315.4773413215</c:v>
                      </c:pt>
                      <c:pt idx="161">
                        <c:v>194577.1425867932</c:v>
                      </c:pt>
                      <c:pt idx="162">
                        <c:v>195790.03939797729</c:v>
                      </c:pt>
                      <c:pt idx="163">
                        <c:v>196955.43628970825</c:v>
                      </c:pt>
                      <c:pt idx="164">
                        <c:v>198074.62452755644</c:v>
                      </c:pt>
                      <c:pt idx="165">
                        <c:v>199148.91184650816</c:v>
                      </c:pt>
                      <c:pt idx="166">
                        <c:v>200179.61663457111</c:v>
                      </c:pt>
                      <c:pt idx="167">
                        <c:v>201168.06257616865</c:v>
                      </c:pt>
                      <c:pt idx="168">
                        <c:v>202115.57374641788</c:v>
                      </c:pt>
                      <c:pt idx="169">
                        <c:v>203023.47014421938</c:v>
                      </c:pt>
                      <c:pt idx="170">
                        <c:v>203893.06364946897</c:v>
                      </c:pt>
                      <c:pt idx="171">
                        <c:v>204725.65438759796</c:v>
                      </c:pt>
                      <c:pt idx="172">
                        <c:v>205522.52748301378</c:v>
                      </c:pt>
                      <c:pt idx="173">
                        <c:v>206284.95018180084</c:v>
                      </c:pt>
                      <c:pt idx="174">
                        <c:v>207014.16932320854</c:v>
                      </c:pt>
                      <c:pt idx="175">
                        <c:v>207711.40913895291</c:v>
                      </c:pt>
                      <c:pt idx="176">
                        <c:v>208377.8693591521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09-4F7C-B4D0-66E8A6935DDB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2813.9722047844634</c:v>
                      </c:pt>
                      <c:pt idx="1">
                        <c:v>2813.9722047844634</c:v>
                      </c:pt>
                      <c:pt idx="2">
                        <c:v>2813.9722047844634</c:v>
                      </c:pt>
                      <c:pt idx="3">
                        <c:v>2813.9722047844634</c:v>
                      </c:pt>
                      <c:pt idx="4">
                        <c:v>2813.9722047844634</c:v>
                      </c:pt>
                      <c:pt idx="5">
                        <c:v>2813.9722047844634</c:v>
                      </c:pt>
                      <c:pt idx="6">
                        <c:v>2813.9722047844634</c:v>
                      </c:pt>
                      <c:pt idx="7">
                        <c:v>2813.9722047844634</c:v>
                      </c:pt>
                      <c:pt idx="8">
                        <c:v>2813.9722047844634</c:v>
                      </c:pt>
                      <c:pt idx="9">
                        <c:v>2813.9722047844634</c:v>
                      </c:pt>
                      <c:pt idx="10">
                        <c:v>2813.9722047844634</c:v>
                      </c:pt>
                      <c:pt idx="11">
                        <c:v>2813.9722047844634</c:v>
                      </c:pt>
                      <c:pt idx="12">
                        <c:v>2813.9722047844634</c:v>
                      </c:pt>
                      <c:pt idx="13">
                        <c:v>2813.9722047844634</c:v>
                      </c:pt>
                      <c:pt idx="14">
                        <c:v>2813.9722047844634</c:v>
                      </c:pt>
                      <c:pt idx="15">
                        <c:v>2813.9722047844634</c:v>
                      </c:pt>
                      <c:pt idx="16">
                        <c:v>2813.9722047844634</c:v>
                      </c:pt>
                      <c:pt idx="17">
                        <c:v>2813.9722047844634</c:v>
                      </c:pt>
                      <c:pt idx="18">
                        <c:v>2813.9722047844634</c:v>
                      </c:pt>
                      <c:pt idx="19">
                        <c:v>2813.9722047844634</c:v>
                      </c:pt>
                      <c:pt idx="20">
                        <c:v>2813.9722047844634</c:v>
                      </c:pt>
                      <c:pt idx="21">
                        <c:v>2813.9722047844634</c:v>
                      </c:pt>
                      <c:pt idx="22">
                        <c:v>2813.9722047844634</c:v>
                      </c:pt>
                      <c:pt idx="23">
                        <c:v>2813.9722047844634</c:v>
                      </c:pt>
                      <c:pt idx="24">
                        <c:v>2813.9722047844634</c:v>
                      </c:pt>
                      <c:pt idx="25">
                        <c:v>2813.9722047844634</c:v>
                      </c:pt>
                      <c:pt idx="26">
                        <c:v>2813.9722047844634</c:v>
                      </c:pt>
                      <c:pt idx="27">
                        <c:v>2813.9722047844634</c:v>
                      </c:pt>
                      <c:pt idx="28">
                        <c:v>2813.9722047844634</c:v>
                      </c:pt>
                      <c:pt idx="29">
                        <c:v>2813.9722047844634</c:v>
                      </c:pt>
                      <c:pt idx="30">
                        <c:v>2813.9722047844634</c:v>
                      </c:pt>
                      <c:pt idx="31">
                        <c:v>2813.9722047844634</c:v>
                      </c:pt>
                      <c:pt idx="32">
                        <c:v>2813.9722047844634</c:v>
                      </c:pt>
                      <c:pt idx="33">
                        <c:v>2813.9722047844634</c:v>
                      </c:pt>
                      <c:pt idx="34">
                        <c:v>2813.9722047844634</c:v>
                      </c:pt>
                      <c:pt idx="35">
                        <c:v>2813.9722047844634</c:v>
                      </c:pt>
                      <c:pt idx="36">
                        <c:v>2813.9722047844634</c:v>
                      </c:pt>
                      <c:pt idx="37">
                        <c:v>2813.9722047844634</c:v>
                      </c:pt>
                      <c:pt idx="38">
                        <c:v>2813.9722047844634</c:v>
                      </c:pt>
                      <c:pt idx="39">
                        <c:v>2813.9722047844634</c:v>
                      </c:pt>
                      <c:pt idx="40">
                        <c:v>2813.9722047844634</c:v>
                      </c:pt>
                      <c:pt idx="41">
                        <c:v>2813.9722047844634</c:v>
                      </c:pt>
                      <c:pt idx="42">
                        <c:v>2813.9722047844634</c:v>
                      </c:pt>
                      <c:pt idx="43">
                        <c:v>2813.9722047844634</c:v>
                      </c:pt>
                      <c:pt idx="44">
                        <c:v>2813.9722047844634</c:v>
                      </c:pt>
                      <c:pt idx="45">
                        <c:v>2813.9722047844634</c:v>
                      </c:pt>
                      <c:pt idx="46">
                        <c:v>2813.9722047844634</c:v>
                      </c:pt>
                      <c:pt idx="47">
                        <c:v>2813.9722047844634</c:v>
                      </c:pt>
                      <c:pt idx="48">
                        <c:v>2813.9722047844634</c:v>
                      </c:pt>
                      <c:pt idx="49">
                        <c:v>2813.9722047844634</c:v>
                      </c:pt>
                      <c:pt idx="50">
                        <c:v>2813.9722047844634</c:v>
                      </c:pt>
                      <c:pt idx="51">
                        <c:v>2813.9722047844634</c:v>
                      </c:pt>
                      <c:pt idx="52">
                        <c:v>2813.9722047844634</c:v>
                      </c:pt>
                      <c:pt idx="53">
                        <c:v>2813.9722047844634</c:v>
                      </c:pt>
                      <c:pt idx="54">
                        <c:v>2813.9722047844634</c:v>
                      </c:pt>
                      <c:pt idx="55">
                        <c:v>2813.9722047844634</c:v>
                      </c:pt>
                      <c:pt idx="56">
                        <c:v>2813.9722047844634</c:v>
                      </c:pt>
                      <c:pt idx="57">
                        <c:v>2813.9722047844634</c:v>
                      </c:pt>
                      <c:pt idx="58">
                        <c:v>2813.9722047844634</c:v>
                      </c:pt>
                      <c:pt idx="59">
                        <c:v>2813.9722047844634</c:v>
                      </c:pt>
                      <c:pt idx="60">
                        <c:v>2813.9722047844634</c:v>
                      </c:pt>
                      <c:pt idx="61">
                        <c:v>2813.9722047844634</c:v>
                      </c:pt>
                      <c:pt idx="62">
                        <c:v>2813.9722047844634</c:v>
                      </c:pt>
                      <c:pt idx="63">
                        <c:v>2813.9722047844634</c:v>
                      </c:pt>
                      <c:pt idx="64">
                        <c:v>2813.9722047844634</c:v>
                      </c:pt>
                      <c:pt idx="65">
                        <c:v>2813.9722047844634</c:v>
                      </c:pt>
                      <c:pt idx="66">
                        <c:v>2813.9722047844634</c:v>
                      </c:pt>
                      <c:pt idx="67">
                        <c:v>2891.0426467499751</c:v>
                      </c:pt>
                      <c:pt idx="68">
                        <c:v>3564.0010094517302</c:v>
                      </c:pt>
                      <c:pt idx="69">
                        <c:v>4267.9939925371445</c:v>
                      </c:pt>
                      <c:pt idx="70">
                        <c:v>5004.2267231186388</c:v>
                      </c:pt>
                      <c:pt idx="71">
                        <c:v>5773.928448655005</c:v>
                      </c:pt>
                      <c:pt idx="72">
                        <c:v>6578.3505789419451</c:v>
                      </c:pt>
                      <c:pt idx="73">
                        <c:v>7418.7644169246378</c:v>
                      </c:pt>
                      <c:pt idx="74">
                        <c:v>8296.4585571735988</c:v>
                      </c:pt>
                      <c:pt idx="75">
                        <c:v>9212.7359311325181</c:v>
                      </c:pt>
                      <c:pt idx="76">
                        <c:v>10168.910478813053</c:v>
                      </c:pt>
                      <c:pt idx="77">
                        <c:v>11166.303427523369</c:v>
                      </c:pt>
                      <c:pt idx="78">
                        <c:v>12206.239159515473</c:v>
                      </c:pt>
                      <c:pt idx="79">
                        <c:v>13290.04065216743</c:v>
                      </c:pt>
                      <c:pt idx="80">
                        <c:v>14419.024476528088</c:v>
                      </c:pt>
                      <c:pt idx="81">
                        <c:v>15594.49534278176</c:v>
                      </c:pt>
                      <c:pt idx="82">
                        <c:v>16817.740184486272</c:v>
                      </c:pt>
                      <c:pt idx="83">
                        <c:v>18090.021777331258</c:v>
                      </c:pt>
                      <c:pt idx="84">
                        <c:v>19412.571892688513</c:v>
                      </c:pt>
                      <c:pt idx="85">
                        <c:v>20786.583991403189</c:v>
                      </c:pt>
                      <c:pt idx="86">
                        <c:v>22213.205469117023</c:v>
                      </c:pt>
                      <c:pt idx="87">
                        <c:v>23693.529470922822</c:v>
                      </c:pt>
                      <c:pt idx="88">
                        <c:v>25228.586300304702</c:v>
                      </c:pt>
                      <c:pt idx="89">
                        <c:v>26819.334455092125</c:v>
                      </c:pt>
                      <c:pt idx="90">
                        <c:v>28466.651331491728</c:v>
                      </c:pt>
                      <c:pt idx="91">
                        <c:v>30171.323646083914</c:v>
                      </c:pt>
                      <c:pt idx="92">
                        <c:v>31934.037634884498</c:v>
                      </c:pt>
                      <c:pt idx="93">
                        <c:v>33755.369098046271</c:v>
                      </c:pt>
                      <c:pt idx="94">
                        <c:v>35635.773368363523</c:v>
                      </c:pt>
                      <c:pt idx="95">
                        <c:v>37575.575291262772</c:v>
                      </c:pt>
                      <c:pt idx="96">
                        <c:v>39574.959313212079</c:v>
                      </c:pt>
                      <c:pt idx="97">
                        <c:v>41633.959784233448</c:v>
                      </c:pt>
                      <c:pt idx="98">
                        <c:v>43752.451588202202</c:v>
                      </c:pt>
                      <c:pt idx="99">
                        <c:v>45930.141221605991</c:v>
                      </c:pt>
                      <c:pt idx="100">
                        <c:v>48166.558447130446</c:v>
                      </c:pt>
                      <c:pt idx="101">
                        <c:v>50461.048652562589</c:v>
                      </c:pt>
                      <c:pt idx="102">
                        <c:v>52812.766047777106</c:v>
                      </c:pt>
                      <c:pt idx="103">
                        <c:v>55220.66783273661</c:v>
                      </c:pt>
                      <c:pt idx="104">
                        <c:v>57683.509467254895</c:v>
                      </c:pt>
                      <c:pt idx="105">
                        <c:v>60199.841168542756</c:v>
                      </c:pt>
                      <c:pt idx="106">
                        <c:v>62768.005755123937</c:v>
                      </c:pt>
                      <c:pt idx="107">
                        <c:v>65386.137945479866</c:v>
                      </c:pt>
                      <c:pt idx="108">
                        <c:v>68052.165206726568</c:v>
                      </c:pt>
                      <c:pt idx="109">
                        <c:v>70763.810232796153</c:v>
                      </c:pt>
                      <c:pt idx="110">
                        <c:v>73518.595113120537</c:v>
                      </c:pt>
                      <c:pt idx="111">
                        <c:v>76313.847231916399</c:v>
                      </c:pt>
                      <c:pt idx="112">
                        <c:v>79146.706915157702</c:v>
                      </c:pt>
                      <c:pt idx="113">
                        <c:v>82014.136817586652</c:v>
                      </c:pt>
                      <c:pt idx="114">
                        <c:v>84912.933016132127</c:v>
                      </c:pt>
                      <c:pt idx="115">
                        <c:v>87839.737749415668</c:v>
                      </c:pt>
                      <c:pt idx="116">
                        <c:v>90791.053716228373</c:v>
                      </c:pt>
                      <c:pt idx="117">
                        <c:v>93763.259819589643</c:v>
                      </c:pt>
                      <c:pt idx="118">
                        <c:v>96752.62821790576</c:v>
                      </c:pt>
                      <c:pt idx="119">
                        <c:v>99755.342521479135</c:v>
                      </c:pt>
                      <c:pt idx="120">
                        <c:v>102767.51695179692</c:v>
                      </c:pt>
                      <c:pt idx="121">
                        <c:v>105785.21626322638</c:v>
                      </c:pt>
                      <c:pt idx="122">
                        <c:v>108804.47621245244</c:v>
                      </c:pt>
                      <c:pt idx="123">
                        <c:v>111821.32435062939</c:v>
                      </c:pt>
                      <c:pt idx="124">
                        <c:v>114831.8009070679</c:v>
                      </c:pt>
                      <c:pt idx="125">
                        <c:v>117831.97953153281</c:v>
                      </c:pt>
                      <c:pt idx="126">
                        <c:v>120817.98766492525</c:v>
                      </c:pt>
                      <c:pt idx="127">
                        <c:v>123786.02631519485</c:v>
                      </c:pt>
                      <c:pt idx="128">
                        <c:v>126732.38902656437</c:v>
                      </c:pt>
                      <c:pt idx="129">
                        <c:v>129653.47984522852</c:v>
                      </c:pt>
                      <c:pt idx="130">
                        <c:v>132545.83010318436</c:v>
                      </c:pt>
                      <c:pt idx="131">
                        <c:v>135406.11386324576</c:v>
                      </c:pt>
                      <c:pt idx="132">
                        <c:v>138231.1618920069</c:v>
                      </c:pt>
                      <c:pt idx="133">
                        <c:v>141017.97405292085</c:v>
                      </c:pt>
                      <c:pt idx="134">
                        <c:v>143763.73003809797</c:v>
                      </c:pt>
                      <c:pt idx="135">
                        <c:v>146465.79838425622</c:v>
                      </c:pt>
                      <c:pt idx="136">
                        <c:v>149121.74374483959</c:v>
                      </c:pt>
                      <c:pt idx="137">
                        <c:v>151729.33241608145</c:v>
                      </c:pt>
                      <c:pt idx="138">
                        <c:v>154286.53613919055</c:v>
                      </c:pt>
                      <c:pt idx="139">
                        <c:v>156791.53422342919</c:v>
                      </c:pt>
                      <c:pt idx="140">
                        <c:v>159242.7140552543</c:v>
                      </c:pt>
                      <c:pt idx="141">
                        <c:v>161638.67007661497</c:v>
                      </c:pt>
                      <c:pt idx="142">
                        <c:v>163978.20133074661</c:v>
                      </c:pt>
                      <c:pt idx="143">
                        <c:v>166260.30768624906</c:v>
                      </c:pt>
                      <c:pt idx="144">
                        <c:v>168484.18485986476</c:v>
                      </c:pt>
                      <c:pt idx="145">
                        <c:v>170649.21836521185</c:v>
                      </c:pt>
                      <c:pt idx="146">
                        <c:v>172754.97651889801</c:v>
                      </c:pt>
                      <c:pt idx="147">
                        <c:v>174801.20263710027</c:v>
                      </c:pt>
                      <c:pt idx="148">
                        <c:v>176787.80655505802</c:v>
                      </c:pt>
                      <c:pt idx="149">
                        <c:v>178714.85559923219</c:v>
                      </c:pt>
                      <c:pt idx="150">
                        <c:v>180582.56513739968</c:v>
                      </c:pt>
                      <c:pt idx="151">
                        <c:v>182391.28882595699</c:v>
                      </c:pt>
                      <c:pt idx="152">
                        <c:v>184141.50866647917</c:v>
                      </c:pt>
                      <c:pt idx="153">
                        <c:v>185833.82497539499</c:v>
                      </c:pt>
                      <c:pt idx="154">
                        <c:v>187468.94636176384</c:v>
                      </c:pt>
                      <c:pt idx="155">
                        <c:v>189047.67979881068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09-4F7C-B4D0-66E8A6935DDB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145.98403908607816</c:v>
                      </c:pt>
                      <c:pt idx="72">
                        <c:v>950.4061693730182</c:v>
                      </c:pt>
                      <c:pt idx="73">
                        <c:v>1790.8200073557109</c:v>
                      </c:pt>
                      <c:pt idx="74">
                        <c:v>2668.5141476046729</c:v>
                      </c:pt>
                      <c:pt idx="75">
                        <c:v>3584.7915215635912</c:v>
                      </c:pt>
                      <c:pt idx="76">
                        <c:v>4540.9660692441266</c:v>
                      </c:pt>
                      <c:pt idx="77">
                        <c:v>5538.3590179544435</c:v>
                      </c:pt>
                      <c:pt idx="78">
                        <c:v>6578.2947499465454</c:v>
                      </c:pt>
                      <c:pt idx="79">
                        <c:v>7662.0962425985026</c:v>
                      </c:pt>
                      <c:pt idx="80">
                        <c:v>8791.080066959159</c:v>
                      </c:pt>
                      <c:pt idx="81">
                        <c:v>9966.5509332128313</c:v>
                      </c:pt>
                      <c:pt idx="82">
                        <c:v>11189.795774917347</c:v>
                      </c:pt>
                      <c:pt idx="83">
                        <c:v>12462.077367762333</c:v>
                      </c:pt>
                      <c:pt idx="84">
                        <c:v>13784.627483119588</c:v>
                      </c:pt>
                      <c:pt idx="85">
                        <c:v>15158.639581834264</c:v>
                      </c:pt>
                      <c:pt idx="86">
                        <c:v>16585.261059548098</c:v>
                      </c:pt>
                      <c:pt idx="87">
                        <c:v>18065.585061353897</c:v>
                      </c:pt>
                      <c:pt idx="88">
                        <c:v>19600.641890735777</c:v>
                      </c:pt>
                      <c:pt idx="89">
                        <c:v>21191.3900455232</c:v>
                      </c:pt>
                      <c:pt idx="90">
                        <c:v>22838.706921922803</c:v>
                      </c:pt>
                      <c:pt idx="91">
                        <c:v>24543.379236514989</c:v>
                      </c:pt>
                      <c:pt idx="92">
                        <c:v>26306.093225315573</c:v>
                      </c:pt>
                      <c:pt idx="93">
                        <c:v>28127.424688477342</c:v>
                      </c:pt>
                      <c:pt idx="94">
                        <c:v>30007.828958794598</c:v>
                      </c:pt>
                      <c:pt idx="95">
                        <c:v>31947.630881693847</c:v>
                      </c:pt>
                      <c:pt idx="96">
                        <c:v>33947.014903643154</c:v>
                      </c:pt>
                      <c:pt idx="97">
                        <c:v>36006.015374664523</c:v>
                      </c:pt>
                      <c:pt idx="98">
                        <c:v>38124.507178633277</c:v>
                      </c:pt>
                      <c:pt idx="99">
                        <c:v>40302.196812037066</c:v>
                      </c:pt>
                      <c:pt idx="100">
                        <c:v>42538.614037561521</c:v>
                      </c:pt>
                      <c:pt idx="101">
                        <c:v>44833.104242993664</c:v>
                      </c:pt>
                      <c:pt idx="102">
                        <c:v>47184.821638208181</c:v>
                      </c:pt>
                      <c:pt idx="103">
                        <c:v>49592.723423167685</c:v>
                      </c:pt>
                      <c:pt idx="104">
                        <c:v>52055.56505768597</c:v>
                      </c:pt>
                      <c:pt idx="105">
                        <c:v>54571.896758973831</c:v>
                      </c:pt>
                      <c:pt idx="106">
                        <c:v>57140.061345555012</c:v>
                      </c:pt>
                      <c:pt idx="107">
                        <c:v>59758.193535910941</c:v>
                      </c:pt>
                      <c:pt idx="108">
                        <c:v>62424.220797157643</c:v>
                      </c:pt>
                      <c:pt idx="109">
                        <c:v>65135.865823227221</c:v>
                      </c:pt>
                      <c:pt idx="110">
                        <c:v>67890.650703551597</c:v>
                      </c:pt>
                      <c:pt idx="111">
                        <c:v>70685.90282234746</c:v>
                      </c:pt>
                      <c:pt idx="112">
                        <c:v>73518.762505588762</c:v>
                      </c:pt>
                      <c:pt idx="113">
                        <c:v>76386.192408017712</c:v>
                      </c:pt>
                      <c:pt idx="114">
                        <c:v>79284.988606563187</c:v>
                      </c:pt>
                      <c:pt idx="115">
                        <c:v>82211.793339846728</c:v>
                      </c:pt>
                      <c:pt idx="116">
                        <c:v>85163.109306659433</c:v>
                      </c:pt>
                      <c:pt idx="117">
                        <c:v>88135.315410020703</c:v>
                      </c:pt>
                      <c:pt idx="118">
                        <c:v>91124.68380833682</c:v>
                      </c:pt>
                      <c:pt idx="119">
                        <c:v>94127.398111910195</c:v>
                      </c:pt>
                      <c:pt idx="120">
                        <c:v>97139.572542227979</c:v>
                      </c:pt>
                      <c:pt idx="121">
                        <c:v>100157.27185365744</c:v>
                      </c:pt>
                      <c:pt idx="122">
                        <c:v>103176.5318028835</c:v>
                      </c:pt>
                      <c:pt idx="123">
                        <c:v>106193.37994106046</c:v>
                      </c:pt>
                      <c:pt idx="124">
                        <c:v>109203.85649749896</c:v>
                      </c:pt>
                      <c:pt idx="125">
                        <c:v>112204.03512196387</c:v>
                      </c:pt>
                      <c:pt idx="126">
                        <c:v>115190.04325535632</c:v>
                      </c:pt>
                      <c:pt idx="127">
                        <c:v>118158.08190562591</c:v>
                      </c:pt>
                      <c:pt idx="128">
                        <c:v>121104.44461699543</c:v>
                      </c:pt>
                      <c:pt idx="129">
                        <c:v>124025.53543565958</c:v>
                      </c:pt>
                      <c:pt idx="130">
                        <c:v>126917.88569361542</c:v>
                      </c:pt>
                      <c:pt idx="131">
                        <c:v>129778.16945367683</c:v>
                      </c:pt>
                      <c:pt idx="132">
                        <c:v>132603.21748243799</c:v>
                      </c:pt>
                      <c:pt idx="133">
                        <c:v>135390.02964335194</c:v>
                      </c:pt>
                      <c:pt idx="134">
                        <c:v>138135.78562852906</c:v>
                      </c:pt>
                      <c:pt idx="135">
                        <c:v>140837.85397468731</c:v>
                      </c:pt>
                      <c:pt idx="136">
                        <c:v>143493.79933527068</c:v>
                      </c:pt>
                      <c:pt idx="137">
                        <c:v>146101.38800651254</c:v>
                      </c:pt>
                      <c:pt idx="138">
                        <c:v>148658.59172962164</c:v>
                      </c:pt>
                      <c:pt idx="139">
                        <c:v>151163.58981386028</c:v>
                      </c:pt>
                      <c:pt idx="140">
                        <c:v>153614.76964568539</c:v>
                      </c:pt>
                      <c:pt idx="141">
                        <c:v>156010.72566704606</c:v>
                      </c:pt>
                      <c:pt idx="142">
                        <c:v>158350.2569211777</c:v>
                      </c:pt>
                      <c:pt idx="143">
                        <c:v>160632.36327668015</c:v>
                      </c:pt>
                      <c:pt idx="144">
                        <c:v>162856.24045029585</c:v>
                      </c:pt>
                      <c:pt idx="145">
                        <c:v>165021.27395564294</c:v>
                      </c:pt>
                      <c:pt idx="146">
                        <c:v>167127.0321093291</c:v>
                      </c:pt>
                      <c:pt idx="147">
                        <c:v>169173.25822753136</c:v>
                      </c:pt>
                      <c:pt idx="148">
                        <c:v>171159.86214548911</c:v>
                      </c:pt>
                      <c:pt idx="149">
                        <c:v>173086.91118966328</c:v>
                      </c:pt>
                      <c:pt idx="150">
                        <c:v>174954.62072783077</c:v>
                      </c:pt>
                      <c:pt idx="151">
                        <c:v>176763.34441638808</c:v>
                      </c:pt>
                      <c:pt idx="152">
                        <c:v>178513.56425691026</c:v>
                      </c:pt>
                      <c:pt idx="153">
                        <c:v>180205.88056582608</c:v>
                      </c:pt>
                      <c:pt idx="154">
                        <c:v>181841.00195219493</c:v>
                      </c:pt>
                      <c:pt idx="155">
                        <c:v>183419.73538924177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09-4F7C-B4D0-66E8A6935DD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5"/>
          <c:tx>
            <c:strRef>
              <c:f>Cumul_removed_bSIR!$N$7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Cumul_removed_bSIR!$N$62:$N$184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  <c:pt idx="81">
                  <c:v>6457</c:v>
                </c:pt>
                <c:pt idx="82">
                  <c:v>6578</c:v>
                </c:pt>
                <c:pt idx="83">
                  <c:v>6703</c:v>
                </c:pt>
                <c:pt idx="84">
                  <c:v>6852</c:v>
                </c:pt>
                <c:pt idx="85">
                  <c:v>6993</c:v>
                </c:pt>
                <c:pt idx="86">
                  <c:v>7111</c:v>
                </c:pt>
                <c:pt idx="87">
                  <c:v>7269</c:v>
                </c:pt>
                <c:pt idx="88">
                  <c:v>7481</c:v>
                </c:pt>
                <c:pt idx="89">
                  <c:v>7693</c:v>
                </c:pt>
                <c:pt idx="90">
                  <c:v>7856</c:v>
                </c:pt>
                <c:pt idx="91">
                  <c:v>7941</c:v>
                </c:pt>
                <c:pt idx="92">
                  <c:v>8112</c:v>
                </c:pt>
                <c:pt idx="93">
                  <c:v>8320</c:v>
                </c:pt>
                <c:pt idx="94">
                  <c:v>8460</c:v>
                </c:pt>
                <c:pt idx="95">
                  <c:v>8625</c:v>
                </c:pt>
                <c:pt idx="96">
                  <c:v>8870</c:v>
                </c:pt>
                <c:pt idx="97">
                  <c:v>8994</c:v>
                </c:pt>
                <c:pt idx="98">
                  <c:v>9108</c:v>
                </c:pt>
                <c:pt idx="99">
                  <c:v>9188</c:v>
                </c:pt>
                <c:pt idx="100">
                  <c:v>9237</c:v>
                </c:pt>
                <c:pt idx="101">
                  <c:v>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09-4F7C-B4D0-66E8A69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Cumul_removed_bSIR!$D$7</c15:sqref>
                        </c15:formulaRef>
                      </c:ext>
                    </c:extLst>
                    <c:strCache>
                      <c:ptCount val="1"/>
                      <c:pt idx="0">
                        <c:v>Italy cumulative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5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Cumul_removed_bSIR!$D$8:$D$184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62</c:v>
                      </c:pt>
                      <c:pt idx="58">
                        <c:v>67</c:v>
                      </c:pt>
                      <c:pt idx="59">
                        <c:v>79</c:v>
                      </c:pt>
                      <c:pt idx="60">
                        <c:v>117</c:v>
                      </c:pt>
                      <c:pt idx="61">
                        <c:v>201</c:v>
                      </c:pt>
                      <c:pt idx="62">
                        <c:v>239</c:v>
                      </c:pt>
                      <c:pt idx="63">
                        <c:v>383</c:v>
                      </c:pt>
                      <c:pt idx="64">
                        <c:v>562</c:v>
                      </c:pt>
                      <c:pt idx="65">
                        <c:v>720</c:v>
                      </c:pt>
                      <c:pt idx="66">
                        <c:v>822</c:v>
                      </c:pt>
                      <c:pt idx="67">
                        <c:v>988</c:v>
                      </c:pt>
                      <c:pt idx="68">
                        <c:v>1187</c:v>
                      </c:pt>
                      <c:pt idx="69">
                        <c:v>1635</c:v>
                      </c:pt>
                      <c:pt idx="70">
                        <c:v>1872</c:v>
                      </c:pt>
                      <c:pt idx="71">
                        <c:v>2274</c:v>
                      </c:pt>
                      <c:pt idx="72">
                        <c:v>2705</c:v>
                      </c:pt>
                      <c:pt idx="73">
                        <c:v>3407</c:v>
                      </c:pt>
                      <c:pt idx="74">
                        <c:v>4144</c:v>
                      </c:pt>
                      <c:pt idx="75">
                        <c:v>4907</c:v>
                      </c:pt>
                      <c:pt idx="76">
                        <c:v>5444</c:v>
                      </c:pt>
                      <c:pt idx="77">
                        <c:v>7003</c:v>
                      </c:pt>
                      <c:pt idx="78">
                        <c:v>7845</c:v>
                      </c:pt>
                      <c:pt idx="79">
                        <c:v>9161</c:v>
                      </c:pt>
                      <c:pt idx="80">
                        <c:v>10897</c:v>
                      </c:pt>
                      <c:pt idx="81">
                        <c:v>12500</c:v>
                      </c:pt>
                      <c:pt idx="82">
                        <c:v>13509</c:v>
                      </c:pt>
                      <c:pt idx="83">
                        <c:v>15146</c:v>
                      </c:pt>
                      <c:pt idx="84">
                        <c:v>16865</c:v>
                      </c:pt>
                      <c:pt idx="85">
                        <c:v>18526</c:v>
                      </c:pt>
                      <c:pt idx="86">
                        <c:v>20084</c:v>
                      </c:pt>
                      <c:pt idx="87">
                        <c:v>22407</c:v>
                      </c:pt>
                      <c:pt idx="88">
                        <c:v>23809</c:v>
                      </c:pt>
                      <c:pt idx="89">
                        <c:v>26211</c:v>
                      </c:pt>
                      <c:pt idx="90">
                        <c:v>28157</c:v>
                      </c:pt>
                      <c:pt idx="91">
                        <c:v>30002</c:v>
                      </c:pt>
                      <c:pt idx="92">
                        <c:v>32193</c:v>
                      </c:pt>
                      <c:pt idx="93">
                        <c:v>34439</c:v>
                      </c:pt>
                      <c:pt idx="94">
                        <c:v>36358</c:v>
                      </c:pt>
                      <c:pt idx="95">
                        <c:v>37702</c:v>
                      </c:pt>
                      <c:pt idx="96">
                        <c:v>39360</c:v>
                      </c:pt>
                      <c:pt idx="97">
                        <c:v>41519</c:v>
                      </c:pt>
                      <c:pt idx="98">
                        <c:v>44160</c:v>
                      </c:pt>
                      <c:pt idx="99">
                        <c:v>46749</c:v>
                      </c:pt>
                      <c:pt idx="100">
                        <c:v>49304</c:v>
                      </c:pt>
                      <c:pt idx="101">
                        <c:v>52002</c:v>
                      </c:pt>
                      <c:pt idx="102">
                        <c:v>54110</c:v>
                      </c:pt>
                      <c:pt idx="103">
                        <c:v>55900</c:v>
                      </c:pt>
                      <c:pt idx="104">
                        <c:v>58197</c:v>
                      </c:pt>
                      <c:pt idx="105">
                        <c:v>59737</c:v>
                      </c:pt>
                      <c:pt idx="106">
                        <c:v>62334</c:v>
                      </c:pt>
                      <c:pt idx="107">
                        <c:v>65472</c:v>
                      </c:pt>
                      <c:pt idx="108">
                        <c:v>68154</c:v>
                      </c:pt>
                      <c:pt idx="109">
                        <c:v>70715</c:v>
                      </c:pt>
                      <c:pt idx="110">
                        <c:v>72991</c:v>
                      </c:pt>
                      <c:pt idx="111">
                        <c:v>76248</c:v>
                      </c:pt>
                      <c:pt idx="112">
                        <c:v>79628</c:v>
                      </c:pt>
                      <c:pt idx="113">
                        <c:v>83125</c:v>
                      </c:pt>
                      <c:pt idx="114">
                        <c:v>86467</c:v>
                      </c:pt>
                      <c:pt idx="115">
                        <c:v>89504</c:v>
                      </c:pt>
                      <c:pt idx="116">
                        <c:v>91572</c:v>
                      </c:pt>
                      <c:pt idx="117">
                        <c:v>93601</c:v>
                      </c:pt>
                      <c:pt idx="118">
                        <c:v>96300</c:v>
                      </c:pt>
                      <c:pt idx="119">
                        <c:v>98934</c:v>
                      </c:pt>
                      <c:pt idx="120">
                        <c:v>103912</c:v>
                      </c:pt>
                      <c:pt idx="121">
                        <c:v>106485</c:v>
                      </c:pt>
                      <c:pt idx="122">
                        <c:v>108624</c:v>
                      </c:pt>
                      <c:pt idx="123">
                        <c:v>110538</c:v>
                      </c:pt>
                      <c:pt idx="124">
                        <c:v>111958</c:v>
                      </c:pt>
                      <c:pt idx="125">
                        <c:v>114546</c:v>
                      </c:pt>
                      <c:pt idx="126">
                        <c:v>122929</c:v>
                      </c:pt>
                      <c:pt idx="127">
                        <c:v>126234</c:v>
                      </c:pt>
                      <c:pt idx="128">
                        <c:v>129224</c:v>
                      </c:pt>
                      <c:pt idx="129">
                        <c:v>133426</c:v>
                      </c:pt>
                      <c:pt idx="130">
                        <c:v>135746</c:v>
                      </c:pt>
                      <c:pt idx="131">
                        <c:v>137326</c:v>
                      </c:pt>
                      <c:pt idx="132">
                        <c:v>139950</c:v>
                      </c:pt>
                      <c:pt idx="133">
                        <c:v>143647</c:v>
                      </c:pt>
                      <c:pt idx="134">
                        <c:v>146656</c:v>
                      </c:pt>
                      <c:pt idx="135">
                        <c:v>151815</c:v>
                      </c:pt>
                      <c:pt idx="136">
                        <c:v>154573</c:v>
                      </c:pt>
                      <c:pt idx="137">
                        <c:v>157084</c:v>
                      </c:pt>
                      <c:pt idx="138">
                        <c:v>159333</c:v>
                      </c:pt>
                      <c:pt idx="139">
                        <c:v>161570</c:v>
                      </c:pt>
                      <c:pt idx="140">
                        <c:v>164612</c:v>
                      </c:pt>
                      <c:pt idx="141">
                        <c:v>167046</c:v>
                      </c:pt>
                      <c:pt idx="142">
                        <c:v>169336</c:v>
                      </c:pt>
                      <c:pt idx="143">
                        <c:v>171575</c:v>
                      </c:pt>
                      <c:pt idx="144">
                        <c:v>173264</c:v>
                      </c:pt>
                      <c:pt idx="145">
                        <c:v>174858</c:v>
                      </c:pt>
                      <c:pt idx="146">
                        <c:v>177613</c:v>
                      </c:pt>
                      <c:pt idx="147">
                        <c:v>180173</c:v>
                      </c:pt>
                      <c:pt idx="148">
                        <c:v>183746</c:v>
                      </c:pt>
                      <c:pt idx="149">
                        <c:v>186073</c:v>
                      </c:pt>
                      <c:pt idx="150">
                        <c:v>188973</c:v>
                      </c:pt>
                      <c:pt idx="151">
                        <c:v>190922</c:v>
                      </c:pt>
                      <c:pt idx="152">
                        <c:v>191830</c:v>
                      </c:pt>
                      <c:pt idx="153">
                        <c:v>193622</c:v>
                      </c:pt>
                      <c:pt idx="154">
                        <c:v>194539</c:v>
                      </c:pt>
                      <c:pt idx="155">
                        <c:v>195584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209-4F7C-B4D0-66E8A6935DD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2757.9323654779196</c:v>
                      </c:pt>
                      <c:pt idx="1">
                        <c:v>2757.9323654779196</c:v>
                      </c:pt>
                      <c:pt idx="2">
                        <c:v>2757.9323654779196</c:v>
                      </c:pt>
                      <c:pt idx="3">
                        <c:v>2757.9323654779196</c:v>
                      </c:pt>
                      <c:pt idx="4">
                        <c:v>2757.9323654779196</c:v>
                      </c:pt>
                      <c:pt idx="5">
                        <c:v>2757.9323654779196</c:v>
                      </c:pt>
                      <c:pt idx="6">
                        <c:v>2757.9323654779196</c:v>
                      </c:pt>
                      <c:pt idx="7">
                        <c:v>2757.9323654779196</c:v>
                      </c:pt>
                      <c:pt idx="8">
                        <c:v>2757.9323654779196</c:v>
                      </c:pt>
                      <c:pt idx="9">
                        <c:v>2757.9323654779196</c:v>
                      </c:pt>
                      <c:pt idx="10">
                        <c:v>2757.9323654779196</c:v>
                      </c:pt>
                      <c:pt idx="11">
                        <c:v>2757.9323654779196</c:v>
                      </c:pt>
                      <c:pt idx="12">
                        <c:v>2757.9323654779196</c:v>
                      </c:pt>
                      <c:pt idx="13">
                        <c:v>2757.9323654779196</c:v>
                      </c:pt>
                      <c:pt idx="14">
                        <c:v>2757.9323654779196</c:v>
                      </c:pt>
                      <c:pt idx="15">
                        <c:v>2757.9323654779196</c:v>
                      </c:pt>
                      <c:pt idx="16">
                        <c:v>2757.9323654779196</c:v>
                      </c:pt>
                      <c:pt idx="17">
                        <c:v>2757.9323654779196</c:v>
                      </c:pt>
                      <c:pt idx="18">
                        <c:v>2757.9323654779196</c:v>
                      </c:pt>
                      <c:pt idx="19">
                        <c:v>2757.9323654779196</c:v>
                      </c:pt>
                      <c:pt idx="20">
                        <c:v>2757.9323654779196</c:v>
                      </c:pt>
                      <c:pt idx="21">
                        <c:v>2757.9323654779196</c:v>
                      </c:pt>
                      <c:pt idx="22">
                        <c:v>2757.9323654779196</c:v>
                      </c:pt>
                      <c:pt idx="23">
                        <c:v>2757.9323654779196</c:v>
                      </c:pt>
                      <c:pt idx="24">
                        <c:v>2757.9323654779196</c:v>
                      </c:pt>
                      <c:pt idx="25">
                        <c:v>2757.9323654779196</c:v>
                      </c:pt>
                      <c:pt idx="26">
                        <c:v>2757.9323654779196</c:v>
                      </c:pt>
                      <c:pt idx="27">
                        <c:v>2757.9323654779196</c:v>
                      </c:pt>
                      <c:pt idx="28">
                        <c:v>2757.9323654779196</c:v>
                      </c:pt>
                      <c:pt idx="29">
                        <c:v>2757.9323654779196</c:v>
                      </c:pt>
                      <c:pt idx="30">
                        <c:v>2757.9323654779196</c:v>
                      </c:pt>
                      <c:pt idx="31">
                        <c:v>2757.9323654779196</c:v>
                      </c:pt>
                      <c:pt idx="32">
                        <c:v>2757.9323654779196</c:v>
                      </c:pt>
                      <c:pt idx="33">
                        <c:v>2757.9323654779196</c:v>
                      </c:pt>
                      <c:pt idx="34">
                        <c:v>2757.9323654779196</c:v>
                      </c:pt>
                      <c:pt idx="35">
                        <c:v>2757.9323654779196</c:v>
                      </c:pt>
                      <c:pt idx="36">
                        <c:v>2757.9323654779196</c:v>
                      </c:pt>
                      <c:pt idx="37">
                        <c:v>2757.9323654779196</c:v>
                      </c:pt>
                      <c:pt idx="38">
                        <c:v>2757.9323654779196</c:v>
                      </c:pt>
                      <c:pt idx="39">
                        <c:v>2757.9323654779196</c:v>
                      </c:pt>
                      <c:pt idx="40">
                        <c:v>2757.9323654779196</c:v>
                      </c:pt>
                      <c:pt idx="41">
                        <c:v>2757.9323654779196</c:v>
                      </c:pt>
                      <c:pt idx="42">
                        <c:v>2757.9323654779196</c:v>
                      </c:pt>
                      <c:pt idx="43">
                        <c:v>2757.9323654779196</c:v>
                      </c:pt>
                      <c:pt idx="44">
                        <c:v>2757.9323654779196</c:v>
                      </c:pt>
                      <c:pt idx="45">
                        <c:v>2757.9323654779196</c:v>
                      </c:pt>
                      <c:pt idx="46">
                        <c:v>2757.9323654779196</c:v>
                      </c:pt>
                      <c:pt idx="47">
                        <c:v>2757.9323654779196</c:v>
                      </c:pt>
                      <c:pt idx="48">
                        <c:v>2757.9323654779196</c:v>
                      </c:pt>
                      <c:pt idx="49">
                        <c:v>2757.9323654779196</c:v>
                      </c:pt>
                      <c:pt idx="50">
                        <c:v>2757.9323654779196</c:v>
                      </c:pt>
                      <c:pt idx="51">
                        <c:v>2757.9323654779196</c:v>
                      </c:pt>
                      <c:pt idx="52">
                        <c:v>2757.9323654779196</c:v>
                      </c:pt>
                      <c:pt idx="53">
                        <c:v>2757.9323654779196</c:v>
                      </c:pt>
                      <c:pt idx="54">
                        <c:v>2757.9323654779196</c:v>
                      </c:pt>
                      <c:pt idx="55">
                        <c:v>2757.9323654779196</c:v>
                      </c:pt>
                      <c:pt idx="56">
                        <c:v>2757.9323654779196</c:v>
                      </c:pt>
                      <c:pt idx="57">
                        <c:v>2757.9323654779196</c:v>
                      </c:pt>
                      <c:pt idx="58">
                        <c:v>2757.9323654779196</c:v>
                      </c:pt>
                      <c:pt idx="59">
                        <c:v>2757.9323654779196</c:v>
                      </c:pt>
                      <c:pt idx="60">
                        <c:v>2757.9323654779196</c:v>
                      </c:pt>
                      <c:pt idx="61">
                        <c:v>2757.9323654779196</c:v>
                      </c:pt>
                      <c:pt idx="62">
                        <c:v>2757.9323654779196</c:v>
                      </c:pt>
                      <c:pt idx="63">
                        <c:v>2757.9323654779196</c:v>
                      </c:pt>
                      <c:pt idx="64">
                        <c:v>2757.9323654779196</c:v>
                      </c:pt>
                      <c:pt idx="65">
                        <c:v>2757.9323654779196</c:v>
                      </c:pt>
                      <c:pt idx="66">
                        <c:v>2757.9323654779196</c:v>
                      </c:pt>
                      <c:pt idx="67">
                        <c:v>2835.0028074434313</c:v>
                      </c:pt>
                      <c:pt idx="68">
                        <c:v>3507.9611701451859</c:v>
                      </c:pt>
                      <c:pt idx="69">
                        <c:v>4211.9541532306012</c:v>
                      </c:pt>
                      <c:pt idx="70">
                        <c:v>4948.1868838120954</c:v>
                      </c:pt>
                      <c:pt idx="71">
                        <c:v>5717.8886093484616</c:v>
                      </c:pt>
                      <c:pt idx="72">
                        <c:v>6522.3107396354008</c:v>
                      </c:pt>
                      <c:pt idx="73">
                        <c:v>7362.7245776180935</c:v>
                      </c:pt>
                      <c:pt idx="74">
                        <c:v>8240.4187178670563</c:v>
                      </c:pt>
                      <c:pt idx="75">
                        <c:v>9156.6960918259738</c:v>
                      </c:pt>
                      <c:pt idx="76">
                        <c:v>10147.346249156262</c:v>
                      </c:pt>
                      <c:pt idx="77">
                        <c:v>11199.741829805138</c:v>
                      </c:pt>
                      <c:pt idx="78">
                        <c:v>12296.4535649584</c:v>
                      </c:pt>
                      <c:pt idx="79">
                        <c:v>13438.843268082837</c:v>
                      </c:pt>
                      <c:pt idx="80">
                        <c:v>14628.265829898333</c:v>
                      </c:pt>
                      <c:pt idx="81">
                        <c:v>15866.063640859073</c:v>
                      </c:pt>
                      <c:pt idx="82">
                        <c:v>17153.560545657656</c:v>
                      </c:pt>
                      <c:pt idx="83">
                        <c:v>18492.055325581739</c:v>
                      </c:pt>
                      <c:pt idx="84">
                        <c:v>19882.814709131675</c:v>
                      </c:pt>
                      <c:pt idx="85">
                        <c:v>21327.065916542902</c:v>
                      </c:pt>
                      <c:pt idx="86">
                        <c:v>22825.988749762364</c:v>
                      </c:pt>
                      <c:pt idx="87">
                        <c:v>24380.707246003749</c:v>
                      </c:pt>
                      <c:pt idx="88">
                        <c:v>25992.280920233305</c:v>
                      </c:pt>
                      <c:pt idx="89">
                        <c:v>27661.695629787097</c:v>
                      </c:pt>
                      <c:pt idx="90">
                        <c:v>29389.85410273551</c:v>
                      </c:pt>
                      <c:pt idx="91">
                        <c:v>31177.566180515685</c:v>
                      </c:pt>
                      <c:pt idx="92">
                        <c:v>33025.538834650026</c:v>
                      </c:pt>
                      <c:pt idx="93">
                        <c:v>34934.366026929034</c:v>
                      </c:pt>
                      <c:pt idx="94">
                        <c:v>36904.518492111252</c:v>
                      </c:pt>
                      <c:pt idx="95">
                        <c:v>38936.333531798831</c:v>
                      </c:pt>
                      <c:pt idx="96">
                        <c:v>41030.004917481085</c:v>
                      </c:pt>
                      <c:pt idx="97">
                        <c:v>43185.573009571563</c:v>
                      </c:pt>
                      <c:pt idx="98">
                        <c:v>45402.915207341415</c:v>
                      </c:pt>
                      <c:pt idx="99">
                        <c:v>47681.736851712521</c:v>
                      </c:pt>
                      <c:pt idx="100">
                        <c:v>50021.562708633304</c:v>
                      </c:pt>
                      <c:pt idx="101">
                        <c:v>52421.729164940865</c:v>
                      </c:pt>
                      <c:pt idx="102">
                        <c:v>54881.377270933765</c:v>
                      </c:pt>
                      <c:pt idx="103">
                        <c:v>57399.446764080829</c:v>
                      </c:pt>
                      <c:pt idx="104">
                        <c:v>59974.671206131134</c:v>
                      </c:pt>
                      <c:pt idx="105">
                        <c:v>62605.574361168408</c:v>
                      </c:pt>
                      <c:pt idx="106">
                        <c:v>65290.467934712447</c:v>
                      </c:pt>
                      <c:pt idx="107">
                        <c:v>68027.450783715554</c:v>
                      </c:pt>
                      <c:pt idx="108">
                        <c:v>70814.409694202957</c:v>
                      </c:pt>
                      <c:pt idx="109">
                        <c:v>73649.021807412137</c:v>
                      </c:pt>
                      <c:pt idx="110">
                        <c:v>76528.758756728552</c:v>
                      </c:pt>
                      <c:pt idx="111">
                        <c:v>79450.892556714432</c:v>
                      </c:pt>
                      <c:pt idx="112">
                        <c:v>82412.503262391721</c:v>
                      </c:pt>
                      <c:pt idx="113">
                        <c:v>85410.488392063227</c:v>
                      </c:pt>
                      <c:pt idx="114">
                        <c:v>88441.574080812905</c:v>
                      </c:pt>
                      <c:pt idx="115">
                        <c:v>91502.327904959122</c:v>
                      </c:pt>
                      <c:pt idx="116">
                        <c:v>94589.173290742678</c:v>
                      </c:pt>
                      <c:pt idx="117">
                        <c:v>97698.40539405038</c:v>
                      </c:pt>
                      <c:pt idx="118">
                        <c:v>100826.20831266008</c:v>
                      </c:pt>
                      <c:pt idx="119">
                        <c:v>103968.67346899566</c:v>
                      </c:pt>
                      <c:pt idx="120">
                        <c:v>107121.81898032058</c:v>
                      </c:pt>
                      <c:pt idx="121">
                        <c:v>110281.60981525639</c:v>
                      </c:pt>
                      <c:pt idx="122">
                        <c:v>113443.97852098019</c:v>
                      </c:pt>
                      <c:pt idx="123">
                        <c:v>116604.84629485314</c:v>
                      </c:pt>
                      <c:pt idx="124">
                        <c:v>119760.14416785225</c:v>
                      </c:pt>
                      <c:pt idx="125">
                        <c:v>122905.83406521112</c:v>
                      </c:pt>
                      <c:pt idx="126">
                        <c:v>126037.92951216867</c:v>
                      </c:pt>
                      <c:pt idx="127">
                        <c:v>129152.51575960939</c:v>
                      </c:pt>
                      <c:pt idx="128">
                        <c:v>132245.76911544826</c:v>
                      </c:pt>
                      <c:pt idx="129">
                        <c:v>135313.97528254951</c:v>
                      </c:pt>
                      <c:pt idx="130">
                        <c:v>138353.54652234798</c:v>
                      </c:pt>
                      <c:pt idx="131">
                        <c:v>141361.03748464739</c:v>
                      </c:pt>
                      <c:pt idx="132">
                        <c:v>144333.15956772401</c:v>
                      </c:pt>
                      <c:pt idx="133">
                        <c:v>147266.79369823801</c:v>
                      </c:pt>
                      <c:pt idx="134">
                        <c:v>150159.001446896</c:v>
                      </c:pt>
                      <c:pt idx="135">
                        <c:v>153007.03442267154</c:v>
                      </c:pt>
                      <c:pt idx="136">
                        <c:v>155808.34191503999</c:v>
                      </c:pt>
                      <c:pt idx="137">
                        <c:v>158560.57677953943</c:v>
                      </c:pt>
                      <c:pt idx="138">
                        <c:v>161261.59958649456</c:v>
                      </c:pt>
                      <c:pt idx="139">
                        <c:v>163909.48107547974</c:v>
                      </c:pt>
                      <c:pt idx="140">
                        <c:v>166502.50297867134</c:v>
                      </c:pt>
                      <c:pt idx="141">
                        <c:v>169039.15729435461</c:v>
                      </c:pt>
                      <c:pt idx="142">
                        <c:v>171518.14410730486</c:v>
                      </c:pt>
                      <c:pt idx="143">
                        <c:v>173938.36806543346</c:v>
                      </c:pt>
                      <c:pt idx="144">
                        <c:v>176298.93363194953</c:v>
                      </c:pt>
                      <c:pt idx="145">
                        <c:v>178599.13923936605</c:v>
                      </c:pt>
                      <c:pt idx="146">
                        <c:v>180838.4704760905</c:v>
                      </c:pt>
                      <c:pt idx="147">
                        <c:v>183016.59243824132</c:v>
                      </c:pt>
                      <c:pt idx="148">
                        <c:v>185133.34137892781</c:v>
                      </c:pt>
                      <c:pt idx="149">
                        <c:v>187188.71578476747</c:v>
                      </c:pt>
                      <c:pt idx="150">
                        <c:v>189182.86700514835</c:v>
                      </c:pt>
                      <c:pt idx="151">
                        <c:v>191116.08955395562</c:v>
                      </c:pt>
                      <c:pt idx="152">
                        <c:v>192988.81119644444</c:v>
                      </c:pt>
                      <c:pt idx="153">
                        <c:v>194801.58292593114</c:v>
                      </c:pt>
                      <c:pt idx="154">
                        <c:v>196555.06892625545</c:v>
                      </c:pt>
                      <c:pt idx="155">
                        <c:v>198250.03660677536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09-4F7C-B4D0-66E8A6935DDB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202.02387839262201</c:v>
                      </c:pt>
                      <c:pt idx="72">
                        <c:v>1006.4460086795621</c:v>
                      </c:pt>
                      <c:pt idx="73">
                        <c:v>1846.8598466622548</c:v>
                      </c:pt>
                      <c:pt idx="74">
                        <c:v>2724.5539869112167</c:v>
                      </c:pt>
                      <c:pt idx="75">
                        <c:v>3640.8313608701351</c:v>
                      </c:pt>
                      <c:pt idx="76">
                        <c:v>4631.481518200424</c:v>
                      </c:pt>
                      <c:pt idx="77">
                        <c:v>5683.8770988492979</c:v>
                      </c:pt>
                      <c:pt idx="78">
                        <c:v>6780.5888340025595</c:v>
                      </c:pt>
                      <c:pt idx="79">
                        <c:v>7922.9785371269973</c:v>
                      </c:pt>
                      <c:pt idx="80">
                        <c:v>9112.4010989424933</c:v>
                      </c:pt>
                      <c:pt idx="81">
                        <c:v>10350.198909903233</c:v>
                      </c:pt>
                      <c:pt idx="82">
                        <c:v>11637.695814701818</c:v>
                      </c:pt>
                      <c:pt idx="83">
                        <c:v>12976.190594625901</c:v>
                      </c:pt>
                      <c:pt idx="84">
                        <c:v>14366.949978175837</c:v>
                      </c:pt>
                      <c:pt idx="85">
                        <c:v>15811.201185587064</c:v>
                      </c:pt>
                      <c:pt idx="86">
                        <c:v>17310.124018806528</c:v>
                      </c:pt>
                      <c:pt idx="87">
                        <c:v>18864.842515047912</c:v>
                      </c:pt>
                      <c:pt idx="88">
                        <c:v>20476.416189277468</c:v>
                      </c:pt>
                      <c:pt idx="89">
                        <c:v>22145.83089883126</c:v>
                      </c:pt>
                      <c:pt idx="90">
                        <c:v>23873.989371779673</c:v>
                      </c:pt>
                      <c:pt idx="91">
                        <c:v>25661.701449559849</c:v>
                      </c:pt>
                      <c:pt idx="92">
                        <c:v>27509.674103694189</c:v>
                      </c:pt>
                      <c:pt idx="93">
                        <c:v>29418.501295973198</c:v>
                      </c:pt>
                      <c:pt idx="94">
                        <c:v>31388.653761155412</c:v>
                      </c:pt>
                      <c:pt idx="95">
                        <c:v>33420.468800842988</c:v>
                      </c:pt>
                      <c:pt idx="96">
                        <c:v>35514.140186525241</c:v>
                      </c:pt>
                      <c:pt idx="97">
                        <c:v>37669.708278615719</c:v>
                      </c:pt>
                      <c:pt idx="98">
                        <c:v>39887.050476385572</c:v>
                      </c:pt>
                      <c:pt idx="99">
                        <c:v>42165.872120756678</c:v>
                      </c:pt>
                      <c:pt idx="100">
                        <c:v>44505.697977677461</c:v>
                      </c:pt>
                      <c:pt idx="101">
                        <c:v>46905.864433985022</c:v>
                      </c:pt>
                      <c:pt idx="102">
                        <c:v>49365.512539977921</c:v>
                      </c:pt>
                      <c:pt idx="103">
                        <c:v>51883.582033124985</c:v>
                      </c:pt>
                      <c:pt idx="104">
                        <c:v>54458.80647517529</c:v>
                      </c:pt>
                      <c:pt idx="105">
                        <c:v>57089.709630212565</c:v>
                      </c:pt>
                      <c:pt idx="106">
                        <c:v>59774.603203756604</c:v>
                      </c:pt>
                      <c:pt idx="107">
                        <c:v>62511.586052759711</c:v>
                      </c:pt>
                      <c:pt idx="108">
                        <c:v>65298.544963247121</c:v>
                      </c:pt>
                      <c:pt idx="109">
                        <c:v>68133.157076456308</c:v>
                      </c:pt>
                      <c:pt idx="110">
                        <c:v>71012.894025772723</c:v>
                      </c:pt>
                      <c:pt idx="111">
                        <c:v>73935.027825758603</c:v>
                      </c:pt>
                      <c:pt idx="112">
                        <c:v>76896.638531435892</c:v>
                      </c:pt>
                      <c:pt idx="113">
                        <c:v>79894.623661107398</c:v>
                      </c:pt>
                      <c:pt idx="114">
                        <c:v>82925.709349857076</c:v>
                      </c:pt>
                      <c:pt idx="115">
                        <c:v>85986.463174003293</c:v>
                      </c:pt>
                      <c:pt idx="116">
                        <c:v>89073.308559786848</c:v>
                      </c:pt>
                      <c:pt idx="117">
                        <c:v>92182.540663094551</c:v>
                      </c:pt>
                      <c:pt idx="118">
                        <c:v>95310.343581704248</c:v>
                      </c:pt>
                      <c:pt idx="119">
                        <c:v>98452.808738039836</c:v>
                      </c:pt>
                      <c:pt idx="120">
                        <c:v>101605.95424936475</c:v>
                      </c:pt>
                      <c:pt idx="121">
                        <c:v>104765.74508430056</c:v>
                      </c:pt>
                      <c:pt idx="122">
                        <c:v>107928.11379002436</c:v>
                      </c:pt>
                      <c:pt idx="123">
                        <c:v>111088.98156389731</c:v>
                      </c:pt>
                      <c:pt idx="124">
                        <c:v>114244.27943689642</c:v>
                      </c:pt>
                      <c:pt idx="125">
                        <c:v>117389.96933425529</c:v>
                      </c:pt>
                      <c:pt idx="126">
                        <c:v>120522.06478121284</c:v>
                      </c:pt>
                      <c:pt idx="127">
                        <c:v>123636.65102865356</c:v>
                      </c:pt>
                      <c:pt idx="128">
                        <c:v>126729.90438449242</c:v>
                      </c:pt>
                      <c:pt idx="129">
                        <c:v>129798.11055159367</c:v>
                      </c:pt>
                      <c:pt idx="130">
                        <c:v>132837.68179139213</c:v>
                      </c:pt>
                      <c:pt idx="131">
                        <c:v>135845.17275369153</c:v>
                      </c:pt>
                      <c:pt idx="132">
                        <c:v>138817.29483676815</c:v>
                      </c:pt>
                      <c:pt idx="133">
                        <c:v>141750.92896728215</c:v>
                      </c:pt>
                      <c:pt idx="134">
                        <c:v>144643.13671594014</c:v>
                      </c:pt>
                      <c:pt idx="135">
                        <c:v>147491.16969171568</c:v>
                      </c:pt>
                      <c:pt idx="136">
                        <c:v>150292.47718408413</c:v>
                      </c:pt>
                      <c:pt idx="137">
                        <c:v>153044.71204858358</c:v>
                      </c:pt>
                      <c:pt idx="138">
                        <c:v>155745.7348555387</c:v>
                      </c:pt>
                      <c:pt idx="139">
                        <c:v>158393.61634452388</c:v>
                      </c:pt>
                      <c:pt idx="140">
                        <c:v>160986.63824771548</c:v>
                      </c:pt>
                      <c:pt idx="141">
                        <c:v>163523.29256339875</c:v>
                      </c:pt>
                      <c:pt idx="142">
                        <c:v>166002.279376349</c:v>
                      </c:pt>
                      <c:pt idx="143">
                        <c:v>168422.5033344776</c:v>
                      </c:pt>
                      <c:pt idx="144">
                        <c:v>170783.06890099368</c:v>
                      </c:pt>
                      <c:pt idx="145">
                        <c:v>173083.27450841019</c:v>
                      </c:pt>
                      <c:pt idx="146">
                        <c:v>175322.60574513464</c:v>
                      </c:pt>
                      <c:pt idx="147">
                        <c:v>177500.72770728546</c:v>
                      </c:pt>
                      <c:pt idx="148">
                        <c:v>179617.47664797195</c:v>
                      </c:pt>
                      <c:pt idx="149">
                        <c:v>181672.85105381161</c:v>
                      </c:pt>
                      <c:pt idx="150">
                        <c:v>183667.00227419249</c:v>
                      </c:pt>
                      <c:pt idx="151">
                        <c:v>185600.22482299976</c:v>
                      </c:pt>
                      <c:pt idx="152">
                        <c:v>187472.94646548858</c:v>
                      </c:pt>
                      <c:pt idx="153">
                        <c:v>189285.71819497528</c:v>
                      </c:pt>
                      <c:pt idx="154">
                        <c:v>191039.20419529959</c:v>
                      </c:pt>
                      <c:pt idx="155">
                        <c:v>192734.17187581951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09-4F7C-B4D0-66E8A6935DDB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Cumul_removed_bSIR!$U$7</c15:sqref>
                        </c15:formulaRef>
                      </c:ext>
                    </c:extLst>
                    <c:strCache>
                      <c:ptCount val="1"/>
                      <c:pt idx="0">
                        <c:v>rest of Italy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Cumul_removed_bSIR!$U$8:$U$184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62</c:v>
                      </c:pt>
                      <c:pt idx="58">
                        <c:v>67</c:v>
                      </c:pt>
                      <c:pt idx="59">
                        <c:v>75</c:v>
                      </c:pt>
                      <c:pt idx="60">
                        <c:v>113</c:v>
                      </c:pt>
                      <c:pt idx="61">
                        <c:v>197</c:v>
                      </c:pt>
                      <c:pt idx="62">
                        <c:v>234</c:v>
                      </c:pt>
                      <c:pt idx="63">
                        <c:v>378</c:v>
                      </c:pt>
                      <c:pt idx="64">
                        <c:v>555</c:v>
                      </c:pt>
                      <c:pt idx="65">
                        <c:v>712</c:v>
                      </c:pt>
                      <c:pt idx="66">
                        <c:v>813</c:v>
                      </c:pt>
                      <c:pt idx="67">
                        <c:v>977</c:v>
                      </c:pt>
                      <c:pt idx="68">
                        <c:v>1175</c:v>
                      </c:pt>
                      <c:pt idx="69">
                        <c:v>1622</c:v>
                      </c:pt>
                      <c:pt idx="70">
                        <c:v>1859</c:v>
                      </c:pt>
                      <c:pt idx="71">
                        <c:v>2243</c:v>
                      </c:pt>
                      <c:pt idx="72">
                        <c:v>2664</c:v>
                      </c:pt>
                      <c:pt idx="73">
                        <c:v>3328</c:v>
                      </c:pt>
                      <c:pt idx="74">
                        <c:v>4078</c:v>
                      </c:pt>
                      <c:pt idx="75">
                        <c:v>4815</c:v>
                      </c:pt>
                      <c:pt idx="76">
                        <c:v>5327</c:v>
                      </c:pt>
                      <c:pt idx="77">
                        <c:v>6860</c:v>
                      </c:pt>
                      <c:pt idx="78">
                        <c:v>7669</c:v>
                      </c:pt>
                      <c:pt idx="79">
                        <c:v>8941</c:v>
                      </c:pt>
                      <c:pt idx="80">
                        <c:v>10620</c:v>
                      </c:pt>
                      <c:pt idx="81">
                        <c:v>12186</c:v>
                      </c:pt>
                      <c:pt idx="82">
                        <c:v>13138</c:v>
                      </c:pt>
                      <c:pt idx="83">
                        <c:v>14722</c:v>
                      </c:pt>
                      <c:pt idx="84">
                        <c:v>16386</c:v>
                      </c:pt>
                      <c:pt idx="85">
                        <c:v>17986</c:v>
                      </c:pt>
                      <c:pt idx="86">
                        <c:v>19448</c:v>
                      </c:pt>
                      <c:pt idx="87">
                        <c:v>21671</c:v>
                      </c:pt>
                      <c:pt idx="88">
                        <c:v>23012</c:v>
                      </c:pt>
                      <c:pt idx="89">
                        <c:v>25377</c:v>
                      </c:pt>
                      <c:pt idx="90">
                        <c:v>27249</c:v>
                      </c:pt>
                      <c:pt idx="91">
                        <c:v>28987</c:v>
                      </c:pt>
                      <c:pt idx="92">
                        <c:v>31071</c:v>
                      </c:pt>
                      <c:pt idx="93">
                        <c:v>33220</c:v>
                      </c:pt>
                      <c:pt idx="94">
                        <c:v>35049</c:v>
                      </c:pt>
                      <c:pt idx="95">
                        <c:v>36346</c:v>
                      </c:pt>
                      <c:pt idx="96">
                        <c:v>37928</c:v>
                      </c:pt>
                      <c:pt idx="97">
                        <c:v>39974</c:v>
                      </c:pt>
                      <c:pt idx="98">
                        <c:v>42499</c:v>
                      </c:pt>
                      <c:pt idx="99">
                        <c:v>44982</c:v>
                      </c:pt>
                      <c:pt idx="100">
                        <c:v>47414</c:v>
                      </c:pt>
                      <c:pt idx="101">
                        <c:v>49959</c:v>
                      </c:pt>
                      <c:pt idx="102">
                        <c:v>51949</c:v>
                      </c:pt>
                      <c:pt idx="103">
                        <c:v>53669</c:v>
                      </c:pt>
                      <c:pt idx="104">
                        <c:v>55855</c:v>
                      </c:pt>
                      <c:pt idx="105">
                        <c:v>57265</c:v>
                      </c:pt>
                      <c:pt idx="106">
                        <c:v>59732</c:v>
                      </c:pt>
                      <c:pt idx="107">
                        <c:v>62743</c:v>
                      </c:pt>
                      <c:pt idx="108">
                        <c:v>65265</c:v>
                      </c:pt>
                      <c:pt idx="109">
                        <c:v>67677</c:v>
                      </c:pt>
                      <c:pt idx="110">
                        <c:v>69818</c:v>
                      </c:pt>
                      <c:pt idx="111">
                        <c:v>72947</c:v>
                      </c:pt>
                      <c:pt idx="112">
                        <c:v>76186</c:v>
                      </c:pt>
                      <c:pt idx="113">
                        <c:v>79542</c:v>
                      </c:pt>
                      <c:pt idx="114">
                        <c:v>82731</c:v>
                      </c:pt>
                      <c:pt idx="115">
                        <c:v>85636</c:v>
                      </c:pt>
                      <c:pt idx="116">
                        <c:v>87564</c:v>
                      </c:pt>
                      <c:pt idx="117">
                        <c:v>89539</c:v>
                      </c:pt>
                      <c:pt idx="118">
                        <c:v>92099</c:v>
                      </c:pt>
                      <c:pt idx="119">
                        <c:v>94621</c:v>
                      </c:pt>
                      <c:pt idx="120">
                        <c:v>99470</c:v>
                      </c:pt>
                      <c:pt idx="121">
                        <c:v>101877</c:v>
                      </c:pt>
                      <c:pt idx="122">
                        <c:v>103910</c:v>
                      </c:pt>
                      <c:pt idx="123">
                        <c:v>105730</c:v>
                      </c:pt>
                      <c:pt idx="124">
                        <c:v>107054</c:v>
                      </c:pt>
                      <c:pt idx="125">
                        <c:v>109498</c:v>
                      </c:pt>
                      <c:pt idx="126">
                        <c:v>117684</c:v>
                      </c:pt>
                      <c:pt idx="127">
                        <c:v>120837</c:v>
                      </c:pt>
                      <c:pt idx="128">
                        <c:v>123677</c:v>
                      </c:pt>
                      <c:pt idx="129">
                        <c:v>127670</c:v>
                      </c:pt>
                      <c:pt idx="130">
                        <c:v>129858</c:v>
                      </c:pt>
                      <c:pt idx="131">
                        <c:v>131338</c:v>
                      </c:pt>
                      <c:pt idx="132">
                        <c:v>133866</c:v>
                      </c:pt>
                      <c:pt idx="133">
                        <c:v>137435</c:v>
                      </c:pt>
                      <c:pt idx="134">
                        <c:v>140321</c:v>
                      </c:pt>
                      <c:pt idx="135">
                        <c:v>145358</c:v>
                      </c:pt>
                      <c:pt idx="136">
                        <c:v>147995</c:v>
                      </c:pt>
                      <c:pt idx="137">
                        <c:v>150381</c:v>
                      </c:pt>
                      <c:pt idx="138">
                        <c:v>152481</c:v>
                      </c:pt>
                      <c:pt idx="139">
                        <c:v>154577</c:v>
                      </c:pt>
                      <c:pt idx="140">
                        <c:v>157501</c:v>
                      </c:pt>
                      <c:pt idx="141">
                        <c:v>159777</c:v>
                      </c:pt>
                      <c:pt idx="142">
                        <c:v>161855</c:v>
                      </c:pt>
                      <c:pt idx="143">
                        <c:v>163882</c:v>
                      </c:pt>
                      <c:pt idx="144">
                        <c:v>165408</c:v>
                      </c:pt>
                      <c:pt idx="145">
                        <c:v>166917</c:v>
                      </c:pt>
                      <c:pt idx="146">
                        <c:v>169501</c:v>
                      </c:pt>
                      <c:pt idx="147">
                        <c:v>171853</c:v>
                      </c:pt>
                      <c:pt idx="148">
                        <c:v>175286</c:v>
                      </c:pt>
                      <c:pt idx="149">
                        <c:v>177448</c:v>
                      </c:pt>
                      <c:pt idx="150">
                        <c:v>180103</c:v>
                      </c:pt>
                      <c:pt idx="151">
                        <c:v>181928</c:v>
                      </c:pt>
                      <c:pt idx="152">
                        <c:v>182722</c:v>
                      </c:pt>
                      <c:pt idx="153">
                        <c:v>184434</c:v>
                      </c:pt>
                      <c:pt idx="154">
                        <c:v>185302</c:v>
                      </c:pt>
                      <c:pt idx="155">
                        <c:v>186206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09-4F7C-B4D0-66E8A6935DDB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removals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Italy</a:t>
            </a:r>
            <a:r>
              <a:rPr lang="en-US" baseline="0">
                <a:solidFill>
                  <a:srgbClr val="0070C0"/>
                </a:solidFill>
              </a:rPr>
              <a:t> - </a:t>
            </a:r>
            <a:r>
              <a:rPr lang="en-US">
                <a:solidFill>
                  <a:srgbClr val="0070C0"/>
                </a:solidFill>
              </a:rPr>
              <a:t>New</a:t>
            </a:r>
            <a:r>
              <a:rPr lang="en-US" baseline="0">
                <a:solidFill>
                  <a:srgbClr val="0070C0"/>
                </a:solidFill>
              </a:rPr>
              <a:t> vs Accumulative removals - Phase space trajectory - basic SIR normalized</a:t>
            </a:r>
            <a:endParaRPr lang="en-US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bSIR'!$N$7</c:f>
              <c:strCache>
                <c:ptCount val="1"/>
                <c:pt idx="0">
                  <c:v>Italy remov. rate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bSIR'!$H$77:$H$184</c:f>
              <c:numCache>
                <c:formatCode>General</c:formatCode>
                <c:ptCount val="108"/>
                <c:pt idx="0">
                  <c:v>4.8016819328869339E-3</c:v>
                </c:pt>
                <c:pt idx="1">
                  <c:v>8.1412630729892198E-3</c:v>
                </c:pt>
                <c:pt idx="2">
                  <c:v>1.1629789324244598E-2</c:v>
                </c:pt>
                <c:pt idx="3">
                  <c:v>1.5272696737239695E-2</c:v>
                </c:pt>
                <c:pt idx="4">
                  <c:v>1.9075501672308377E-2</c:v>
                </c:pt>
                <c:pt idx="5">
                  <c:v>2.3043789354715159E-2</c:v>
                </c:pt>
                <c:pt idx="6">
                  <c:v>2.7183200943045136E-2</c:v>
                </c:pt>
                <c:pt idx="7">
                  <c:v>3.1499419029601128E-2</c:v>
                </c:pt>
                <c:pt idx="8">
                  <c:v>3.599815149578154E-2</c:v>
                </c:pt>
                <c:pt idx="9">
                  <c:v>4.0685113651185427E-2</c:v>
                </c:pt>
                <c:pt idx="10">
                  <c:v>4.5566008592712322E-2</c:v>
                </c:pt>
                <c:pt idx="11">
                  <c:v>5.0646505729396787E-2</c:v>
                </c:pt>
                <c:pt idx="12">
                  <c:v>5.5932217430280227E-2</c:v>
                </c:pt>
                <c:pt idx="13">
                  <c:v>6.1428673766446069E-2</c:v>
                </c:pt>
                <c:pt idx="14">
                  <c:v>6.7141295334565143E-2</c:v>
                </c:pt>
                <c:pt idx="15">
                  <c:v>7.3075364168014537E-2</c:v>
                </c:pt>
                <c:pt idx="16">
                  <c:v>7.9235992762939494E-2</c:v>
                </c:pt>
                <c:pt idx="17">
                  <c:v>8.5628091270546408E-2</c:v>
                </c:pt>
                <c:pt idx="18">
                  <c:v>9.2256332933444443E-2</c:v>
                </c:pt>
                <c:pt idx="19">
                  <c:v>9.9125117872910035E-2</c:v>
                </c:pt>
                <c:pt idx="20">
                  <c:v>0.10623853536539375</c:v>
                </c:pt>
                <c:pt idx="21">
                  <c:v>0.11360032478021199</c:v>
                </c:pt>
                <c:pt idx="22">
                  <c:v>0.12121383538583916</c:v>
                </c:pt>
                <c:pt idx="23">
                  <c:v>0.12908198526916748</c:v>
                </c:pt>
                <c:pt idx="24">
                  <c:v>0.13720721965000848</c:v>
                </c:pt>
                <c:pt idx="25">
                  <c:v>0.1455914689113931</c:v>
                </c:pt>
                <c:pt idx="26">
                  <c:v>0.15423610670417437</c:v>
                </c:pt>
                <c:pt idx="27">
                  <c:v>0.16314190852124988</c:v>
                </c:pt>
                <c:pt idx="28">
                  <c:v>0.17230901117152145</c:v>
                </c:pt>
                <c:pt idx="29">
                  <c:v>0.18173687361550606</c:v>
                </c:pt>
                <c:pt idx="30">
                  <c:v>0.19142423965230226</c:v>
                </c:pt>
                <c:pt idx="31">
                  <c:v>0.2013691029703005</c:v>
                </c:pt>
                <c:pt idx="32">
                  <c:v>0.21156867509053356</c:v>
                </c:pt>
                <c:pt idx="33">
                  <c:v>0.22201935674082729</c:v>
                </c:pt>
                <c:pt idx="34">
                  <c:v>0.232716713199906</c:v>
                </c:pt>
                <c:pt idx="35">
                  <c:v>0.24365545414241835</c:v>
                </c:pt>
                <c:pt idx="36">
                  <c:v>0.25482941849769564</c:v>
                </c:pt>
                <c:pt idx="37">
                  <c:v>0.26623156480630772</c:v>
                </c:pt>
                <c:pt idx="38">
                  <c:v>0.27785396751877489</c:v>
                </c:pt>
                <c:pt idx="39">
                  <c:v>0.28968781962996698</c:v>
                </c:pt>
                <c:pt idx="40">
                  <c:v>0.30172344198094919</c:v>
                </c:pt>
                <c:pt idx="41">
                  <c:v>0.3139502994877747</c:v>
                </c:pt>
                <c:pt idx="42">
                  <c:v>0.32635702447478204</c:v>
                </c:pt>
                <c:pt idx="43">
                  <c:v>0.33893144719947133</c:v>
                </c:pt>
                <c:pt idx="44">
                  <c:v>0.35166063355847499</c:v>
                </c:pt>
                <c:pt idx="45">
                  <c:v>0.36453092986127472</c:v>
                </c:pt>
                <c:pt idx="46">
                  <c:v>0.37752801445220147</c:v>
                </c:pt>
                <c:pt idx="47">
                  <c:v>0.3906369558541542</c:v>
                </c:pt>
                <c:pt idx="48">
                  <c:v>0.40384227700180964</c:v>
                </c:pt>
                <c:pt idx="49">
                  <c:v>0.41712802503039709</c:v>
                </c:pt>
                <c:pt idx="50">
                  <c:v>0.43047784599088063</c:v>
                </c:pt>
                <c:pt idx="51">
                  <c:v>0.44387506377609148</c:v>
                </c:pt>
                <c:pt idx="52">
                  <c:v>0.45730276246723883</c:v>
                </c:pt>
                <c:pt idx="53">
                  <c:v>0.47074387124833583</c:v>
                </c:pt>
                <c:pt idx="54">
                  <c:v>0.48418125098910336</c:v>
                </c:pt>
                <c:pt idx="55">
                  <c:v>0.49759778156616485</c:v>
                </c:pt>
                <c:pt idx="56">
                  <c:v>0.51097644897867778</c:v>
                </c:pt>
                <c:pt idx="57">
                  <c:v>0.52430043131835868</c:v>
                </c:pt>
                <c:pt idx="58">
                  <c:v>0.53755318267503194</c:v>
                </c:pt>
                <c:pt idx="59">
                  <c:v>0.5507185140967672</c:v>
                </c:pt>
                <c:pt idx="60">
                  <c:v>0.56378067077732785</c:v>
                </c:pt>
                <c:pt idx="61">
                  <c:v>0.57672440471151565</c:v>
                </c:pt>
                <c:pt idx="62">
                  <c:v>0.58953504213924957</c:v>
                </c:pt>
                <c:pt idx="63">
                  <c:v>0.60219854518968952</c:v>
                </c:pt>
                <c:pt idx="64">
                  <c:v>0.6147015672350663</c:v>
                </c:pt>
                <c:pt idx="65">
                  <c:v>0.62703150156761711</c:v>
                </c:pt>
                <c:pt idx="66">
                  <c:v>0.63917652311961504</c:v>
                </c:pt>
                <c:pt idx="67">
                  <c:v>0.65112562305345045</c:v>
                </c:pt>
                <c:pt idx="68">
                  <c:v>0.66286863615368274</c:v>
                </c:pt>
                <c:pt idx="69">
                  <c:v>0.67439626105378059</c:v>
                </c:pt>
                <c:pt idx="70">
                  <c:v>0.68570007342494332</c:v>
                </c:pt>
                <c:pt idx="71">
                  <c:v>0.69677253234133363</c:v>
                </c:pt>
                <c:pt idx="72">
                  <c:v>0.70760698011389422</c:v>
                </c:pt>
                <c:pt idx="73">
                  <c:v>0.71819763595270447</c:v>
                </c:pt>
                <c:pt idx="74">
                  <c:v>0.72853958387487805</c:v>
                </c:pt>
                <c:pt idx="75">
                  <c:v>0.73862875532099448</c:v>
                </c:pt>
                <c:pt idx="76">
                  <c:v>0.74846190697796666</c:v>
                </c:pt>
                <c:pt idx="77">
                  <c:v>0.758036594330321</c:v>
                </c:pt>
                <c:pt idx="78">
                  <c:v>0.76735114147560157</c:v>
                </c:pt>
                <c:pt idx="79">
                  <c:v>0.77640460774369602</c:v>
                </c:pt>
                <c:pt idx="80">
                  <c:v>0.78519675165517122</c:v>
                </c:pt>
                <c:pt idx="81">
                  <c:v>0.79372799274116546</c:v>
                </c:pt>
                <c:pt idx="82">
                  <c:v>0.80199937172805047</c:v>
                </c:pt>
                <c:pt idx="83">
                  <c:v>0.81001250956504245</c:v>
                </c:pt>
                <c:pt idx="84">
                  <c:v>0.81776956574328064</c:v>
                </c:pt>
                <c:pt idx="85">
                  <c:v>0.82527319632165697</c:v>
                </c:pt>
                <c:pt idx="86">
                  <c:v>0.83252651203889838</c:v>
                </c:pt>
                <c:pt idx="87">
                  <c:v>0.83953303685398861</c:v>
                </c:pt>
                <c:pt idx="88">
                  <c:v>0.84629666721883112</c:v>
                </c:pt>
                <c:pt idx="89">
                  <c:v>0.85282163234885311</c:v>
                </c:pt>
                <c:pt idx="90">
                  <c:v>0.85911245571970007</c:v>
                </c:pt>
                <c:pt idx="91">
                  <c:v>0.86517391798179288</c:v>
                </c:pt>
                <c:pt idx="92">
                  <c:v>0.87101102144982168</c:v>
                </c:pt>
                <c:pt idx="93">
                  <c:v>0.8766289562915317</c:v>
                </c:pt>
                <c:pt idx="94">
                  <c:v>0.88203306850973784</c:v>
                </c:pt>
                <c:pt idx="95">
                  <c:v>0.88722882978351991</c:v>
                </c:pt>
                <c:pt idx="96">
                  <c:v>0.89222180920917193</c:v>
                </c:pt>
                <c:pt idx="97">
                  <c:v>0.89701764695867536</c:v>
                </c:pt>
                <c:pt idx="98">
                  <c:v>0.90162202985331175</c:v>
                </c:pt>
                <c:pt idx="99">
                  <c:v>0.90604066883239975</c:v>
                </c:pt>
                <c:pt idx="100">
                  <c:v>0.91027927828198774</c:v>
                </c:pt>
                <c:pt idx="101">
                  <c:v>0.91434355717549964</c:v>
                </c:pt>
                <c:pt idx="102">
                  <c:v>0.91823917196771232</c:v>
                </c:pt>
                <c:pt idx="103">
                  <c:v>0.92197174117482705</c:v>
                </c:pt>
                <c:pt idx="104">
                  <c:v>0.9255468215666659</c:v>
                </c:pt>
                <c:pt idx="105">
                  <c:v>0.92896989589196821</c:v>
                </c:pt>
                <c:pt idx="106">
                  <c:v>0.9322463620542164</c:v>
                </c:pt>
                <c:pt idx="107">
                  <c:v>0.93538152365322347</c:v>
                </c:pt>
              </c:numCache>
            </c:numRef>
          </c:xVal>
          <c:yVal>
            <c:numRef>
              <c:f>'New_removed - bSIR'!$N$77:$N$184</c:f>
              <c:numCache>
                <c:formatCode>General</c:formatCode>
                <c:ptCount val="108"/>
                <c:pt idx="0">
                  <c:v>0.24302745560549649</c:v>
                </c:pt>
                <c:pt idx="1">
                  <c:v>0.25390760056092682</c:v>
                </c:pt>
                <c:pt idx="2">
                  <c:v>0.26518889356215097</c:v>
                </c:pt>
                <c:pt idx="3">
                  <c:v>0.27687769930364814</c:v>
                </c:pt>
                <c:pt idx="4">
                  <c:v>0.28897958432193538</c:v>
                </c:pt>
                <c:pt idx="5">
                  <c:v>0.30149920948881692</c:v>
                </c:pt>
                <c:pt idx="6">
                  <c:v>0.31444021634464364</c:v>
                </c:pt>
                <c:pt idx="7">
                  <c:v>0.32780510752770547</c:v>
                </c:pt>
                <c:pt idx="8">
                  <c:v>0.34159512166749206</c:v>
                </c:pt>
                <c:pt idx="9">
                  <c:v>0.35581010323416762</c:v>
                </c:pt>
                <c:pt idx="10">
                  <c:v>0.3704483679742378</c:v>
                </c:pt>
                <c:pt idx="11">
                  <c:v>0.38550656471269212</c:v>
                </c:pt>
                <c:pt idx="12">
                  <c:v>0.4009795344642359</c:v>
                </c:pt>
                <c:pt idx="13">
                  <c:v>0.41686016796943615</c:v>
                </c:pt>
                <c:pt idx="14">
                  <c:v>0.43313926295411426</c:v>
                </c:pt>
                <c:pt idx="15">
                  <c:v>0.44980538259995145</c:v>
                </c:pt>
                <c:pt idx="16">
                  <c:v>0.46684471690828688</c:v>
                </c:pt>
                <c:pt idx="17">
                  <c:v>0.48424094883406033</c:v>
                </c:pt>
                <c:pt idx="18">
                  <c:v>0.50197512725870352</c:v>
                </c:pt>
                <c:pt idx="19">
                  <c:v>0.52002554905473752</c:v>
                </c:pt>
                <c:pt idx="20">
                  <c:v>0.53836765266542208</c:v>
                </c:pt>
                <c:pt idx="21">
                  <c:v>0.55697392577392646</c:v>
                </c:pt>
                <c:pt idx="22">
                  <c:v>0.57581382976146667</c:v>
                </c:pt>
                <c:pt idx="23">
                  <c:v>0.59485374374553246</c:v>
                </c:pt>
                <c:pt idx="24">
                  <c:v>0.61405693104025649</c:v>
                </c:pt>
                <c:pt idx="25">
                  <c:v>0.63338353088353094</c:v>
                </c:pt>
                <c:pt idx="26">
                  <c:v>0.65279057822222286</c:v>
                </c:pt>
                <c:pt idx="27">
                  <c:v>0.67223205423063359</c:v>
                </c:pt>
                <c:pt idx="28">
                  <c:v>0.69165897005182597</c:v>
                </c:pt>
                <c:pt idx="29">
                  <c:v>0.71101948599128706</c:v>
                </c:pt>
                <c:pt idx="30">
                  <c:v>0.73025906805367025</c:v>
                </c:pt>
                <c:pt idx="31">
                  <c:v>0.74932068329400348</c:v>
                </c:pt>
                <c:pt idx="32">
                  <c:v>0.76814503495484476</c:v>
                </c:pt>
                <c:pt idx="33">
                  <c:v>0.78667083778300728</c:v>
                </c:pt>
                <c:pt idx="34">
                  <c:v>0.80483513326910638</c:v>
                </c:pt>
                <c:pt idx="35">
                  <c:v>0.82257364383872922</c:v>
                </c:pt>
                <c:pt idx="36">
                  <c:v>0.83982116425711095</c:v>
                </c:pt>
                <c:pt idx="37">
                  <c:v>0.85651198770450609</c:v>
                </c:pt>
                <c:pt idx="38">
                  <c:v>0.87258036315473431</c:v>
                </c:pt>
                <c:pt idx="39">
                  <c:v>0.88796097986499123</c:v>
                </c:pt>
                <c:pt idx="40">
                  <c:v>0.90258947398360678</c:v>
                </c:pt>
                <c:pt idx="41">
                  <c:v>0.9164029515282015</c:v>
                </c:pt>
                <c:pt idx="42">
                  <c:v>0.92934052130461209</c:v>
                </c:pt>
                <c:pt idx="43">
                  <c:v>0.941343830752018</c:v>
                </c:pt>
                <c:pt idx="44">
                  <c:v>0.95235759723571012</c:v>
                </c:pt>
                <c:pt idx="45">
                  <c:v>0.96233012698760811</c:v>
                </c:pt>
                <c:pt idx="46">
                  <c:v>0.97121381373448723</c:v>
                </c:pt>
                <c:pt idx="47">
                  <c:v>0.97896560906928709</c:v>
                </c:pt>
                <c:pt idx="48">
                  <c:v>0.98554745682108169</c:v>
                </c:pt>
                <c:pt idx="49">
                  <c:v>0.99092668406790607</c:v>
                </c:pt>
                <c:pt idx="50">
                  <c:v>0.99507634201086514</c:v>
                </c:pt>
                <c:pt idx="51">
                  <c:v>0.99797549067870173</c:v>
                </c:pt>
                <c:pt idx="52">
                  <c:v>0.99960942234367189</c:v>
                </c:pt>
                <c:pt idx="53">
                  <c:v>0.99996981958061293</c:v>
                </c:pt>
                <c:pt idx="54">
                  <c:v>0.99905484506463915</c:v>
                </c:pt>
                <c:pt idx="55">
                  <c:v>0.99686916144763127</c:v>
                </c:pt>
                <c:pt idx="56">
                  <c:v>0.99342388094518874</c:v>
                </c:pt>
                <c:pt idx="57">
                  <c:v>0.9887364455675991</c:v>
                </c:pt>
                <c:pt idx="58">
                  <c:v>0.98283044020392663</c:v>
                </c:pt>
                <c:pt idx="59">
                  <c:v>0.9757353419818191</c:v>
                </c:pt>
                <c:pt idx="60">
                  <c:v>0.96748621044385263</c:v>
                </c:pt>
                <c:pt idx="61">
                  <c:v>0.95812332407465095</c:v>
                </c:pt>
                <c:pt idx="62">
                  <c:v>0.94769176955700951</c:v>
                </c:pt>
                <c:pt idx="63">
                  <c:v>0.93624099081075196</c:v>
                </c:pt>
                <c:pt idx="64">
                  <c:v>0.92382430536228788</c:v>
                </c:pt>
                <c:pt idx="65">
                  <c:v>0.91049839589946291</c:v>
                </c:pt>
                <c:pt idx="66">
                  <c:v>0.89632278498532147</c:v>
                </c:pt>
                <c:pt idx="67">
                  <c:v>0.88135930084199554</c:v>
                </c:pt>
                <c:pt idx="68">
                  <c:v>0.86567154188363982</c:v>
                </c:pt>
                <c:pt idx="69">
                  <c:v>0.84932434729146589</c:v>
                </c:pt>
                <c:pt idx="70">
                  <c:v>0.83238328040449905</c:v>
                </c:pt>
                <c:pt idx="71">
                  <c:v>0.81491413106946498</c:v>
                </c:pt>
                <c:pt idx="72">
                  <c:v>0.79698244237668514</c:v>
                </c:pt>
                <c:pt idx="73">
                  <c:v>0.77865306643103038</c:v>
                </c:pt>
                <c:pt idx="74">
                  <c:v>0.75998975299269</c:v>
                </c:pt>
                <c:pt idx="75">
                  <c:v>0.7410547739953407</c:v>
                </c:pt>
                <c:pt idx="76">
                  <c:v>0.72190858613091224</c:v>
                </c:pt>
                <c:pt idx="77">
                  <c:v>0.7026095328999008</c:v>
                </c:pt>
                <c:pt idx="78">
                  <c:v>0.68321358678044652</c:v>
                </c:pt>
                <c:pt idx="79">
                  <c:v>0.66377413148157927</c:v>
                </c:pt>
                <c:pt idx="80">
                  <c:v>0.64434178362634864</c:v>
                </c:pt>
                <c:pt idx="81">
                  <c:v>0.6249642526661231</c:v>
                </c:pt>
                <c:pt idx="82">
                  <c:v>0.60568623736228266</c:v>
                </c:pt>
                <c:pt idx="83">
                  <c:v>0.58654935678740272</c:v>
                </c:pt>
                <c:pt idx="84">
                  <c:v>0.56759211349382688</c:v>
                </c:pt>
                <c:pt idx="85">
                  <c:v>0.54884988627042253</c:v>
                </c:pt>
                <c:pt idx="86">
                  <c:v>0.53035494975365904</c:v>
                </c:pt>
                <c:pt idx="87">
                  <c:v>0.51213651807116811</c:v>
                </c:pt>
                <c:pt idx="88">
                  <c:v>0.49422080966785986</c:v>
                </c:pt>
                <c:pt idx="89">
                  <c:v>0.47663113048920147</c:v>
                </c:pt>
                <c:pt idx="90">
                  <c:v>0.45938797276585186</c:v>
                </c:pt>
                <c:pt idx="91">
                  <c:v>0.44250912675090459</c:v>
                </c:pt>
                <c:pt idx="92">
                  <c:v>0.42600980289819934</c:v>
                </c:pt>
                <c:pt idx="93">
                  <c:v>0.40990276213053883</c:v>
                </c:pt>
                <c:pt idx="94">
                  <c:v>0.39419845202376758</c:v>
                </c:pt>
                <c:pt idx="95">
                  <c:v>0.37890514692068605</c:v>
                </c:pt>
                <c:pt idx="96">
                  <c:v>0.36402909018253043</c:v>
                </c:pt>
                <c:pt idx="97">
                  <c:v>0.34957463698076502</c:v>
                </c:pt>
                <c:pt idx="98">
                  <c:v>0.33554439622442794</c:v>
                </c:pt>
                <c:pt idx="99">
                  <c:v>0.32193937040509313</c:v>
                </c:pt>
                <c:pt idx="100">
                  <c:v>0.30875909232022486</c:v>
                </c:pt>
                <c:pt idx="101">
                  <c:v>0.29600175780433335</c:v>
                </c:pt>
                <c:pt idx="102">
                  <c:v>0.28366435375455368</c:v>
                </c:pt>
                <c:pt idx="103">
                  <c:v>0.27174278088212334</c:v>
                </c:pt>
                <c:pt idx="104">
                  <c:v>0.26023197075322396</c:v>
                </c:pt>
                <c:pt idx="105">
                  <c:v>0.24912599680158878</c:v>
                </c:pt>
                <c:pt idx="106">
                  <c:v>0.23841817910129423</c:v>
                </c:pt>
                <c:pt idx="107">
                  <c:v>0.22810118278157546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'New_removed - bSIR'!$J$7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bSIR'!$H$77:$H$184</c:f>
              <c:numCache>
                <c:formatCode>General</c:formatCode>
                <c:ptCount val="108"/>
                <c:pt idx="0">
                  <c:v>4.8016819328869339E-3</c:v>
                </c:pt>
                <c:pt idx="1">
                  <c:v>8.1412630729892198E-3</c:v>
                </c:pt>
                <c:pt idx="2">
                  <c:v>1.1629789324244598E-2</c:v>
                </c:pt>
                <c:pt idx="3">
                  <c:v>1.5272696737239695E-2</c:v>
                </c:pt>
                <c:pt idx="4">
                  <c:v>1.9075501672308377E-2</c:v>
                </c:pt>
                <c:pt idx="5">
                  <c:v>2.3043789354715159E-2</c:v>
                </c:pt>
                <c:pt idx="6">
                  <c:v>2.7183200943045136E-2</c:v>
                </c:pt>
                <c:pt idx="7">
                  <c:v>3.1499419029601128E-2</c:v>
                </c:pt>
                <c:pt idx="8">
                  <c:v>3.599815149578154E-2</c:v>
                </c:pt>
                <c:pt idx="9">
                  <c:v>4.0685113651185427E-2</c:v>
                </c:pt>
                <c:pt idx="10">
                  <c:v>4.5566008592712322E-2</c:v>
                </c:pt>
                <c:pt idx="11">
                  <c:v>5.0646505729396787E-2</c:v>
                </c:pt>
                <c:pt idx="12">
                  <c:v>5.5932217430280227E-2</c:v>
                </c:pt>
                <c:pt idx="13">
                  <c:v>6.1428673766446069E-2</c:v>
                </c:pt>
                <c:pt idx="14">
                  <c:v>6.7141295334565143E-2</c:v>
                </c:pt>
                <c:pt idx="15">
                  <c:v>7.3075364168014537E-2</c:v>
                </c:pt>
                <c:pt idx="16">
                  <c:v>7.9235992762939494E-2</c:v>
                </c:pt>
                <c:pt idx="17">
                  <c:v>8.5628091270546408E-2</c:v>
                </c:pt>
                <c:pt idx="18">
                  <c:v>9.2256332933444443E-2</c:v>
                </c:pt>
                <c:pt idx="19">
                  <c:v>9.9125117872910035E-2</c:v>
                </c:pt>
                <c:pt idx="20">
                  <c:v>0.10623853536539375</c:v>
                </c:pt>
                <c:pt idx="21">
                  <c:v>0.11360032478021199</c:v>
                </c:pt>
                <c:pt idx="22">
                  <c:v>0.12121383538583916</c:v>
                </c:pt>
                <c:pt idx="23">
                  <c:v>0.12908198526916748</c:v>
                </c:pt>
                <c:pt idx="24">
                  <c:v>0.13720721965000848</c:v>
                </c:pt>
                <c:pt idx="25">
                  <c:v>0.1455914689113931</c:v>
                </c:pt>
                <c:pt idx="26">
                  <c:v>0.15423610670417437</c:v>
                </c:pt>
                <c:pt idx="27">
                  <c:v>0.16314190852124988</c:v>
                </c:pt>
                <c:pt idx="28">
                  <c:v>0.17230901117152145</c:v>
                </c:pt>
                <c:pt idx="29">
                  <c:v>0.18173687361550606</c:v>
                </c:pt>
                <c:pt idx="30">
                  <c:v>0.19142423965230226</c:v>
                </c:pt>
                <c:pt idx="31">
                  <c:v>0.2013691029703005</c:v>
                </c:pt>
                <c:pt idx="32">
                  <c:v>0.21156867509053356</c:v>
                </c:pt>
                <c:pt idx="33">
                  <c:v>0.22201935674082729</c:v>
                </c:pt>
                <c:pt idx="34">
                  <c:v>0.232716713199906</c:v>
                </c:pt>
                <c:pt idx="35">
                  <c:v>0.24365545414241835</c:v>
                </c:pt>
                <c:pt idx="36">
                  <c:v>0.25482941849769564</c:v>
                </c:pt>
                <c:pt idx="37">
                  <c:v>0.26623156480630772</c:v>
                </c:pt>
                <c:pt idx="38">
                  <c:v>0.27785396751877489</c:v>
                </c:pt>
                <c:pt idx="39">
                  <c:v>0.28968781962996698</c:v>
                </c:pt>
                <c:pt idx="40">
                  <c:v>0.30172344198094919</c:v>
                </c:pt>
                <c:pt idx="41">
                  <c:v>0.3139502994877747</c:v>
                </c:pt>
                <c:pt idx="42">
                  <c:v>0.32635702447478204</c:v>
                </c:pt>
                <c:pt idx="43">
                  <c:v>0.33893144719947133</c:v>
                </c:pt>
                <c:pt idx="44">
                  <c:v>0.35166063355847499</c:v>
                </c:pt>
                <c:pt idx="45">
                  <c:v>0.36453092986127472</c:v>
                </c:pt>
                <c:pt idx="46">
                  <c:v>0.37752801445220147</c:v>
                </c:pt>
                <c:pt idx="47">
                  <c:v>0.3906369558541542</c:v>
                </c:pt>
                <c:pt idx="48">
                  <c:v>0.40384227700180964</c:v>
                </c:pt>
                <c:pt idx="49">
                  <c:v>0.41712802503039709</c:v>
                </c:pt>
                <c:pt idx="50">
                  <c:v>0.43047784599088063</c:v>
                </c:pt>
                <c:pt idx="51">
                  <c:v>0.44387506377609148</c:v>
                </c:pt>
                <c:pt idx="52">
                  <c:v>0.45730276246723883</c:v>
                </c:pt>
                <c:pt idx="53">
                  <c:v>0.47074387124833583</c:v>
                </c:pt>
                <c:pt idx="54">
                  <c:v>0.48418125098910336</c:v>
                </c:pt>
                <c:pt idx="55">
                  <c:v>0.49759778156616485</c:v>
                </c:pt>
                <c:pt idx="56">
                  <c:v>0.51097644897867778</c:v>
                </c:pt>
                <c:pt idx="57">
                  <c:v>0.52430043131835868</c:v>
                </c:pt>
                <c:pt idx="58">
                  <c:v>0.53755318267503194</c:v>
                </c:pt>
                <c:pt idx="59">
                  <c:v>0.5507185140967672</c:v>
                </c:pt>
                <c:pt idx="60">
                  <c:v>0.56378067077732785</c:v>
                </c:pt>
                <c:pt idx="61">
                  <c:v>0.57672440471151565</c:v>
                </c:pt>
                <c:pt idx="62">
                  <c:v>0.58953504213924957</c:v>
                </c:pt>
                <c:pt idx="63">
                  <c:v>0.60219854518968952</c:v>
                </c:pt>
                <c:pt idx="64">
                  <c:v>0.6147015672350663</c:v>
                </c:pt>
                <c:pt idx="65">
                  <c:v>0.62703150156761711</c:v>
                </c:pt>
                <c:pt idx="66">
                  <c:v>0.63917652311961504</c:v>
                </c:pt>
                <c:pt idx="67">
                  <c:v>0.65112562305345045</c:v>
                </c:pt>
                <c:pt idx="68">
                  <c:v>0.66286863615368274</c:v>
                </c:pt>
                <c:pt idx="69">
                  <c:v>0.67439626105378059</c:v>
                </c:pt>
                <c:pt idx="70">
                  <c:v>0.68570007342494332</c:v>
                </c:pt>
                <c:pt idx="71">
                  <c:v>0.69677253234133363</c:v>
                </c:pt>
                <c:pt idx="72">
                  <c:v>0.70760698011389422</c:v>
                </c:pt>
                <c:pt idx="73">
                  <c:v>0.71819763595270447</c:v>
                </c:pt>
                <c:pt idx="74">
                  <c:v>0.72853958387487805</c:v>
                </c:pt>
                <c:pt idx="75">
                  <c:v>0.73862875532099448</c:v>
                </c:pt>
                <c:pt idx="76">
                  <c:v>0.74846190697796666</c:v>
                </c:pt>
                <c:pt idx="77">
                  <c:v>0.758036594330321</c:v>
                </c:pt>
                <c:pt idx="78">
                  <c:v>0.76735114147560157</c:v>
                </c:pt>
                <c:pt idx="79">
                  <c:v>0.77640460774369602</c:v>
                </c:pt>
                <c:pt idx="80">
                  <c:v>0.78519675165517122</c:v>
                </c:pt>
                <c:pt idx="81">
                  <c:v>0.79372799274116546</c:v>
                </c:pt>
                <c:pt idx="82">
                  <c:v>0.80199937172805047</c:v>
                </c:pt>
                <c:pt idx="83">
                  <c:v>0.81001250956504245</c:v>
                </c:pt>
                <c:pt idx="84">
                  <c:v>0.81776956574328064</c:v>
                </c:pt>
                <c:pt idx="85">
                  <c:v>0.82527319632165697</c:v>
                </c:pt>
                <c:pt idx="86">
                  <c:v>0.83252651203889838</c:v>
                </c:pt>
                <c:pt idx="87">
                  <c:v>0.83953303685398861</c:v>
                </c:pt>
                <c:pt idx="88">
                  <c:v>0.84629666721883112</c:v>
                </c:pt>
                <c:pt idx="89">
                  <c:v>0.85282163234885311</c:v>
                </c:pt>
                <c:pt idx="90">
                  <c:v>0.85911245571970007</c:v>
                </c:pt>
                <c:pt idx="91">
                  <c:v>0.86517391798179288</c:v>
                </c:pt>
                <c:pt idx="92">
                  <c:v>0.87101102144982168</c:v>
                </c:pt>
                <c:pt idx="93">
                  <c:v>0.8766289562915317</c:v>
                </c:pt>
                <c:pt idx="94">
                  <c:v>0.88203306850973784</c:v>
                </c:pt>
                <c:pt idx="95">
                  <c:v>0.88722882978351991</c:v>
                </c:pt>
                <c:pt idx="96">
                  <c:v>0.89222180920917193</c:v>
                </c:pt>
                <c:pt idx="97">
                  <c:v>0.89701764695867536</c:v>
                </c:pt>
                <c:pt idx="98">
                  <c:v>0.90162202985331175</c:v>
                </c:pt>
                <c:pt idx="99">
                  <c:v>0.90604066883239975</c:v>
                </c:pt>
                <c:pt idx="100">
                  <c:v>0.91027927828198774</c:v>
                </c:pt>
                <c:pt idx="101">
                  <c:v>0.91434355717549964</c:v>
                </c:pt>
                <c:pt idx="102">
                  <c:v>0.91823917196771232</c:v>
                </c:pt>
                <c:pt idx="103">
                  <c:v>0.92197174117482705</c:v>
                </c:pt>
                <c:pt idx="104">
                  <c:v>0.9255468215666659</c:v>
                </c:pt>
                <c:pt idx="105">
                  <c:v>0.92896989589196821</c:v>
                </c:pt>
                <c:pt idx="106">
                  <c:v>0.9322463620542164</c:v>
                </c:pt>
                <c:pt idx="107">
                  <c:v>0.93538152365322347</c:v>
                </c:pt>
              </c:numCache>
            </c:numRef>
          </c:xVal>
          <c:yVal>
            <c:numRef>
              <c:f>'New_removed - bSIR'!$J$77:$J$184</c:f>
              <c:numCache>
                <c:formatCode>General</c:formatCode>
                <c:ptCount val="108"/>
                <c:pt idx="0">
                  <c:v>0.24090575125111557</c:v>
                </c:pt>
                <c:pt idx="1">
                  <c:v>0.25174572557297709</c:v>
                </c:pt>
                <c:pt idx="2">
                  <c:v>0.26298995523613178</c:v>
                </c:pt>
                <c:pt idx="3">
                  <c:v>0.27464515877568474</c:v>
                </c:pt>
                <c:pt idx="4">
                  <c:v>0.2867172634395162</c:v>
                </c:pt>
                <c:pt idx="5">
                  <c:v>0.299211294987828</c:v>
                </c:pt>
                <c:pt idx="6">
                  <c:v>0.31213126091196941</c:v>
                </c:pt>
                <c:pt idx="7">
                  <c:v>0.32548002731034414</c:v>
                </c:pt>
                <c:pt idx="8">
                  <c:v>0.33925918977578823</c:v>
                </c:pt>
                <c:pt idx="9">
                  <c:v>0.35346893877967733</c:v>
                </c:pt>
                <c:pt idx="10">
                  <c:v>0.36810792018325733</c:v>
                </c:pt>
                <c:pt idx="11">
                  <c:v>0.38317309166606045</c:v>
                </c:pt>
                <c:pt idx="12">
                  <c:v>0.39865957603414626</c:v>
                </c:pt>
                <c:pt idx="13">
                  <c:v>0.41456051255618959</c:v>
                </c:pt>
                <c:pt idx="14">
                  <c:v>0.43086690767147251</c:v>
                </c:pt>
                <c:pt idx="15">
                  <c:v>0.44756748661842316</c:v>
                </c:pt>
                <c:pt idx="16">
                  <c:v>0.46464854774250736</c:v>
                </c:pt>
                <c:pt idx="17">
                  <c:v>0.48209382145442792</c:v>
                </c:pt>
                <c:pt idx="18">
                  <c:v>0.49988433601929866</c:v>
                </c:pt>
                <c:pt idx="19">
                  <c:v>0.51799829255953178</c:v>
                </c:pt>
                <c:pt idx="20">
                  <c:v>0.53641095184267618</c:v>
                </c:pt>
                <c:pt idx="21">
                  <c:v>0.55509453559362298</c:v>
                </c:pt>
                <c:pt idx="22">
                  <c:v>0.57401814521110728</c:v>
                </c:pt>
                <c:pt idx="23">
                  <c:v>0.59314770087332003</c:v>
                </c:pt>
                <c:pt idx="24">
                  <c:v>0.61244590407841493</c:v>
                </c:pt>
                <c:pt idx="25">
                  <c:v>0.63187222667423926</c:v>
                </c:pt>
                <c:pt idx="26">
                  <c:v>0.6513829293793294</c:v>
                </c:pt>
                <c:pt idx="27">
                  <c:v>0.67093111267613381</c:v>
                </c:pt>
                <c:pt idx="28">
                  <c:v>0.69046680276031192</c:v>
                </c:pt>
                <c:pt idx="29">
                  <c:v>0.70993707495075431</c:v>
                </c:pt>
                <c:pt idx="30">
                  <c:v>0.72928621659929926</c:v>
                </c:pt>
                <c:pt idx="31">
                  <c:v>0.74845593108447728</c:v>
                </c:pt>
                <c:pt idx="32">
                  <c:v>0.76738558393018974</c:v>
                </c:pt>
                <c:pt idx="33">
                  <c:v>0.78601249146080987</c:v>
                </c:pt>
                <c:pt idx="34">
                  <c:v>0.80427225169505245</c:v>
                </c:pt>
                <c:pt idx="35">
                  <c:v>0.82209911640150157</c:v>
                </c:pt>
                <c:pt idx="36">
                  <c:v>0.83942640240220068</c:v>
                </c:pt>
                <c:pt idx="37">
                  <c:v>0.85618693933373413</c:v>
                </c:pt>
                <c:pt idx="38">
                  <c:v>0.87231355017793588</c:v>
                </c:pt>
                <c:pt idx="39">
                  <c:v>0.88773955997972687</c:v>
                </c:pt>
                <c:pt idx="40">
                  <c:v>0.90239932730317474</c:v>
                </c:pt>
                <c:pt idx="41">
                  <c:v>0.91622879216587472</c:v>
                </c:pt>
                <c:pt idx="42">
                  <c:v>0.92916603346418447</c:v>
                </c:pt>
                <c:pt idx="43">
                  <c:v>0.94115182828552069</c:v>
                </c:pt>
                <c:pt idx="44">
                  <c:v>0.95213020502506984</c:v>
                </c:pt>
                <c:pt idx="45">
                  <c:v>0.96204898190668076</c:v>
                </c:pt>
                <c:pt idx="46">
                  <c:v>0.9708602823712037</c:v>
                </c:pt>
                <c:pt idx="47">
                  <c:v>0.97852101885501153</c:v>
                </c:pt>
                <c:pt idx="48">
                  <c:v>0.98499333674592826</c:v>
                </c:pt>
                <c:pt idx="49">
                  <c:v>0.99024501077549276</c:v>
                </c:pt>
                <c:pt idx="50">
                  <c:v>0.9942497867806489</c:v>
                </c:pt>
                <c:pt idx="51">
                  <c:v>0.99698766263224359</c:v>
                </c:pt>
                <c:pt idx="52">
                  <c:v>0.99844510316288249</c:v>
                </c:pt>
                <c:pt idx="53">
                  <c:v>0.99861518510670855</c:v>
                </c:pt>
                <c:pt idx="54">
                  <c:v>0.9974976693569001</c:v>
                </c:pt>
                <c:pt idx="55">
                  <c:v>0.99509899921680978</c:v>
                </c:pt>
                <c:pt idx="56">
                  <c:v>0.99143222472843695</c:v>
                </c:pt>
                <c:pt idx="57">
                  <c:v>0.98651685456635607</c:v>
                </c:pt>
                <c:pt idx="58">
                  <c:v>0.98037863834565508</c:v>
                </c:pt>
                <c:pt idx="59">
                  <c:v>0.97304928346993158</c:v>
                </c:pt>
                <c:pt idx="60">
                  <c:v>0.96456611180448337</c:v>
                </c:pt>
                <c:pt idx="61">
                  <c:v>0.95497166246974419</c:v>
                </c:pt>
                <c:pt idx="62">
                  <c:v>0.94431324788599669</c:v>
                </c:pt>
                <c:pt idx="63">
                  <c:v>0.93264247084428786</c:v>
                </c:pt>
                <c:pt idx="64">
                  <c:v>0.92001471081943387</c:v>
                </c:pt>
                <c:pt idx="65">
                  <c:v>0.90648858797536846</c:v>
                </c:pt>
                <c:pt idx="66">
                  <c:v>0.89212541334441853</c:v>
                </c:pt>
                <c:pt idx="67">
                  <c:v>0.87698863350033862</c:v>
                </c:pt>
                <c:pt idx="68">
                  <c:v>0.86114327770592081</c:v>
                </c:pt>
                <c:pt idx="69">
                  <c:v>0.84465541502019115</c:v>
                </c:pt>
                <c:pt idx="70">
                  <c:v>0.82759162822172927</c:v>
                </c:pt>
                <c:pt idx="71">
                  <c:v>0.81001851067000119</c:v>
                </c:pt>
                <c:pt idx="72">
                  <c:v>0.79200219141348704</c:v>
                </c:pt>
                <c:pt idx="73">
                  <c:v>0.77360789298955468</c:v>
                </c:pt>
                <c:pt idx="74">
                  <c:v>0.75489952547328998</c:v>
                </c:pt>
                <c:pt idx="75">
                  <c:v>0.7359393194457724</c:v>
                </c:pt>
                <c:pt idx="76">
                  <c:v>0.71678749968896693</c:v>
                </c:pt>
                <c:pt idx="77">
                  <c:v>0.69750200059385448</c:v>
                </c:pt>
                <c:pt idx="78">
                  <c:v>0.67813822350652631</c:v>
                </c:pt>
                <c:pt idx="79">
                  <c:v>0.65874883554617536</c:v>
                </c:pt>
                <c:pt idx="80">
                  <c:v>0.63938360881809375</c:v>
                </c:pt>
                <c:pt idx="81">
                  <c:v>0.62008929841939775</c:v>
                </c:pt>
                <c:pt idx="82">
                  <c:v>0.6009095571977271</c:v>
                </c:pt>
                <c:pt idx="83">
                  <c:v>0.58188488487313772</c:v>
                </c:pt>
                <c:pt idx="84">
                  <c:v>0.56305260886817865</c:v>
                </c:pt>
                <c:pt idx="85">
                  <c:v>0.54444689400597446</c:v>
                </c:pt>
                <c:pt idx="86">
                  <c:v>0.52609877812490047</c:v>
                </c:pt>
                <c:pt idx="87">
                  <c:v>0.50803623061382086</c:v>
                </c:pt>
                <c:pt idx="88">
                  <c:v>0.49028423088594936</c:v>
                </c:pt>
                <c:pt idx="89">
                  <c:v>0.47286486387384907</c:v>
                </c:pt>
                <c:pt idx="90">
                  <c:v>0.45579742973458465</c:v>
                </c:pt>
                <c:pt idx="91">
                  <c:v>0.43909856509444201</c:v>
                </c:pt>
                <c:pt idx="92">
                  <c:v>0.42278237332920227</c:v>
                </c:pt>
                <c:pt idx="93">
                  <c:v>0.40686056156159012</c:v>
                </c:pt>
                <c:pt idx="94">
                  <c:v>0.39134258225567053</c:v>
                </c:pt>
                <c:pt idx="95">
                  <c:v>0.37623577749297593</c:v>
                </c:pt>
                <c:pt idx="96">
                  <c:v>0.36154552422196468</c:v>
                </c:pt>
                <c:pt idx="97">
                  <c:v>0.34727537897691474</c:v>
                </c:pt>
                <c:pt idx="98">
                  <c:v>0.33342722076101478</c:v>
                </c:pt>
                <c:pt idx="99">
                  <c:v>0.32000139097852903</c:v>
                </c:pt>
                <c:pt idx="100">
                  <c:v>0.30699682948035573</c:v>
                </c:pt>
                <c:pt idx="101">
                  <c:v>0.29441120595452946</c:v>
                </c:pt>
                <c:pt idx="102">
                  <c:v>0.28224104604727118</c:v>
                </c:pt>
                <c:pt idx="103">
                  <c:v>0.27048185174046357</c:v>
                </c:pt>
                <c:pt idx="104">
                  <c:v>0.25912821563776051</c:v>
                </c:pt>
                <c:pt idx="105">
                  <c:v>0.24817392892405371</c:v>
                </c:pt>
                <c:pt idx="106">
                  <c:v>0.23761208286207808</c:v>
                </c:pt>
                <c:pt idx="107">
                  <c:v>0.2274351637761442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'New_removed - bSIR'!$B$6</c:f>
              <c:strCache>
                <c:ptCount val="1"/>
                <c:pt idx="0">
                  <c:v>05/06/2020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'New_removed - bSIR'!$H$6</c:f>
              <c:numCache>
                <c:formatCode>General</c:formatCode>
                <c:ptCount val="1"/>
                <c:pt idx="0">
                  <c:v>0.83953303685398861</c:v>
                </c:pt>
              </c:numCache>
            </c:numRef>
          </c:xVal>
          <c:yVal>
            <c:numRef>
              <c:f>'New_removed - bSIR'!$I$6</c:f>
              <c:numCache>
                <c:formatCode>General</c:formatCode>
                <c:ptCount val="1"/>
                <c:pt idx="0">
                  <c:v>0.51213651807116811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selected region</a:t>
            </a:r>
            <a:r>
              <a:rPr lang="en-US" baseline="0">
                <a:solidFill>
                  <a:srgbClr val="FF0000"/>
                </a:solidFill>
              </a:rPr>
              <a:t> - </a:t>
            </a:r>
            <a:r>
              <a:rPr lang="en-US">
                <a:solidFill>
                  <a:srgbClr val="FF0000"/>
                </a:solidFill>
              </a:rPr>
              <a:t>New</a:t>
            </a:r>
            <a:r>
              <a:rPr lang="en-US" baseline="0">
                <a:solidFill>
                  <a:srgbClr val="FF0000"/>
                </a:solidFill>
              </a:rPr>
              <a:t> vs Accumulative removals - Phase space trajectory - basic SIR normalized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bSIR'!$AA$7</c:f>
              <c:strCache>
                <c:ptCount val="1"/>
                <c:pt idx="0">
                  <c:v>region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bSIR'!$Y$83:$Y$184</c:f>
              <c:numCache>
                <c:formatCode>General</c:formatCode>
                <c:ptCount val="102"/>
                <c:pt idx="0">
                  <c:v>0</c:v>
                </c:pt>
                <c:pt idx="1">
                  <c:v>2.6205465961816788E-3</c:v>
                </c:pt>
                <c:pt idx="2">
                  <c:v>6.8013852056202796E-3</c:v>
                </c:pt>
                <c:pt idx="3">
                  <c:v>1.1117020616866492E-2</c:v>
                </c:pt>
                <c:pt idx="4">
                  <c:v>1.5570404823551197E-2</c:v>
                </c:pt>
                <c:pt idx="5">
                  <c:v>2.0164450565565394E-2</c:v>
                </c:pt>
                <c:pt idx="6">
                  <c:v>2.4902021980888599E-2</c:v>
                </c:pt>
                <c:pt idx="7">
                  <c:v>2.978592474430276E-2</c:v>
                </c:pt>
                <c:pt idx="8">
                  <c:v>3.4818895699283724E-2</c:v>
                </c:pt>
                <c:pt idx="9">
                  <c:v>4.0003591993455191E-2</c:v>
                </c:pt>
                <c:pt idx="10">
                  <c:v>4.5342579732426162E-2</c:v>
                </c:pt>
                <c:pt idx="11">
                  <c:v>5.0838322171630423E-2</c:v>
                </c:pt>
                <c:pt idx="12">
                  <c:v>5.6493167470913729E-2</c:v>
                </c:pt>
                <c:pt idx="13">
                  <c:v>6.2309336042064033E-2</c:v>
                </c:pt>
                <c:pt idx="14">
                  <c:v>6.8288907525227746E-2</c:v>
                </c:pt>
                <c:pt idx="15">
                  <c:v>7.4433807436153382E-2</c:v>
                </c:pt>
                <c:pt idx="16">
                  <c:v>8.0745793532433482E-2</c:v>
                </c:pt>
                <c:pt idx="17">
                  <c:v>8.7226441953308184E-2</c:v>
                </c:pt>
                <c:pt idx="18">
                  <c:v>9.3877133194101334E-2</c:v>
                </c:pt>
                <c:pt idx="19">
                  <c:v>0.10069903798291174</c:v>
                </c:pt>
                <c:pt idx="20">
                  <c:v>0.10769310313370602</c:v>
                </c:pt>
                <c:pt idx="21">
                  <c:v>0.11486003745636261</c:v>
                </c:pt>
                <c:pt idx="22">
                  <c:v>0.1222002978104193</c:v>
                </c:pt>
                <c:pt idx="23">
                  <c:v>0.12971407539516258</c:v>
                </c:pt>
                <c:pt idx="24">
                  <c:v>0.13740128237417862</c:v>
                </c:pt>
                <c:pt idx="25">
                  <c:v>0.14526153893742685</c:v>
                </c:pt>
                <c:pt idx="26">
                  <c:v>0.15329416090821199</c:v>
                </c:pt>
                <c:pt idx="27">
                  <c:v>0.16149814800596565</c:v>
                </c:pt>
                <c:pt idx="28">
                  <c:v>0.16987217287841958</c:v>
                </c:pt>
                <c:pt idx="29">
                  <c:v>0.17841457101841818</c:v>
                </c:pt>
                <c:pt idx="30">
                  <c:v>0.18712333168118342</c:v>
                </c:pt>
                <c:pt idx="31">
                  <c:v>0.19599608991719136</c:v>
                </c:pt>
                <c:pt idx="32">
                  <c:v>0.20503011983387595</c:v>
                </c:pt>
                <c:pt idx="33">
                  <c:v>0.21422232919602882</c:v>
                </c:pt>
                <c:pt idx="34">
                  <c:v>0.22356925546998838</c:v>
                </c:pt>
                <c:pt idx="35">
                  <c:v>0.23306706341042857</c:v>
                </c:pt>
                <c:pt idx="36">
                  <c:v>0.24271154428076697</c:v>
                </c:pt>
                <c:pt idx="37">
                  <c:v>0.25249811678890399</c:v>
                </c:pt>
                <c:pt idx="38">
                  <c:v>0.2624218298092087</c:v>
                </c:pt>
                <c:pt idx="39">
                  <c:v>0.2724773669494413</c:v>
                </c:pt>
                <c:pt idx="40">
                  <c:v>0.2826590530077272</c:v>
                </c:pt>
                <c:pt idx="41">
                  <c:v>0.29296086234988894</c:v>
                </c:pt>
                <c:pt idx="42">
                  <c:v>0.30337642922154184</c:v>
                </c:pt>
                <c:pt idx="43">
                  <c:v>0.31389905999253925</c:v>
                </c:pt>
                <c:pt idx="44">
                  <c:v>0.32452174731380967</c:v>
                </c:pt>
                <c:pt idx="45">
                  <c:v>0.33523718614857789</c:v>
                </c:pt>
                <c:pt idx="46">
                  <c:v>0.34603779162165726</c:v>
                </c:pt>
                <c:pt idx="47">
                  <c:v>0.35691571861218385</c:v>
                </c:pt>
                <c:pt idx="48">
                  <c:v>0.36786288299711228</c:v>
                </c:pt>
                <c:pt idx="49">
                  <c:v>0.37887098443528883</c:v>
                </c:pt>
                <c:pt idx="50">
                  <c:v>0.38993153056521213</c:v>
                </c:pt>
                <c:pt idx="51">
                  <c:v>0.40103586247399098</c:v>
                </c:pt>
                <c:pt idx="52">
                  <c:v>0.41217518128073344</c:v>
                </c:pt>
                <c:pt idx="53">
                  <c:v>0.42334057566492828</c:v>
                </c:pt>
                <c:pt idx="54">
                  <c:v>0.43452305015949266</c:v>
                </c:pt>
                <c:pt idx="55">
                  <c:v>0.44571355401928503</c:v>
                </c:pt>
                <c:pt idx="56">
                  <c:v>0.45690301046914161</c:v>
                </c:pt>
                <c:pt idx="57">
                  <c:v>0.46808234613103644</c:v>
                </c:pt>
                <c:pt idx="58">
                  <c:v>0.47924252042784848</c:v>
                </c:pt>
                <c:pt idx="59">
                  <c:v>0.49037455476149888</c:v>
                </c:pt>
                <c:pt idx="60">
                  <c:v>0.50146956126588094</c:v>
                </c:pt>
                <c:pt idx="61">
                  <c:v>0.51251877093999554</c:v>
                </c:pt>
                <c:pt idx="62">
                  <c:v>0.52351356097395618</c:v>
                </c:pt>
                <c:pt idx="63">
                  <c:v>0.534445481089876</c:v>
                </c:pt>
                <c:pt idx="64">
                  <c:v>0.54530627873097093</c:v>
                </c:pt>
                <c:pt idx="65">
                  <c:v>0.55608792294527398</c:v>
                </c:pt>
                <c:pt idx="66">
                  <c:v>0.56678262682495695</c:v>
                </c:pt>
                <c:pt idx="67">
                  <c:v>0.57738286837814268</c:v>
                </c:pt>
                <c:pt idx="68">
                  <c:v>0.58788140972699177</c:v>
                </c:pt>
                <c:pt idx="69">
                  <c:v>0.59827131454351845</c:v>
                </c:pt>
                <c:pt idx="70">
                  <c:v>0.6085459636527113</c:v>
                </c:pt>
                <c:pt idx="71">
                  <c:v>0.6186990687508841</c:v>
                </c:pt>
                <c:pt idx="72">
                  <c:v>0.6287246842054427</c:v>
                </c:pt>
                <c:pt idx="73">
                  <c:v>0.63861721692021067</c:v>
                </c:pt>
                <c:pt idx="74">
                  <c:v>0.6483714342678556</c:v>
                </c:pt>
                <c:pt idx="75">
                  <c:v>0.65798247010757105</c:v>
                </c:pt>
                <c:pt idx="76">
                  <c:v>0.66744582892184767</c:v>
                </c:pt>
                <c:pt idx="77">
                  <c:v>0.67675738812068842</c:v>
                </c:pt>
                <c:pt idx="78">
                  <c:v>0.68591339857490474</c:v>
                </c:pt>
                <c:pt idx="79">
                  <c:v>0.69491048345202711</c:v>
                </c:pt>
                <c:pt idx="80">
                  <c:v>0.70374563543882529</c:v>
                </c:pt>
                <c:pt idx="81">
                  <c:v>0.71241621244338782</c:v>
                </c:pt>
                <c:pt idx="82">
                  <c:v>0.72091993187715542</c:v>
                </c:pt>
                <c:pt idx="83">
                  <c:v>0.72925486362323433</c:v>
                </c:pt>
                <c:pt idx="84">
                  <c:v>0.73741942180175912</c:v>
                </c:pt>
                <c:pt idx="85">
                  <c:v>0.74541235544608331</c:v>
                </c:pt>
                <c:pt idx="86">
                  <c:v>0.75323273820522874</c:v>
                </c:pt>
                <c:pt idx="87">
                  <c:v>0.76087995718837265</c:v>
                </c:pt>
                <c:pt idx="88">
                  <c:v>0.76835370106633405</c:v>
                </c:pt>
                <c:pt idx="89">
                  <c:v>0.77565394754310857</c:v>
                </c:pt>
                <c:pt idx="90">
                  <c:v>0.78278095030762129</c:v>
                </c:pt>
                <c:pt idx="91">
                  <c:v>0.78973522557214082</c:v>
                </c:pt>
                <c:pt idx="92">
                  <c:v>0.79651753829932803</c:v>
                </c:pt>
                <c:pt idx="93">
                  <c:v>0.8031288882148182</c:v>
                </c:pt>
                <c:pt idx="94">
                  <c:v>0.80957049569665007</c:v>
                </c:pt>
                <c:pt idx="95">
                  <c:v>0.8158437876268847</c:v>
                </c:pt>
                <c:pt idx="96">
                  <c:v>0.82195038328450354</c:v>
                </c:pt>
                <c:pt idx="97">
                  <c:v>0.82789208035223383</c:v>
                </c:pt>
                <c:pt idx="98">
                  <c:v>0.83367084110340994</c:v>
                </c:pt>
                <c:pt idx="99">
                  <c:v>0.83928877882843766</c:v>
                </c:pt>
                <c:pt idx="100">
                  <c:v>0.84474814455393454</c:v>
                </c:pt>
                <c:pt idx="101">
                  <c:v>0.85005131410126289</c:v>
                </c:pt>
              </c:numCache>
            </c:numRef>
          </c:xVal>
          <c:yVal>
            <c:numRef>
              <c:f>'New_removed - bSIR'!$AA$83:$AA$184</c:f>
              <c:numCache>
                <c:formatCode>General</c:formatCode>
                <c:ptCount val="102"/>
                <c:pt idx="0">
                  <c:v>0.35599319493951526</c:v>
                </c:pt>
                <c:pt idx="1">
                  <c:v>0.36763725645410217</c:v>
                </c:pt>
                <c:pt idx="2">
                  <c:v>0.379548913531355</c:v>
                </c:pt>
                <c:pt idx="3">
                  <c:v>0.39172582718797561</c:v>
                </c:pt>
                <c:pt idx="4">
                  <c:v>0.40416489226901631</c:v>
                </c:pt>
                <c:pt idx="5">
                  <c:v>0.41686219135839059</c:v>
                </c:pt>
                <c:pt idx="6">
                  <c:v>0.42981294876281445</c:v>
                </c:pt>
                <c:pt idx="7">
                  <c:v>0.44301148488637676</c:v>
                </c:pt>
                <c:pt idx="8">
                  <c:v>0.4564511713448472</c:v>
                </c:pt>
                <c:pt idx="9">
                  <c:v>0.47012438720078975</c:v>
                </c:pt>
                <c:pt idx="10">
                  <c:v>0.48402247673221077</c:v>
                </c:pt>
                <c:pt idx="11">
                  <c:v>0.4981357091782771</c:v>
                </c:pt>
                <c:pt idx="12">
                  <c:v>0.51245324093511624</c:v>
                </c:pt>
                <c:pt idx="13">
                  <c:v>0.52696308070220998</c:v>
                </c:pt>
                <c:pt idx="14">
                  <c:v>0.54165205810479533</c:v>
                </c:pt>
                <c:pt idx="15">
                  <c:v>0.55650579633929964</c:v>
                </c:pt>
                <c:pt idx="16">
                  <c:v>0.57150868940638555</c:v>
                </c:pt>
                <c:pt idx="17">
                  <c:v>0.5866438845089611</c:v>
                </c:pt>
                <c:pt idx="18">
                  <c:v>0.60189327019966299</c:v>
                </c:pt>
                <c:pt idx="19">
                  <c:v>0.6172374708631162</c:v>
                </c:pt>
                <c:pt idx="20">
                  <c:v>0.63265584811187747</c:v>
                </c:pt>
                <c:pt idx="21">
                  <c:v>0.64812650966065755</c:v>
                </c:pt>
                <c:pt idx="22">
                  <c:v>0.6636263262204849</c:v>
                </c:pt>
                <c:pt idx="23">
                  <c:v>0.6791309569222479</c:v>
                </c:pt>
                <c:pt idx="24">
                  <c:v>0.6946148837370556</c:v>
                </c:pt>
                <c:pt idx="25">
                  <c:v>0.71005145530861569</c:v>
                </c:pt>
                <c:pt idx="26">
                  <c:v>0.72541294055009942</c:v>
                </c:pt>
                <c:pt idx="27">
                  <c:v>0.74067059228464194</c:v>
                </c:pt>
                <c:pt idx="28">
                  <c:v>0.75579472112479273</c:v>
                </c:pt>
                <c:pt idx="29">
                  <c:v>0.77075477969221862</c:v>
                </c:pt>
                <c:pt idx="30">
                  <c:v>0.7855194571752887</c:v>
                </c:pt>
                <c:pt idx="31">
                  <c:v>0.80005678410964864</c:v>
                </c:pt>
                <c:pt idx="32">
                  <c:v>0.81433424714658242</c:v>
                </c:pt>
                <c:pt idx="33">
                  <c:v>0.82831891344715813</c:v>
                </c:pt>
                <c:pt idx="34">
                  <c:v>0.84197756420848058</c:v>
                </c:pt>
                <c:pt idx="35">
                  <c:v>0.85527683669358767</c:v>
                </c:pt>
                <c:pt idx="36">
                  <c:v>0.86818337400078749</c:v>
                </c:pt>
                <c:pt idx="37">
                  <c:v>0.8806639816736932</c:v>
                </c:pt>
                <c:pt idx="38">
                  <c:v>0.89268579012238769</c:v>
                </c:pt>
                <c:pt idx="39">
                  <c:v>0.90421642170152028</c:v>
                </c:pt>
                <c:pt idx="40">
                  <c:v>0.91522416117536143</c:v>
                </c:pt>
                <c:pt idx="41">
                  <c:v>0.92567812819552997</c:v>
                </c:pt>
                <c:pt idx="42">
                  <c:v>0.93554845032678768</c:v>
                </c:pt>
                <c:pt idx="43">
                  <c:v>0.94480643508248918</c:v>
                </c:pt>
                <c:pt idx="44">
                  <c:v>0.95342473937613104</c:v>
                </c:pt>
                <c:pt idx="45">
                  <c:v>0.96137753476099974</c:v>
                </c:pt>
                <c:pt idx="46">
                  <c:v>0.96864066681780925</c:v>
                </c:pt>
                <c:pt idx="47">
                  <c:v>0.97519180706166797</c:v>
                </c:pt>
                <c:pt idx="48">
                  <c:v>0.98101059577556438</c:v>
                </c:pt>
                <c:pt idx="49">
                  <c:v>0.98607877423806145</c:v>
                </c:pt>
                <c:pt idx="50">
                  <c:v>0.99038030489792583</c:v>
                </c:pt>
                <c:pt idx="51">
                  <c:v>0.99390147815711294</c:v>
                </c:pt>
                <c:pt idx="52">
                  <c:v>0.99663100455471787</c:v>
                </c:pt>
                <c:pt idx="53">
                  <c:v>0.99856009129629242</c:v>
                </c:pt>
                <c:pt idx="54">
                  <c:v>0.9996825022430309</c:v>
                </c:pt>
                <c:pt idx="55">
                  <c:v>0.9999946006610072</c:v>
                </c:pt>
                <c:pt idx="56">
                  <c:v>0.99949537422874046</c:v>
                </c:pt>
                <c:pt idx="57">
                  <c:v>0.99818644200843176</c:v>
                </c:pt>
                <c:pt idx="58">
                  <c:v>0.99607204329858923</c:v>
                </c:pt>
                <c:pt idx="59">
                  <c:v>0.99315900849958649</c:v>
                </c:pt>
                <c:pt idx="60">
                  <c:v>0.98945671233519672</c:v>
                </c:pt>
                <c:pt idx="61">
                  <c:v>0.98497700997844584</c:v>
                </c:pt>
                <c:pt idx="62">
                  <c:v>0.97973415682566589</c:v>
                </c:pt>
                <c:pt idx="63">
                  <c:v>0.97374471284497033</c:v>
                </c:pt>
                <c:pt idx="64">
                  <c:v>0.96702743259150115</c:v>
                </c:pt>
                <c:pt idx="65">
                  <c:v>0.959603142128992</c:v>
                </c:pt>
                <c:pt idx="66">
                  <c:v>0.95149460422335619</c:v>
                </c:pt>
                <c:pt idx="67">
                  <c:v>0.94272637327733955</c:v>
                </c:pt>
                <c:pt idx="68">
                  <c:v>0.93332464155468109</c:v>
                </c:pt>
                <c:pt idx="69">
                  <c:v>0.92331707829706233</c:v>
                </c:pt>
                <c:pt idx="70">
                  <c:v>0.91273266336728132</c:v>
                </c:pt>
                <c:pt idx="71">
                  <c:v>0.90160151705802383</c:v>
                </c:pt>
                <c:pt idx="72">
                  <c:v>0.88995472768821393</c:v>
                </c:pt>
                <c:pt idx="73">
                  <c:v>0.87782417856954043</c:v>
                </c:pt>
                <c:pt idx="74">
                  <c:v>0.86524237586613573</c:v>
                </c:pt>
                <c:pt idx="75">
                  <c:v>0.85224227879253966</c:v>
                </c:pt>
                <c:pt idx="76">
                  <c:v>0.83885713350132773</c:v>
                </c:pt>
                <c:pt idx="77">
                  <c:v>0.82512031190458857</c:v>
                </c:pt>
                <c:pt idx="78">
                  <c:v>0.81106515655538536</c:v>
                </c:pt>
                <c:pt idx="79">
                  <c:v>0.79672483258903659</c:v>
                </c:pt>
                <c:pt idx="80">
                  <c:v>0.78213218759217151</c:v>
                </c:pt>
                <c:pt idx="81">
                  <c:v>0.76731962013245958</c:v>
                </c:pt>
                <c:pt idx="82">
                  <c:v>0.75231895754622047</c:v>
                </c:pt>
                <c:pt idx="83">
                  <c:v>0.73716134344686801</c:v>
                </c:pt>
                <c:pt idx="84">
                  <c:v>0.72187713528644371</c:v>
                </c:pt>
                <c:pt idx="85">
                  <c:v>0.70649581217705881</c:v>
                </c:pt>
                <c:pt idx="86">
                  <c:v>0.69104589306044206</c:v>
                </c:pt>
                <c:pt idx="87">
                  <c:v>0.6755548652032286</c:v>
                </c:pt>
                <c:pt idx="88">
                  <c:v>0.66004912289411855</c:v>
                </c:pt>
                <c:pt idx="89">
                  <c:v>0.64455391612732993</c:v>
                </c:pt>
                <c:pt idx="90">
                  <c:v>0.62909330897534466</c:v>
                </c:pt>
                <c:pt idx="91">
                  <c:v>0.61369014728306426</c:v>
                </c:pt>
                <c:pt idx="92">
                  <c:v>0.59836603525519949</c:v>
                </c:pt>
                <c:pt idx="93">
                  <c:v>0.58314132045887745</c:v>
                </c:pt>
                <c:pt idx="94">
                  <c:v>0.56803508672373371</c:v>
                </c:pt>
                <c:pt idx="95">
                  <c:v>0.55306515439174098</c:v>
                </c:pt>
                <c:pt idx="96">
                  <c:v>0.53824808734813689</c:v>
                </c:pt>
                <c:pt idx="97">
                  <c:v>0.52359920625238743</c:v>
                </c:pt>
                <c:pt idx="98">
                  <c:v>0.50913260738346133</c:v>
                </c:pt>
                <c:pt idx="99">
                  <c:v>0.49486118651601763</c:v>
                </c:pt>
                <c:pt idx="100">
                  <c:v>0.48079666725263692</c:v>
                </c:pt>
                <c:pt idx="101">
                  <c:v>0.46694963325116262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'New_removed - bSIR'!$B$6</c:f>
              <c:strCache>
                <c:ptCount val="1"/>
                <c:pt idx="0">
                  <c:v>05/06/2020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bSIR'!$Y$6</c:f>
              <c:numCache>
                <c:formatCode>General</c:formatCode>
                <c:ptCount val="1"/>
                <c:pt idx="0">
                  <c:v>0.71241621244338782</c:v>
                </c:pt>
              </c:numCache>
            </c:numRef>
          </c:xVal>
          <c:yVal>
            <c:numRef>
              <c:f>'New_removed - bSIR'!$Z$6</c:f>
              <c:numCache>
                <c:formatCode>General</c:formatCode>
                <c:ptCount val="1"/>
                <c:pt idx="0">
                  <c:v>0.76731962013245958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rest of Italy outside selected region</a:t>
            </a:r>
            <a:r>
              <a:rPr lang="en-US" baseline="0">
                <a:solidFill>
                  <a:srgbClr val="00B050"/>
                </a:solidFill>
              </a:rPr>
              <a:t> - </a:t>
            </a:r>
            <a:r>
              <a:rPr lang="en-US">
                <a:solidFill>
                  <a:srgbClr val="00B050"/>
                </a:solidFill>
              </a:rPr>
              <a:t>New</a:t>
            </a:r>
            <a:r>
              <a:rPr lang="en-US" baseline="0">
                <a:solidFill>
                  <a:srgbClr val="00B050"/>
                </a:solidFill>
              </a:rPr>
              <a:t> vs Accumulative removals - Phase space trajectory - basic SIR normalized</a:t>
            </a:r>
            <a:endParaRPr lang="en-US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bSIR'!$AM$7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bSIR'!$AK$77:$AK$184</c:f>
              <c:numCache>
                <c:formatCode>General</c:formatCode>
                <c:ptCount val="108"/>
                <c:pt idx="0">
                  <c:v>6.5542499414245293E-3</c:v>
                </c:pt>
                <c:pt idx="1">
                  <c:v>9.8729439059398339E-3</c:v>
                </c:pt>
                <c:pt idx="2">
                  <c:v>1.3342505044571943E-2</c:v>
                </c:pt>
                <c:pt idx="3">
                  <c:v>1.6968574299326855E-2</c:v>
                </c:pt>
                <c:pt idx="4">
                  <c:v>2.0756882283957515E-2</c:v>
                </c:pt>
                <c:pt idx="5">
                  <c:v>2.4713237557152289E-2</c:v>
                </c:pt>
                <c:pt idx="6">
                  <c:v>2.8843513303488184E-2</c:v>
                </c:pt>
                <c:pt idx="7">
                  <c:v>3.3153632330530404E-2</c:v>
                </c:pt>
                <c:pt idx="8">
                  <c:v>3.7649550294569713E-2</c:v>
                </c:pt>
                <c:pt idx="9">
                  <c:v>4.2337237073341603E-2</c:v>
                </c:pt>
                <c:pt idx="10">
                  <c:v>4.7222656211873909E-2</c:v>
                </c:pt>
                <c:pt idx="11">
                  <c:v>5.2311742377578394E-2</c:v>
                </c:pt>
                <c:pt idx="12">
                  <c:v>5.7610376773007295E-2</c:v>
                </c:pt>
                <c:pt idx="13">
                  <c:v>6.3124360469552415E-2</c:v>
                </c:pt>
                <c:pt idx="14">
                  <c:v>6.8859385642915313E-2</c:v>
                </c:pt>
                <c:pt idx="15">
                  <c:v>7.4821004711573796E-2</c:v>
                </c:pt>
                <c:pt idx="16">
                  <c:v>8.1014597402805921E-2</c:v>
                </c:pt>
                <c:pt idx="17">
                  <c:v>8.7445335797168483E-2</c:v>
                </c:pt>
                <c:pt idx="18">
                  <c:v>9.411814743166326E-2</c:v>
                </c:pt>
                <c:pt idx="19">
                  <c:v>0.10103767657407721</c:v>
                </c:pt>
                <c:pt idx="20">
                  <c:v>0.10820824381602424</c:v>
                </c:pt>
                <c:pt idx="21">
                  <c:v>0.11563380416979126</c:v>
                </c:pt>
                <c:pt idx="22">
                  <c:v>0.12331790389386242</c:v>
                </c:pt>
                <c:pt idx="23">
                  <c:v>0.13126363631352653</c:v>
                </c:pt>
                <c:pt idx="24">
                  <c:v>0.13947359694567982</c:v>
                </c:pt>
                <c:pt idx="25">
                  <c:v>0.14794983828015812</c:v>
                </c:pt>
                <c:pt idx="26">
                  <c:v>0.15669382461284445</c:v>
                </c:pt>
                <c:pt idx="27">
                  <c:v>0.16570638736749235</c:v>
                </c:pt>
                <c:pt idx="28">
                  <c:v>0.17498768138265489</c:v>
                </c:pt>
                <c:pt idx="29">
                  <c:v>0.18453714267616908</c:v>
                </c:pt>
                <c:pt idx="30">
                  <c:v>0.19435344823114839</c:v>
                </c:pt>
                <c:pt idx="31">
                  <c:v>0.20443447837310366</c:v>
                </c:pt>
                <c:pt idx="32">
                  <c:v>0.21477728232640367</c:v>
                </c:pt>
                <c:pt idx="33">
                  <c:v>0.22537804754853635</c:v>
                </c:pt>
                <c:pt idx="34">
                  <c:v>0.23623207344138028</c:v>
                </c:pt>
                <c:pt idx="35">
                  <c:v>0.24733375002886002</c:v>
                </c:pt>
                <c:pt idx="36">
                  <c:v>0.25867654216903935</c:v>
                </c:pt>
                <c:pt idx="37">
                  <c:v>0.2702529798352068</c:v>
                </c:pt>
                <c:pt idx="38">
                  <c:v>0.28205465495439752</c:v>
                </c:pt>
                <c:pt idx="39">
                  <c:v>0.29407222523294863</c:v>
                </c:pt>
                <c:pt idx="40">
                  <c:v>0.30629542532732279</c:v>
                </c:pt>
                <c:pt idx="41">
                  <c:v>0.31871308563515749</c:v>
                </c:pt>
                <c:pt idx="42">
                  <c:v>0.33131315888729279</c:v>
                </c:pt>
                <c:pt idx="43">
                  <c:v>0.34408275461779803</c:v>
                </c:pt>
                <c:pt idx="44">
                  <c:v>0.35700818147751617</c:v>
                </c:pt>
                <c:pt idx="45">
                  <c:v>0.37007499723953002</c:v>
                </c:pt>
                <c:pt idx="46">
                  <c:v>0.38326806622464732</c:v>
                </c:pt>
                <c:pt idx="47">
                  <c:v>0.39657162375421146</c:v>
                </c:pt>
                <c:pt idx="48">
                  <c:v>0.40996934711911792</c:v>
                </c:pt>
                <c:pt idx="49">
                  <c:v>0.42344443244080526</c:v>
                </c:pt>
                <c:pt idx="50">
                  <c:v>0.43697967669510795</c:v>
                </c:pt>
                <c:pt idx="51">
                  <c:v>0.45055756407600112</c:v>
                </c:pt>
                <c:pt idx="52">
                  <c:v>0.46416035579602283</c:v>
                </c:pt>
                <c:pt idx="53">
                  <c:v>0.47777018235573759</c:v>
                </c:pt>
                <c:pt idx="54">
                  <c:v>0.49136913726788795</c:v>
                </c:pt>
                <c:pt idx="55">
                  <c:v>0.50493937119415777</c:v>
                </c:pt>
                <c:pt idx="56">
                  <c:v>0.51846318544459935</c:v>
                </c:pt>
                <c:pt idx="57">
                  <c:v>0.53192312380193951</c:v>
                </c:pt>
                <c:pt idx="58">
                  <c:v>0.54530206166485973</c:v>
                </c:pt>
                <c:pt idx="59">
                  <c:v>0.5585832915549952</c:v>
                </c:pt>
                <c:pt idx="60">
                  <c:v>0.57175060410037071</c:v>
                </c:pt>
                <c:pt idx="61">
                  <c:v>0.58478836369136433</c:v>
                </c:pt>
                <c:pt idx="62">
                  <c:v>0.59768157810173106</c:v>
                </c:pt>
                <c:pt idx="63">
                  <c:v>0.61041596147410637</c:v>
                </c:pt>
                <c:pt idx="64">
                  <c:v>0.62297799018391153</c:v>
                </c:pt>
                <c:pt idx="65">
                  <c:v>0.63535495121475571</c:v>
                </c:pt>
                <c:pt idx="66">
                  <c:v>0.64753498279936161</c:v>
                </c:pt>
                <c:pt idx="67">
                  <c:v>0.65950710719987382</c:v>
                </c:pt>
                <c:pt idx="68">
                  <c:v>0.67126125561752681</c:v>
                </c:pt>
                <c:pt idx="69">
                  <c:v>0.6827882853316436</c:v>
                </c:pt>
                <c:pt idx="70">
                  <c:v>0.69407998926977077</c:v>
                </c:pt>
                <c:pt idx="71">
                  <c:v>0.70512909830271842</c:v>
                </c:pt>
                <c:pt idx="72">
                  <c:v>0.71592927663906258</c:v>
                </c:pt>
                <c:pt idx="73">
                  <c:v>0.72647511076239646</c:v>
                </c:pt>
                <c:pt idx="74">
                  <c:v>0.73676209241072133</c:v>
                </c:pt>
                <c:pt idx="75">
                  <c:v>0.74678659614077503</c:v>
                </c:pt>
                <c:pt idx="76">
                  <c:v>0.75654585205091895</c:v>
                </c:pt>
                <c:pt idx="77">
                  <c:v>0.76603791425500967</c:v>
                </c:pt>
                <c:pt idx="78">
                  <c:v>0.77526162570715862</c:v>
                </c:pt>
                <c:pt idx="79">
                  <c:v>0.7842165799744073</c:v>
                </c:pt>
                <c:pt idx="80">
                  <c:v>0.79290308054220282</c:v>
                </c:pt>
                <c:pt idx="81">
                  <c:v>0.80132209821734546</c:v>
                </c:pt>
                <c:pt idx="82">
                  <c:v>0.80947522716605436</c:v>
                </c:pt>
                <c:pt idx="83">
                  <c:v>0.8173646400922201</c:v>
                </c:pt>
                <c:pt idx="84">
                  <c:v>0.82499304302401288</c:v>
                </c:pt>
                <c:pt idx="85">
                  <c:v>0.8323636301370122</c:v>
                </c:pt>
                <c:pt idx="86">
                  <c:v>0.83948003899996471</c:v>
                </c:pt>
                <c:pt idx="87">
                  <c:v>0.84634630658624721</c:v>
                </c:pt>
                <c:pt idx="88">
                  <c:v>0.85296682635091348</c:v>
                </c:pt>
                <c:pt idx="89">
                  <c:v>0.85934630663071365</c:v>
                </c:pt>
                <c:pt idx="90">
                  <c:v>0.86548973058326817</c:v>
                </c:pt>
                <c:pt idx="91">
                  <c:v>0.87140231784224498</c:v>
                </c:pt>
                <c:pt idx="92">
                  <c:v>0.87708948802833353</c:v>
                </c:pt>
                <c:pt idx="93">
                  <c:v>0.88255682622134934</c:v>
                </c:pt>
                <c:pt idx="94">
                  <c:v>0.88781005046716321</c:v>
                </c:pt>
                <c:pt idx="95">
                  <c:v>0.89285498136444852</c:v>
                </c:pt>
                <c:pt idx="96">
                  <c:v>0.89769751375056572</c:v>
                </c:pt>
                <c:pt idx="97">
                  <c:v>0.90234359048317703</c:v>
                </c:pt>
                <c:pt idx="98">
                  <c:v>0.90679917829443679</c:v>
                </c:pt>
                <c:pt idx="99">
                  <c:v>0.91107024567761785</c:v>
                </c:pt>
                <c:pt idx="100">
                  <c:v>0.91516274275175535</c:v>
                </c:pt>
                <c:pt idx="101">
                  <c:v>0.91908258303809265</c:v>
                </c:pt>
                <c:pt idx="102">
                  <c:v>0.92283562707263</c:v>
                </c:pt>
                <c:pt idx="103">
                  <c:v>0.92642766777170682</c:v>
                </c:pt>
                <c:pt idx="104">
                  <c:v>0.92986441746208748</c:v>
                </c:pt>
                <c:pt idx="105">
                  <c:v>0.93315149648326512</c:v>
                </c:pt>
                <c:pt idx="106">
                  <c:v>0.93629442326743972</c:v>
                </c:pt>
                <c:pt idx="107">
                  <c:v>0.93929860580170133</c:v>
                </c:pt>
              </c:numCache>
            </c:numRef>
          </c:xVal>
          <c:yVal>
            <c:numRef>
              <c:f>'New_removed - bSIR'!$AM$77:$AM$184</c:f>
              <c:numCache>
                <c:formatCode>General</c:formatCode>
                <c:ptCount val="108"/>
                <c:pt idx="0">
                  <c:v>0.23842432029452101</c:v>
                </c:pt>
                <c:pt idx="1">
                  <c:v>0.24930395789185172</c:v>
                </c:pt>
                <c:pt idx="2">
                  <c:v>0.26059449179305344</c:v>
                </c:pt>
                <c:pt idx="3">
                  <c:v>0.27230290386066652</c:v>
                </c:pt>
                <c:pt idx="4">
                  <c:v>0.2844353705643593</c:v>
                </c:pt>
                <c:pt idx="5">
                  <c:v>0.29699714943351119</c:v>
                </c:pt>
                <c:pt idx="6">
                  <c:v>0.30999245866693176</c:v>
                </c:pt>
                <c:pt idx="7">
                  <c:v>0.32342435014205945</c:v>
                </c:pt>
                <c:pt idx="8">
                  <c:v>0.33729457618701586</c:v>
                </c:pt>
                <c:pt idx="9">
                  <c:v>0.35160345061482717</c:v>
                </c:pt>
                <c:pt idx="10">
                  <c:v>0.36634970467005518</c:v>
                </c:pt>
                <c:pt idx="11">
                  <c:v>0.38153033870377651</c:v>
                </c:pt>
                <c:pt idx="12">
                  <c:v>0.39714047057266055</c:v>
                </c:pt>
                <c:pt idx="13">
                  <c:v>0.41317318195067887</c:v>
                </c:pt>
                <c:pt idx="14">
                  <c:v>0.42961936394602063</c:v>
                </c:pt>
                <c:pt idx="15">
                  <c:v>0.44646756362879036</c:v>
                </c:pt>
                <c:pt idx="16">
                  <c:v>0.46370383329392983</c:v>
                </c:pt>
                <c:pt idx="17">
                  <c:v>0.48131158450480177</c:v>
                </c:pt>
                <c:pt idx="18">
                  <c:v>0.49927144918136912</c:v>
                </c:pt>
                <c:pt idx="19">
                  <c:v>0.51756115020749138</c:v>
                </c:pt>
                <c:pt idx="20">
                  <c:v>0.53615538422833287</c:v>
                </c:pt>
                <c:pt idx="21">
                  <c:v>0.55502571948420809</c:v>
                </c:pt>
                <c:pt idx="22">
                  <c:v>0.5741405116736894</c:v>
                </c:pt>
                <c:pt idx="23">
                  <c:v>0.59346484094818919</c:v>
                </c:pt>
                <c:pt idx="24">
                  <c:v>0.61296047320381564</c:v>
                </c:pt>
                <c:pt idx="25">
                  <c:v>0.63258584884522595</c:v>
                </c:pt>
                <c:pt idx="26">
                  <c:v>0.65229610214167677</c:v>
                </c:pt>
                <c:pt idx="27">
                  <c:v>0.67204311416918394</c:v>
                </c:pt>
                <c:pt idx="28">
                  <c:v>0.69177560212709788</c:v>
                </c:pt>
                <c:pt idx="29">
                  <c:v>0.71143924752615617</c:v>
                </c:pt>
                <c:pt idx="30">
                  <c:v>0.73097686536361595</c:v>
                </c:pt>
                <c:pt idx="31">
                  <c:v>0.75032861592681288</c:v>
                </c:pt>
                <c:pt idx="32">
                  <c:v>0.76943226029961576</c:v>
                </c:pt>
                <c:pt idx="33">
                  <c:v>0.78822345998972509</c:v>
                </c:pt>
                <c:pt idx="34">
                  <c:v>0.80663612035511734</c:v>
                </c:pt>
                <c:pt idx="35">
                  <c:v>0.82460277669506765</c:v>
                </c:pt>
                <c:pt idx="36">
                  <c:v>0.84205502099895546</c:v>
                </c:pt>
                <c:pt idx="37">
                  <c:v>0.85892396643181412</c:v>
                </c:pt>
                <c:pt idx="38">
                  <c:v>0.87514074570039735</c:v>
                </c:pt>
                <c:pt idx="39">
                  <c:v>0.89063703851146769</c:v>
                </c:pt>
                <c:pt idx="40">
                  <c:v>0.90534562243176864</c:v>
                </c:pt>
                <c:pt idx="41">
                  <c:v>0.91920094061518143</c:v>
                </c:pt>
                <c:pt idx="42">
                  <c:v>0.93213967910613826</c:v>
                </c:pt>
                <c:pt idx="43">
                  <c:v>0.94410134578854787</c:v>
                </c:pt>
                <c:pt idx="44">
                  <c:v>0.95502884255366038</c:v>
                </c:pt>
                <c:pt idx="45">
                  <c:v>0.96486902193331048</c:v>
                </c:pt>
                <c:pt idx="46">
                  <c:v>0.97357321930745744</c:v>
                </c:pt>
                <c:pt idx="47">
                  <c:v>0.98109775186240245</c:v>
                </c:pt>
                <c:pt idx="48">
                  <c:v>0.98740437575785323</c:v>
                </c:pt>
                <c:pt idx="49">
                  <c:v>0.99246069345930865</c:v>
                </c:pt>
                <c:pt idx="50">
                  <c:v>0.99624050390196228</c:v>
                </c:pt>
                <c:pt idx="51">
                  <c:v>0.99872408906043675</c:v>
                </c:pt>
                <c:pt idx="52">
                  <c:v>0.99989843158490077</c:v>
                </c:pt>
                <c:pt idx="53">
                  <c:v>0.99975735940111232</c:v>
                </c:pt>
                <c:pt idx="54">
                  <c:v>0.9983016145264797</c:v>
                </c:pt>
                <c:pt idx="55">
                  <c:v>0.9955388447882153</c:v>
                </c:pt>
                <c:pt idx="56">
                  <c:v>0.9914835186019284</c:v>
                </c:pt>
                <c:pt idx="57">
                  <c:v>0.98615676443661515</c:v>
                </c:pt>
                <c:pt idx="58">
                  <c:v>0.9795861380123756</c:v>
                </c:pt>
                <c:pt idx="59">
                  <c:v>0.97180532160957511</c:v>
                </c:pt>
                <c:pt idx="60">
                  <c:v>0.96285376107547971</c:v>
                </c:pt>
                <c:pt idx="61">
                  <c:v>0.9527762471645006</c:v>
                </c:pt>
                <c:pt idx="62">
                  <c:v>0.94162244871526957</c:v>
                </c:pt>
                <c:pt idx="63">
                  <c:v>0.92944640583296134</c:v>
                </c:pt>
                <c:pt idx="64">
                  <c:v>0.91630599169738536</c:v>
                </c:pt>
                <c:pt idx="65">
                  <c:v>0.90226235185274029</c:v>
                </c:pt>
                <c:pt idx="66">
                  <c:v>0.8873793298574667</c:v>
                </c:pt>
                <c:pt idx="67">
                  <c:v>0.87172288799298614</c:v>
                </c:pt>
                <c:pt idx="68">
                  <c:v>0.85536053136502743</c:v>
                </c:pt>
                <c:pt idx="69">
                  <c:v>0.83836074320237808</c:v>
                </c:pt>
                <c:pt idx="70">
                  <c:v>0.8207924384906653</c:v>
                </c:pt>
                <c:pt idx="71">
                  <c:v>0.80272444230113493</c:v>
                </c:pt>
                <c:pt idx="72">
                  <c:v>0.7842249983154812</c:v>
                </c:pt>
                <c:pt idx="73">
                  <c:v>0.76536131213678815</c:v>
                </c:pt>
                <c:pt idx="74">
                  <c:v>0.74619913304174967</c:v>
                </c:pt>
                <c:pt idx="75">
                  <c:v>0.72680237689669158</c:v>
                </c:pt>
                <c:pt idx="76">
                  <c:v>0.70723279205304157</c:v>
                </c:pt>
                <c:pt idx="77">
                  <c:v>0.68754966917703841</c:v>
                </c:pt>
                <c:pt idx="78">
                  <c:v>0.66780959517027227</c:v>
                </c:pt>
                <c:pt idx="79">
                  <c:v>0.6480662506150936</c:v>
                </c:pt>
                <c:pt idx="80">
                  <c:v>0.62837024954122267</c:v>
                </c:pt>
                <c:pt idx="81">
                  <c:v>0.60876901976268305</c:v>
                </c:pt>
                <c:pt idx="82">
                  <c:v>0.58930672157994979</c:v>
                </c:pt>
                <c:pt idx="83">
                  <c:v>0.57002420228032635</c:v>
                </c:pt>
                <c:pt idx="84">
                  <c:v>0.55095898359716866</c:v>
                </c:pt>
                <c:pt idx="85">
                  <c:v>0.53214527910052911</c:v>
                </c:pt>
                <c:pt idx="86">
                  <c:v>0.5136140383815655</c:v>
                </c:pt>
                <c:pt idx="87">
                  <c:v>0.49539301485285681</c:v>
                </c:pt>
                <c:pt idx="88">
                  <c:v>0.47750685400815712</c:v>
                </c:pt>
                <c:pt idx="89">
                  <c:v>0.45997719905926709</c:v>
                </c:pt>
                <c:pt idx="90">
                  <c:v>0.44282281098576542</c:v>
                </c:pt>
                <c:pt idx="91">
                  <c:v>0.42605970018670636</c:v>
                </c:pt>
                <c:pt idx="92">
                  <c:v>0.40970126710386928</c:v>
                </c:pt>
                <c:pt idx="93">
                  <c:v>0.39375844938622068</c:v>
                </c:pt>
                <c:pt idx="94">
                  <c:v>0.37823987337801634</c:v>
                </c:pt>
                <c:pt idx="95">
                  <c:v>0.36315200793244823</c:v>
                </c:pt>
                <c:pt idx="96">
                  <c:v>0.34849931877361379</c:v>
                </c:pt>
                <c:pt idx="97">
                  <c:v>0.33428442184751578</c:v>
                </c:pt>
                <c:pt idx="98">
                  <c:v>0.32050823431409003</c:v>
                </c:pt>
                <c:pt idx="99">
                  <c:v>0.30717012203406874</c:v>
                </c:pt>
                <c:pt idx="100">
                  <c:v>0.29426804259461964</c:v>
                </c:pt>
                <c:pt idx="101">
                  <c:v>0.28179868309454947</c:v>
                </c:pt>
                <c:pt idx="102">
                  <c:v>0.26975759207244493</c:v>
                </c:pt>
                <c:pt idx="103">
                  <c:v>0.25813930510884209</c:v>
                </c:pt>
                <c:pt idx="104">
                  <c:v>0.24693746376623635</c:v>
                </c:pt>
                <c:pt idx="105">
                  <c:v>0.23614492764863068</c:v>
                </c:pt>
                <c:pt idx="106">
                  <c:v>0.22575387946579309</c:v>
                </c:pt>
                <c:pt idx="107">
                  <c:v>0.21575592307712591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'New_removed - bSIR'!$B$6</c:f>
              <c:strCache>
                <c:ptCount val="1"/>
                <c:pt idx="0">
                  <c:v>05/06/2020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bSIR'!$AK$6</c:f>
              <c:numCache>
                <c:formatCode>General</c:formatCode>
                <c:ptCount val="1"/>
                <c:pt idx="0">
                  <c:v>0.84634630658624721</c:v>
                </c:pt>
              </c:numCache>
            </c:numRef>
          </c:xVal>
          <c:yVal>
            <c:numRef>
              <c:f>'New_removed - bSIR'!$AL$6</c:f>
              <c:numCache>
                <c:formatCode>General</c:formatCode>
                <c:ptCount val="1"/>
                <c:pt idx="0">
                  <c:v>0.49539301485285681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</a:t>
                </a:r>
                <a:r>
                  <a:rPr lang="it-IT" baseline="0"/>
                  <a:t> rate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removals - basic SIR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bSIR'!$D$62:$D$184</c:f>
              <c:numCache>
                <c:formatCode>General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79</c:v>
                </c:pt>
                <c:pt idx="6">
                  <c:v>117</c:v>
                </c:pt>
                <c:pt idx="7">
                  <c:v>201</c:v>
                </c:pt>
                <c:pt idx="8">
                  <c:v>239</c:v>
                </c:pt>
                <c:pt idx="9">
                  <c:v>383</c:v>
                </c:pt>
                <c:pt idx="10">
                  <c:v>562</c:v>
                </c:pt>
                <c:pt idx="11">
                  <c:v>720</c:v>
                </c:pt>
                <c:pt idx="12">
                  <c:v>822</c:v>
                </c:pt>
                <c:pt idx="13">
                  <c:v>988</c:v>
                </c:pt>
                <c:pt idx="14">
                  <c:v>1187</c:v>
                </c:pt>
                <c:pt idx="15">
                  <c:v>1635</c:v>
                </c:pt>
                <c:pt idx="16">
                  <c:v>1872</c:v>
                </c:pt>
                <c:pt idx="17">
                  <c:v>2274</c:v>
                </c:pt>
                <c:pt idx="18">
                  <c:v>2705</c:v>
                </c:pt>
                <c:pt idx="19">
                  <c:v>3407</c:v>
                </c:pt>
                <c:pt idx="20">
                  <c:v>4144</c:v>
                </c:pt>
                <c:pt idx="21">
                  <c:v>4907</c:v>
                </c:pt>
                <c:pt idx="22">
                  <c:v>5444</c:v>
                </c:pt>
                <c:pt idx="23">
                  <c:v>7003</c:v>
                </c:pt>
                <c:pt idx="24">
                  <c:v>7845</c:v>
                </c:pt>
                <c:pt idx="25">
                  <c:v>9161</c:v>
                </c:pt>
                <c:pt idx="26">
                  <c:v>10897</c:v>
                </c:pt>
                <c:pt idx="27">
                  <c:v>12500</c:v>
                </c:pt>
                <c:pt idx="28">
                  <c:v>13509</c:v>
                </c:pt>
                <c:pt idx="29">
                  <c:v>15146</c:v>
                </c:pt>
                <c:pt idx="30">
                  <c:v>16865</c:v>
                </c:pt>
                <c:pt idx="31">
                  <c:v>18526</c:v>
                </c:pt>
                <c:pt idx="32">
                  <c:v>20084</c:v>
                </c:pt>
                <c:pt idx="33">
                  <c:v>22407</c:v>
                </c:pt>
                <c:pt idx="34">
                  <c:v>23809</c:v>
                </c:pt>
                <c:pt idx="35">
                  <c:v>26211</c:v>
                </c:pt>
                <c:pt idx="36">
                  <c:v>28157</c:v>
                </c:pt>
                <c:pt idx="37">
                  <c:v>30002</c:v>
                </c:pt>
                <c:pt idx="38">
                  <c:v>32193</c:v>
                </c:pt>
                <c:pt idx="39">
                  <c:v>34439</c:v>
                </c:pt>
                <c:pt idx="40">
                  <c:v>36358</c:v>
                </c:pt>
                <c:pt idx="41">
                  <c:v>37702</c:v>
                </c:pt>
                <c:pt idx="42">
                  <c:v>39360</c:v>
                </c:pt>
                <c:pt idx="43">
                  <c:v>41519</c:v>
                </c:pt>
                <c:pt idx="44">
                  <c:v>44160</c:v>
                </c:pt>
                <c:pt idx="45">
                  <c:v>46749</c:v>
                </c:pt>
                <c:pt idx="46">
                  <c:v>49304</c:v>
                </c:pt>
                <c:pt idx="47">
                  <c:v>52002</c:v>
                </c:pt>
                <c:pt idx="48">
                  <c:v>54110</c:v>
                </c:pt>
                <c:pt idx="49">
                  <c:v>55900</c:v>
                </c:pt>
                <c:pt idx="50">
                  <c:v>58197</c:v>
                </c:pt>
                <c:pt idx="51">
                  <c:v>59737</c:v>
                </c:pt>
                <c:pt idx="52">
                  <c:v>62334</c:v>
                </c:pt>
                <c:pt idx="53">
                  <c:v>65472</c:v>
                </c:pt>
                <c:pt idx="54">
                  <c:v>68154</c:v>
                </c:pt>
                <c:pt idx="55">
                  <c:v>70715</c:v>
                </c:pt>
                <c:pt idx="56">
                  <c:v>72991</c:v>
                </c:pt>
                <c:pt idx="57">
                  <c:v>76248</c:v>
                </c:pt>
                <c:pt idx="58">
                  <c:v>79628</c:v>
                </c:pt>
                <c:pt idx="59">
                  <c:v>83125</c:v>
                </c:pt>
                <c:pt idx="60">
                  <c:v>86467</c:v>
                </c:pt>
                <c:pt idx="61">
                  <c:v>89504</c:v>
                </c:pt>
                <c:pt idx="62">
                  <c:v>91572</c:v>
                </c:pt>
                <c:pt idx="63">
                  <c:v>93601</c:v>
                </c:pt>
                <c:pt idx="64">
                  <c:v>96300</c:v>
                </c:pt>
                <c:pt idx="65">
                  <c:v>98934</c:v>
                </c:pt>
                <c:pt idx="66">
                  <c:v>103912</c:v>
                </c:pt>
                <c:pt idx="67">
                  <c:v>106485</c:v>
                </c:pt>
                <c:pt idx="68">
                  <c:v>108624</c:v>
                </c:pt>
                <c:pt idx="69">
                  <c:v>110538</c:v>
                </c:pt>
                <c:pt idx="70">
                  <c:v>111958</c:v>
                </c:pt>
                <c:pt idx="71">
                  <c:v>114546</c:v>
                </c:pt>
                <c:pt idx="72">
                  <c:v>122929</c:v>
                </c:pt>
                <c:pt idx="73">
                  <c:v>126234</c:v>
                </c:pt>
                <c:pt idx="74">
                  <c:v>129224</c:v>
                </c:pt>
                <c:pt idx="75">
                  <c:v>133426</c:v>
                </c:pt>
                <c:pt idx="76">
                  <c:v>135746</c:v>
                </c:pt>
                <c:pt idx="77">
                  <c:v>137326</c:v>
                </c:pt>
                <c:pt idx="78">
                  <c:v>139950</c:v>
                </c:pt>
                <c:pt idx="79">
                  <c:v>143647</c:v>
                </c:pt>
                <c:pt idx="80">
                  <c:v>146656</c:v>
                </c:pt>
                <c:pt idx="81">
                  <c:v>151815</c:v>
                </c:pt>
                <c:pt idx="82">
                  <c:v>154573</c:v>
                </c:pt>
                <c:pt idx="83">
                  <c:v>157084</c:v>
                </c:pt>
                <c:pt idx="84">
                  <c:v>159333</c:v>
                </c:pt>
                <c:pt idx="85">
                  <c:v>161570</c:v>
                </c:pt>
                <c:pt idx="86">
                  <c:v>164612</c:v>
                </c:pt>
                <c:pt idx="87">
                  <c:v>167046</c:v>
                </c:pt>
                <c:pt idx="88">
                  <c:v>169336</c:v>
                </c:pt>
                <c:pt idx="89">
                  <c:v>171575</c:v>
                </c:pt>
                <c:pt idx="90">
                  <c:v>173264</c:v>
                </c:pt>
                <c:pt idx="91">
                  <c:v>174858</c:v>
                </c:pt>
                <c:pt idx="92">
                  <c:v>177613</c:v>
                </c:pt>
                <c:pt idx="93">
                  <c:v>180173</c:v>
                </c:pt>
                <c:pt idx="94">
                  <c:v>183746</c:v>
                </c:pt>
                <c:pt idx="95">
                  <c:v>186073</c:v>
                </c:pt>
                <c:pt idx="96">
                  <c:v>188973</c:v>
                </c:pt>
                <c:pt idx="97">
                  <c:v>190922</c:v>
                </c:pt>
                <c:pt idx="98">
                  <c:v>191830</c:v>
                </c:pt>
                <c:pt idx="99">
                  <c:v>193622</c:v>
                </c:pt>
                <c:pt idx="100">
                  <c:v>194539</c:v>
                </c:pt>
                <c:pt idx="101">
                  <c:v>195584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bSIR'!$G$62:$G$184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377.33955064412049</c:v>
                </c:pt>
                <c:pt idx="15">
                  <c:v>1128.395261548379</c:v>
                </c:pt>
                <c:pt idx="16">
                  <c:v>1913.1968345634587</c:v>
                </c:pt>
                <c:pt idx="17">
                  <c:v>2733.0005089265746</c:v>
                </c:pt>
                <c:pt idx="18">
                  <c:v>3589.083756533872</c:v>
                </c:pt>
                <c:pt idx="19">
                  <c:v>4482.7429220722188</c:v>
                </c:pt>
                <c:pt idx="20">
                  <c:v>5415.2905334872894</c:v>
                </c:pt>
                <c:pt idx="21">
                  <c:v>6388.0522630551823</c:v>
                </c:pt>
                <c:pt idx="22">
                  <c:v>7402.3635199757218</c:v>
                </c:pt>
                <c:pt idx="23">
                  <c:v>8459.5656563862358</c:v>
                </c:pt>
                <c:pt idx="24">
                  <c:v>9561.0017700512126</c:v>
                </c:pt>
                <c:pt idx="25">
                  <c:v>10708.01208875074</c:v>
                </c:pt>
                <c:pt idx="26">
                  <c:v>11901.928923616581</c:v>
                </c:pt>
                <c:pt idx="27">
                  <c:v>13144.07118138202</c:v>
                </c:pt>
                <c:pt idx="28">
                  <c:v>14435.738428760094</c:v>
                </c:pt>
                <c:pt idx="29">
                  <c:v>15778.204505976713</c:v>
                </c:pt>
                <c:pt idx="30">
                  <c:v>17172.710690883545</c:v>
                </c:pt>
                <c:pt idx="31">
                  <c:v>18620.458420082512</c:v>
                </c:pt>
                <c:pt idx="32">
                  <c:v>20122.601579114606</c:v>
                </c:pt>
                <c:pt idx="33">
                  <c:v>21680.238380000101</c:v>
                </c:pt>
                <c:pt idx="34">
                  <c:v>23294.402851245672</c:v>
                </c:pt>
                <c:pt idx="35">
                  <c:v>24966.055972823433</c:v>
                </c:pt>
                <c:pt idx="36">
                  <c:v>26696.07649652844</c:v>
                </c:pt>
                <c:pt idx="37">
                  <c:v>28485.251500457278</c:v>
                </c:pt>
                <c:pt idx="38">
                  <c:v>30334.266735034074</c:v>
                </c:pt>
                <c:pt idx="39">
                  <c:v>32243.696826918273</c:v>
                </c:pt>
                <c:pt idx="40">
                  <c:v>34213.995416125072</c:v>
                </c:pt>
                <c:pt idx="41">
                  <c:v>36245.48531060703</c:v>
                </c:pt>
                <c:pt idx="42">
                  <c:v>38338.348751196274</c:v>
                </c:pt>
                <c:pt idx="43">
                  <c:v>40492.617887984932</c:v>
                </c:pt>
                <c:pt idx="44">
                  <c:v>42708.165576693667</c:v>
                </c:pt>
                <c:pt idx="45">
                  <c:v>44984.696610108731</c:v>
                </c:pt>
                <c:pt idx="46">
                  <c:v>47321.739504998819</c:v>
                </c:pt>
                <c:pt idx="47">
                  <c:v>49718.638968802377</c:v>
                </c:pt>
                <c:pt idx="48">
                  <c:v>52174.549172553001</c:v>
                </c:pt>
                <c:pt idx="49">
                  <c:v>54688.427956744141</c:v>
                </c:pt>
                <c:pt idx="50">
                  <c:v>57259.032094910166</c:v>
                </c:pt>
                <c:pt idx="51">
                  <c:v>59884.913735434537</c:v>
                </c:pt>
                <c:pt idx="52">
                  <c:v>62564.418135340435</c:v>
                </c:pt>
                <c:pt idx="53">
                  <c:v>65295.682790488063</c:v>
                </c:pt>
                <c:pt idx="54">
                  <c:v>68076.638054658382</c:v>
                </c:pt>
                <c:pt idx="55">
                  <c:v>70905.009325486972</c:v>
                </c:pt>
                <c:pt idx="56">
                  <c:v>73778.320858230261</c:v>
                </c:pt>
                <c:pt idx="57">
                  <c:v>76693.901249090486</c:v>
                </c:pt>
                <c:pt idx="58">
                  <c:v>79648.890608561604</c:v>
                </c:pt>
                <c:pt idx="59">
                  <c:v>82640.249422332548</c:v>
                </c:pt>
                <c:pt idx="60">
                  <c:v>85664.76907311067</c:v>
                </c:pt>
                <c:pt idx="61">
                  <c:v>88719.08397179193</c:v>
                </c:pt>
                <c:pt idx="62">
                  <c:v>91799.685221234817</c:v>
                </c:pt>
                <c:pt idx="63">
                  <c:v>94902.935711064769</c:v>
                </c:pt>
                <c:pt idx="64">
                  <c:v>98025.086518036347</c:v>
                </c:pt>
                <c:pt idx="65">
                  <c:v>101162.29446410119</c:v>
                </c:pt>
                <c:pt idx="66">
                  <c:v>104310.64066404921</c:v>
                </c:pt>
                <c:pt idx="67">
                  <c:v>107466.14987693875</c:v>
                </c:pt>
                <c:pt idx="68">
                  <c:v>110624.81046098692</c:v>
                </c:pt>
                <c:pt idx="69">
                  <c:v>113782.59472055198</c:v>
                </c:pt>
                <c:pt idx="70">
                  <c:v>116935.47942661433</c:v>
                </c:pt>
                <c:pt idx="71">
                  <c:v>120079.46628895003</c:v>
                </c:pt>
                <c:pt idx="72">
                  <c:v>123210.60215908688</c:v>
                </c:pt>
                <c:pt idx="73">
                  <c:v>126324.99874810832</c:v>
                </c:pt>
                <c:pt idx="74">
                  <c:v>129418.85165228606</c:v>
                </c:pt>
                <c:pt idx="75">
                  <c:v>132488.45849213048</c:v>
                </c:pt>
                <c:pt idx="76">
                  <c:v>135530.23598639676</c:v>
                </c:pt>
                <c:pt idx="77">
                  <c:v>138540.73580144349</c:v>
                </c:pt>
                <c:pt idx="78">
                  <c:v>141516.65903760181</c:v>
                </c:pt>
                <c:pt idx="79">
                  <c:v>144454.86923732565</c:v>
                </c:pt>
                <c:pt idx="80">
                  <c:v>147352.40382427152</c:v>
                </c:pt>
                <c:pt idx="81">
                  <c:v>150206.48390750558</c:v>
                </c:pt>
                <c:pt idx="82">
                  <c:v>153014.52241017277</c:v>
                </c:pt>
                <c:pt idx="83">
                  <c:v>155774.13050662907</c:v>
                </c:pt>
                <c:pt idx="84">
                  <c:v>158483.12237572542</c:v>
                </c:pt>
                <c:pt idx="85">
                  <c:v>161139.51830018082</c:v>
                </c:pt>
                <c:pt idx="86">
                  <c:v>163741.54616241201</c:v>
                </c:pt>
                <c:pt idx="87">
                  <c:v>166287.64140548036</c:v>
                </c:pt>
                <c:pt idx="88">
                  <c:v>168776.44554374577</c:v>
                </c:pt>
                <c:pt idx="89">
                  <c:v>171206.8033212224</c:v>
                </c:pt>
                <c:pt idx="90">
                  <c:v>173577.75862644025</c:v>
                </c:pt>
                <c:pt idx="91">
                  <c:v>175888.5492808189</c:v>
                </c:pt>
                <c:pt idx="92">
                  <c:v>178138.60082321835</c:v>
                </c:pt>
                <c:pt idx="93">
                  <c:v>180327.51941655891</c:v>
                </c:pt>
                <c:pt idx="94">
                  <c:v>182455.08400336269</c:v>
                </c:pt>
                <c:pt idx="95">
                  <c:v>184521.23783596262</c:v>
                </c:pt>
                <c:pt idx="96">
                  <c:v>186526.07950417674</c:v>
                </c:pt>
                <c:pt idx="97">
                  <c:v>188469.85357870406</c:v>
                </c:pt>
                <c:pt idx="98">
                  <c:v>190352.94098261287</c:v>
                </c:pt>
                <c:pt idx="99">
                  <c:v>192175.84919632412</c:v>
                </c:pt>
                <c:pt idx="100">
                  <c:v>193939.20239368151</c:v>
                </c:pt>
                <c:pt idx="101">
                  <c:v>195643.73159829059</c:v>
                </c:pt>
                <c:pt idx="102">
                  <c:v>197290.26494051793</c:v>
                </c:pt>
                <c:pt idx="103">
                  <c:v>198879.71808656678</c:v>
                </c:pt>
                <c:pt idx="104">
                  <c:v>200413.08490206895</c:v>
                </c:pt>
                <c:pt idx="105">
                  <c:v>201891.42840380807</c:v>
                </c:pt>
                <c:pt idx="106">
                  <c:v>203315.8720446403</c:v>
                </c:pt>
                <c:pt idx="107">
                  <c:v>204687.59136852549</c:v>
                </c:pt>
                <c:pt idx="108">
                  <c:v>206007.80606489163</c:v>
                </c:pt>
                <c:pt idx="109">
                  <c:v>207277.77244440839</c:v>
                </c:pt>
                <c:pt idx="110">
                  <c:v>208498.77635166788</c:v>
                </c:pt>
                <c:pt idx="111">
                  <c:v>209672.12652430768</c:v>
                </c:pt>
                <c:pt idx="112">
                  <c:v>210799.14840275203</c:v>
                </c:pt>
                <c:pt idx="113">
                  <c:v>211881.17839001075</c:v>
                </c:pt>
                <c:pt idx="114">
                  <c:v>212919.55855683246</c:v>
                </c:pt>
                <c:pt idx="115">
                  <c:v>213915.6317839472</c:v>
                </c:pt>
                <c:pt idx="116">
                  <c:v>214870.73733011831</c:v>
                </c:pt>
                <c:pt idx="117">
                  <c:v>215786.206812227</c:v>
                </c:pt>
                <c:pt idx="118">
                  <c:v>216663.36058158908</c:v>
                </c:pt>
                <c:pt idx="119">
                  <c:v>217503.50447912127</c:v>
                </c:pt>
                <c:pt idx="120">
                  <c:v>218307.92695078562</c:v>
                </c:pt>
                <c:pt idx="121">
                  <c:v>219077.89650390879</c:v>
                </c:pt>
                <c:pt idx="122">
                  <c:v>219814.65948445487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77.070441965511719</c:v>
                </c:pt>
                <c:pt idx="14">
                  <c:v>750.02880466726651</c:v>
                </c:pt>
                <c:pt idx="15">
                  <c:v>1454.0217877526813</c:v>
                </c:pt>
                <c:pt idx="16">
                  <c:v>2190.2545183341754</c:v>
                </c:pt>
                <c:pt idx="17">
                  <c:v>2959.9562438705416</c:v>
                </c:pt>
                <c:pt idx="18">
                  <c:v>3764.3783741574816</c:v>
                </c:pt>
                <c:pt idx="19">
                  <c:v>4604.7922121401743</c:v>
                </c:pt>
                <c:pt idx="20">
                  <c:v>5482.4863523891363</c:v>
                </c:pt>
                <c:pt idx="21">
                  <c:v>6398.7637263480547</c:v>
                </c:pt>
                <c:pt idx="22">
                  <c:v>7389.4138836783432</c:v>
                </c:pt>
                <c:pt idx="23">
                  <c:v>8441.8094643272179</c:v>
                </c:pt>
                <c:pt idx="24">
                  <c:v>9538.5211994804795</c:v>
                </c:pt>
                <c:pt idx="25">
                  <c:v>10680.910902604917</c:v>
                </c:pt>
                <c:pt idx="26">
                  <c:v>11870.333464420413</c:v>
                </c:pt>
                <c:pt idx="27">
                  <c:v>13108.131275381153</c:v>
                </c:pt>
                <c:pt idx="28">
                  <c:v>14395.628180179738</c:v>
                </c:pt>
                <c:pt idx="29">
                  <c:v>15734.122960103821</c:v>
                </c:pt>
                <c:pt idx="30">
                  <c:v>17124.882343653757</c:v>
                </c:pt>
                <c:pt idx="31">
                  <c:v>18569.133551064984</c:v>
                </c:pt>
                <c:pt idx="32">
                  <c:v>20068.056384284446</c:v>
                </c:pt>
                <c:pt idx="33">
                  <c:v>21622.774880525831</c:v>
                </c:pt>
                <c:pt idx="34">
                  <c:v>23234.348554755386</c:v>
                </c:pt>
                <c:pt idx="35">
                  <c:v>24903.763264309178</c:v>
                </c:pt>
                <c:pt idx="36">
                  <c:v>26631.921737257591</c:v>
                </c:pt>
                <c:pt idx="37">
                  <c:v>28419.633815037767</c:v>
                </c:pt>
                <c:pt idx="38">
                  <c:v>30267.606469172108</c:v>
                </c:pt>
                <c:pt idx="39">
                  <c:v>32176.433661451116</c:v>
                </c:pt>
                <c:pt idx="40">
                  <c:v>34146.58612663333</c:v>
                </c:pt>
                <c:pt idx="41">
                  <c:v>36178.401166320909</c:v>
                </c:pt>
                <c:pt idx="42">
                  <c:v>38272.072552003163</c:v>
                </c:pt>
                <c:pt idx="43">
                  <c:v>40427.640644093641</c:v>
                </c:pt>
                <c:pt idx="44">
                  <c:v>42644.982841863493</c:v>
                </c:pt>
                <c:pt idx="45">
                  <c:v>44923.8044862346</c:v>
                </c:pt>
                <c:pt idx="46">
                  <c:v>47263.630343155382</c:v>
                </c:pt>
                <c:pt idx="47">
                  <c:v>49663.796799462943</c:v>
                </c:pt>
                <c:pt idx="48">
                  <c:v>52123.444905455843</c:v>
                </c:pt>
                <c:pt idx="49">
                  <c:v>54641.514398602907</c:v>
                </c:pt>
                <c:pt idx="50">
                  <c:v>57216.738840653212</c:v>
                </c:pt>
                <c:pt idx="51">
                  <c:v>59847.641995690487</c:v>
                </c:pt>
                <c:pt idx="52">
                  <c:v>62532.535569234526</c:v>
                </c:pt>
                <c:pt idx="53">
                  <c:v>65269.518418237632</c:v>
                </c:pt>
                <c:pt idx="54">
                  <c:v>68056.477328725043</c:v>
                </c:pt>
                <c:pt idx="55">
                  <c:v>70891.089441934222</c:v>
                </c:pt>
                <c:pt idx="56">
                  <c:v>73770.826391250637</c:v>
                </c:pt>
                <c:pt idx="57">
                  <c:v>76692.960191236518</c:v>
                </c:pt>
                <c:pt idx="58">
                  <c:v>79654.570896913807</c:v>
                </c:pt>
                <c:pt idx="59">
                  <c:v>82652.556026585313</c:v>
                </c:pt>
                <c:pt idx="60">
                  <c:v>85683.64171533499</c:v>
                </c:pt>
                <c:pt idx="61">
                  <c:v>88744.395539481207</c:v>
                </c:pt>
                <c:pt idx="62">
                  <c:v>91831.240925264763</c:v>
                </c:pt>
                <c:pt idx="63">
                  <c:v>94940.473028572465</c:v>
                </c:pt>
                <c:pt idx="64">
                  <c:v>98068.275947182163</c:v>
                </c:pt>
                <c:pt idx="65">
                  <c:v>101210.74110351775</c:v>
                </c:pt>
                <c:pt idx="66">
                  <c:v>104363.88661484266</c:v>
                </c:pt>
                <c:pt idx="67">
                  <c:v>107523.67744977848</c:v>
                </c:pt>
                <c:pt idx="68">
                  <c:v>110686.04615550228</c:v>
                </c:pt>
                <c:pt idx="69">
                  <c:v>113846.91392937522</c:v>
                </c:pt>
                <c:pt idx="70">
                  <c:v>117002.21180237434</c:v>
                </c:pt>
                <c:pt idx="71">
                  <c:v>120147.90169973321</c:v>
                </c:pt>
                <c:pt idx="72">
                  <c:v>123279.99714669076</c:v>
                </c:pt>
                <c:pt idx="73">
                  <c:v>126394.58339413148</c:v>
                </c:pt>
                <c:pt idx="74">
                  <c:v>129487.83674997033</c:v>
                </c:pt>
                <c:pt idx="75">
                  <c:v>132556.04291707158</c:v>
                </c:pt>
                <c:pt idx="76">
                  <c:v>135595.61415687006</c:v>
                </c:pt>
                <c:pt idx="77">
                  <c:v>138603.10511916946</c:v>
                </c:pt>
                <c:pt idx="78">
                  <c:v>141575.22720224608</c:v>
                </c:pt>
                <c:pt idx="79">
                  <c:v>144508.86133276008</c:v>
                </c:pt>
                <c:pt idx="80">
                  <c:v>147401.06908141807</c:v>
                </c:pt>
                <c:pt idx="81">
                  <c:v>150249.10205719361</c:v>
                </c:pt>
                <c:pt idx="82">
                  <c:v>153050.40954956206</c:v>
                </c:pt>
                <c:pt idx="83">
                  <c:v>155802.64441406151</c:v>
                </c:pt>
                <c:pt idx="84">
                  <c:v>158503.66722101663</c:v>
                </c:pt>
                <c:pt idx="85">
                  <c:v>161151.54871000181</c:v>
                </c:pt>
                <c:pt idx="86">
                  <c:v>163744.57061319341</c:v>
                </c:pt>
                <c:pt idx="87">
                  <c:v>166281.22492887668</c:v>
                </c:pt>
                <c:pt idx="88">
                  <c:v>168760.21174182693</c:v>
                </c:pt>
                <c:pt idx="89">
                  <c:v>171180.43569995553</c:v>
                </c:pt>
                <c:pt idx="90">
                  <c:v>173541.00126647161</c:v>
                </c:pt>
                <c:pt idx="91">
                  <c:v>175841.20687388812</c:v>
                </c:pt>
                <c:pt idx="92">
                  <c:v>178080.53811061257</c:v>
                </c:pt>
                <c:pt idx="93">
                  <c:v>180258.66007276339</c:v>
                </c:pt>
                <c:pt idx="94">
                  <c:v>182375.40901344988</c:v>
                </c:pt>
                <c:pt idx="95">
                  <c:v>184430.78341928954</c:v>
                </c:pt>
                <c:pt idx="96">
                  <c:v>186424.93463967042</c:v>
                </c:pt>
                <c:pt idx="97">
                  <c:v>188358.15718847769</c:v>
                </c:pt>
                <c:pt idx="98">
                  <c:v>190230.87883096651</c:v>
                </c:pt>
                <c:pt idx="99">
                  <c:v>192043.65056045321</c:v>
                </c:pt>
                <c:pt idx="100">
                  <c:v>193797.13656077752</c:v>
                </c:pt>
                <c:pt idx="101">
                  <c:v>195492.10424129743</c:v>
                </c:pt>
                <c:pt idx="102">
                  <c:v>197129.41442174779</c:v>
                </c:pt>
                <c:pt idx="103">
                  <c:v>198710.01173481095</c:v>
                </c:pt>
                <c:pt idx="104">
                  <c:v>200234.91530489761</c:v>
                </c:pt>
                <c:pt idx="105">
                  <c:v>201705.20975255454</c:v>
                </c:pt>
                <c:pt idx="106">
                  <c:v>203122.03656522799</c:v>
                </c:pt>
                <c:pt idx="107">
                  <c:v>204486.58586691483</c:v>
                </c:pt>
                <c:pt idx="108">
                  <c:v>205800.08861159129</c:v>
                </c:pt>
                <c:pt idx="109">
                  <c:v>207063.80921828089</c:v>
                </c:pt>
                <c:pt idx="110">
                  <c:v>208279.03865923037</c:v>
                </c:pt>
                <c:pt idx="111">
                  <c:v>209447.08800692833</c:v>
                </c:pt>
                <c:pt idx="112">
                  <c:v>210569.28244061171</c:v>
                </c:pt>
                <c:pt idx="113">
                  <c:v>211646.95570846469</c:v>
                </c:pt>
                <c:pt idx="114">
                  <c:v>212681.44503787981</c:v>
                </c:pt>
                <c:pt idx="115">
                  <c:v>213674.08648291082</c:v>
                </c:pt>
                <c:pt idx="116">
                  <c:v>214626.21069534984</c:v>
                </c:pt>
                <c:pt idx="117">
                  <c:v>215539.13910367622</c:v>
                </c:pt>
                <c:pt idx="118">
                  <c:v>216414.18048240463</c:v>
                </c:pt>
                <c:pt idx="119">
                  <c:v>217252.62789306178</c:v>
                </c:pt>
                <c:pt idx="120">
                  <c:v>218055.75597710264</c:v>
                </c:pt>
                <c:pt idx="121">
                  <c:v>218824.81858049051</c:v>
                </c:pt>
                <c:pt idx="122">
                  <c:v>219561.04668937618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#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removal rate (# of people removed/day)</a:t>
            </a:r>
            <a:r>
              <a:rPr lang="it-IT" baseline="0">
                <a:solidFill>
                  <a:srgbClr val="0070C0"/>
                </a:solidFill>
              </a:rPr>
              <a:t> </a:t>
            </a:r>
            <a:r>
              <a:rPr lang="it-IT">
                <a:solidFill>
                  <a:srgbClr val="0070C0"/>
                </a:solidFill>
              </a:rPr>
              <a:t>- basic SIR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bSIR'!$E$7</c:f>
              <c:strCache>
                <c:ptCount val="1"/>
                <c:pt idx="0">
                  <c:v>Italy remov. rate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bSIR'!$E$62:$E$281</c:f>
              <c:numCache>
                <c:formatCode>General</c:formatCode>
                <c:ptCount val="220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12</c:v>
                </c:pt>
                <c:pt idx="6">
                  <c:v>38</c:v>
                </c:pt>
                <c:pt idx="7">
                  <c:v>84</c:v>
                </c:pt>
                <c:pt idx="8">
                  <c:v>38</c:v>
                </c:pt>
                <c:pt idx="9">
                  <c:v>144</c:v>
                </c:pt>
                <c:pt idx="10">
                  <c:v>179</c:v>
                </c:pt>
                <c:pt idx="11">
                  <c:v>158</c:v>
                </c:pt>
                <c:pt idx="12">
                  <c:v>102</c:v>
                </c:pt>
                <c:pt idx="13">
                  <c:v>166</c:v>
                </c:pt>
                <c:pt idx="14">
                  <c:v>199</c:v>
                </c:pt>
                <c:pt idx="15">
                  <c:v>448</c:v>
                </c:pt>
                <c:pt idx="16">
                  <c:v>237</c:v>
                </c:pt>
                <c:pt idx="17">
                  <c:v>402</c:v>
                </c:pt>
                <c:pt idx="18">
                  <c:v>431</c:v>
                </c:pt>
                <c:pt idx="19">
                  <c:v>702</c:v>
                </c:pt>
                <c:pt idx="20">
                  <c:v>737</c:v>
                </c:pt>
                <c:pt idx="21">
                  <c:v>763</c:v>
                </c:pt>
                <c:pt idx="22">
                  <c:v>537</c:v>
                </c:pt>
                <c:pt idx="23">
                  <c:v>1559</c:v>
                </c:pt>
                <c:pt idx="24">
                  <c:v>842</c:v>
                </c:pt>
                <c:pt idx="25">
                  <c:v>1316</c:v>
                </c:pt>
                <c:pt idx="26">
                  <c:v>1736</c:v>
                </c:pt>
                <c:pt idx="27">
                  <c:v>1603</c:v>
                </c:pt>
                <c:pt idx="28">
                  <c:v>1009</c:v>
                </c:pt>
                <c:pt idx="29">
                  <c:v>1637</c:v>
                </c:pt>
                <c:pt idx="30">
                  <c:v>1719</c:v>
                </c:pt>
                <c:pt idx="31">
                  <c:v>1661</c:v>
                </c:pt>
                <c:pt idx="32">
                  <c:v>1558</c:v>
                </c:pt>
                <c:pt idx="33">
                  <c:v>2323</c:v>
                </c:pt>
                <c:pt idx="34">
                  <c:v>1402</c:v>
                </c:pt>
                <c:pt idx="35">
                  <c:v>2402</c:v>
                </c:pt>
                <c:pt idx="36">
                  <c:v>1946</c:v>
                </c:pt>
                <c:pt idx="37">
                  <c:v>1845</c:v>
                </c:pt>
                <c:pt idx="38">
                  <c:v>2191</c:v>
                </c:pt>
                <c:pt idx="39">
                  <c:v>2246</c:v>
                </c:pt>
                <c:pt idx="40">
                  <c:v>1919</c:v>
                </c:pt>
                <c:pt idx="41">
                  <c:v>1344</c:v>
                </c:pt>
                <c:pt idx="42">
                  <c:v>1658</c:v>
                </c:pt>
                <c:pt idx="43">
                  <c:v>2159</c:v>
                </c:pt>
                <c:pt idx="44">
                  <c:v>2641</c:v>
                </c:pt>
                <c:pt idx="45">
                  <c:v>2589</c:v>
                </c:pt>
                <c:pt idx="46">
                  <c:v>2555</c:v>
                </c:pt>
                <c:pt idx="47">
                  <c:v>2698</c:v>
                </c:pt>
                <c:pt idx="48">
                  <c:v>2108</c:v>
                </c:pt>
                <c:pt idx="49">
                  <c:v>1790</c:v>
                </c:pt>
                <c:pt idx="50">
                  <c:v>2297</c:v>
                </c:pt>
                <c:pt idx="51">
                  <c:v>1540</c:v>
                </c:pt>
                <c:pt idx="52">
                  <c:v>2597</c:v>
                </c:pt>
                <c:pt idx="53">
                  <c:v>3138</c:v>
                </c:pt>
                <c:pt idx="54">
                  <c:v>2682</c:v>
                </c:pt>
                <c:pt idx="55">
                  <c:v>2561</c:v>
                </c:pt>
                <c:pt idx="56">
                  <c:v>2276</c:v>
                </c:pt>
                <c:pt idx="57">
                  <c:v>3257</c:v>
                </c:pt>
                <c:pt idx="58">
                  <c:v>3380</c:v>
                </c:pt>
                <c:pt idx="59">
                  <c:v>3497</c:v>
                </c:pt>
                <c:pt idx="60">
                  <c:v>3342</c:v>
                </c:pt>
                <c:pt idx="61">
                  <c:v>3037</c:v>
                </c:pt>
                <c:pt idx="62">
                  <c:v>2068</c:v>
                </c:pt>
                <c:pt idx="63">
                  <c:v>2029</c:v>
                </c:pt>
                <c:pt idx="64">
                  <c:v>2699</c:v>
                </c:pt>
                <c:pt idx="65">
                  <c:v>2634</c:v>
                </c:pt>
                <c:pt idx="66">
                  <c:v>4978</c:v>
                </c:pt>
                <c:pt idx="67">
                  <c:v>2573</c:v>
                </c:pt>
                <c:pt idx="68">
                  <c:v>2139</c:v>
                </c:pt>
                <c:pt idx="69">
                  <c:v>1914</c:v>
                </c:pt>
                <c:pt idx="70">
                  <c:v>1420</c:v>
                </c:pt>
                <c:pt idx="71">
                  <c:v>2588</c:v>
                </c:pt>
                <c:pt idx="72">
                  <c:v>8383</c:v>
                </c:pt>
                <c:pt idx="73">
                  <c:v>3305</c:v>
                </c:pt>
                <c:pt idx="74">
                  <c:v>2990</c:v>
                </c:pt>
                <c:pt idx="75">
                  <c:v>4202</c:v>
                </c:pt>
                <c:pt idx="76">
                  <c:v>2320</c:v>
                </c:pt>
                <c:pt idx="77">
                  <c:v>1580</c:v>
                </c:pt>
                <c:pt idx="78">
                  <c:v>2624</c:v>
                </c:pt>
                <c:pt idx="79">
                  <c:v>3697</c:v>
                </c:pt>
                <c:pt idx="80">
                  <c:v>3009</c:v>
                </c:pt>
                <c:pt idx="81">
                  <c:v>5159</c:v>
                </c:pt>
                <c:pt idx="82">
                  <c:v>2758</c:v>
                </c:pt>
                <c:pt idx="83">
                  <c:v>2511</c:v>
                </c:pt>
                <c:pt idx="84">
                  <c:v>2249</c:v>
                </c:pt>
                <c:pt idx="85">
                  <c:v>2237</c:v>
                </c:pt>
                <c:pt idx="86">
                  <c:v>3042</c:v>
                </c:pt>
                <c:pt idx="87">
                  <c:v>2434</c:v>
                </c:pt>
                <c:pt idx="88">
                  <c:v>2290</c:v>
                </c:pt>
                <c:pt idx="89">
                  <c:v>2239</c:v>
                </c:pt>
                <c:pt idx="90">
                  <c:v>1689</c:v>
                </c:pt>
                <c:pt idx="91">
                  <c:v>1594</c:v>
                </c:pt>
                <c:pt idx="92">
                  <c:v>2755</c:v>
                </c:pt>
                <c:pt idx="93">
                  <c:v>2560</c:v>
                </c:pt>
                <c:pt idx="94">
                  <c:v>3573</c:v>
                </c:pt>
                <c:pt idx="95">
                  <c:v>2327</c:v>
                </c:pt>
                <c:pt idx="96">
                  <c:v>2900</c:v>
                </c:pt>
                <c:pt idx="97">
                  <c:v>1949</c:v>
                </c:pt>
                <c:pt idx="98">
                  <c:v>908</c:v>
                </c:pt>
                <c:pt idx="99">
                  <c:v>1792</c:v>
                </c:pt>
                <c:pt idx="100">
                  <c:v>917</c:v>
                </c:pt>
                <c:pt idx="101">
                  <c:v>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bSIR'!$K$7</c:f>
              <c:strCache>
                <c:ptCount val="1"/>
                <c:pt idx="0">
                  <c:v>Italy remov. rate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bSIR'!$K$62:$K$281</c:f>
              <c:numCache>
                <c:formatCode>General</c:formatCode>
                <c:ptCount val="220"/>
                <c:pt idx="0">
                  <c:v>386.02902478918912</c:v>
                </c:pt>
                <c:pt idx="1">
                  <c:v>404.70758193265596</c:v>
                </c:pt>
                <c:pt idx="2">
                  <c:v>424.22055777193958</c:v>
                </c:pt>
                <c:pt idx="3">
                  <c:v>444.59814451953287</c:v>
                </c:pt>
                <c:pt idx="4">
                  <c:v>465.87088648928682</c:v>
                </c:pt>
                <c:pt idx="5">
                  <c:v>488.06959538452236</c:v>
                </c:pt>
                <c:pt idx="6">
                  <c:v>511.22525395515953</c:v>
                </c:pt>
                <c:pt idx="7">
                  <c:v>535.36890714892047</c:v>
                </c:pt>
                <c:pt idx="8">
                  <c:v>560.53153986771986</c:v>
                </c:pt>
                <c:pt idx="9">
                  <c:v>586.74394043499558</c:v>
                </c:pt>
                <c:pt idx="10">
                  <c:v>614.03654888470521</c:v>
                </c:pt>
                <c:pt idx="11">
                  <c:v>642.43928919992322</c:v>
                </c:pt>
                <c:pt idx="12">
                  <c:v>671.98138466054297</c:v>
                </c:pt>
                <c:pt idx="13">
                  <c:v>702.69115550771505</c:v>
                </c:pt>
                <c:pt idx="14">
                  <c:v>734.59579819982787</c:v>
                </c:pt>
                <c:pt idx="15">
                  <c:v>767.72114562353147</c:v>
                </c:pt>
                <c:pt idx="16">
                  <c:v>802.09140773618856</c:v>
                </c:pt>
                <c:pt idx="17">
                  <c:v>837.72889225593622</c:v>
                </c:pt>
                <c:pt idx="18">
                  <c:v>874.65370518489215</c:v>
                </c:pt>
                <c:pt idx="19">
                  <c:v>912.88343115266719</c:v>
                </c:pt>
                <c:pt idx="20">
                  <c:v>952.43279380368335</c:v>
                </c:pt>
                <c:pt idx="21">
                  <c:v>993.31329672515051</c:v>
                </c:pt>
                <c:pt idx="22">
                  <c:v>1035.5328457247904</c:v>
                </c:pt>
                <c:pt idx="23">
                  <c:v>1079.0953536199775</c:v>
                </c:pt>
                <c:pt idx="24">
                  <c:v>1124.0003290936158</c:v>
                </c:pt>
                <c:pt idx="25">
                  <c:v>1170.2424516068429</c:v>
                </c:pt>
                <c:pt idx="26">
                  <c:v>1217.8111348334685</c:v>
                </c:pt>
                <c:pt idx="27">
                  <c:v>1266.6900815938557</c:v>
                </c:pt>
                <c:pt idx="28">
                  <c:v>1316.8568338131224</c:v>
                </c:pt>
                <c:pt idx="29">
                  <c:v>1368.2823216050815</c:v>
                </c:pt>
                <c:pt idx="30">
                  <c:v>1420.9304161823907</c:v>
                </c:pt>
                <c:pt idx="31">
                  <c:v>1474.7574919062652</c:v>
                </c:pt>
                <c:pt idx="32">
                  <c:v>1529.7120034050286</c:v>
                </c:pt>
                <c:pt idx="33">
                  <c:v>1585.7340842968274</c:v>
                </c:pt>
                <c:pt idx="34">
                  <c:v>1642.7551746329507</c:v>
                </c:pt>
                <c:pt idx="35">
                  <c:v>1700.6976847170738</c:v>
                </c:pt>
                <c:pt idx="36">
                  <c:v>1759.4747034331526</c:v>
                </c:pt>
                <c:pt idx="37">
                  <c:v>1818.9897596094827</c:v>
                </c:pt>
                <c:pt idx="38">
                  <c:v>1879.1366452360542</c:v>
                </c:pt>
                <c:pt idx="39">
                  <c:v>1939.7993095132149</c:v>
                </c:pt>
                <c:pt idx="40">
                  <c:v>2000.8518327177192</c:v>
                </c:pt>
                <c:pt idx="41">
                  <c:v>2062.158488704014</c:v>
                </c:pt>
                <c:pt idx="42">
                  <c:v>2123.5739044915126</c:v>
                </c:pt>
                <c:pt idx="43">
                  <c:v>2184.9433248025584</c:v>
                </c:pt>
                <c:pt idx="44">
                  <c:v>2246.1029885939342</c:v>
                </c:pt>
                <c:pt idx="45">
                  <c:v>2306.8806235547668</c:v>
                </c:pt>
                <c:pt idx="46">
                  <c:v>2367.0960632189121</c:v>
                </c:pt>
                <c:pt idx="47">
                  <c:v>2426.5619897607298</c:v>
                </c:pt>
                <c:pt idx="48">
                  <c:v>2485.0848037176847</c:v>
                </c:pt>
                <c:pt idx="49">
                  <c:v>2542.4656198287225</c:v>
                </c:pt>
                <c:pt idx="50">
                  <c:v>2598.5013859204032</c:v>
                </c:pt>
                <c:pt idx="51">
                  <c:v>2652.9861193501097</c:v>
                </c:pt>
                <c:pt idx="52">
                  <c:v>2705.7122529736084</c:v>
                </c:pt>
                <c:pt idx="53">
                  <c:v>2756.4720799990091</c:v>
                </c:pt>
                <c:pt idx="54">
                  <c:v>2805.0592844849198</c:v>
                </c:pt>
                <c:pt idx="55">
                  <c:v>2851.2705417089642</c:v>
                </c:pt>
                <c:pt idx="56">
                  <c:v>2894.9071702502101</c:v>
                </c:pt>
                <c:pt idx="57">
                  <c:v>2935.776815474384</c:v>
                </c:pt>
                <c:pt idx="58">
                  <c:v>2973.6951422629222</c:v>
                </c:pt>
                <c:pt idx="59">
                  <c:v>3008.4875133611736</c:v>
                </c:pt>
                <c:pt idx="60">
                  <c:v>3039.990628705968</c:v>
                </c:pt>
                <c:pt idx="61">
                  <c:v>3068.0541005868808</c:v>
                </c:pt>
                <c:pt idx="62">
                  <c:v>3092.5419395441886</c:v>
                </c:pt>
                <c:pt idx="63">
                  <c:v>3113.3339265389827</c:v>
                </c:pt>
                <c:pt idx="64">
                  <c:v>3130.3268481585264</c:v>
                </c:pt>
                <c:pt idx="65">
                  <c:v>3143.4355734339365</c:v>
                </c:pt>
                <c:pt idx="66">
                  <c:v>3152.5939532188831</c:v>
                </c:pt>
                <c:pt idx="67">
                  <c:v>3157.755525957964</c:v>
                </c:pt>
                <c:pt idx="68">
                  <c:v>3158.894016993615</c:v>
                </c:pt>
                <c:pt idx="69">
                  <c:v>3156.0036222360777</c:v>
                </c:pt>
                <c:pt idx="70">
                  <c:v>3149.099070953017</c:v>
                </c:pt>
                <c:pt idx="71">
                  <c:v>3138.2154665152402</c:v>
                </c:pt>
                <c:pt idx="72">
                  <c:v>3123.4079080476035</c:v>
                </c:pt>
                <c:pt idx="73">
                  <c:v>3104.7508999636379</c:v>
                </c:pt>
                <c:pt idx="74">
                  <c:v>3082.3375601958464</c:v>
                </c:pt>
                <c:pt idx="75">
                  <c:v>3056.2786414660745</c:v>
                </c:pt>
                <c:pt idx="76">
                  <c:v>3026.70138307855</c:v>
                </c:pt>
                <c:pt idx="77">
                  <c:v>2993.7482133843482</c:v>
                </c:pt>
                <c:pt idx="78">
                  <c:v>2957.5753251999417</c:v>
                </c:pt>
                <c:pt idx="79">
                  <c:v>2918.3511480237794</c:v>
                </c:pt>
                <c:pt idx="80">
                  <c:v>2876.2547418634704</c:v>
                </c:pt>
                <c:pt idx="81">
                  <c:v>2831.4741378621507</c:v>
                </c:pt>
                <c:pt idx="82">
                  <c:v>2784.2046507154732</c:v>
                </c:pt>
                <c:pt idx="83">
                  <c:v>2734.6471871368508</c:v>
                </c:pt>
                <c:pt idx="84">
                  <c:v>2683.0065734096224</c:v>
                </c:pt>
                <c:pt idx="85">
                  <c:v>2629.4899234239533</c:v>
                </c:pt>
                <c:pt idx="86">
                  <c:v>2574.3050666054237</c:v>
                </c:pt>
                <c:pt idx="87">
                  <c:v>2517.6590528787588</c:v>
                </c:pt>
                <c:pt idx="88">
                  <c:v>2459.7567493529991</c:v>
                </c:pt>
                <c:pt idx="89">
                  <c:v>2400.7995408420707</c:v>
                </c:pt>
                <c:pt idx="90">
                  <c:v>2340.9841437216733</c:v>
                </c:pt>
                <c:pt idx="91">
                  <c:v>2280.5015400381494</c:v>
                </c:pt>
                <c:pt idx="92">
                  <c:v>2219.5360362885949</c:v>
                </c:pt>
                <c:pt idx="93">
                  <c:v>2158.2644489357176</c:v>
                </c:pt>
                <c:pt idx="94">
                  <c:v>2096.8554165481592</c:v>
                </c:pt>
                <c:pt idx="95">
                  <c:v>2035.4688364994017</c:v>
                </c:pt>
                <c:pt idx="96">
                  <c:v>1974.2554224385283</c:v>
                </c:pt>
                <c:pt idx="97">
                  <c:v>1913.3563772769921</c:v>
                </c:pt>
                <c:pt idx="98">
                  <c:v>1852.9031752220915</c:v>
                </c:pt>
                <c:pt idx="99">
                  <c:v>1793.0174454268817</c:v>
                </c:pt>
                <c:pt idx="100">
                  <c:v>1733.8109491088458</c:v>
                </c:pt>
                <c:pt idx="101">
                  <c:v>1675.3856415010785</c:v>
                </c:pt>
                <c:pt idx="102">
                  <c:v>1617.8338097218311</c:v>
                </c:pt>
                <c:pt idx="103">
                  <c:v>1561.2382775595224</c:v>
                </c:pt>
                <c:pt idx="104">
                  <c:v>1505.6726682478288</c:v>
                </c:pt>
                <c:pt idx="105">
                  <c:v>1451.2017165252951</c:v>
                </c:pt>
                <c:pt idx="106">
                  <c:v>1397.8816216120954</c:v>
                </c:pt>
                <c:pt idx="107">
                  <c:v>1345.7604331700186</c:v>
                </c:pt>
                <c:pt idx="108">
                  <c:v>1294.8784628183791</c:v>
                </c:pt>
                <c:pt idx="109">
                  <c:v>1245.2687143380722</c:v>
                </c:pt>
                <c:pt idx="110">
                  <c:v>1196.9573262899376</c:v>
                </c:pt>
                <c:pt idx="111">
                  <c:v>1149.9640213856699</c:v>
                </c:pt>
                <c:pt idx="112">
                  <c:v>1104.3025575655711</c:v>
                </c:pt>
                <c:pt idx="113">
                  <c:v>1059.9811763455248</c:v>
                </c:pt>
                <c:pt idx="114">
                  <c:v>1017.0030445857434</c:v>
                </c:pt>
                <c:pt idx="115">
                  <c:v>975.36668639838911</c:v>
                </c:pt>
                <c:pt idx="116">
                  <c:v>935.06640244388211</c:v>
                </c:pt>
                <c:pt idx="117">
                  <c:v>896.09267436234177</c:v>
                </c:pt>
                <c:pt idx="118">
                  <c:v>858.43255254419751</c:v>
                </c:pt>
                <c:pt idx="119">
                  <c:v>822.07002586096257</c:v>
                </c:pt>
                <c:pt idx="120">
                  <c:v>786.98637235287879</c:v>
                </c:pt>
                <c:pt idx="121">
                  <c:v>753.16049020505056</c:v>
                </c:pt>
                <c:pt idx="122">
                  <c:v>720.56920863879975</c:v>
                </c:pt>
                <c:pt idx="123">
                  <c:v>689.1875786019632</c:v>
                </c:pt>
                <c:pt idx="124">
                  <c:v>658.98914336280359</c:v>
                </c:pt>
                <c:pt idx="125">
                  <c:v>629.9461892994741</c:v>
                </c:pt>
                <c:pt idx="126">
                  <c:v>602.02997733314055</c:v>
                </c:pt>
                <c:pt idx="127">
                  <c:v>575.21095558062689</c:v>
                </c:pt>
                <c:pt idx="128">
                  <c:v>549.45895390447799</c:v>
                </c:pt>
                <c:pt idx="129">
                  <c:v>524.74336111734749</c:v>
                </c:pt>
                <c:pt idx="130">
                  <c:v>501.0332856562099</c:v>
                </c:pt>
                <c:pt idx="131">
                  <c:v>478.29770058252041</c:v>
                </c:pt>
                <c:pt idx="132">
                  <c:v>456.5055737895176</c:v>
                </c:pt>
                <c:pt idx="133">
                  <c:v>435.625984309486</c:v>
                </c:pt>
                <c:pt idx="134">
                  <c:v>415.62822561406091</c:v>
                </c:pt>
                <c:pt idx="135">
                  <c:v>396.48189679135703</c:v>
                </c:pt>
                <c:pt idx="136">
                  <c:v>378.15698246651823</c:v>
                </c:pt>
                <c:pt idx="137">
                  <c:v>360.62392230872018</c:v>
                </c:pt>
                <c:pt idx="138">
                  <c:v>343.85367093901198</c:v>
                </c:pt>
                <c:pt idx="139">
                  <c:v>327.81774902085641</c:v>
                </c:pt>
                <c:pt idx="140">
                  <c:v>312.48828627981334</c:v>
                </c:pt>
                <c:pt idx="141">
                  <c:v>297.83805716140307</c:v>
                </c:pt>
                <c:pt idx="142">
                  <c:v>283.84050979755386</c:v>
                </c:pt>
                <c:pt idx="143">
                  <c:v>270.46978891279065</c:v>
                </c:pt>
                <c:pt idx="144">
                  <c:v>257.70075326203033</c:v>
                </c:pt>
                <c:pt idx="145">
                  <c:v>245.5089881529465</c:v>
                </c:pt>
                <c:pt idx="146">
                  <c:v>233.87081356770145</c:v>
                </c:pt>
                <c:pt idx="147">
                  <c:v>222.76328836173766</c:v>
                </c:pt>
                <c:pt idx="148">
                  <c:v>212.1642109814691</c:v>
                </c:pt>
                <c:pt idx="149">
                  <c:v>202.05211710831119</c:v>
                </c:pt>
                <c:pt idx="150">
                  <c:v>192.40627460364752</c:v>
                </c:pt>
                <c:pt idx="151">
                  <c:v>183.20667609814325</c:v>
                </c:pt>
                <c:pt idx="152">
                  <c:v>174.43402953932593</c:v>
                </c:pt>
                <c:pt idx="153">
                  <c:v>166.06974698358701</c:v>
                </c:pt>
                <c:pt idx="154">
                  <c:v>158.09593189271132</c:v>
                </c:pt>
                <c:pt idx="155">
                  <c:v>150.49536517069501</c:v>
                </c:pt>
                <c:pt idx="156">
                  <c:v>143.25149015392216</c:v>
                </c:pt>
                <c:pt idx="157">
                  <c:v>136.34839674670388</c:v>
                </c:pt>
                <c:pt idx="158">
                  <c:v>129.7708048746585</c:v>
                </c:pt>
                <c:pt idx="159">
                  <c:v>123.50404741039023</c:v>
                </c:pt>
                <c:pt idx="160">
                  <c:v>117.53405270930644</c:v>
                </c:pt>
                <c:pt idx="161">
                  <c:v>111.84732687815783</c:v>
                </c:pt>
                <c:pt idx="162">
                  <c:v>106.43093588488968</c:v>
                </c:pt>
                <c:pt idx="163">
                  <c:v>101.27248760559608</c:v>
                </c:pt>
                <c:pt idx="164">
                  <c:v>96.360113892696546</c:v>
                </c:pt>
                <c:pt idx="165">
                  <c:v>91.682452737822373</c:v>
                </c:pt>
                <c:pt idx="166">
                  <c:v>87.228630593250344</c:v>
                </c:pt>
                <c:pt idx="167">
                  <c:v>82.988244906972099</c:v>
                </c:pt>
                <c:pt idx="168">
                  <c:v>78.951346918580967</c:v>
                </c:pt>
                <c:pt idx="169">
                  <c:v>75.108424756025073</c:v>
                </c:pt>
                <c:pt idx="170">
                  <c:v>71.450386866859134</c:v>
                </c:pt>
                <c:pt idx="171">
                  <c:v>67.968545811866974</c:v>
                </c:pt>
                <c:pt idx="172">
                  <c:v>64.654602443771694</c:v>
                </c:pt>
                <c:pt idx="173">
                  <c:v>61.500630489147419</c:v>
                </c:pt>
                <c:pt idx="174">
                  <c:v>58.499061547549566</c:v>
                </c:pt>
                <c:pt idx="175">
                  <c:v>55.642670518244998</c:v>
                </c:pt>
                <c:pt idx="176">
                  <c:v>52.924561461707107</c:v>
                </c:pt>
                <c:pt idx="177">
                  <c:v>50.338153900207729</c:v>
                </c:pt>
                <c:pt idx="178">
                  <c:v>47.87716955935057</c:v>
                </c:pt>
                <c:pt idx="179">
                  <c:v>45.535619550216424</c:v>
                </c:pt>
                <c:pt idx="180">
                  <c:v>43.307791989901247</c:v>
                </c:pt>
                <c:pt idx="181">
                  <c:v>41.18824005659409</c:v>
                </c:pt>
                <c:pt idx="182">
                  <c:v>39.17177047393735</c:v>
                </c:pt>
                <c:pt idx="183">
                  <c:v>37.25343241821605</c:v>
                </c:pt>
                <c:pt idx="184">
                  <c:v>35.428506840911155</c:v>
                </c:pt>
                <c:pt idx="185">
                  <c:v>33.692496198306948</c:v>
                </c:pt>
                <c:pt idx="186">
                  <c:v>32.041114579146502</c:v>
                </c:pt>
                <c:pt idx="187">
                  <c:v>30.470278220763738</c:v>
                </c:pt>
                <c:pt idx="188">
                  <c:v>28.976096403674145</c:v>
                </c:pt>
                <c:pt idx="189">
                  <c:v>27.554862714262811</c:v>
                </c:pt>
                <c:pt idx="190">
                  <c:v>26.203046664956705</c:v>
                </c:pt>
                <c:pt idx="191">
                  <c:v>24.91728566109823</c:v>
                </c:pt>
                <c:pt idx="192">
                  <c:v>23.694377303636895</c:v>
                </c:pt>
                <c:pt idx="193">
                  <c:v>22.531272016719118</c:v>
                </c:pt>
                <c:pt idx="194">
                  <c:v>21.425065989271776</c:v>
                </c:pt>
                <c:pt idx="195">
                  <c:v>20.37299441973903</c:v>
                </c:pt>
                <c:pt idx="196">
                  <c:v>19.372425053234579</c:v>
                </c:pt>
                <c:pt idx="197">
                  <c:v>18.420852000509829</c:v>
                </c:pt>
                <c:pt idx="198">
                  <c:v>17.515889828304594</c:v>
                </c:pt>
                <c:pt idx="199">
                  <c:v>16.655267910838919</c:v>
                </c:pt>
                <c:pt idx="200">
                  <c:v>15.836825032415771</c:v>
                </c:pt>
                <c:pt idx="201">
                  <c:v>15.05850423133303</c:v>
                </c:pt>
                <c:pt idx="202">
                  <c:v>14.318347875544575</c:v>
                </c:pt>
                <c:pt idx="203">
                  <c:v>13.614492960762643</c:v>
                </c:pt>
                <c:pt idx="204">
                  <c:v>12.945166621953776</c:v>
                </c:pt>
                <c:pt idx="205">
                  <c:v>12.308681849446051</c:v>
                </c:pt>
                <c:pt idx="206">
                  <c:v>11.703433401135261</c:v>
                </c:pt>
                <c:pt idx="207">
                  <c:v>11.127893902548786</c:v>
                </c:pt>
                <c:pt idx="208">
                  <c:v>10.580610126797797</c:v>
                </c:pt>
                <c:pt idx="209">
                  <c:v>10.060199446719745</c:v>
                </c:pt>
                <c:pt idx="210">
                  <c:v>9.5653464517819895</c:v>
                </c:pt>
                <c:pt idx="211">
                  <c:v>9.0947997225836108</c:v>
                </c:pt>
                <c:pt idx="212">
                  <c:v>8.6473687560551031</c:v>
                </c:pt>
                <c:pt idx="213">
                  <c:v>8.2219210347134872</c:v>
                </c:pt>
                <c:pt idx="214">
                  <c:v>7.817379233583563</c:v>
                </c:pt>
                <c:pt idx="215">
                  <c:v>7.4327185586436002</c:v>
                </c:pt>
                <c:pt idx="216">
                  <c:v>7.0669642108954065</c:v>
                </c:pt>
                <c:pt idx="217">
                  <c:v>6.7191889703944305</c:v>
                </c:pt>
                <c:pt idx="218">
                  <c:v>6.3885108948045604</c:v>
                </c:pt>
                <c:pt idx="219">
                  <c:v>6.0740911272650475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'New_removed - bSIR'!$I$7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bSIR'!$I$62:$I$281</c:f>
              <c:numCache>
                <c:formatCode>General</c:formatCode>
                <c:ptCount val="220"/>
                <c:pt idx="0">
                  <c:v>382.70077351108154</c:v>
                </c:pt>
                <c:pt idx="1">
                  <c:v>401.25596698814536</c:v>
                </c:pt>
                <c:pt idx="2">
                  <c:v>420.64591718276284</c:v>
                </c:pt>
                <c:pt idx="3">
                  <c:v>440.90131762577874</c:v>
                </c:pt>
                <c:pt idx="4">
                  <c:v>462.05326003937466</c:v>
                </c:pt>
                <c:pt idx="5">
                  <c:v>484.1331512058041</c:v>
                </c:pt>
                <c:pt idx="6">
                  <c:v>507.17261798006331</c:v>
                </c:pt>
                <c:pt idx="7">
                  <c:v>531.20339951942071</c:v>
                </c:pt>
                <c:pt idx="8">
                  <c:v>556.25722578343266</c:v>
                </c:pt>
                <c:pt idx="9">
                  <c:v>582.36568134726986</c:v>
                </c:pt>
                <c:pt idx="10">
                  <c:v>609.56005357079016</c:v>
                </c:pt>
                <c:pt idx="11">
                  <c:v>637.87116417776713</c:v>
                </c:pt>
                <c:pt idx="12">
                  <c:v>667.329183326372</c:v>
                </c:pt>
                <c:pt idx="13">
                  <c:v>697.96342529571803</c:v>
                </c:pt>
                <c:pt idx="14">
                  <c:v>729.8021249767595</c:v>
                </c:pt>
                <c:pt idx="15">
                  <c:v>762.87219444177117</c:v>
                </c:pt>
                <c:pt idx="16">
                  <c:v>797.19895897796084</c:v>
                </c:pt>
                <c:pt idx="17">
                  <c:v>832.80587211054376</c:v>
                </c:pt>
                <c:pt idx="18">
                  <c:v>869.71420931174237</c:v>
                </c:pt>
                <c:pt idx="19">
                  <c:v>907.94274029782116</c:v>
                </c:pt>
                <c:pt idx="20">
                  <c:v>947.50738005916105</c:v>
                </c:pt>
                <c:pt idx="21">
                  <c:v>988.42081905127804</c:v>
                </c:pt>
                <c:pt idx="22">
                  <c:v>1030.6921332998272</c:v>
                </c:pt>
                <c:pt idx="23">
                  <c:v>1074.3263755418307</c:v>
                </c:pt>
                <c:pt idx="24">
                  <c:v>1119.3241489397933</c:v>
                </c:pt>
                <c:pt idx="25">
                  <c:v>1165.6811653652767</c:v>
                </c:pt>
                <c:pt idx="26">
                  <c:v>1213.3877907531767</c:v>
                </c:pt>
                <c:pt idx="27">
                  <c:v>1262.4285805753959</c:v>
                </c:pt>
                <c:pt idx="28">
                  <c:v>1312.7818090693311</c:v>
                </c:pt>
                <c:pt idx="29">
                  <c:v>1364.4189964773791</c:v>
                </c:pt>
                <c:pt idx="30">
                  <c:v>1417.3044392015254</c:v>
                </c:pt>
                <c:pt idx="31">
                  <c:v>1471.3947484425912</c:v>
                </c:pt>
                <c:pt idx="32">
                  <c:v>1526.6384035655344</c:v>
                </c:pt>
                <c:pt idx="33">
                  <c:v>1582.9753270962813</c:v>
                </c:pt>
                <c:pt idx="34">
                  <c:v>1640.3364888954709</c:v>
                </c:pt>
                <c:pt idx="35">
                  <c:v>1698.6435476514039</c:v>
                </c:pt>
                <c:pt idx="36">
                  <c:v>1757.8085383670641</c:v>
                </c:pt>
                <c:pt idx="37">
                  <c:v>1817.7336149610287</c:v>
                </c:pt>
                <c:pt idx="38">
                  <c:v>1878.3108574342327</c:v>
                </c:pt>
                <c:pt idx="39">
                  <c:v>1939.4221532476233</c:v>
                </c:pt>
                <c:pt idx="40">
                  <c:v>2000.9391625827902</c:v>
                </c:pt>
                <c:pt idx="41">
                  <c:v>2062.7233769920931</c:v>
                </c:pt>
                <c:pt idx="42">
                  <c:v>2124.6262805613746</c:v>
                </c:pt>
                <c:pt idx="43">
                  <c:v>2186.4896220841615</c:v>
                </c:pt>
                <c:pt idx="44">
                  <c:v>2248.145805862101</c:v>
                </c:pt>
                <c:pt idx="45">
                  <c:v>2309.4184075884236</c:v>
                </c:pt>
                <c:pt idx="46">
                  <c:v>2370.1228203315059</c:v>
                </c:pt>
                <c:pt idx="47">
                  <c:v>2430.0670339147532</c:v>
                </c:pt>
                <c:pt idx="48">
                  <c:v>2489.0525489958604</c:v>
                </c:pt>
                <c:pt idx="49">
                  <c:v>2546.8754249028661</c:v>
                </c:pt>
                <c:pt idx="50">
                  <c:v>2603.3274578161418</c:v>
                </c:pt>
                <c:pt idx="51">
                  <c:v>2658.1974832365595</c:v>
                </c:pt>
                <c:pt idx="52">
                  <c:v>2711.2727939029837</c:v>
                </c:pt>
                <c:pt idx="53">
                  <c:v>2762.3406614807932</c:v>
                </c:pt>
                <c:pt idx="54">
                  <c:v>2811.1899475101072</c:v>
                </c:pt>
                <c:pt idx="55">
                  <c:v>2857.6127863587612</c:v>
                </c:pt>
                <c:pt idx="56">
                  <c:v>2901.4063203569017</c:v>
                </c:pt>
                <c:pt idx="57">
                  <c:v>2942.3744649861119</c:v>
                </c:pt>
                <c:pt idx="58">
                  <c:v>2980.3296800442631</c:v>
                </c:pt>
                <c:pt idx="59">
                  <c:v>3015.0947211909079</c:v>
                </c:pt>
                <c:pt idx="60">
                  <c:v>3046.5043452723412</c:v>
                </c:pt>
                <c:pt idx="61">
                  <c:v>3074.4069423931946</c:v>
                </c:pt>
                <c:pt idx="62">
                  <c:v>3098.6660678897492</c:v>
                </c:pt>
                <c:pt idx="63">
                  <c:v>3119.1618481977152</c:v>
                </c:pt>
                <c:pt idx="64">
                  <c:v>3135.7922361009523</c:v>
                </c:pt>
                <c:pt idx="65">
                  <c:v>3148.4740929824702</c:v>
                </c:pt>
                <c:pt idx="66">
                  <c:v>3157.1440784359847</c:v>
                </c:pt>
                <c:pt idx="67">
                  <c:v>3161.7593308743458</c:v>
                </c:pt>
                <c:pt idx="68">
                  <c:v>3162.297926507898</c:v>
                </c:pt>
                <c:pt idx="69">
                  <c:v>3158.7591081610876</c:v>
                </c:pt>
                <c:pt idx="70">
                  <c:v>3151.1632797343714</c:v>
                </c:pt>
                <c:pt idx="71">
                  <c:v>3139.5517665764633</c:v>
                </c:pt>
                <c:pt idx="72">
                  <c:v>3123.9863464793252</c:v>
                </c:pt>
                <c:pt idx="73">
                  <c:v>3104.5485603163743</c:v>
                </c:pt>
                <c:pt idx="74">
                  <c:v>3081.3388153897895</c:v>
                </c:pt>
                <c:pt idx="75">
                  <c:v>3054.4752982232735</c:v>
                </c:pt>
                <c:pt idx="76">
                  <c:v>3024.0927167347008</c:v>
                </c:pt>
                <c:pt idx="77">
                  <c:v>2990.3408943703685</c:v>
                </c:pt>
                <c:pt idx="78">
                  <c:v>2953.3832408215812</c:v>
                </c:pt>
                <c:pt idx="79">
                  <c:v>2913.3951253406735</c:v>
                </c:pt>
                <c:pt idx="80">
                  <c:v>2870.5621794157541</c:v>
                </c:pt>
                <c:pt idx="81">
                  <c:v>2825.0785556626561</c:v>
                </c:pt>
                <c:pt idx="82">
                  <c:v>2777.1451692803676</c:v>
                </c:pt>
                <c:pt idx="83">
                  <c:v>2726.9679473426568</c:v>
                </c:pt>
                <c:pt idx="84">
                  <c:v>2674.7561096285544</c:v>
                </c:pt>
                <c:pt idx="85">
                  <c:v>2620.7205027041687</c:v>
                </c:pt>
                <c:pt idx="86">
                  <c:v>2565.0720066419231</c:v>
                </c:pt>
                <c:pt idx="87">
                  <c:v>2508.0200311884446</c:v>
                </c:pt>
                <c:pt idx="88">
                  <c:v>2449.7711154568524</c:v>
                </c:pt>
                <c:pt idx="89">
                  <c:v>2390.5276424080125</c:v>
                </c:pt>
                <c:pt idx="90">
                  <c:v>2330.4866765773413</c:v>
                </c:pt>
                <c:pt idx="91">
                  <c:v>2269.8389307699035</c:v>
                </c:pt>
                <c:pt idx="92">
                  <c:v>2208.7678648481219</c:v>
                </c:pt>
                <c:pt idx="93">
                  <c:v>2147.4489173237303</c:v>
                </c:pt>
                <c:pt idx="94">
                  <c:v>2086.0488682780879</c:v>
                </c:pt>
                <c:pt idx="95">
                  <c:v>2024.7253302006814</c:v>
                </c:pt>
                <c:pt idx="96">
                  <c:v>1963.6263616719016</c:v>
                </c:pt>
                <c:pt idx="97">
                  <c:v>1902.8901974308519</c:v>
                </c:pt>
                <c:pt idx="98">
                  <c:v>1842.6450872604992</c:v>
                </c:pt>
                <c:pt idx="99">
                  <c:v>1783.0092352825993</c:v>
                </c:pt>
                <c:pt idx="100">
                  <c:v>1724.0908306684553</c:v>
                </c:pt>
                <c:pt idx="101">
                  <c:v>1665.9881604193074</c:v>
                </c:pt>
                <c:pt idx="102">
                  <c:v>1608.7897947288898</c:v>
                </c:pt>
                <c:pt idx="103">
                  <c:v>1552.5748354852867</c:v>
                </c:pt>
                <c:pt idx="104">
                  <c:v>1497.4132186733427</c:v>
                </c:pt>
                <c:pt idx="105">
                  <c:v>1443.3660617761254</c:v>
                </c:pt>
                <c:pt idx="106">
                  <c:v>1390.4860477185418</c:v>
                </c:pt>
                <c:pt idx="107">
                  <c:v>1338.8178374236929</c:v>
                </c:pt>
                <c:pt idx="108">
                  <c:v>1288.398503640391</c:v>
                </c:pt>
                <c:pt idx="109">
                  <c:v>1239.2579793277569</c:v>
                </c:pt>
                <c:pt idx="110">
                  <c:v>1191.4195145320066</c:v>
                </c:pt>
                <c:pt idx="111">
                  <c:v>1144.9001363454724</c:v>
                </c:pt>
                <c:pt idx="112">
                  <c:v>1099.7111071854904</c:v>
                </c:pt>
                <c:pt idx="113">
                  <c:v>1055.8583772598843</c:v>
                </c:pt>
                <c:pt idx="114">
                  <c:v>1013.3430276878006</c:v>
                </c:pt>
                <c:pt idx="115">
                  <c:v>972.16170131289334</c:v>
                </c:pt>
                <c:pt idx="116">
                  <c:v>932.30701877541867</c:v>
                </c:pt>
                <c:pt idx="117">
                  <c:v>893.76797789764544</c:v>
                </c:pt>
                <c:pt idx="118">
                  <c:v>856.53033488118399</c:v>
                </c:pt>
                <c:pt idx="119">
                  <c:v>820.57696621488776</c:v>
                </c:pt>
                <c:pt idx="120">
                  <c:v>785.88821054828293</c:v>
                </c:pt>
                <c:pt idx="121">
                  <c:v>752.44219009916253</c:v>
                </c:pt>
                <c:pt idx="122">
                  <c:v>720.21511143697649</c:v>
                </c:pt>
                <c:pt idx="123">
                  <c:v>689.18154571807838</c:v>
                </c:pt>
                <c:pt idx="124">
                  <c:v>659.31468864750229</c:v>
                </c:pt>
                <c:pt idx="125">
                  <c:v>630.58660060740021</c:v>
                </c:pt>
                <c:pt idx="126">
                  <c:v>602.96842752759665</c:v>
                </c:pt>
                <c:pt idx="127">
                  <c:v>576.43060318176458</c:v>
                </c:pt>
                <c:pt idx="128">
                  <c:v>550.94303367640748</c:v>
                </c:pt>
                <c:pt idx="129">
                  <c:v>526.47526496197656</c:v>
                </c:pt>
                <c:pt idx="130">
                  <c:v>502.99663423865638</c:v>
                </c:pt>
                <c:pt idx="131">
                  <c:v>480.47640615620014</c:v>
                </c:pt>
                <c:pt idx="132">
                  <c:v>458.88389471995436</c:v>
                </c:pt>
                <c:pt idx="133">
                  <c:v>438.18857181607211</c:v>
                </c:pt>
                <c:pt idx="134">
                  <c:v>418.36016325977744</c:v>
                </c:pt>
                <c:pt idx="135">
                  <c:v>399.36873325321267</c:v>
                </c:pt>
                <c:pt idx="136">
                  <c:v>381.18475811541981</c:v>
                </c:pt>
                <c:pt idx="137">
                  <c:v>363.77919011777209</c:v>
                </c:pt>
                <c:pt idx="138">
                  <c:v>347.12351222491765</c:v>
                </c:pt>
                <c:pt idx="139">
                  <c:v>331.18978450506626</c:v>
                </c:pt>
                <c:pt idx="140">
                  <c:v>315.95068293518574</c:v>
                </c:pt>
                <c:pt idx="141">
                  <c:v>301.37953128714508</c:v>
                </c:pt>
                <c:pt idx="142">
                  <c:v>287.45032674070876</c:v>
                </c:pt>
                <c:pt idx="143">
                  <c:v>274.13775982911358</c:v>
                </c:pt>
                <c:pt idx="144">
                  <c:v>261.41722928320428</c:v>
                </c:pt>
                <c:pt idx="145">
                  <c:v>249.26485230112775</c:v>
                </c:pt>
                <c:pt idx="146">
                  <c:v>237.65747073269148</c:v>
                </c:pt>
                <c:pt idx="147">
                  <c:v>226.57265363091065</c:v>
                </c:pt>
                <c:pt idx="148">
                  <c:v>215.9886965881719</c:v>
                </c:pt>
                <c:pt idx="149">
                  <c:v>205.88461824095216</c:v>
                </c:pt>
                <c:pt idx="150">
                  <c:v>196.24015429523905</c:v>
                </c:pt>
                <c:pt idx="151">
                  <c:v>187.03574939474569</c:v>
                </c:pt>
                <c:pt idx="152">
                  <c:v>178.25254712572024</c:v>
                </c:pt>
                <c:pt idx="153">
                  <c:v>169.87237842561956</c:v>
                </c:pt>
                <c:pt idx="154">
                  <c:v>161.87774863811279</c:v>
                </c:pt>
                <c:pt idx="155">
                  <c:v>154.25182343377833</c:v>
                </c:pt>
                <c:pt idx="156">
                  <c:v>146.9784137943883</c:v>
                </c:pt>
                <c:pt idx="157">
                  <c:v>140.04196023879865</c:v>
                </c:pt>
                <c:pt idx="158">
                  <c:v>133.42751645009011</c:v>
                </c:pt>
                <c:pt idx="159">
                  <c:v>127.1207324466846</c:v>
                </c:pt>
                <c:pt idx="160">
                  <c:v>121.10783742459952</c:v>
                </c:pt>
                <c:pt idx="161">
                  <c:v>115.37562238373496</c:v>
                </c:pt>
                <c:pt idx="162">
                  <c:v>109.91142263803403</c:v>
                </c:pt>
                <c:pt idx="163">
                  <c:v>104.70310029743661</c:v>
                </c:pt>
                <c:pt idx="164">
                  <c:v>99.739026798690944</c:v>
                </c:pt>
                <c:pt idx="165">
                  <c:v>95.008065552217175</c:v>
                </c:pt>
                <c:pt idx="166">
                  <c:v>90.499554763268492</c:v>
                </c:pt>
                <c:pt idx="167">
                  <c:v>86.203290477534935</c:v>
                </c:pt>
                <c:pt idx="168">
                  <c:v>82.109509894022352</c:v>
                </c:pt>
                <c:pt idx="169">
                  <c:v>78.208874981449853</c:v>
                </c:pt>
                <c:pt idx="170">
                  <c:v>74.492456428487358</c:v>
                </c:pt>
                <c:pt idx="171">
                  <c:v>70.951717952847744</c:v>
                </c:pt>
                <c:pt idx="172">
                  <c:v>67.5785009894973</c:v>
                </c:pt>
                <c:pt idx="173">
                  <c:v>64.365009774016201</c:v>
                </c:pt>
                <c:pt idx="174">
                  <c:v>61.303796833373625</c:v>
                </c:pt>
                <c:pt idx="175">
                  <c:v>58.387748893043756</c:v>
                </c:pt>
                <c:pt idx="176">
                  <c:v>55.610073206438074</c:v>
                </c:pt>
                <c:pt idx="177">
                  <c:v>52.964284310032582</c:v>
                </c:pt>
                <c:pt idx="178">
                  <c:v>50.444191205290061</c:v>
                </c:pt>
                <c:pt idx="179">
                  <c:v>48.043884966488818</c:v>
                </c:pt>
                <c:pt idx="180">
                  <c:v>45.757726771843906</c:v>
                </c:pt>
                <c:pt idx="181">
                  <c:v>43.580336353812228</c:v>
                </c:pt>
                <c:pt idx="182">
                  <c:v>41.506580863195992</c:v>
                </c:pt>
                <c:pt idx="183">
                  <c:v>39.531564140568953</c:v>
                </c:pt>
                <c:pt idx="184">
                  <c:v>37.650616387630684</c:v>
                </c:pt>
                <c:pt idx="185">
                  <c:v>35.859284230329585</c:v>
                </c:pt>
                <c:pt idx="186">
                  <c:v>34.153321164964517</c:v>
                </c:pt>
                <c:pt idx="187">
                  <c:v>32.528678377967779</c:v>
                </c:pt>
                <c:pt idx="188">
                  <c:v>30.981495929670864</c:v>
                </c:pt>
                <c:pt idx="189">
                  <c:v>29.508094292049762</c:v>
                </c:pt>
                <c:pt idx="190">
                  <c:v>28.104966230226164</c:v>
                </c:pt>
                <c:pt idx="191">
                  <c:v>26.768769017353264</c:v>
                </c:pt>
                <c:pt idx="192">
                  <c:v>25.49631697243483</c:v>
                </c:pt>
                <c:pt idx="193">
                  <c:v>24.284574310600675</c:v>
                </c:pt>
                <c:pt idx="194">
                  <c:v>23.13064829538682</c:v>
                </c:pt>
                <c:pt idx="195">
                  <c:v>22.031782682636774</c:v>
                </c:pt>
                <c:pt idx="196">
                  <c:v>20.985351445744257</c:v>
                </c:pt>
                <c:pt idx="197">
                  <c:v>19.98885277209439</c:v>
                </c:pt>
                <c:pt idx="198">
                  <c:v>19.039903320722729</c:v>
                </c:pt>
                <c:pt idx="199">
                  <c:v>18.136232731397275</c:v>
                </c:pt>
                <c:pt idx="200">
                  <c:v>17.275678375531722</c:v>
                </c:pt>
                <c:pt idx="201">
                  <c:v>16.456180339557669</c:v>
                </c:pt>
                <c:pt idx="202">
                  <c:v>15.675776631615003</c:v>
                </c:pt>
                <c:pt idx="203">
                  <c:v>14.932598602659811</c:v>
                </c:pt>
                <c:pt idx="204">
                  <c:v>14.224866573337845</c:v>
                </c:pt>
                <c:pt idx="205">
                  <c:v>13.550885658224185</c:v>
                </c:pt>
                <c:pt idx="206">
                  <c:v>12.909041779286541</c:v>
                </c:pt>
                <c:pt idx="207">
                  <c:v>12.297797860687425</c:v>
                </c:pt>
                <c:pt idx="208">
                  <c:v>11.715690197299296</c:v>
                </c:pt>
                <c:pt idx="209">
                  <c:v>11.16132498956398</c:v>
                </c:pt>
                <c:pt idx="210">
                  <c:v>10.63337503758356</c:v>
                </c:pt>
                <c:pt idx="211">
                  <c:v>10.130576587582889</c:v>
                </c:pt>
                <c:pt idx="212">
                  <c:v>9.6517263241330564</c:v>
                </c:pt>
                <c:pt idx="213">
                  <c:v>9.1956785017704625</c:v>
                </c:pt>
                <c:pt idx="214">
                  <c:v>8.7613422098864291</c:v>
                </c:pt>
                <c:pt idx="215">
                  <c:v>8.3476787649977098</c:v>
                </c:pt>
                <c:pt idx="216">
                  <c:v>7.953699224737889</c:v>
                </c:pt>
                <c:pt idx="217">
                  <c:v>7.5784620181338198</c:v>
                </c:pt>
                <c:pt idx="218">
                  <c:v>7.221070686948833</c:v>
                </c:pt>
                <c:pt idx="219">
                  <c:v>6.8806717330866025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'New_removed - bSIR'!$Q$7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bSIR'!$Q$62:$Q$281</c:f>
              <c:numCache>
                <c:formatCode>General</c:formatCode>
                <c:ptCount val="220"/>
                <c:pt idx="0">
                  <c:v>2041.2389937129406</c:v>
                </c:pt>
                <c:pt idx="1">
                  <c:v>2059.9175508564072</c:v>
                </c:pt>
                <c:pt idx="2">
                  <c:v>2079.4305266956908</c:v>
                </c:pt>
                <c:pt idx="3">
                  <c:v>2099.8081134432841</c:v>
                </c:pt>
                <c:pt idx="4">
                  <c:v>2121.0808554130381</c:v>
                </c:pt>
                <c:pt idx="5">
                  <c:v>2143.2795643082736</c:v>
                </c:pt>
                <c:pt idx="6">
                  <c:v>2166.4352228789107</c:v>
                </c:pt>
                <c:pt idx="7">
                  <c:v>2190.5788760726718</c:v>
                </c:pt>
                <c:pt idx="8">
                  <c:v>2215.7415087914715</c:v>
                </c:pt>
                <c:pt idx="9">
                  <c:v>2241.9539093587468</c:v>
                </c:pt>
                <c:pt idx="10">
                  <c:v>2269.2465178084567</c:v>
                </c:pt>
                <c:pt idx="11">
                  <c:v>2297.6492581236744</c:v>
                </c:pt>
                <c:pt idx="12">
                  <c:v>2327.1913535842941</c:v>
                </c:pt>
                <c:pt idx="13">
                  <c:v>2357.9011244314665</c:v>
                </c:pt>
                <c:pt idx="14">
                  <c:v>2389.8057671235792</c:v>
                </c:pt>
                <c:pt idx="15">
                  <c:v>2422.931114547283</c:v>
                </c:pt>
                <c:pt idx="16">
                  <c:v>2457.3013766599397</c:v>
                </c:pt>
                <c:pt idx="17">
                  <c:v>2492.9388611796876</c:v>
                </c:pt>
                <c:pt idx="18">
                  <c:v>2529.8636741086434</c:v>
                </c:pt>
                <c:pt idx="19">
                  <c:v>2568.0934000764187</c:v>
                </c:pt>
                <c:pt idx="20">
                  <c:v>2607.6427627274347</c:v>
                </c:pt>
                <c:pt idx="21">
                  <c:v>2648.523265648902</c:v>
                </c:pt>
                <c:pt idx="22">
                  <c:v>2690.7428146485418</c:v>
                </c:pt>
                <c:pt idx="23">
                  <c:v>2734.3053225437288</c:v>
                </c:pt>
                <c:pt idx="24">
                  <c:v>2779.2102980173672</c:v>
                </c:pt>
                <c:pt idx="25">
                  <c:v>2825.4524205305943</c:v>
                </c:pt>
                <c:pt idx="26">
                  <c:v>2873.0211037572199</c:v>
                </c:pt>
                <c:pt idx="27">
                  <c:v>2921.9000505176073</c:v>
                </c:pt>
                <c:pt idx="28">
                  <c:v>2972.0668027368738</c:v>
                </c:pt>
                <c:pt idx="29">
                  <c:v>3023.4922905288331</c:v>
                </c:pt>
                <c:pt idx="30">
                  <c:v>3076.1403851061423</c:v>
                </c:pt>
                <c:pt idx="31">
                  <c:v>3129.9674608300165</c:v>
                </c:pt>
                <c:pt idx="32">
                  <c:v>3184.9219723287797</c:v>
                </c:pt>
                <c:pt idx="33">
                  <c:v>3240.944053220579</c:v>
                </c:pt>
                <c:pt idx="34">
                  <c:v>3297.9651435567021</c:v>
                </c:pt>
                <c:pt idx="35">
                  <c:v>3355.9076536408252</c:v>
                </c:pt>
                <c:pt idx="36">
                  <c:v>3414.6846723569042</c:v>
                </c:pt>
                <c:pt idx="37">
                  <c:v>3474.1997285332341</c:v>
                </c:pt>
                <c:pt idx="38">
                  <c:v>3534.3466141598055</c:v>
                </c:pt>
                <c:pt idx="39">
                  <c:v>3595.0092784369663</c:v>
                </c:pt>
                <c:pt idx="40">
                  <c:v>3656.0618016414705</c:v>
                </c:pt>
                <c:pt idx="41">
                  <c:v>3717.3684576277656</c:v>
                </c:pt>
                <c:pt idx="42">
                  <c:v>3778.7838734152638</c:v>
                </c:pt>
                <c:pt idx="43">
                  <c:v>3840.15329372631</c:v>
                </c:pt>
                <c:pt idx="44">
                  <c:v>3901.3129575176854</c:v>
                </c:pt>
                <c:pt idx="45">
                  <c:v>3962.0905924785184</c:v>
                </c:pt>
                <c:pt idx="46">
                  <c:v>4022.3060321426638</c:v>
                </c:pt>
                <c:pt idx="47">
                  <c:v>4081.7719586844814</c:v>
                </c:pt>
                <c:pt idx="48">
                  <c:v>4140.2947726414359</c:v>
                </c:pt>
                <c:pt idx="49">
                  <c:v>4197.6755887524741</c:v>
                </c:pt>
                <c:pt idx="50">
                  <c:v>4253.7113548441548</c:v>
                </c:pt>
                <c:pt idx="51">
                  <c:v>4308.1960882738613</c:v>
                </c:pt>
                <c:pt idx="52">
                  <c:v>4360.92222189736</c:v>
                </c:pt>
                <c:pt idx="53">
                  <c:v>4411.6820489227603</c:v>
                </c:pt>
                <c:pt idx="54">
                  <c:v>4460.2692534086709</c:v>
                </c:pt>
                <c:pt idx="55">
                  <c:v>4506.4805106327158</c:v>
                </c:pt>
                <c:pt idx="56">
                  <c:v>4550.1171391739617</c:v>
                </c:pt>
                <c:pt idx="57">
                  <c:v>4590.9867843981356</c:v>
                </c:pt>
                <c:pt idx="58">
                  <c:v>4628.9051111866738</c:v>
                </c:pt>
                <c:pt idx="59">
                  <c:v>4663.6974822849252</c:v>
                </c:pt>
                <c:pt idx="60">
                  <c:v>4695.2005976297196</c:v>
                </c:pt>
                <c:pt idx="61">
                  <c:v>4723.264069510632</c:v>
                </c:pt>
                <c:pt idx="62">
                  <c:v>4747.7519084679398</c:v>
                </c:pt>
                <c:pt idx="63">
                  <c:v>4768.5438954627343</c:v>
                </c:pt>
                <c:pt idx="64">
                  <c:v>4785.5368170822776</c:v>
                </c:pt>
                <c:pt idx="65">
                  <c:v>4798.6455423576881</c:v>
                </c:pt>
                <c:pt idx="66">
                  <c:v>4807.8039221426343</c:v>
                </c:pt>
                <c:pt idx="67">
                  <c:v>4812.9654948817151</c:v>
                </c:pt>
                <c:pt idx="68">
                  <c:v>4814.1039859173661</c:v>
                </c:pt>
                <c:pt idx="69">
                  <c:v>4811.2135911598289</c:v>
                </c:pt>
                <c:pt idx="70">
                  <c:v>4804.3090398767681</c:v>
                </c:pt>
                <c:pt idx="71">
                  <c:v>4793.4254354389914</c:v>
                </c:pt>
                <c:pt idx="72">
                  <c:v>4778.6178769713551</c:v>
                </c:pt>
                <c:pt idx="73">
                  <c:v>4759.9608688873896</c:v>
                </c:pt>
                <c:pt idx="74">
                  <c:v>4737.547529119598</c:v>
                </c:pt>
                <c:pt idx="75">
                  <c:v>4711.4886103898261</c:v>
                </c:pt>
                <c:pt idx="76">
                  <c:v>4681.9113520023011</c:v>
                </c:pt>
                <c:pt idx="77">
                  <c:v>4648.9581823080998</c:v>
                </c:pt>
                <c:pt idx="78">
                  <c:v>4612.7852941236933</c:v>
                </c:pt>
                <c:pt idx="79">
                  <c:v>4573.5611169475305</c:v>
                </c:pt>
                <c:pt idx="80">
                  <c:v>4531.4647107872215</c:v>
                </c:pt>
                <c:pt idx="81">
                  <c:v>4486.6841067859023</c:v>
                </c:pt>
                <c:pt idx="82">
                  <c:v>4439.4146196392248</c:v>
                </c:pt>
                <c:pt idx="83">
                  <c:v>4389.8571560606024</c:v>
                </c:pt>
                <c:pt idx="84">
                  <c:v>4338.2165423333736</c:v>
                </c:pt>
                <c:pt idx="85">
                  <c:v>4284.6998923477049</c:v>
                </c:pt>
                <c:pt idx="86">
                  <c:v>4229.5150355291753</c:v>
                </c:pt>
                <c:pt idx="87">
                  <c:v>4172.8690218025104</c:v>
                </c:pt>
                <c:pt idx="88">
                  <c:v>4114.9667182767507</c:v>
                </c:pt>
                <c:pt idx="89">
                  <c:v>4056.0095097658223</c:v>
                </c:pt>
                <c:pt idx="90">
                  <c:v>3996.1941126454249</c:v>
                </c:pt>
                <c:pt idx="91">
                  <c:v>3935.711508961901</c:v>
                </c:pt>
                <c:pt idx="92">
                  <c:v>3874.7460052123461</c:v>
                </c:pt>
                <c:pt idx="93">
                  <c:v>3813.4744178594692</c:v>
                </c:pt>
                <c:pt idx="94">
                  <c:v>3752.0653854719103</c:v>
                </c:pt>
                <c:pt idx="95">
                  <c:v>3690.6788054231529</c:v>
                </c:pt>
                <c:pt idx="96">
                  <c:v>3629.4653913622797</c:v>
                </c:pt>
                <c:pt idx="97">
                  <c:v>3568.5663462007433</c:v>
                </c:pt>
                <c:pt idx="98">
                  <c:v>3508.1131441458429</c:v>
                </c:pt>
                <c:pt idx="99">
                  <c:v>3448.2274143506329</c:v>
                </c:pt>
                <c:pt idx="100">
                  <c:v>3389.0209180325974</c:v>
                </c:pt>
                <c:pt idx="101">
                  <c:v>3330.5956104248298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'New_removed - bSIR'!$R$7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bSIR'!$R$62:$R$281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45.487715793322423</c:v>
                </c:pt>
                <c:pt idx="36">
                  <c:v>104.26473450940125</c:v>
                </c:pt>
                <c:pt idx="37">
                  <c:v>163.77979068573131</c:v>
                </c:pt>
                <c:pt idx="38">
                  <c:v>223.92667631230279</c:v>
                </c:pt>
                <c:pt idx="39">
                  <c:v>284.58934058946352</c:v>
                </c:pt>
                <c:pt idx="40">
                  <c:v>345.64186379396779</c:v>
                </c:pt>
                <c:pt idx="41">
                  <c:v>406.94851978026259</c:v>
                </c:pt>
                <c:pt idx="42">
                  <c:v>468.36393556776125</c:v>
                </c:pt>
                <c:pt idx="43">
                  <c:v>529.73335587880706</c:v>
                </c:pt>
                <c:pt idx="44">
                  <c:v>590.89301967018287</c:v>
                </c:pt>
                <c:pt idx="45">
                  <c:v>651.6706546310154</c:v>
                </c:pt>
                <c:pt idx="46">
                  <c:v>711.88609429516077</c:v>
                </c:pt>
                <c:pt idx="47">
                  <c:v>771.35202083697845</c:v>
                </c:pt>
                <c:pt idx="48">
                  <c:v>829.87483479393336</c:v>
                </c:pt>
                <c:pt idx="49">
                  <c:v>887.25565090497116</c:v>
                </c:pt>
                <c:pt idx="50">
                  <c:v>943.29141699665183</c:v>
                </c:pt>
                <c:pt idx="51">
                  <c:v>997.7761504263583</c:v>
                </c:pt>
                <c:pt idx="52">
                  <c:v>1050.5022840498571</c:v>
                </c:pt>
                <c:pt idx="53">
                  <c:v>1101.2621110752577</c:v>
                </c:pt>
                <c:pt idx="54">
                  <c:v>1149.8493155611684</c:v>
                </c:pt>
                <c:pt idx="55">
                  <c:v>1196.0605727852128</c:v>
                </c:pt>
                <c:pt idx="56">
                  <c:v>1239.6972013264588</c:v>
                </c:pt>
                <c:pt idx="57">
                  <c:v>1280.5668465506326</c:v>
                </c:pt>
                <c:pt idx="58">
                  <c:v>1318.4851733391708</c:v>
                </c:pt>
                <c:pt idx="59">
                  <c:v>1353.2775444374222</c:v>
                </c:pt>
                <c:pt idx="60">
                  <c:v>1384.7806597822166</c:v>
                </c:pt>
                <c:pt idx="61">
                  <c:v>1412.8441316631295</c:v>
                </c:pt>
                <c:pt idx="62">
                  <c:v>1437.3319706204372</c:v>
                </c:pt>
                <c:pt idx="63">
                  <c:v>1458.1239576152313</c:v>
                </c:pt>
                <c:pt idx="64">
                  <c:v>1475.1168792347751</c:v>
                </c:pt>
                <c:pt idx="65">
                  <c:v>1488.2256045101851</c:v>
                </c:pt>
                <c:pt idx="66">
                  <c:v>1497.3839842951318</c:v>
                </c:pt>
                <c:pt idx="67">
                  <c:v>1502.5455570342126</c:v>
                </c:pt>
                <c:pt idx="68">
                  <c:v>1503.6840480698636</c:v>
                </c:pt>
                <c:pt idx="69">
                  <c:v>1500.7936533123263</c:v>
                </c:pt>
                <c:pt idx="70">
                  <c:v>1493.8891020292656</c:v>
                </c:pt>
                <c:pt idx="71">
                  <c:v>1483.0054975914888</c:v>
                </c:pt>
                <c:pt idx="72">
                  <c:v>1468.1979391238522</c:v>
                </c:pt>
                <c:pt idx="73">
                  <c:v>1449.5409310398866</c:v>
                </c:pt>
                <c:pt idx="74">
                  <c:v>1427.1275912720951</c:v>
                </c:pt>
                <c:pt idx="75">
                  <c:v>1401.0686725423232</c:v>
                </c:pt>
                <c:pt idx="76">
                  <c:v>1371.4914141547986</c:v>
                </c:pt>
                <c:pt idx="77">
                  <c:v>1338.5382444605968</c:v>
                </c:pt>
                <c:pt idx="78">
                  <c:v>1302.3653562761904</c:v>
                </c:pt>
                <c:pt idx="79">
                  <c:v>1263.141179100028</c:v>
                </c:pt>
                <c:pt idx="80">
                  <c:v>1221.044772939719</c:v>
                </c:pt>
                <c:pt idx="81">
                  <c:v>1176.2641689383993</c:v>
                </c:pt>
                <c:pt idx="82">
                  <c:v>1128.9946817917219</c:v>
                </c:pt>
                <c:pt idx="83">
                  <c:v>1079.4372182130994</c:v>
                </c:pt>
                <c:pt idx="84">
                  <c:v>1027.7966044858711</c:v>
                </c:pt>
                <c:pt idx="85">
                  <c:v>974.27995450020194</c:v>
                </c:pt>
                <c:pt idx="86">
                  <c:v>919.09509768167231</c:v>
                </c:pt>
                <c:pt idx="87">
                  <c:v>862.44908395500738</c:v>
                </c:pt>
                <c:pt idx="88">
                  <c:v>804.54678042924775</c:v>
                </c:pt>
                <c:pt idx="89">
                  <c:v>745.58957191831928</c:v>
                </c:pt>
                <c:pt idx="90">
                  <c:v>685.77417479792189</c:v>
                </c:pt>
                <c:pt idx="91">
                  <c:v>625.29157111439804</c:v>
                </c:pt>
                <c:pt idx="92">
                  <c:v>564.32606736484354</c:v>
                </c:pt>
                <c:pt idx="93">
                  <c:v>503.05448001196623</c:v>
                </c:pt>
                <c:pt idx="94">
                  <c:v>441.64544762440778</c:v>
                </c:pt>
                <c:pt idx="95">
                  <c:v>380.25886757565036</c:v>
                </c:pt>
                <c:pt idx="96">
                  <c:v>319.04545351477691</c:v>
                </c:pt>
                <c:pt idx="97">
                  <c:v>258.14640835324076</c:v>
                </c:pt>
                <c:pt idx="98">
                  <c:v>197.6932062983401</c:v>
                </c:pt>
                <c:pt idx="99">
                  <c:v>137.80747650313037</c:v>
                </c:pt>
                <c:pt idx="100">
                  <c:v>78.600980185094386</c:v>
                </c:pt>
                <c:pt idx="101">
                  <c:v>20.175672577327077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525130051063728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Accumulative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removals - basic SIR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bSIR'!$AG$7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bSIR'!$AG$62:$AG$184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75</c:v>
                </c:pt>
                <c:pt idx="6">
                  <c:v>113</c:v>
                </c:pt>
                <c:pt idx="7">
                  <c:v>197</c:v>
                </c:pt>
                <c:pt idx="8">
                  <c:v>234</c:v>
                </c:pt>
                <c:pt idx="9">
                  <c:v>378</c:v>
                </c:pt>
                <c:pt idx="10">
                  <c:v>555</c:v>
                </c:pt>
                <c:pt idx="11">
                  <c:v>712</c:v>
                </c:pt>
                <c:pt idx="12">
                  <c:v>813</c:v>
                </c:pt>
                <c:pt idx="13">
                  <c:v>977</c:v>
                </c:pt>
                <c:pt idx="14">
                  <c:v>1175</c:v>
                </c:pt>
                <c:pt idx="15">
                  <c:v>1622</c:v>
                </c:pt>
                <c:pt idx="16">
                  <c:v>1859</c:v>
                </c:pt>
                <c:pt idx="17">
                  <c:v>2243</c:v>
                </c:pt>
                <c:pt idx="18">
                  <c:v>2664</c:v>
                </c:pt>
                <c:pt idx="19">
                  <c:v>3328</c:v>
                </c:pt>
                <c:pt idx="20">
                  <c:v>4078</c:v>
                </c:pt>
                <c:pt idx="21">
                  <c:v>4815</c:v>
                </c:pt>
                <c:pt idx="22">
                  <c:v>5327</c:v>
                </c:pt>
                <c:pt idx="23">
                  <c:v>6860</c:v>
                </c:pt>
                <c:pt idx="24">
                  <c:v>7669</c:v>
                </c:pt>
                <c:pt idx="25">
                  <c:v>8941</c:v>
                </c:pt>
                <c:pt idx="26">
                  <c:v>10620</c:v>
                </c:pt>
                <c:pt idx="27">
                  <c:v>12186</c:v>
                </c:pt>
                <c:pt idx="28">
                  <c:v>13138</c:v>
                </c:pt>
                <c:pt idx="29">
                  <c:v>14722</c:v>
                </c:pt>
                <c:pt idx="30">
                  <c:v>16386</c:v>
                </c:pt>
                <c:pt idx="31">
                  <c:v>17986</c:v>
                </c:pt>
                <c:pt idx="32">
                  <c:v>19448</c:v>
                </c:pt>
                <c:pt idx="33">
                  <c:v>21671</c:v>
                </c:pt>
                <c:pt idx="34">
                  <c:v>23012</c:v>
                </c:pt>
                <c:pt idx="35">
                  <c:v>25377</c:v>
                </c:pt>
                <c:pt idx="36">
                  <c:v>27249</c:v>
                </c:pt>
                <c:pt idx="37">
                  <c:v>28987</c:v>
                </c:pt>
                <c:pt idx="38">
                  <c:v>31071</c:v>
                </c:pt>
                <c:pt idx="39">
                  <c:v>33220</c:v>
                </c:pt>
                <c:pt idx="40">
                  <c:v>35049</c:v>
                </c:pt>
                <c:pt idx="41">
                  <c:v>36346</c:v>
                </c:pt>
                <c:pt idx="42">
                  <c:v>37928</c:v>
                </c:pt>
                <c:pt idx="43">
                  <c:v>39974</c:v>
                </c:pt>
                <c:pt idx="44">
                  <c:v>42499</c:v>
                </c:pt>
                <c:pt idx="45">
                  <c:v>44982</c:v>
                </c:pt>
                <c:pt idx="46">
                  <c:v>47414</c:v>
                </c:pt>
                <c:pt idx="47">
                  <c:v>49959</c:v>
                </c:pt>
                <c:pt idx="48">
                  <c:v>51949</c:v>
                </c:pt>
                <c:pt idx="49">
                  <c:v>53669</c:v>
                </c:pt>
                <c:pt idx="50">
                  <c:v>55855</c:v>
                </c:pt>
                <c:pt idx="51">
                  <c:v>57265</c:v>
                </c:pt>
                <c:pt idx="52">
                  <c:v>59732</c:v>
                </c:pt>
                <c:pt idx="53">
                  <c:v>62743</c:v>
                </c:pt>
                <c:pt idx="54">
                  <c:v>65265</c:v>
                </c:pt>
                <c:pt idx="55">
                  <c:v>67677</c:v>
                </c:pt>
                <c:pt idx="56">
                  <c:v>69818</c:v>
                </c:pt>
                <c:pt idx="57">
                  <c:v>72947</c:v>
                </c:pt>
                <c:pt idx="58">
                  <c:v>76186</c:v>
                </c:pt>
                <c:pt idx="59">
                  <c:v>79542</c:v>
                </c:pt>
                <c:pt idx="60">
                  <c:v>82731</c:v>
                </c:pt>
                <c:pt idx="61">
                  <c:v>85636</c:v>
                </c:pt>
                <c:pt idx="62">
                  <c:v>87564</c:v>
                </c:pt>
                <c:pt idx="63">
                  <c:v>89539</c:v>
                </c:pt>
                <c:pt idx="64">
                  <c:v>92099</c:v>
                </c:pt>
                <c:pt idx="65">
                  <c:v>94621</c:v>
                </c:pt>
                <c:pt idx="66">
                  <c:v>99470</c:v>
                </c:pt>
                <c:pt idx="67">
                  <c:v>101877</c:v>
                </c:pt>
                <c:pt idx="68">
                  <c:v>103910</c:v>
                </c:pt>
                <c:pt idx="69">
                  <c:v>105730</c:v>
                </c:pt>
                <c:pt idx="70">
                  <c:v>107054</c:v>
                </c:pt>
                <c:pt idx="71">
                  <c:v>109498</c:v>
                </c:pt>
                <c:pt idx="72">
                  <c:v>117684</c:v>
                </c:pt>
                <c:pt idx="73">
                  <c:v>120837</c:v>
                </c:pt>
                <c:pt idx="74">
                  <c:v>123677</c:v>
                </c:pt>
                <c:pt idx="75">
                  <c:v>127670</c:v>
                </c:pt>
                <c:pt idx="76">
                  <c:v>129858</c:v>
                </c:pt>
                <c:pt idx="77">
                  <c:v>131338</c:v>
                </c:pt>
                <c:pt idx="78">
                  <c:v>133866</c:v>
                </c:pt>
                <c:pt idx="79">
                  <c:v>137435</c:v>
                </c:pt>
                <c:pt idx="80">
                  <c:v>140321</c:v>
                </c:pt>
                <c:pt idx="81">
                  <c:v>145358</c:v>
                </c:pt>
                <c:pt idx="82">
                  <c:v>147995</c:v>
                </c:pt>
                <c:pt idx="83">
                  <c:v>150381</c:v>
                </c:pt>
                <c:pt idx="84">
                  <c:v>152481</c:v>
                </c:pt>
                <c:pt idx="85">
                  <c:v>154577</c:v>
                </c:pt>
                <c:pt idx="86">
                  <c:v>157501</c:v>
                </c:pt>
                <c:pt idx="87">
                  <c:v>159777</c:v>
                </c:pt>
                <c:pt idx="88">
                  <c:v>161855</c:v>
                </c:pt>
                <c:pt idx="89">
                  <c:v>163882</c:v>
                </c:pt>
                <c:pt idx="90">
                  <c:v>165408</c:v>
                </c:pt>
                <c:pt idx="91">
                  <c:v>166917</c:v>
                </c:pt>
                <c:pt idx="92">
                  <c:v>169501</c:v>
                </c:pt>
                <c:pt idx="93">
                  <c:v>171853</c:v>
                </c:pt>
                <c:pt idx="94">
                  <c:v>175286</c:v>
                </c:pt>
                <c:pt idx="95">
                  <c:v>177448</c:v>
                </c:pt>
                <c:pt idx="96">
                  <c:v>180103</c:v>
                </c:pt>
                <c:pt idx="97">
                  <c:v>181928</c:v>
                </c:pt>
                <c:pt idx="98">
                  <c:v>182722</c:v>
                </c:pt>
                <c:pt idx="99">
                  <c:v>184434</c:v>
                </c:pt>
                <c:pt idx="100">
                  <c:v>185302</c:v>
                </c:pt>
                <c:pt idx="101">
                  <c:v>186206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bSIR'!$AJ$7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bSIR'!$AJ$62:$AJ$184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77.070441965511719</c:v>
                </c:pt>
                <c:pt idx="14">
                  <c:v>750.02880466726651</c:v>
                </c:pt>
                <c:pt idx="15">
                  <c:v>1454.0217877526813</c:v>
                </c:pt>
                <c:pt idx="16">
                  <c:v>2190.2545183341754</c:v>
                </c:pt>
                <c:pt idx="17">
                  <c:v>2959.9562438705416</c:v>
                </c:pt>
                <c:pt idx="18">
                  <c:v>3764.3783741574816</c:v>
                </c:pt>
                <c:pt idx="19">
                  <c:v>4604.7922121401743</c:v>
                </c:pt>
                <c:pt idx="20">
                  <c:v>5482.4863523891363</c:v>
                </c:pt>
                <c:pt idx="21">
                  <c:v>6398.7637263480547</c:v>
                </c:pt>
                <c:pt idx="22">
                  <c:v>7354.9382740285901</c:v>
                </c:pt>
                <c:pt idx="23">
                  <c:v>8352.3312227389069</c:v>
                </c:pt>
                <c:pt idx="24">
                  <c:v>9392.2669547310088</c:v>
                </c:pt>
                <c:pt idx="25">
                  <c:v>10476.068447382966</c:v>
                </c:pt>
                <c:pt idx="26">
                  <c:v>11605.052271743623</c:v>
                </c:pt>
                <c:pt idx="27">
                  <c:v>12780.523137997296</c:v>
                </c:pt>
                <c:pt idx="28">
                  <c:v>14003.76797970181</c:v>
                </c:pt>
                <c:pt idx="29">
                  <c:v>15276.049572546795</c:v>
                </c:pt>
                <c:pt idx="30">
                  <c:v>16598.59968790405</c:v>
                </c:pt>
                <c:pt idx="31">
                  <c:v>17972.611786618727</c:v>
                </c:pt>
                <c:pt idx="32">
                  <c:v>19399.233264332561</c:v>
                </c:pt>
                <c:pt idx="33">
                  <c:v>20879.557266138359</c:v>
                </c:pt>
                <c:pt idx="34">
                  <c:v>22414.614095520239</c:v>
                </c:pt>
                <c:pt idx="35">
                  <c:v>24005.362250307662</c:v>
                </c:pt>
                <c:pt idx="36">
                  <c:v>25652.679126707266</c:v>
                </c:pt>
                <c:pt idx="37">
                  <c:v>27357.351441299452</c:v>
                </c:pt>
                <c:pt idx="38">
                  <c:v>29120.065430100036</c:v>
                </c:pt>
                <c:pt idx="39">
                  <c:v>30941.396893261805</c:v>
                </c:pt>
                <c:pt idx="40">
                  <c:v>32821.801163579061</c:v>
                </c:pt>
                <c:pt idx="41">
                  <c:v>34761.60308647831</c:v>
                </c:pt>
                <c:pt idx="42">
                  <c:v>36760.987108427616</c:v>
                </c:pt>
                <c:pt idx="43">
                  <c:v>38819.987579448985</c:v>
                </c:pt>
                <c:pt idx="44">
                  <c:v>40938.47938341774</c:v>
                </c:pt>
                <c:pt idx="45">
                  <c:v>43116.169016821528</c:v>
                </c:pt>
                <c:pt idx="46">
                  <c:v>45352.586242345984</c:v>
                </c:pt>
                <c:pt idx="47">
                  <c:v>47647.076447778127</c:v>
                </c:pt>
                <c:pt idx="48">
                  <c:v>49998.793842992643</c:v>
                </c:pt>
                <c:pt idx="49">
                  <c:v>52406.695627952147</c:v>
                </c:pt>
                <c:pt idx="50">
                  <c:v>54869.537262470432</c:v>
                </c:pt>
                <c:pt idx="51">
                  <c:v>57385.868963758294</c:v>
                </c:pt>
                <c:pt idx="52">
                  <c:v>59954.033550339474</c:v>
                </c:pt>
                <c:pt idx="53">
                  <c:v>62572.165740695404</c:v>
                </c:pt>
                <c:pt idx="54">
                  <c:v>65238.193001942105</c:v>
                </c:pt>
                <c:pt idx="55">
                  <c:v>67949.838028011683</c:v>
                </c:pt>
                <c:pt idx="56">
                  <c:v>70704.622908336067</c:v>
                </c:pt>
                <c:pt idx="57">
                  <c:v>73499.87502713193</c:v>
                </c:pt>
                <c:pt idx="58">
                  <c:v>76332.734710373232</c:v>
                </c:pt>
                <c:pt idx="59">
                  <c:v>79200.164612802182</c:v>
                </c:pt>
                <c:pt idx="60">
                  <c:v>82098.960811347657</c:v>
                </c:pt>
                <c:pt idx="61">
                  <c:v>85025.765544631198</c:v>
                </c:pt>
                <c:pt idx="62">
                  <c:v>87977.081511443903</c:v>
                </c:pt>
                <c:pt idx="63">
                  <c:v>90949.287614805173</c:v>
                </c:pt>
                <c:pt idx="64">
                  <c:v>93938.65601312129</c:v>
                </c:pt>
                <c:pt idx="65">
                  <c:v>96941.370316694665</c:v>
                </c:pt>
                <c:pt idx="66">
                  <c:v>99953.544747012449</c:v>
                </c:pt>
                <c:pt idx="67">
                  <c:v>102971.24405844191</c:v>
                </c:pt>
                <c:pt idx="68">
                  <c:v>105990.50400766797</c:v>
                </c:pt>
                <c:pt idx="69">
                  <c:v>109007.35214584492</c:v>
                </c:pt>
                <c:pt idx="70">
                  <c:v>112017.82870228343</c:v>
                </c:pt>
                <c:pt idx="71">
                  <c:v>115018.00732674834</c:v>
                </c:pt>
                <c:pt idx="72">
                  <c:v>118004.01546014078</c:v>
                </c:pt>
                <c:pt idx="73">
                  <c:v>120972.05411041038</c:v>
                </c:pt>
                <c:pt idx="74">
                  <c:v>123918.4168217799</c:v>
                </c:pt>
                <c:pt idx="75">
                  <c:v>126839.50764044405</c:v>
                </c:pt>
                <c:pt idx="76">
                  <c:v>129731.85789839989</c:v>
                </c:pt>
                <c:pt idx="77">
                  <c:v>132592.1416584613</c:v>
                </c:pt>
                <c:pt idx="78">
                  <c:v>135417.18968722245</c:v>
                </c:pt>
                <c:pt idx="79">
                  <c:v>138204.00184813639</c:v>
                </c:pt>
                <c:pt idx="80">
                  <c:v>140949.75783331352</c:v>
                </c:pt>
                <c:pt idx="81">
                  <c:v>143651.82617947177</c:v>
                </c:pt>
                <c:pt idx="82">
                  <c:v>146307.77154005514</c:v>
                </c:pt>
                <c:pt idx="83">
                  <c:v>148915.360211297</c:v>
                </c:pt>
                <c:pt idx="84">
                  <c:v>151472.56393440609</c:v>
                </c:pt>
                <c:pt idx="85">
                  <c:v>153977.56201864473</c:v>
                </c:pt>
                <c:pt idx="86">
                  <c:v>156428.74185046984</c:v>
                </c:pt>
                <c:pt idx="87">
                  <c:v>158824.69787183052</c:v>
                </c:pt>
                <c:pt idx="88">
                  <c:v>161164.22912596216</c:v>
                </c:pt>
                <c:pt idx="89">
                  <c:v>163446.3354814646</c:v>
                </c:pt>
                <c:pt idx="90">
                  <c:v>165670.21265508031</c:v>
                </c:pt>
                <c:pt idx="91">
                  <c:v>167835.2461604274</c:v>
                </c:pt>
                <c:pt idx="92">
                  <c:v>169941.00431411355</c:v>
                </c:pt>
                <c:pt idx="93">
                  <c:v>171987.23043231582</c:v>
                </c:pt>
                <c:pt idx="94">
                  <c:v>173973.83435027357</c:v>
                </c:pt>
                <c:pt idx="95">
                  <c:v>175900.88339444774</c:v>
                </c:pt>
                <c:pt idx="96">
                  <c:v>177768.59293261523</c:v>
                </c:pt>
                <c:pt idx="97">
                  <c:v>179577.31662117253</c:v>
                </c:pt>
                <c:pt idx="98">
                  <c:v>181327.53646169472</c:v>
                </c:pt>
                <c:pt idx="99">
                  <c:v>183019.85277061054</c:v>
                </c:pt>
                <c:pt idx="100">
                  <c:v>184654.97415697938</c:v>
                </c:pt>
                <c:pt idx="101">
                  <c:v>186233.70759402623</c:v>
                </c:pt>
                <c:pt idx="102">
                  <c:v>187756.94866054328</c:v>
                </c:pt>
                <c:pt idx="103">
                  <c:v>189225.67201868544</c:v>
                </c:pt>
                <c:pt idx="104">
                  <c:v>190640.92218525932</c:v>
                </c:pt>
                <c:pt idx="105">
                  <c:v>192003.80464446481</c:v>
                </c:pt>
                <c:pt idx="106">
                  <c:v>193315.4773413215</c:v>
                </c:pt>
                <c:pt idx="107">
                  <c:v>194577.1425867932</c:v>
                </c:pt>
                <c:pt idx="108">
                  <c:v>195790.03939797729</c:v>
                </c:pt>
                <c:pt idx="109">
                  <c:v>196955.43628970825</c:v>
                </c:pt>
                <c:pt idx="110">
                  <c:v>198074.62452755644</c:v>
                </c:pt>
                <c:pt idx="111">
                  <c:v>199148.91184650816</c:v>
                </c:pt>
                <c:pt idx="112">
                  <c:v>200179.61663457111</c:v>
                </c:pt>
                <c:pt idx="113">
                  <c:v>201168.06257616865</c:v>
                </c:pt>
                <c:pt idx="114">
                  <c:v>202115.57374641788</c:v>
                </c:pt>
                <c:pt idx="115">
                  <c:v>203023.47014421938</c:v>
                </c:pt>
                <c:pt idx="116">
                  <c:v>203893.06364946897</c:v>
                </c:pt>
                <c:pt idx="117">
                  <c:v>204725.65438759796</c:v>
                </c:pt>
                <c:pt idx="118">
                  <c:v>205522.52748301378</c:v>
                </c:pt>
                <c:pt idx="119">
                  <c:v>206284.95018180084</c:v>
                </c:pt>
                <c:pt idx="120">
                  <c:v>207014.16932320854</c:v>
                </c:pt>
                <c:pt idx="121">
                  <c:v>207711.40913895291</c:v>
                </c:pt>
                <c:pt idx="122">
                  <c:v>208377.8693591521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removals - basic SIR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bSIR'!$S$7</c:f>
              <c:strCache>
                <c:ptCount val="1"/>
                <c:pt idx="0">
                  <c:v>region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bSIR'!$S$62:$S$184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  <c:pt idx="81">
                  <c:v>6457</c:v>
                </c:pt>
                <c:pt idx="82">
                  <c:v>6578</c:v>
                </c:pt>
                <c:pt idx="83">
                  <c:v>6703</c:v>
                </c:pt>
                <c:pt idx="84">
                  <c:v>6852</c:v>
                </c:pt>
                <c:pt idx="85">
                  <c:v>6993</c:v>
                </c:pt>
                <c:pt idx="86">
                  <c:v>7111</c:v>
                </c:pt>
                <c:pt idx="87">
                  <c:v>7269</c:v>
                </c:pt>
                <c:pt idx="88">
                  <c:v>7481</c:v>
                </c:pt>
                <c:pt idx="89">
                  <c:v>7693</c:v>
                </c:pt>
                <c:pt idx="90">
                  <c:v>7856</c:v>
                </c:pt>
                <c:pt idx="91">
                  <c:v>7941</c:v>
                </c:pt>
                <c:pt idx="92">
                  <c:v>8112</c:v>
                </c:pt>
                <c:pt idx="93">
                  <c:v>8320</c:v>
                </c:pt>
                <c:pt idx="94">
                  <c:v>8460</c:v>
                </c:pt>
                <c:pt idx="95">
                  <c:v>8625</c:v>
                </c:pt>
                <c:pt idx="96">
                  <c:v>8870</c:v>
                </c:pt>
                <c:pt idx="97">
                  <c:v>8994</c:v>
                </c:pt>
                <c:pt idx="98">
                  <c:v>9108</c:v>
                </c:pt>
                <c:pt idx="99">
                  <c:v>9188</c:v>
                </c:pt>
                <c:pt idx="100">
                  <c:v>9237</c:v>
                </c:pt>
                <c:pt idx="101">
                  <c:v>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bSIR'!$X$7</c:f>
              <c:strCache>
                <c:ptCount val="1"/>
                <c:pt idx="0">
                  <c:v>region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34.475609649753139</c:v>
                </c:pt>
                <c:pt idx="23">
                  <c:v>89.478241588311164</c:v>
                </c:pt>
                <c:pt idx="24">
                  <c:v>146.25424474947047</c:v>
                </c:pt>
                <c:pt idx="25">
                  <c:v>204.84245522195209</c:v>
                </c:pt>
                <c:pt idx="26">
                  <c:v>265.28119267678937</c:v>
                </c:pt>
                <c:pt idx="27">
                  <c:v>327.60813738385758</c:v>
                </c:pt>
                <c:pt idx="28">
                  <c:v>391.86020047792823</c:v>
                </c:pt>
                <c:pt idx="29">
                  <c:v>458.07338755702551</c:v>
                </c:pt>
                <c:pt idx="30">
                  <c:v>526.28265574970794</c:v>
                </c:pt>
                <c:pt idx="31">
                  <c:v>596.52176444625877</c:v>
                </c:pt>
                <c:pt idx="32">
                  <c:v>668.82311995188422</c:v>
                </c:pt>
                <c:pt idx="33">
                  <c:v>743.21761438747058</c:v>
                </c:pt>
                <c:pt idx="34">
                  <c:v>819.73445923514714</c:v>
                </c:pt>
                <c:pt idx="35">
                  <c:v>898.40101400151593</c:v>
                </c:pt>
                <c:pt idx="36">
                  <c:v>979.24261055032537</c:v>
                </c:pt>
                <c:pt idx="37">
                  <c:v>1062.2823737383162</c:v>
                </c:pt>
                <c:pt idx="38">
                  <c:v>1147.5410390720715</c:v>
                </c:pt>
                <c:pt idx="39">
                  <c:v>1235.0367681893113</c:v>
                </c:pt>
                <c:pt idx="40">
                  <c:v>1324.7849630542669</c:v>
                </c:pt>
                <c:pt idx="41">
                  <c:v>1416.7980798425967</c:v>
                </c:pt>
                <c:pt idx="42">
                  <c:v>1511.0854435755471</c:v>
                </c:pt>
                <c:pt idx="43">
                  <c:v>1607.6530646446565</c:v>
                </c:pt>
                <c:pt idx="44">
                  <c:v>1706.5034584457503</c:v>
                </c:pt>
                <c:pt idx="45">
                  <c:v>1807.6354694130687</c:v>
                </c:pt>
                <c:pt idx="46">
                  <c:v>1911.0441008093981</c:v>
                </c:pt>
                <c:pt idx="47">
                  <c:v>2016.7203516848165</c:v>
                </c:pt>
                <c:pt idx="48">
                  <c:v>2124.6510624632015</c:v>
                </c:pt>
                <c:pt idx="49">
                  <c:v>2234.8187706507611</c:v>
                </c:pt>
                <c:pt idx="50">
                  <c:v>2347.2015781827786</c:v>
                </c:pt>
                <c:pt idx="51">
                  <c:v>2461.773031932195</c:v>
                </c:pt>
                <c:pt idx="52">
                  <c:v>2578.5020188950489</c:v>
                </c:pt>
                <c:pt idx="53">
                  <c:v>2697.3526775422256</c:v>
                </c:pt>
                <c:pt idx="54">
                  <c:v>2818.2843267829389</c:v>
                </c:pt>
                <c:pt idx="55">
                  <c:v>2941.2514139225377</c:v>
                </c:pt>
                <c:pt idx="56">
                  <c:v>3066.203482914575</c:v>
                </c:pt>
                <c:pt idx="57">
                  <c:v>3193.0851641045883</c:v>
                </c:pt>
                <c:pt idx="58">
                  <c:v>3321.8361865405759</c:v>
                </c:pt>
                <c:pt idx="59">
                  <c:v>3452.3914137831289</c:v>
                </c:pt>
                <c:pt idx="60">
                  <c:v>3584.6809039873392</c:v>
                </c:pt>
                <c:pt idx="61">
                  <c:v>3718.6299948500086</c:v>
                </c:pt>
                <c:pt idx="62">
                  <c:v>3854.1594138208616</c:v>
                </c:pt>
                <c:pt idx="63">
                  <c:v>3991.1854137672908</c:v>
                </c:pt>
                <c:pt idx="64">
                  <c:v>4129.6199340608719</c:v>
                </c:pt>
                <c:pt idx="65">
                  <c:v>4269.3707868230831</c:v>
                </c:pt>
                <c:pt idx="66">
                  <c:v>4410.3418678302087</c:v>
                </c:pt>
                <c:pt idx="67">
                  <c:v>4552.4333913365735</c:v>
                </c:pt>
                <c:pt idx="68">
                  <c:v>4695.5421478342996</c:v>
                </c:pt>
                <c:pt idx="69">
                  <c:v>4839.5617835302974</c:v>
                </c:pt>
                <c:pt idx="70">
                  <c:v>4984.3831000909086</c:v>
                </c:pt>
                <c:pt idx="71">
                  <c:v>5129.8943729848661</c:v>
                </c:pt>
                <c:pt idx="72">
                  <c:v>5275.9816865499697</c:v>
                </c:pt>
                <c:pt idx="73">
                  <c:v>5422.5292837210991</c:v>
                </c:pt>
                <c:pt idx="74">
                  <c:v>5569.4199281904339</c:v>
                </c:pt>
                <c:pt idx="75">
                  <c:v>5716.5352766275328</c:v>
                </c:pt>
                <c:pt idx="76">
                  <c:v>5863.7562584701736</c:v>
                </c:pt>
                <c:pt idx="77">
                  <c:v>6010.9634607081543</c:v>
                </c:pt>
                <c:pt idx="78">
                  <c:v>6158.0375150236268</c:v>
                </c:pt>
                <c:pt idx="79">
                  <c:v>6304.8594846236765</c:v>
                </c:pt>
                <c:pt idx="80">
                  <c:v>6451.31124810454</c:v>
                </c:pt>
                <c:pt idx="81">
                  <c:v>6597.2758777218451</c:v>
                </c:pt>
                <c:pt idx="82">
                  <c:v>6742.6380095069053</c:v>
                </c:pt>
                <c:pt idx="83">
                  <c:v>6887.2842027644974</c:v>
                </c:pt>
                <c:pt idx="84">
                  <c:v>7031.1032866105488</c:v>
                </c:pt>
                <c:pt idx="85">
                  <c:v>7173.9866913570713</c:v>
                </c:pt>
                <c:pt idx="86">
                  <c:v>7315.8287627235677</c:v>
                </c:pt>
                <c:pt idx="87">
                  <c:v>7456.5270570461653</c:v>
                </c:pt>
                <c:pt idx="88">
                  <c:v>7595.9826158647757</c:v>
                </c:pt>
                <c:pt idx="89">
                  <c:v>7734.1002184909194</c:v>
                </c:pt>
                <c:pt idx="90">
                  <c:v>7870.78861139131</c:v>
                </c:pt>
                <c:pt idx="91">
                  <c:v>8005.9607134607213</c:v>
                </c:pt>
                <c:pt idx="92">
                  <c:v>8139.5337964990258</c:v>
                </c:pt>
                <c:pt idx="93">
                  <c:v>8271.4296404475808</c:v>
                </c:pt>
                <c:pt idx="94">
                  <c:v>8401.5746631763086</c:v>
                </c:pt>
                <c:pt idx="95">
                  <c:v>8529.9000248417888</c:v>
                </c:pt>
                <c:pt idx="96">
                  <c:v>8656.3417070551914</c:v>
                </c:pt>
                <c:pt idx="97">
                  <c:v>8780.8405673051584</c:v>
                </c:pt>
                <c:pt idx="98">
                  <c:v>8903.3423692717988</c:v>
                </c:pt>
                <c:pt idx="99">
                  <c:v>9023.797789842667</c:v>
                </c:pt>
                <c:pt idx="100">
                  <c:v>9142.1624037981383</c:v>
                </c:pt>
                <c:pt idx="101">
                  <c:v>9258.3966472712036</c:v>
                </c:pt>
                <c:pt idx="102">
                  <c:v>9372.4657612045248</c:v>
                </c:pt>
                <c:pt idx="103">
                  <c:v>9484.339716125518</c:v>
                </c:pt>
                <c:pt idx="104">
                  <c:v>9593.9931196382986</c:v>
                </c:pt>
                <c:pt idx="105">
                  <c:v>9701.4051080897352</c:v>
                </c:pt>
                <c:pt idx="106">
                  <c:v>9806.5592239064936</c:v>
                </c:pt>
                <c:pt idx="107">
                  <c:v>9909.4432801216371</c:v>
                </c:pt>
                <c:pt idx="108">
                  <c:v>10010.049213613984</c:v>
                </c:pt>
                <c:pt idx="109">
                  <c:v>10108.372928572635</c:v>
                </c:pt>
                <c:pt idx="110">
                  <c:v>10204.414131673919</c:v>
                </c:pt>
                <c:pt idx="111">
                  <c:v>10298.17616042016</c:v>
                </c:pt>
                <c:pt idx="112">
                  <c:v>10389.665806040599</c:v>
                </c:pt>
                <c:pt idx="113">
                  <c:v>10478.893132296029</c:v>
                </c:pt>
                <c:pt idx="114">
                  <c:v>10565.871291461937</c:v>
                </c:pt>
                <c:pt idx="115">
                  <c:v>10650.616338691454</c:v>
                </c:pt>
                <c:pt idx="116">
                  <c:v>10733.147045880878</c:v>
                </c:pt>
                <c:pt idx="117">
                  <c:v>10813.484716078272</c:v>
                </c:pt>
                <c:pt idx="118">
                  <c:v>10891.652999390853</c:v>
                </c:pt>
                <c:pt idx="119">
                  <c:v>10967.677711260945</c:v>
                </c:pt>
                <c:pt idx="120">
                  <c:v>11041.586653894092</c:v>
                </c:pt>
                <c:pt idx="121">
                  <c:v>11113.409441537598</c:v>
                </c:pt>
                <c:pt idx="122">
                  <c:v>11183.177330224084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removal rate (# of people remived per day) - basic 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bSIR'!$AH$7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bSIR'!$AH$62:$AH$281</c:f>
              <c:numCache>
                <c:formatCode>0</c:formatCode>
                <c:ptCount val="220"/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8</c:v>
                </c:pt>
                <c:pt idx="6">
                  <c:v>38</c:v>
                </c:pt>
                <c:pt idx="7">
                  <c:v>84</c:v>
                </c:pt>
                <c:pt idx="8">
                  <c:v>37</c:v>
                </c:pt>
                <c:pt idx="9">
                  <c:v>144</c:v>
                </c:pt>
                <c:pt idx="10">
                  <c:v>177</c:v>
                </c:pt>
                <c:pt idx="11">
                  <c:v>157</c:v>
                </c:pt>
                <c:pt idx="12">
                  <c:v>101</c:v>
                </c:pt>
                <c:pt idx="13">
                  <c:v>164</c:v>
                </c:pt>
                <c:pt idx="14">
                  <c:v>198</c:v>
                </c:pt>
                <c:pt idx="15">
                  <c:v>447</c:v>
                </c:pt>
                <c:pt idx="16">
                  <c:v>237</c:v>
                </c:pt>
                <c:pt idx="17">
                  <c:v>384</c:v>
                </c:pt>
                <c:pt idx="18">
                  <c:v>421</c:v>
                </c:pt>
                <c:pt idx="19">
                  <c:v>664</c:v>
                </c:pt>
                <c:pt idx="20">
                  <c:v>750</c:v>
                </c:pt>
                <c:pt idx="21">
                  <c:v>737</c:v>
                </c:pt>
                <c:pt idx="22">
                  <c:v>512</c:v>
                </c:pt>
                <c:pt idx="23">
                  <c:v>1533</c:v>
                </c:pt>
                <c:pt idx="24">
                  <c:v>809</c:v>
                </c:pt>
                <c:pt idx="25">
                  <c:v>1272</c:v>
                </c:pt>
                <c:pt idx="26">
                  <c:v>1679</c:v>
                </c:pt>
                <c:pt idx="27">
                  <c:v>1566</c:v>
                </c:pt>
                <c:pt idx="28">
                  <c:v>952</c:v>
                </c:pt>
                <c:pt idx="29">
                  <c:v>1584</c:v>
                </c:pt>
                <c:pt idx="30">
                  <c:v>1664</c:v>
                </c:pt>
                <c:pt idx="31">
                  <c:v>1600</c:v>
                </c:pt>
                <c:pt idx="32">
                  <c:v>1462</c:v>
                </c:pt>
                <c:pt idx="33">
                  <c:v>2223</c:v>
                </c:pt>
                <c:pt idx="34">
                  <c:v>1341</c:v>
                </c:pt>
                <c:pt idx="35">
                  <c:v>2365</c:v>
                </c:pt>
                <c:pt idx="36">
                  <c:v>1872</c:v>
                </c:pt>
                <c:pt idx="37">
                  <c:v>1738</c:v>
                </c:pt>
                <c:pt idx="38">
                  <c:v>2084</c:v>
                </c:pt>
                <c:pt idx="39">
                  <c:v>2149</c:v>
                </c:pt>
                <c:pt idx="40">
                  <c:v>1829</c:v>
                </c:pt>
                <c:pt idx="41">
                  <c:v>1297</c:v>
                </c:pt>
                <c:pt idx="42">
                  <c:v>1582</c:v>
                </c:pt>
                <c:pt idx="43">
                  <c:v>2046</c:v>
                </c:pt>
                <c:pt idx="44">
                  <c:v>2525</c:v>
                </c:pt>
                <c:pt idx="45">
                  <c:v>2483</c:v>
                </c:pt>
                <c:pt idx="46">
                  <c:v>2432</c:v>
                </c:pt>
                <c:pt idx="47">
                  <c:v>2545</c:v>
                </c:pt>
                <c:pt idx="48">
                  <c:v>1990</c:v>
                </c:pt>
                <c:pt idx="49">
                  <c:v>1720</c:v>
                </c:pt>
                <c:pt idx="50">
                  <c:v>2186</c:v>
                </c:pt>
                <c:pt idx="51">
                  <c:v>1410</c:v>
                </c:pt>
                <c:pt idx="52">
                  <c:v>2467</c:v>
                </c:pt>
                <c:pt idx="53">
                  <c:v>3011</c:v>
                </c:pt>
                <c:pt idx="54">
                  <c:v>2522</c:v>
                </c:pt>
                <c:pt idx="55">
                  <c:v>2412</c:v>
                </c:pt>
                <c:pt idx="56">
                  <c:v>2141</c:v>
                </c:pt>
                <c:pt idx="57">
                  <c:v>3129</c:v>
                </c:pt>
                <c:pt idx="58">
                  <c:v>3239</c:v>
                </c:pt>
                <c:pt idx="59">
                  <c:v>3356</c:v>
                </c:pt>
                <c:pt idx="60">
                  <c:v>3189</c:v>
                </c:pt>
                <c:pt idx="61">
                  <c:v>2905</c:v>
                </c:pt>
                <c:pt idx="62">
                  <c:v>1928</c:v>
                </c:pt>
                <c:pt idx="63">
                  <c:v>1975</c:v>
                </c:pt>
                <c:pt idx="64">
                  <c:v>2560</c:v>
                </c:pt>
                <c:pt idx="65">
                  <c:v>2522</c:v>
                </c:pt>
                <c:pt idx="66">
                  <c:v>4849</c:v>
                </c:pt>
                <c:pt idx="67">
                  <c:v>2407</c:v>
                </c:pt>
                <c:pt idx="68">
                  <c:v>2033</c:v>
                </c:pt>
                <c:pt idx="69">
                  <c:v>1820</c:v>
                </c:pt>
                <c:pt idx="70">
                  <c:v>1324</c:v>
                </c:pt>
                <c:pt idx="71">
                  <c:v>2444</c:v>
                </c:pt>
                <c:pt idx="72">
                  <c:v>8186</c:v>
                </c:pt>
                <c:pt idx="73">
                  <c:v>3153</c:v>
                </c:pt>
                <c:pt idx="74">
                  <c:v>2840</c:v>
                </c:pt>
                <c:pt idx="75">
                  <c:v>3993</c:v>
                </c:pt>
                <c:pt idx="76">
                  <c:v>2188</c:v>
                </c:pt>
                <c:pt idx="77">
                  <c:v>1480</c:v>
                </c:pt>
                <c:pt idx="78">
                  <c:v>2528</c:v>
                </c:pt>
                <c:pt idx="79">
                  <c:v>3569</c:v>
                </c:pt>
                <c:pt idx="80">
                  <c:v>2886</c:v>
                </c:pt>
                <c:pt idx="81">
                  <c:v>5037</c:v>
                </c:pt>
                <c:pt idx="82">
                  <c:v>2637</c:v>
                </c:pt>
                <c:pt idx="83">
                  <c:v>2386</c:v>
                </c:pt>
                <c:pt idx="84">
                  <c:v>2100</c:v>
                </c:pt>
                <c:pt idx="85">
                  <c:v>2096</c:v>
                </c:pt>
                <c:pt idx="86">
                  <c:v>2924</c:v>
                </c:pt>
                <c:pt idx="87">
                  <c:v>2276</c:v>
                </c:pt>
                <c:pt idx="88">
                  <c:v>2078</c:v>
                </c:pt>
                <c:pt idx="89">
                  <c:v>2027</c:v>
                </c:pt>
                <c:pt idx="90">
                  <c:v>1526</c:v>
                </c:pt>
                <c:pt idx="91">
                  <c:v>1509</c:v>
                </c:pt>
                <c:pt idx="92">
                  <c:v>2584</c:v>
                </c:pt>
                <c:pt idx="93">
                  <c:v>2352</c:v>
                </c:pt>
                <c:pt idx="94">
                  <c:v>3433</c:v>
                </c:pt>
                <c:pt idx="95">
                  <c:v>2162</c:v>
                </c:pt>
                <c:pt idx="96">
                  <c:v>2655</c:v>
                </c:pt>
                <c:pt idx="97">
                  <c:v>1825</c:v>
                </c:pt>
                <c:pt idx="98">
                  <c:v>794</c:v>
                </c:pt>
                <c:pt idx="99">
                  <c:v>1712</c:v>
                </c:pt>
                <c:pt idx="100">
                  <c:v>868</c:v>
                </c:pt>
                <c:pt idx="101">
                  <c:v>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bSIR'!$AL$7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bSIR'!$AL$62:$AL$281</c:f>
              <c:numCache>
                <c:formatCode>General</c:formatCode>
                <c:ptCount val="220"/>
                <c:pt idx="0">
                  <c:v>357.44156558754497</c:v>
                </c:pt>
                <c:pt idx="1">
                  <c:v>375.0551665743759</c:v>
                </c:pt>
                <c:pt idx="2">
                  <c:v>393.47234941385426</c:v>
                </c:pt>
                <c:pt idx="3">
                  <c:v>412.72308749119776</c:v>
                </c:pt>
                <c:pt idx="4">
                  <c:v>432.83776163217846</c:v>
                </c:pt>
                <c:pt idx="5">
                  <c:v>453.84707968476692</c:v>
                </c:pt>
                <c:pt idx="6">
                  <c:v>475.78198445362182</c:v>
                </c:pt>
                <c:pt idx="7">
                  <c:v>498.67354906761113</c:v>
                </c:pt>
                <c:pt idx="8">
                  <c:v>522.55285884067473</c:v>
                </c:pt>
                <c:pt idx="9">
                  <c:v>547.45087867481413</c:v>
                </c:pt>
                <c:pt idx="10">
                  <c:v>573.39830505274062</c:v>
                </c:pt>
                <c:pt idx="11">
                  <c:v>600.42540167865525</c:v>
                </c:pt>
                <c:pt idx="12">
                  <c:v>628.56181785111414</c:v>
                </c:pt>
                <c:pt idx="13">
                  <c:v>657.83638869425113</c:v>
                </c:pt>
                <c:pt idx="14">
                  <c:v>688.27691643551327</c:v>
                </c:pt>
                <c:pt idx="15">
                  <c:v>719.90993200219009</c:v>
                </c:pt>
                <c:pt idx="16">
                  <c:v>752.76043631830873</c:v>
                </c:pt>
                <c:pt idx="17">
                  <c:v>786.85162082097179</c:v>
                </c:pt>
                <c:pt idx="18">
                  <c:v>822.20456688384309</c:v>
                </c:pt>
                <c:pt idx="19">
                  <c:v>858.83792403836912</c:v>
                </c:pt>
                <c:pt idx="20">
                  <c:v>896.7675671232131</c:v>
                </c:pt>
                <c:pt idx="21">
                  <c:v>936.0062327720135</c:v>
                </c:pt>
                <c:pt idx="22">
                  <c:v>976.56313597121368</c:v>
                </c:pt>
                <c:pt idx="23">
                  <c:v>1018.4435677851533</c:v>
                </c:pt>
                <c:pt idx="24">
                  <c:v>1061.6484757560715</c:v>
                </c:pt>
                <c:pt idx="25">
                  <c:v>1106.1740289423929</c:v>
                </c:pt>
                <c:pt idx="26">
                  <c:v>1152.0111700589805</c:v>
                </c:pt>
                <c:pt idx="27">
                  <c:v>1199.1451577259752</c:v>
                </c:pt>
                <c:pt idx="28">
                  <c:v>1247.555102414932</c:v>
                </c:pt>
                <c:pt idx="29">
                  <c:v>1297.2135002970638</c:v>
                </c:pt>
                <c:pt idx="30">
                  <c:v>1348.0857698415427</c:v>
                </c:pt>
                <c:pt idx="31">
                  <c:v>1400.1297966726727</c:v>
                </c:pt>
                <c:pt idx="32">
                  <c:v>1453.2954928620206</c:v>
                </c:pt>
                <c:pt idx="33">
                  <c:v>1507.5243774913429</c:v>
                </c:pt>
                <c:pt idx="34">
                  <c:v>1562.7491859579925</c:v>
                </c:pt>
                <c:pt idx="35">
                  <c:v>1618.8935160877425</c:v>
                </c:pt>
                <c:pt idx="36">
                  <c:v>1675.8715196493524</c:v>
                </c:pt>
                <c:pt idx="37">
                  <c:v>1733.5876483075651</c:v>
                </c:pt>
                <c:pt idx="38">
                  <c:v>1791.9364633814976</c:v>
                </c:pt>
                <c:pt idx="39">
                  <c:v>1850.8025189673976</c:v>
                </c:pt>
                <c:pt idx="40">
                  <c:v>1910.0603280116784</c:v>
                </c:pt>
                <c:pt idx="41">
                  <c:v>1969.5744207555131</c:v>
                </c:pt>
                <c:pt idx="42">
                  <c:v>2029.199504590955</c:v>
                </c:pt>
                <c:pt idx="43">
                  <c:v>2088.7807337477288</c:v>
                </c:pt>
                <c:pt idx="44">
                  <c:v>2148.1540963504385</c:v>
                </c:pt>
                <c:pt idx="45">
                  <c:v>2207.1469252341526</c:v>
                </c:pt>
                <c:pt idx="46">
                  <c:v>2265.5785374743177</c:v>
                </c:pt>
                <c:pt idx="47">
                  <c:v>2323.2610058753176</c:v>
                </c:pt>
                <c:pt idx="48">
                  <c:v>2380.0000636796362</c:v>
                </c:pt>
                <c:pt idx="49">
                  <c:v>2435.5961415262868</c:v>
                </c:pt>
                <c:pt idx="50">
                  <c:v>2489.8455332327317</c:v>
                </c:pt>
                <c:pt idx="51">
                  <c:v>2542.5416843408793</c:v>
                </c:pt>
                <c:pt idx="52">
                  <c:v>2593.4765946072334</c:v>
                </c:pt>
                <c:pt idx="53">
                  <c:v>2642.4423227935144</c:v>
                </c:pt>
                <c:pt idx="54">
                  <c:v>2689.2325792997422</c:v>
                </c:pt>
                <c:pt idx="55">
                  <c:v>2733.6443894574986</c:v>
                </c:pt>
                <c:pt idx="56">
                  <c:v>2775.4798077527798</c:v>
                </c:pt>
                <c:pt idx="57">
                  <c:v>2814.547660963864</c:v>
                </c:pt>
                <c:pt idx="58">
                  <c:v>2850.6652962677163</c:v>
                </c:pt>
                <c:pt idx="59">
                  <c:v>2883.6603088713323</c:v>
                </c:pt>
                <c:pt idx="60">
                  <c:v>2913.3722227370927</c:v>
                </c:pt>
                <c:pt idx="61">
                  <c:v>2939.6540975559669</c:v>
                </c:pt>
                <c:pt idx="62">
                  <c:v>2962.3740353261037</c:v>
                </c:pt>
                <c:pt idx="63">
                  <c:v>2981.4165607451923</c:v>
                </c:pt>
                <c:pt idx="64">
                  <c:v>2996.6838511295782</c:v>
                </c:pt>
                <c:pt idx="65">
                  <c:v>3008.0967937161004</c:v>
                </c:pt>
                <c:pt idx="66">
                  <c:v>3015.5958509446177</c:v>
                </c:pt>
                <c:pt idx="67">
                  <c:v>3019.1417175990341</c:v>
                </c:pt>
                <c:pt idx="68">
                  <c:v>3018.7157574196654</c:v>
                </c:pt>
                <c:pt idx="69">
                  <c:v>3014.3202108897863</c:v>
                </c:pt>
                <c:pt idx="70">
                  <c:v>3005.9781702290234</c:v>
                </c:pt>
                <c:pt idx="71">
                  <c:v>2993.7333220717123</c:v>
                </c:pt>
                <c:pt idx="72">
                  <c:v>2977.6494627397196</c:v>
                </c:pt>
                <c:pt idx="73">
                  <c:v>2957.8097953079623</c:v>
                </c:pt>
                <c:pt idx="74">
                  <c:v>2934.3160216839369</c:v>
                </c:pt>
                <c:pt idx="75">
                  <c:v>2907.2872465679857</c:v>
                </c:pt>
                <c:pt idx="76">
                  <c:v>2876.8587133317696</c:v>
                </c:pt>
                <c:pt idx="77">
                  <c:v>2843.1803944705348</c:v>
                </c:pt>
                <c:pt idx="78">
                  <c:v>2806.4154612932894</c:v>
                </c:pt>
                <c:pt idx="79">
                  <c:v>2766.7386588801064</c:v>
                </c:pt>
                <c:pt idx="80">
                  <c:v>2724.3346130464734</c:v>
                </c:pt>
                <c:pt idx="81">
                  <c:v>2679.396096122658</c:v>
                </c:pt>
                <c:pt idx="82">
                  <c:v>2632.1222778136394</c:v>
                </c:pt>
                <c:pt idx="83">
                  <c:v>2582.7169863027798</c:v>
                </c:pt>
                <c:pt idx="84">
                  <c:v>2531.3870031655447</c:v>
                </c:pt>
                <c:pt idx="85">
                  <c:v>2478.3404136448971</c:v>
                </c:pt>
                <c:pt idx="86">
                  <c:v>2423.7850314919651</c:v>
                </c:pt>
                <c:pt idx="87">
                  <c:v>2367.9269149821271</c:v>
                </c:pt>
                <c:pt idx="88">
                  <c:v>2310.9689879659641</c:v>
                </c:pt>
                <c:pt idx="89">
                  <c:v>2253.1097769916719</c:v>
                </c:pt>
                <c:pt idx="90">
                  <c:v>2194.5422727194464</c:v>
                </c:pt>
                <c:pt idx="91">
                  <c:v>2135.4529211100967</c:v>
                </c:pt>
                <c:pt idx="92">
                  <c:v>2076.0207472708248</c:v>
                </c:pt>
                <c:pt idx="93">
                  <c:v>2016.4166124309957</c:v>
                </c:pt>
                <c:pt idx="94">
                  <c:v>1956.8026023390014</c:v>
                </c:pt>
                <c:pt idx="95">
                  <c:v>1897.3315434458061</c:v>
                </c:pt>
                <c:pt idx="96">
                  <c:v>1838.1466415884934</c:v>
                </c:pt>
                <c:pt idx="97">
                  <c:v>1779.3812365155954</c:v>
                </c:pt>
                <c:pt idx="98">
                  <c:v>1721.1586645033317</c:v>
                </c:pt>
                <c:pt idx="99">
                  <c:v>1663.5922204893802</c:v>
                </c:pt>
                <c:pt idx="100">
                  <c:v>1606.7852105830325</c:v>
                </c:pt>
                <c:pt idx="101">
                  <c:v>1550.8310854777344</c:v>
                </c:pt>
                <c:pt idx="102">
                  <c:v>1495.8136451706416</c:v>
                </c:pt>
                <c:pt idx="103">
                  <c:v>1441.8073054583926</c:v>
                </c:pt>
                <c:pt idx="104">
                  <c:v>1388.8774169021904</c:v>
                </c:pt>
                <c:pt idx="105">
                  <c:v>1337.0806273117721</c:v>
                </c:pt>
                <c:pt idx="106">
                  <c:v>1286.4652792609168</c:v>
                </c:pt>
                <c:pt idx="107">
                  <c:v>1237.0718346920901</c:v>
                </c:pt>
                <c:pt idx="108">
                  <c:v>1188.9333192719437</c:v>
                </c:pt>
                <c:pt idx="109">
                  <c:v>1142.075779801823</c:v>
                </c:pt>
                <c:pt idx="110">
                  <c:v>1096.5187486501368</c:v>
                </c:pt>
                <c:pt idx="111">
                  <c:v>1052.2757098403574</c:v>
                </c:pt>
                <c:pt idx="112">
                  <c:v>1009.3545620864531</c:v>
                </c:pt>
                <c:pt idx="113">
                  <c:v>967.75807470552274</c:v>
                </c:pt>
                <c:pt idx="114">
                  <c:v>927.48433294677</c:v>
                </c:pt>
                <c:pt idx="115">
                  <c:v>888.52716985003985</c:v>
                </c:pt>
                <c:pt idx="116">
                  <c:v>850.87658228113139</c:v>
                </c:pt>
                <c:pt idx="117">
                  <c:v>814.51912928201011</c:v>
                </c:pt>
                <c:pt idx="118">
                  <c:v>779.43831132007892</c:v>
                </c:pt>
                <c:pt idx="119">
                  <c:v>745.61492942139967</c:v>
                </c:pt>
                <c:pt idx="120">
                  <c:v>713.02742352871655</c:v>
                </c:pt>
                <c:pt idx="121">
                  <c:v>681.65218973756043</c:v>
                </c:pt>
                <c:pt idx="122">
                  <c:v>651.4638763346527</c:v>
                </c:pt>
                <c:pt idx="123">
                  <c:v>622.43565879452467</c:v>
                </c:pt>
                <c:pt idx="124">
                  <c:v>594.53949408557958</c:v>
                </c:pt>
                <c:pt idx="125">
                  <c:v>567.74635479851679</c:v>
                </c:pt>
                <c:pt idx="126">
                  <c:v>542.02644374123815</c:v>
                </c:pt>
                <c:pt idx="127">
                  <c:v>517.34938974801446</c:v>
                </c:pt>
                <c:pt idx="128">
                  <c:v>493.6844255297965</c:v>
                </c:pt>
                <c:pt idx="129">
                  <c:v>471.00054845002347</c:v>
                </c:pt>
                <c:pt idx="130">
                  <c:v>449.26666514877405</c:v>
                </c:pt>
                <c:pt idx="131">
                  <c:v>428.45172096027073</c:v>
                </c:pt>
                <c:pt idx="132">
                  <c:v>408.52481507689964</c:v>
                </c:pt>
                <c:pt idx="133">
                  <c:v>389.45530240928326</c:v>
                </c:pt>
                <c:pt idx="134">
                  <c:v>371.21288307848471</c:v>
                </c:pt>
                <c:pt idx="135">
                  <c:v>353.76768045495766</c:v>
                </c:pt>
                <c:pt idx="136">
                  <c:v>337.09030863095086</c:v>
                </c:pt>
                <c:pt idx="137">
                  <c:v>321.15193018015214</c:v>
                </c:pt>
                <c:pt idx="138">
                  <c:v>305.92430502164802</c:v>
                </c:pt>
                <c:pt idx="139">
                  <c:v>291.37983116584383</c:v>
                </c:pt>
                <c:pt idx="140">
                  <c:v>277.49157807877185</c:v>
                </c:pt>
                <c:pt idx="141">
                  <c:v>264.23331335898376</c:v>
                </c:pt>
                <c:pt idx="142">
                  <c:v>251.57952337863807</c:v>
                </c:pt>
                <c:pt idx="143">
                  <c:v>239.50542849800357</c:v>
                </c:pt>
                <c:pt idx="144">
                  <c:v>227.98699342086502</c:v>
                </c:pt>
                <c:pt idx="145">
                  <c:v>217.00093321757825</c:v>
                </c:pt>
                <c:pt idx="146">
                  <c:v>206.52471550308007</c:v>
                </c:pt>
                <c:pt idx="147">
                  <c:v>196.53655921922496</c:v>
                </c:pt>
                <c:pt idx="148">
                  <c:v>187.0154304345607</c:v>
                </c:pt>
                <c:pt idx="149">
                  <c:v>177.94103554017178</c:v>
                </c:pt>
                <c:pt idx="150">
                  <c:v>169.29381218759605</c:v>
                </c:pt>
                <c:pt idx="151">
                  <c:v>161.05491828408014</c:v>
                </c:pt>
                <c:pt idx="152">
                  <c:v>153.20621933159441</c:v>
                </c:pt>
                <c:pt idx="153">
                  <c:v>145.73027436906619</c:v>
                </c:pt>
                <c:pt idx="154">
                  <c:v>138.6103207521636</c:v>
                </c:pt>
                <c:pt idx="155">
                  <c:v>131.83025798163678</c:v>
                </c:pt>
                <c:pt idx="156">
                  <c:v>125.37463076961588</c:v>
                </c:pt>
                <c:pt idx="157">
                  <c:v>119.22861151332695</c:v>
                </c:pt>
                <c:pt idx="158">
                  <c:v>113.37798232732261</c:v>
                </c:pt>
                <c:pt idx="159">
                  <c:v>107.80911676846453</c:v>
                </c:pt>
                <c:pt idx="160">
                  <c:v>102.50896137244997</c:v>
                </c:pt>
                <c:pt idx="161">
                  <c:v>97.465017106561277</c:v>
                </c:pt>
                <c:pt idx="162">
                  <c:v>92.665320830456196</c:v>
                </c:pt>
                <c:pt idx="163">
                  <c:v>88.098426845118198</c:v>
                </c:pt>
                <c:pt idx="164">
                  <c:v>83.753388599474874</c:v>
                </c:pt>
                <c:pt idx="165">
                  <c:v>79.61974061458794</c:v>
                </c:pt>
                <c:pt idx="166">
                  <c:v>75.687480676646786</c:v>
                </c:pt>
                <c:pt idx="167">
                  <c:v>71.94705234218705</c:v>
                </c:pt>
                <c:pt idx="168">
                  <c:v>68.389327791937575</c:v>
                </c:pt>
                <c:pt idx="169">
                  <c:v>65.005591063410506</c:v>
                </c:pt>
                <c:pt idx="170">
                  <c:v>61.787521686726784</c:v>
                </c:pt>
                <c:pt idx="171">
                  <c:v>58.727178743161829</c:v>
                </c:pt>
                <c:pt idx="172">
                  <c:v>55.816985361441255</c:v>
                </c:pt>
                <c:pt idx="173">
                  <c:v>53.049713662875128</c:v>
                </c:pt>
                <c:pt idx="174">
                  <c:v>50.418470162937048</c:v>
                </c:pt>
                <c:pt idx="175">
                  <c:v>47.916681633832937</c:v>
                </c:pt>
                <c:pt idx="176">
                  <c:v>45.538081429922848</c:v>
                </c:pt>
                <c:pt idx="177">
                  <c:v>43.27669627552158</c:v>
                </c:pt>
                <c:pt idx="178">
                  <c:v>41.126833512575793</c:v>
                </c:pt>
                <c:pt idx="179">
                  <c:v>39.083068803966761</c:v>
                </c:pt>
                <c:pt idx="180">
                  <c:v>37.140234286692227</c:v>
                </c:pt>
                <c:pt idx="181">
                  <c:v>35.293407167905364</c:v>
                </c:pt>
                <c:pt idx="182">
                  <c:v>33.537898755721216</c:v>
                </c:pt>
                <c:pt idx="183">
                  <c:v>31.869243915808838</c:v>
                </c:pt>
                <c:pt idx="184">
                  <c:v>30.28319094405666</c:v>
                </c:pt>
                <c:pt idx="185">
                  <c:v>28.775691845011444</c:v>
                </c:pt>
                <c:pt idx="186">
                  <c:v>27.342893005328719</c:v>
                </c:pt>
                <c:pt idx="187">
                  <c:v>25.981126251123172</c:v>
                </c:pt>
                <c:pt idx="188">
                  <c:v>24.686900277855127</c:v>
                </c:pt>
                <c:pt idx="189">
                  <c:v>23.456892441224145</c:v>
                </c:pt>
                <c:pt idx="190">
                  <c:v>22.287940897451332</c:v>
                </c:pt>
                <c:pt idx="191">
                  <c:v>21.177037081306498</c:v>
                </c:pt>
                <c:pt idx="192">
                  <c:v>20.121318510270942</c:v>
                </c:pt>
                <c:pt idx="193">
                  <c:v>19.118061903307726</c:v>
                </c:pt>
                <c:pt idx="194">
                  <c:v>18.164676602835726</c:v>
                </c:pt>
                <c:pt idx="195">
                  <c:v>17.258698288664458</c:v>
                </c:pt>
                <c:pt idx="196">
                  <c:v>16.397782972836449</c:v>
                </c:pt>
                <c:pt idx="197">
                  <c:v>15.579701264539988</c:v>
                </c:pt>
                <c:pt idx="198">
                  <c:v>14.80233289449145</c:v>
                </c:pt>
                <c:pt idx="199">
                  <c:v>14.063661488439996</c:v>
                </c:pt>
                <c:pt idx="200">
                  <c:v>13.36176957971368</c:v>
                </c:pt>
                <c:pt idx="201">
                  <c:v>12.694833851003454</c:v>
                </c:pt>
                <c:pt idx="202">
                  <c:v>12.061120595866226</c:v>
                </c:pt>
                <c:pt idx="203">
                  <c:v>11.458981390717614</c:v>
                </c:pt>
                <c:pt idx="204">
                  <c:v>10.886848968378509</c:v>
                </c:pt>
                <c:pt idx="205">
                  <c:v>10.343233284533529</c:v>
                </c:pt>
                <c:pt idx="206">
                  <c:v>9.8267177687539</c:v>
                </c:pt>
                <c:pt idx="207">
                  <c:v>9.3359557520295962</c:v>
                </c:pt>
                <c:pt idx="208">
                  <c:v>8.8696670630457248</c:v>
                </c:pt>
                <c:pt idx="209">
                  <c:v>8.4266347857239108</c:v>
                </c:pt>
                <c:pt idx="210">
                  <c:v>8.0057021708312899</c:v>
                </c:pt>
                <c:pt idx="211">
                  <c:v>7.6057696947359998</c:v>
                </c:pt>
                <c:pt idx="212">
                  <c:v>7.2257922586585357</c:v>
                </c:pt>
                <c:pt idx="213">
                  <c:v>6.8647765220326349</c:v>
                </c:pt>
                <c:pt idx="214">
                  <c:v>6.5217783638469156</c:v>
                </c:pt>
                <c:pt idx="215">
                  <c:v>6.1959004660891681</c:v>
                </c:pt>
                <c:pt idx="216">
                  <c:v>5.8862900136585834</c:v>
                </c:pt>
                <c:pt idx="217">
                  <c:v>5.5921365053475807</c:v>
                </c:pt>
                <c:pt idx="218">
                  <c:v>5.3126696707232828</c:v>
                </c:pt>
                <c:pt idx="219">
                  <c:v>5.0471574879602912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'New_removed - bSIR'!$AO$7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bSIR'!$AO$62:$AO$281</c:f>
              <c:numCache>
                <c:formatCode>General</c:formatCode>
                <c:ptCount val="220"/>
                <c:pt idx="0">
                  <c:v>1991.5755055413465</c:v>
                </c:pt>
                <c:pt idx="1">
                  <c:v>2009.1891065281775</c:v>
                </c:pt>
                <c:pt idx="2">
                  <c:v>2027.6062893676558</c:v>
                </c:pt>
                <c:pt idx="3">
                  <c:v>2046.8570274449992</c:v>
                </c:pt>
                <c:pt idx="4">
                  <c:v>2066.9717015859801</c:v>
                </c:pt>
                <c:pt idx="5">
                  <c:v>2087.9810196385683</c:v>
                </c:pt>
                <c:pt idx="6">
                  <c:v>2109.9159244074235</c:v>
                </c:pt>
                <c:pt idx="7">
                  <c:v>2132.8074890214125</c:v>
                </c:pt>
                <c:pt idx="8">
                  <c:v>2156.6867987944761</c:v>
                </c:pt>
                <c:pt idx="9">
                  <c:v>2181.5848186286157</c:v>
                </c:pt>
                <c:pt idx="10">
                  <c:v>2207.5322450065423</c:v>
                </c:pt>
                <c:pt idx="11">
                  <c:v>2234.5593416324568</c:v>
                </c:pt>
                <c:pt idx="12">
                  <c:v>2262.6957578049155</c:v>
                </c:pt>
                <c:pt idx="13">
                  <c:v>2291.9703286480526</c:v>
                </c:pt>
                <c:pt idx="14">
                  <c:v>2322.4108563893146</c:v>
                </c:pt>
                <c:pt idx="15">
                  <c:v>2354.0438719559916</c:v>
                </c:pt>
                <c:pt idx="16">
                  <c:v>2386.8943762721101</c:v>
                </c:pt>
                <c:pt idx="17">
                  <c:v>2420.9855607747731</c:v>
                </c:pt>
                <c:pt idx="18">
                  <c:v>2456.3385068376447</c:v>
                </c:pt>
                <c:pt idx="19">
                  <c:v>2492.9718639921707</c:v>
                </c:pt>
                <c:pt idx="20">
                  <c:v>2530.9015070770147</c:v>
                </c:pt>
                <c:pt idx="21">
                  <c:v>2570.1401727258149</c:v>
                </c:pt>
                <c:pt idx="22">
                  <c:v>2610.6970759250153</c:v>
                </c:pt>
                <c:pt idx="23">
                  <c:v>2652.5775077389549</c:v>
                </c:pt>
                <c:pt idx="24">
                  <c:v>2695.782415709873</c:v>
                </c:pt>
                <c:pt idx="25">
                  <c:v>2740.3079688961943</c:v>
                </c:pt>
                <c:pt idx="26">
                  <c:v>2786.145110012782</c:v>
                </c:pt>
                <c:pt idx="27">
                  <c:v>2833.2790976797769</c:v>
                </c:pt>
                <c:pt idx="28">
                  <c:v>2881.6890423687337</c:v>
                </c:pt>
                <c:pt idx="29">
                  <c:v>2931.3474402508655</c:v>
                </c:pt>
                <c:pt idx="30">
                  <c:v>2982.219709795344</c:v>
                </c:pt>
                <c:pt idx="31">
                  <c:v>3034.2637366264744</c:v>
                </c:pt>
                <c:pt idx="32">
                  <c:v>3087.4294328158221</c:v>
                </c:pt>
                <c:pt idx="33">
                  <c:v>3141.6583174451443</c:v>
                </c:pt>
                <c:pt idx="34">
                  <c:v>3196.8831259117942</c:v>
                </c:pt>
                <c:pt idx="35">
                  <c:v>3253.0274560415437</c:v>
                </c:pt>
                <c:pt idx="36">
                  <c:v>3310.0054596031541</c:v>
                </c:pt>
                <c:pt idx="37">
                  <c:v>3367.7215882613664</c:v>
                </c:pt>
                <c:pt idx="38">
                  <c:v>3426.070403335299</c:v>
                </c:pt>
                <c:pt idx="39">
                  <c:v>3484.9364589211991</c:v>
                </c:pt>
                <c:pt idx="40">
                  <c:v>3544.1942679654799</c:v>
                </c:pt>
                <c:pt idx="41">
                  <c:v>3603.7083607093145</c:v>
                </c:pt>
                <c:pt idx="42">
                  <c:v>3663.3334445447563</c:v>
                </c:pt>
                <c:pt idx="43">
                  <c:v>3722.9146737015303</c:v>
                </c:pt>
                <c:pt idx="44">
                  <c:v>3782.28803630424</c:v>
                </c:pt>
                <c:pt idx="45">
                  <c:v>3841.2808651879541</c:v>
                </c:pt>
                <c:pt idx="46">
                  <c:v>3899.7124774281192</c:v>
                </c:pt>
                <c:pt idx="47">
                  <c:v>3957.394945829119</c:v>
                </c:pt>
                <c:pt idx="48">
                  <c:v>4014.1340036334377</c:v>
                </c:pt>
                <c:pt idx="49">
                  <c:v>4069.7300814800883</c:v>
                </c:pt>
                <c:pt idx="50">
                  <c:v>4123.9794731865331</c:v>
                </c:pt>
                <c:pt idx="51">
                  <c:v>4176.6756242946813</c:v>
                </c:pt>
                <c:pt idx="52">
                  <c:v>4227.6105345610349</c:v>
                </c:pt>
                <c:pt idx="53">
                  <c:v>4276.5762627473159</c:v>
                </c:pt>
                <c:pt idx="54">
                  <c:v>4323.3665192535436</c:v>
                </c:pt>
                <c:pt idx="55">
                  <c:v>4367.7783294112996</c:v>
                </c:pt>
                <c:pt idx="56">
                  <c:v>4409.6137477065813</c:v>
                </c:pt>
                <c:pt idx="57">
                  <c:v>4448.6816009176655</c:v>
                </c:pt>
                <c:pt idx="58">
                  <c:v>4484.7992362215173</c:v>
                </c:pt>
                <c:pt idx="59">
                  <c:v>4517.7942488251338</c:v>
                </c:pt>
                <c:pt idx="60">
                  <c:v>4547.5061626908937</c:v>
                </c:pt>
                <c:pt idx="61">
                  <c:v>4573.7880375097684</c:v>
                </c:pt>
                <c:pt idx="62">
                  <c:v>4596.5079752799047</c:v>
                </c:pt>
                <c:pt idx="63">
                  <c:v>4615.5505006989933</c:v>
                </c:pt>
                <c:pt idx="64">
                  <c:v>4630.8177910833801</c:v>
                </c:pt>
                <c:pt idx="65">
                  <c:v>4642.2307336699014</c:v>
                </c:pt>
                <c:pt idx="66">
                  <c:v>4649.7297908984192</c:v>
                </c:pt>
                <c:pt idx="67">
                  <c:v>4653.2756575528356</c:v>
                </c:pt>
                <c:pt idx="68">
                  <c:v>4652.8496973734673</c:v>
                </c:pt>
                <c:pt idx="69">
                  <c:v>4648.4541508435877</c:v>
                </c:pt>
                <c:pt idx="70">
                  <c:v>4640.1121101828248</c:v>
                </c:pt>
                <c:pt idx="71">
                  <c:v>4627.8672620255138</c:v>
                </c:pt>
                <c:pt idx="72">
                  <c:v>4611.7834026935216</c:v>
                </c:pt>
                <c:pt idx="73">
                  <c:v>4591.9437352617642</c:v>
                </c:pt>
                <c:pt idx="74">
                  <c:v>4568.4499616377379</c:v>
                </c:pt>
                <c:pt idx="75">
                  <c:v>4541.4211865217876</c:v>
                </c:pt>
                <c:pt idx="76">
                  <c:v>4510.9926532855716</c:v>
                </c:pt>
                <c:pt idx="77">
                  <c:v>4477.3143344243363</c:v>
                </c:pt>
                <c:pt idx="78">
                  <c:v>4440.5494012470908</c:v>
                </c:pt>
                <c:pt idx="79">
                  <c:v>4400.8725988339083</c:v>
                </c:pt>
                <c:pt idx="80">
                  <c:v>4358.4685530002753</c:v>
                </c:pt>
                <c:pt idx="81">
                  <c:v>4313.5300360764595</c:v>
                </c:pt>
                <c:pt idx="82">
                  <c:v>4266.2562177674408</c:v>
                </c:pt>
                <c:pt idx="83">
                  <c:v>4216.8509262565813</c:v>
                </c:pt>
                <c:pt idx="84">
                  <c:v>4165.5209431193462</c:v>
                </c:pt>
                <c:pt idx="85">
                  <c:v>4112.4743535986981</c:v>
                </c:pt>
                <c:pt idx="86">
                  <c:v>4057.9189714457666</c:v>
                </c:pt>
                <c:pt idx="87">
                  <c:v>4002.0608549359285</c:v>
                </c:pt>
                <c:pt idx="88">
                  <c:v>3945.1029279197655</c:v>
                </c:pt>
                <c:pt idx="89">
                  <c:v>3887.2437169454734</c:v>
                </c:pt>
                <c:pt idx="90">
                  <c:v>3828.6762126732478</c:v>
                </c:pt>
                <c:pt idx="91">
                  <c:v>3769.5868610638981</c:v>
                </c:pt>
                <c:pt idx="92">
                  <c:v>3710.1546872246263</c:v>
                </c:pt>
                <c:pt idx="93">
                  <c:v>3650.5505523847969</c:v>
                </c:pt>
                <c:pt idx="94">
                  <c:v>3590.9365422928031</c:v>
                </c:pt>
                <c:pt idx="95">
                  <c:v>3531.4654833996074</c:v>
                </c:pt>
                <c:pt idx="96">
                  <c:v>3472.2805815422948</c:v>
                </c:pt>
                <c:pt idx="97">
                  <c:v>3413.5151764693969</c:v>
                </c:pt>
                <c:pt idx="98">
                  <c:v>3355.2926044571332</c:v>
                </c:pt>
                <c:pt idx="99">
                  <c:v>3297.7261604431815</c:v>
                </c:pt>
                <c:pt idx="100">
                  <c:v>3240.919150536834</c:v>
                </c:pt>
                <c:pt idx="101">
                  <c:v>3184.9650254315357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'New_removed - bSIR'!$AP$7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bSIR'!$AP$62:$AP$281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41.737579695550949</c:v>
                </c:pt>
                <c:pt idx="37">
                  <c:v>99.453708353763659</c:v>
                </c:pt>
                <c:pt idx="38">
                  <c:v>157.80252342769609</c:v>
                </c:pt>
                <c:pt idx="39">
                  <c:v>216.66857901359617</c:v>
                </c:pt>
                <c:pt idx="40">
                  <c:v>275.92638805787692</c:v>
                </c:pt>
                <c:pt idx="41">
                  <c:v>335.4404808017116</c:v>
                </c:pt>
                <c:pt idx="42">
                  <c:v>395.06556463715356</c:v>
                </c:pt>
                <c:pt idx="43">
                  <c:v>454.64679379392737</c:v>
                </c:pt>
                <c:pt idx="44">
                  <c:v>514.02015639663705</c:v>
                </c:pt>
                <c:pt idx="45">
                  <c:v>573.01298528035113</c:v>
                </c:pt>
                <c:pt idx="46">
                  <c:v>631.44459752051625</c:v>
                </c:pt>
                <c:pt idx="47">
                  <c:v>689.12706592151608</c:v>
                </c:pt>
                <c:pt idx="48">
                  <c:v>745.86612372583477</c:v>
                </c:pt>
                <c:pt idx="49">
                  <c:v>801.46220157248536</c:v>
                </c:pt>
                <c:pt idx="50">
                  <c:v>855.7115932789302</c:v>
                </c:pt>
                <c:pt idx="51">
                  <c:v>908.40774438707786</c:v>
                </c:pt>
                <c:pt idx="52">
                  <c:v>959.34265465343196</c:v>
                </c:pt>
                <c:pt idx="53">
                  <c:v>1008.308382839713</c:v>
                </c:pt>
                <c:pt idx="54">
                  <c:v>1055.0986393459407</c:v>
                </c:pt>
                <c:pt idx="55">
                  <c:v>1099.5104495036971</c:v>
                </c:pt>
                <c:pt idx="56">
                  <c:v>1141.3458677989784</c:v>
                </c:pt>
                <c:pt idx="57">
                  <c:v>1180.4137210100625</c:v>
                </c:pt>
                <c:pt idx="58">
                  <c:v>1216.5313563139148</c:v>
                </c:pt>
                <c:pt idx="59">
                  <c:v>1249.5263689175308</c:v>
                </c:pt>
                <c:pt idx="60">
                  <c:v>1279.2382827832912</c:v>
                </c:pt>
                <c:pt idx="61">
                  <c:v>1305.5201576021655</c:v>
                </c:pt>
                <c:pt idx="62">
                  <c:v>1328.2400953723022</c:v>
                </c:pt>
                <c:pt idx="63">
                  <c:v>1347.2826207913909</c:v>
                </c:pt>
                <c:pt idx="64">
                  <c:v>1362.5499111757767</c:v>
                </c:pt>
                <c:pt idx="65">
                  <c:v>1373.9628537622989</c:v>
                </c:pt>
                <c:pt idx="66">
                  <c:v>1381.4619109908162</c:v>
                </c:pt>
                <c:pt idx="67">
                  <c:v>1385.0077776452326</c:v>
                </c:pt>
                <c:pt idx="68">
                  <c:v>1384.5818174658639</c:v>
                </c:pt>
                <c:pt idx="69">
                  <c:v>1380.1862709359848</c:v>
                </c:pt>
                <c:pt idx="70">
                  <c:v>1371.8442302752219</c:v>
                </c:pt>
                <c:pt idx="71">
                  <c:v>1359.5993821179109</c:v>
                </c:pt>
                <c:pt idx="72">
                  <c:v>1343.5155227859182</c:v>
                </c:pt>
                <c:pt idx="73">
                  <c:v>1323.6758553541608</c:v>
                </c:pt>
                <c:pt idx="74">
                  <c:v>1300.1820817301355</c:v>
                </c:pt>
                <c:pt idx="75">
                  <c:v>1273.1533066141842</c:v>
                </c:pt>
                <c:pt idx="76">
                  <c:v>1242.7247733779682</c:v>
                </c:pt>
                <c:pt idx="77">
                  <c:v>1209.0464545167333</c:v>
                </c:pt>
                <c:pt idx="78">
                  <c:v>1172.2815213394879</c:v>
                </c:pt>
                <c:pt idx="79">
                  <c:v>1132.6047189263049</c:v>
                </c:pt>
                <c:pt idx="80">
                  <c:v>1090.2006730926719</c:v>
                </c:pt>
                <c:pt idx="81">
                  <c:v>1045.2621561688566</c:v>
                </c:pt>
                <c:pt idx="82">
                  <c:v>997.98833785983788</c:v>
                </c:pt>
                <c:pt idx="83">
                  <c:v>948.58304634897831</c:v>
                </c:pt>
                <c:pt idx="84">
                  <c:v>897.25306321174321</c:v>
                </c:pt>
                <c:pt idx="85">
                  <c:v>844.20647369109565</c:v>
                </c:pt>
                <c:pt idx="86">
                  <c:v>789.65109153816366</c:v>
                </c:pt>
                <c:pt idx="87">
                  <c:v>733.7929750283256</c:v>
                </c:pt>
                <c:pt idx="88">
                  <c:v>676.83504801216259</c:v>
                </c:pt>
                <c:pt idx="89">
                  <c:v>618.97583703787041</c:v>
                </c:pt>
                <c:pt idx="90">
                  <c:v>560.4083327656449</c:v>
                </c:pt>
                <c:pt idx="91">
                  <c:v>501.31898115629519</c:v>
                </c:pt>
                <c:pt idx="92">
                  <c:v>441.88680731702334</c:v>
                </c:pt>
                <c:pt idx="93">
                  <c:v>382.28267247719418</c:v>
                </c:pt>
                <c:pt idx="94">
                  <c:v>322.66866238519992</c:v>
                </c:pt>
                <c:pt idx="95">
                  <c:v>263.19760349200465</c:v>
                </c:pt>
                <c:pt idx="96">
                  <c:v>204.01270163469189</c:v>
                </c:pt>
                <c:pt idx="97">
                  <c:v>145.24729656179397</c:v>
                </c:pt>
                <c:pt idx="98">
                  <c:v>87.02472454953022</c:v>
                </c:pt>
                <c:pt idx="99">
                  <c:v>29.458280535578751</c:v>
                </c:pt>
                <c:pt idx="100">
                  <c:v>0</c:v>
                </c:pt>
                <c:pt idx="1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selected region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selected region - </a:t>
            </a:r>
            <a:r>
              <a:rPr lang="it-IT">
                <a:solidFill>
                  <a:sysClr val="windowText" lastClr="000000"/>
                </a:solidFill>
              </a:rPr>
              <a:t>Accumulative removals - basic 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'New_removed - bSIR'!$G$7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bSIR'!$G$62:$G$184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377.33955064412049</c:v>
                </c:pt>
                <c:pt idx="15">
                  <c:v>1128.395261548379</c:v>
                </c:pt>
                <c:pt idx="16">
                  <c:v>1913.1968345634587</c:v>
                </c:pt>
                <c:pt idx="17">
                  <c:v>2733.0005089265746</c:v>
                </c:pt>
                <c:pt idx="18">
                  <c:v>3589.083756533872</c:v>
                </c:pt>
                <c:pt idx="19">
                  <c:v>4482.7429220722188</c:v>
                </c:pt>
                <c:pt idx="20">
                  <c:v>5415.2905334872894</c:v>
                </c:pt>
                <c:pt idx="21">
                  <c:v>6388.0522630551823</c:v>
                </c:pt>
                <c:pt idx="22">
                  <c:v>7402.3635199757218</c:v>
                </c:pt>
                <c:pt idx="23">
                  <c:v>8459.5656563862358</c:v>
                </c:pt>
                <c:pt idx="24">
                  <c:v>9561.0017700512126</c:v>
                </c:pt>
                <c:pt idx="25">
                  <c:v>10708.01208875074</c:v>
                </c:pt>
                <c:pt idx="26">
                  <c:v>11901.928923616581</c:v>
                </c:pt>
                <c:pt idx="27">
                  <c:v>13144.07118138202</c:v>
                </c:pt>
                <c:pt idx="28">
                  <c:v>14435.738428760094</c:v>
                </c:pt>
                <c:pt idx="29">
                  <c:v>15778.204505976713</c:v>
                </c:pt>
                <c:pt idx="30">
                  <c:v>17172.710690883545</c:v>
                </c:pt>
                <c:pt idx="31">
                  <c:v>18620.458420082512</c:v>
                </c:pt>
                <c:pt idx="32">
                  <c:v>20122.601579114606</c:v>
                </c:pt>
                <c:pt idx="33">
                  <c:v>21680.238380000101</c:v>
                </c:pt>
                <c:pt idx="34">
                  <c:v>23294.402851245672</c:v>
                </c:pt>
                <c:pt idx="35">
                  <c:v>24966.055972823433</c:v>
                </c:pt>
                <c:pt idx="36">
                  <c:v>26696.07649652844</c:v>
                </c:pt>
                <c:pt idx="37">
                  <c:v>28485.251500457278</c:v>
                </c:pt>
                <c:pt idx="38">
                  <c:v>30334.266735034074</c:v>
                </c:pt>
                <c:pt idx="39">
                  <c:v>32243.696826918273</c:v>
                </c:pt>
                <c:pt idx="40">
                  <c:v>34213.995416125072</c:v>
                </c:pt>
                <c:pt idx="41">
                  <c:v>36245.48531060703</c:v>
                </c:pt>
                <c:pt idx="42">
                  <c:v>38338.348751196274</c:v>
                </c:pt>
                <c:pt idx="43">
                  <c:v>40492.617887984932</c:v>
                </c:pt>
                <c:pt idx="44">
                  <c:v>42708.165576693667</c:v>
                </c:pt>
                <c:pt idx="45">
                  <c:v>44984.696610108731</c:v>
                </c:pt>
                <c:pt idx="46">
                  <c:v>47321.739504998819</c:v>
                </c:pt>
                <c:pt idx="47">
                  <c:v>49718.638968802377</c:v>
                </c:pt>
                <c:pt idx="48">
                  <c:v>52174.549172553001</c:v>
                </c:pt>
                <c:pt idx="49">
                  <c:v>54688.427956744141</c:v>
                </c:pt>
                <c:pt idx="50">
                  <c:v>57259.032094910166</c:v>
                </c:pt>
                <c:pt idx="51">
                  <c:v>59884.913735434537</c:v>
                </c:pt>
                <c:pt idx="52">
                  <c:v>62564.418135340435</c:v>
                </c:pt>
                <c:pt idx="53">
                  <c:v>65295.682790488063</c:v>
                </c:pt>
                <c:pt idx="54">
                  <c:v>68076.638054658382</c:v>
                </c:pt>
                <c:pt idx="55">
                  <c:v>70905.009325486972</c:v>
                </c:pt>
                <c:pt idx="56">
                  <c:v>73778.320858230261</c:v>
                </c:pt>
                <c:pt idx="57">
                  <c:v>76693.901249090486</c:v>
                </c:pt>
                <c:pt idx="58">
                  <c:v>79648.890608561604</c:v>
                </c:pt>
                <c:pt idx="59">
                  <c:v>82640.249422332548</c:v>
                </c:pt>
                <c:pt idx="60">
                  <c:v>85664.76907311067</c:v>
                </c:pt>
                <c:pt idx="61">
                  <c:v>88719.08397179193</c:v>
                </c:pt>
                <c:pt idx="62">
                  <c:v>91799.685221234817</c:v>
                </c:pt>
                <c:pt idx="63">
                  <c:v>94902.935711064769</c:v>
                </c:pt>
                <c:pt idx="64">
                  <c:v>98025.086518036347</c:v>
                </c:pt>
                <c:pt idx="65">
                  <c:v>101162.29446410119</c:v>
                </c:pt>
                <c:pt idx="66">
                  <c:v>104310.64066404921</c:v>
                </c:pt>
                <c:pt idx="67">
                  <c:v>107466.14987693875</c:v>
                </c:pt>
                <c:pt idx="68">
                  <c:v>110624.81046098692</c:v>
                </c:pt>
                <c:pt idx="69">
                  <c:v>113782.59472055198</c:v>
                </c:pt>
                <c:pt idx="70">
                  <c:v>116935.47942661433</c:v>
                </c:pt>
                <c:pt idx="71">
                  <c:v>120079.46628895003</c:v>
                </c:pt>
                <c:pt idx="72">
                  <c:v>123210.60215908688</c:v>
                </c:pt>
                <c:pt idx="73">
                  <c:v>126324.99874810832</c:v>
                </c:pt>
                <c:pt idx="74">
                  <c:v>129418.85165228606</c:v>
                </c:pt>
                <c:pt idx="75">
                  <c:v>132488.45849213048</c:v>
                </c:pt>
                <c:pt idx="76">
                  <c:v>135530.23598639676</c:v>
                </c:pt>
                <c:pt idx="77">
                  <c:v>138540.73580144349</c:v>
                </c:pt>
                <c:pt idx="78">
                  <c:v>141516.65903760181</c:v>
                </c:pt>
                <c:pt idx="79">
                  <c:v>144454.86923732565</c:v>
                </c:pt>
                <c:pt idx="80">
                  <c:v>147352.40382427152</c:v>
                </c:pt>
                <c:pt idx="81">
                  <c:v>150206.48390750558</c:v>
                </c:pt>
                <c:pt idx="82">
                  <c:v>153014.52241017277</c:v>
                </c:pt>
                <c:pt idx="83">
                  <c:v>155774.13050662907</c:v>
                </c:pt>
                <c:pt idx="84">
                  <c:v>158483.12237572542</c:v>
                </c:pt>
                <c:pt idx="85">
                  <c:v>161139.51830018082</c:v>
                </c:pt>
                <c:pt idx="86">
                  <c:v>163741.54616241201</c:v>
                </c:pt>
                <c:pt idx="87">
                  <c:v>166287.64140548036</c:v>
                </c:pt>
                <c:pt idx="88">
                  <c:v>168776.44554374577</c:v>
                </c:pt>
                <c:pt idx="89">
                  <c:v>171206.8033212224</c:v>
                </c:pt>
                <c:pt idx="90">
                  <c:v>173577.75862644025</c:v>
                </c:pt>
                <c:pt idx="91">
                  <c:v>175888.5492808189</c:v>
                </c:pt>
                <c:pt idx="92">
                  <c:v>178138.60082321835</c:v>
                </c:pt>
                <c:pt idx="93">
                  <c:v>180327.51941655891</c:v>
                </c:pt>
                <c:pt idx="94">
                  <c:v>182455.08400336269</c:v>
                </c:pt>
                <c:pt idx="95">
                  <c:v>184521.23783596262</c:v>
                </c:pt>
                <c:pt idx="96">
                  <c:v>186526.07950417674</c:v>
                </c:pt>
                <c:pt idx="97">
                  <c:v>188469.85357870406</c:v>
                </c:pt>
                <c:pt idx="98">
                  <c:v>190352.94098261287</c:v>
                </c:pt>
                <c:pt idx="99">
                  <c:v>192175.84919632412</c:v>
                </c:pt>
                <c:pt idx="100">
                  <c:v>193939.20239368151</c:v>
                </c:pt>
                <c:pt idx="101">
                  <c:v>195643.73159829059</c:v>
                </c:pt>
                <c:pt idx="102">
                  <c:v>197290.26494051793</c:v>
                </c:pt>
                <c:pt idx="103">
                  <c:v>198879.71808656678</c:v>
                </c:pt>
                <c:pt idx="104">
                  <c:v>200413.08490206895</c:v>
                </c:pt>
                <c:pt idx="105">
                  <c:v>201891.42840380807</c:v>
                </c:pt>
                <c:pt idx="106">
                  <c:v>203315.8720446403</c:v>
                </c:pt>
                <c:pt idx="107">
                  <c:v>204687.59136852549</c:v>
                </c:pt>
                <c:pt idx="108">
                  <c:v>206007.80606489163</c:v>
                </c:pt>
                <c:pt idx="109">
                  <c:v>207277.77244440839</c:v>
                </c:pt>
                <c:pt idx="110">
                  <c:v>208498.77635166788</c:v>
                </c:pt>
                <c:pt idx="111">
                  <c:v>209672.12652430768</c:v>
                </c:pt>
                <c:pt idx="112">
                  <c:v>210799.14840275203</c:v>
                </c:pt>
                <c:pt idx="113">
                  <c:v>211881.17839001075</c:v>
                </c:pt>
                <c:pt idx="114">
                  <c:v>212919.55855683246</c:v>
                </c:pt>
                <c:pt idx="115">
                  <c:v>213915.6317839472</c:v>
                </c:pt>
                <c:pt idx="116">
                  <c:v>214870.73733011831</c:v>
                </c:pt>
                <c:pt idx="117">
                  <c:v>215786.206812227</c:v>
                </c:pt>
                <c:pt idx="118">
                  <c:v>216663.36058158908</c:v>
                </c:pt>
                <c:pt idx="119">
                  <c:v>217503.50447912127</c:v>
                </c:pt>
                <c:pt idx="120">
                  <c:v>218307.92695078562</c:v>
                </c:pt>
                <c:pt idx="121">
                  <c:v>219077.89650390879</c:v>
                </c:pt>
                <c:pt idx="122">
                  <c:v>219814.65948445487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'New_removed - bSIR'!$X$7</c:f>
              <c:strCache>
                <c:ptCount val="1"/>
                <c:pt idx="0">
                  <c:v>region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34.475609649753139</c:v>
                </c:pt>
                <c:pt idx="23">
                  <c:v>89.478241588311164</c:v>
                </c:pt>
                <c:pt idx="24">
                  <c:v>146.25424474947047</c:v>
                </c:pt>
                <c:pt idx="25">
                  <c:v>204.84245522195209</c:v>
                </c:pt>
                <c:pt idx="26">
                  <c:v>265.28119267678937</c:v>
                </c:pt>
                <c:pt idx="27">
                  <c:v>327.60813738385758</c:v>
                </c:pt>
                <c:pt idx="28">
                  <c:v>391.86020047792823</c:v>
                </c:pt>
                <c:pt idx="29">
                  <c:v>458.07338755702551</c:v>
                </c:pt>
                <c:pt idx="30">
                  <c:v>526.28265574970794</c:v>
                </c:pt>
                <c:pt idx="31">
                  <c:v>596.52176444625877</c:v>
                </c:pt>
                <c:pt idx="32">
                  <c:v>668.82311995188422</c:v>
                </c:pt>
                <c:pt idx="33">
                  <c:v>743.21761438747058</c:v>
                </c:pt>
                <c:pt idx="34">
                  <c:v>819.73445923514714</c:v>
                </c:pt>
                <c:pt idx="35">
                  <c:v>898.40101400151593</c:v>
                </c:pt>
                <c:pt idx="36">
                  <c:v>979.24261055032537</c:v>
                </c:pt>
                <c:pt idx="37">
                  <c:v>1062.2823737383162</c:v>
                </c:pt>
                <c:pt idx="38">
                  <c:v>1147.5410390720715</c:v>
                </c:pt>
                <c:pt idx="39">
                  <c:v>1235.0367681893113</c:v>
                </c:pt>
                <c:pt idx="40">
                  <c:v>1324.7849630542669</c:v>
                </c:pt>
                <c:pt idx="41">
                  <c:v>1416.7980798425967</c:v>
                </c:pt>
                <c:pt idx="42">
                  <c:v>1511.0854435755471</c:v>
                </c:pt>
                <c:pt idx="43">
                  <c:v>1607.6530646446565</c:v>
                </c:pt>
                <c:pt idx="44">
                  <c:v>1706.5034584457503</c:v>
                </c:pt>
                <c:pt idx="45">
                  <c:v>1807.6354694130687</c:v>
                </c:pt>
                <c:pt idx="46">
                  <c:v>1911.0441008093981</c:v>
                </c:pt>
                <c:pt idx="47">
                  <c:v>2016.7203516848165</c:v>
                </c:pt>
                <c:pt idx="48">
                  <c:v>2124.6510624632015</c:v>
                </c:pt>
                <c:pt idx="49">
                  <c:v>2234.8187706507611</c:v>
                </c:pt>
                <c:pt idx="50">
                  <c:v>2347.2015781827786</c:v>
                </c:pt>
                <c:pt idx="51">
                  <c:v>2461.773031932195</c:v>
                </c:pt>
                <c:pt idx="52">
                  <c:v>2578.5020188950489</c:v>
                </c:pt>
                <c:pt idx="53">
                  <c:v>2697.3526775422256</c:v>
                </c:pt>
                <c:pt idx="54">
                  <c:v>2818.2843267829389</c:v>
                </c:pt>
                <c:pt idx="55">
                  <c:v>2941.2514139225377</c:v>
                </c:pt>
                <c:pt idx="56">
                  <c:v>3066.203482914575</c:v>
                </c:pt>
                <c:pt idx="57">
                  <c:v>3193.0851641045883</c:v>
                </c:pt>
                <c:pt idx="58">
                  <c:v>3321.8361865405759</c:v>
                </c:pt>
                <c:pt idx="59">
                  <c:v>3452.3914137831289</c:v>
                </c:pt>
                <c:pt idx="60">
                  <c:v>3584.6809039873392</c:v>
                </c:pt>
                <c:pt idx="61">
                  <c:v>3718.6299948500086</c:v>
                </c:pt>
                <c:pt idx="62">
                  <c:v>3854.1594138208616</c:v>
                </c:pt>
                <c:pt idx="63">
                  <c:v>3991.1854137672908</c:v>
                </c:pt>
                <c:pt idx="64">
                  <c:v>4129.6199340608719</c:v>
                </c:pt>
                <c:pt idx="65">
                  <c:v>4269.3707868230831</c:v>
                </c:pt>
                <c:pt idx="66">
                  <c:v>4410.3418678302087</c:v>
                </c:pt>
                <c:pt idx="67">
                  <c:v>4552.4333913365735</c:v>
                </c:pt>
                <c:pt idx="68">
                  <c:v>4695.5421478342996</c:v>
                </c:pt>
                <c:pt idx="69">
                  <c:v>4839.5617835302974</c:v>
                </c:pt>
                <c:pt idx="70">
                  <c:v>4984.3831000909086</c:v>
                </c:pt>
                <c:pt idx="71">
                  <c:v>5129.8943729848661</c:v>
                </c:pt>
                <c:pt idx="72">
                  <c:v>5275.9816865499697</c:v>
                </c:pt>
                <c:pt idx="73">
                  <c:v>5422.5292837210991</c:v>
                </c:pt>
                <c:pt idx="74">
                  <c:v>5569.4199281904339</c:v>
                </c:pt>
                <c:pt idx="75">
                  <c:v>5716.5352766275328</c:v>
                </c:pt>
                <c:pt idx="76">
                  <c:v>5863.7562584701736</c:v>
                </c:pt>
                <c:pt idx="77">
                  <c:v>6010.9634607081543</c:v>
                </c:pt>
                <c:pt idx="78">
                  <c:v>6158.0375150236268</c:v>
                </c:pt>
                <c:pt idx="79">
                  <c:v>6304.8594846236765</c:v>
                </c:pt>
                <c:pt idx="80">
                  <c:v>6451.31124810454</c:v>
                </c:pt>
                <c:pt idx="81">
                  <c:v>6597.2758777218451</c:v>
                </c:pt>
                <c:pt idx="82">
                  <c:v>6742.6380095069053</c:v>
                </c:pt>
                <c:pt idx="83">
                  <c:v>6887.2842027644974</c:v>
                </c:pt>
                <c:pt idx="84">
                  <c:v>7031.1032866105488</c:v>
                </c:pt>
                <c:pt idx="85">
                  <c:v>7173.9866913570713</c:v>
                </c:pt>
                <c:pt idx="86">
                  <c:v>7315.8287627235677</c:v>
                </c:pt>
                <c:pt idx="87">
                  <c:v>7456.5270570461653</c:v>
                </c:pt>
                <c:pt idx="88">
                  <c:v>7595.9826158647757</c:v>
                </c:pt>
                <c:pt idx="89">
                  <c:v>7734.1002184909194</c:v>
                </c:pt>
                <c:pt idx="90">
                  <c:v>7870.78861139131</c:v>
                </c:pt>
                <c:pt idx="91">
                  <c:v>8005.9607134607213</c:v>
                </c:pt>
                <c:pt idx="92">
                  <c:v>8139.5337964990258</c:v>
                </c:pt>
                <c:pt idx="93">
                  <c:v>8271.4296404475808</c:v>
                </c:pt>
                <c:pt idx="94">
                  <c:v>8401.5746631763086</c:v>
                </c:pt>
                <c:pt idx="95">
                  <c:v>8529.9000248417888</c:v>
                </c:pt>
                <c:pt idx="96">
                  <c:v>8656.3417070551914</c:v>
                </c:pt>
                <c:pt idx="97">
                  <c:v>8780.8405673051584</c:v>
                </c:pt>
                <c:pt idx="98">
                  <c:v>8903.3423692717988</c:v>
                </c:pt>
                <c:pt idx="99">
                  <c:v>9023.797789842667</c:v>
                </c:pt>
                <c:pt idx="100">
                  <c:v>9142.1624037981383</c:v>
                </c:pt>
                <c:pt idx="101">
                  <c:v>9258.3966472712036</c:v>
                </c:pt>
                <c:pt idx="102">
                  <c:v>9372.4657612045248</c:v>
                </c:pt>
                <c:pt idx="103">
                  <c:v>9484.339716125518</c:v>
                </c:pt>
                <c:pt idx="104">
                  <c:v>9593.9931196382986</c:v>
                </c:pt>
                <c:pt idx="105">
                  <c:v>9701.4051080897352</c:v>
                </c:pt>
                <c:pt idx="106">
                  <c:v>9806.5592239064936</c:v>
                </c:pt>
                <c:pt idx="107">
                  <c:v>9909.4432801216371</c:v>
                </c:pt>
                <c:pt idx="108">
                  <c:v>10010.049213613984</c:v>
                </c:pt>
                <c:pt idx="109">
                  <c:v>10108.372928572635</c:v>
                </c:pt>
                <c:pt idx="110">
                  <c:v>10204.414131673919</c:v>
                </c:pt>
                <c:pt idx="111">
                  <c:v>10298.17616042016</c:v>
                </c:pt>
                <c:pt idx="112">
                  <c:v>10389.665806040599</c:v>
                </c:pt>
                <c:pt idx="113">
                  <c:v>10478.893132296029</c:v>
                </c:pt>
                <c:pt idx="114">
                  <c:v>10565.871291461937</c:v>
                </c:pt>
                <c:pt idx="115">
                  <c:v>10650.616338691454</c:v>
                </c:pt>
                <c:pt idx="116">
                  <c:v>10733.147045880878</c:v>
                </c:pt>
                <c:pt idx="117">
                  <c:v>10813.484716078272</c:v>
                </c:pt>
                <c:pt idx="118">
                  <c:v>10891.652999390853</c:v>
                </c:pt>
                <c:pt idx="119">
                  <c:v>10967.677711260945</c:v>
                </c:pt>
                <c:pt idx="120">
                  <c:v>11041.586653894092</c:v>
                </c:pt>
                <c:pt idx="121">
                  <c:v>11113.409441537598</c:v>
                </c:pt>
                <c:pt idx="122">
                  <c:v>11183.177330224084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'New_removed - bSIR'!$AJ$7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bSIR'!$AJ$62:$AJ$184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77.070441965511719</c:v>
                </c:pt>
                <c:pt idx="14">
                  <c:v>750.02880466726651</c:v>
                </c:pt>
                <c:pt idx="15">
                  <c:v>1454.0217877526813</c:v>
                </c:pt>
                <c:pt idx="16">
                  <c:v>2190.2545183341754</c:v>
                </c:pt>
                <c:pt idx="17">
                  <c:v>2959.9562438705416</c:v>
                </c:pt>
                <c:pt idx="18">
                  <c:v>3764.3783741574816</c:v>
                </c:pt>
                <c:pt idx="19">
                  <c:v>4604.7922121401743</c:v>
                </c:pt>
                <c:pt idx="20">
                  <c:v>5482.4863523891363</c:v>
                </c:pt>
                <c:pt idx="21">
                  <c:v>6398.7637263480547</c:v>
                </c:pt>
                <c:pt idx="22">
                  <c:v>7354.9382740285901</c:v>
                </c:pt>
                <c:pt idx="23">
                  <c:v>8352.3312227389069</c:v>
                </c:pt>
                <c:pt idx="24">
                  <c:v>9392.2669547310088</c:v>
                </c:pt>
                <c:pt idx="25">
                  <c:v>10476.068447382966</c:v>
                </c:pt>
                <c:pt idx="26">
                  <c:v>11605.052271743623</c:v>
                </c:pt>
                <c:pt idx="27">
                  <c:v>12780.523137997296</c:v>
                </c:pt>
                <c:pt idx="28">
                  <c:v>14003.76797970181</c:v>
                </c:pt>
                <c:pt idx="29">
                  <c:v>15276.049572546795</c:v>
                </c:pt>
                <c:pt idx="30">
                  <c:v>16598.59968790405</c:v>
                </c:pt>
                <c:pt idx="31">
                  <c:v>17972.611786618727</c:v>
                </c:pt>
                <c:pt idx="32">
                  <c:v>19399.233264332561</c:v>
                </c:pt>
                <c:pt idx="33">
                  <c:v>20879.557266138359</c:v>
                </c:pt>
                <c:pt idx="34">
                  <c:v>22414.614095520239</c:v>
                </c:pt>
                <c:pt idx="35">
                  <c:v>24005.362250307662</c:v>
                </c:pt>
                <c:pt idx="36">
                  <c:v>25652.679126707266</c:v>
                </c:pt>
                <c:pt idx="37">
                  <c:v>27357.351441299452</c:v>
                </c:pt>
                <c:pt idx="38">
                  <c:v>29120.065430100036</c:v>
                </c:pt>
                <c:pt idx="39">
                  <c:v>30941.396893261805</c:v>
                </c:pt>
                <c:pt idx="40">
                  <c:v>32821.801163579061</c:v>
                </c:pt>
                <c:pt idx="41">
                  <c:v>34761.60308647831</c:v>
                </c:pt>
                <c:pt idx="42">
                  <c:v>36760.987108427616</c:v>
                </c:pt>
                <c:pt idx="43">
                  <c:v>38819.987579448985</c:v>
                </c:pt>
                <c:pt idx="44">
                  <c:v>40938.47938341774</c:v>
                </c:pt>
                <c:pt idx="45">
                  <c:v>43116.169016821528</c:v>
                </c:pt>
                <c:pt idx="46">
                  <c:v>45352.586242345984</c:v>
                </c:pt>
                <c:pt idx="47">
                  <c:v>47647.076447778127</c:v>
                </c:pt>
                <c:pt idx="48">
                  <c:v>49998.793842992643</c:v>
                </c:pt>
                <c:pt idx="49">
                  <c:v>52406.695627952147</c:v>
                </c:pt>
                <c:pt idx="50">
                  <c:v>54869.537262470432</c:v>
                </c:pt>
                <c:pt idx="51">
                  <c:v>57385.868963758294</c:v>
                </c:pt>
                <c:pt idx="52">
                  <c:v>59954.033550339474</c:v>
                </c:pt>
                <c:pt idx="53">
                  <c:v>62572.165740695404</c:v>
                </c:pt>
                <c:pt idx="54">
                  <c:v>65238.193001942105</c:v>
                </c:pt>
                <c:pt idx="55">
                  <c:v>67949.838028011683</c:v>
                </c:pt>
                <c:pt idx="56">
                  <c:v>70704.622908336067</c:v>
                </c:pt>
                <c:pt idx="57">
                  <c:v>73499.87502713193</c:v>
                </c:pt>
                <c:pt idx="58">
                  <c:v>76332.734710373232</c:v>
                </c:pt>
                <c:pt idx="59">
                  <c:v>79200.164612802182</c:v>
                </c:pt>
                <c:pt idx="60">
                  <c:v>82098.960811347657</c:v>
                </c:pt>
                <c:pt idx="61">
                  <c:v>85025.765544631198</c:v>
                </c:pt>
                <c:pt idx="62">
                  <c:v>87977.081511443903</c:v>
                </c:pt>
                <c:pt idx="63">
                  <c:v>90949.287614805173</c:v>
                </c:pt>
                <c:pt idx="64">
                  <c:v>93938.65601312129</c:v>
                </c:pt>
                <c:pt idx="65">
                  <c:v>96941.370316694665</c:v>
                </c:pt>
                <c:pt idx="66">
                  <c:v>99953.544747012449</c:v>
                </c:pt>
                <c:pt idx="67">
                  <c:v>102971.24405844191</c:v>
                </c:pt>
                <c:pt idx="68">
                  <c:v>105990.50400766797</c:v>
                </c:pt>
                <c:pt idx="69">
                  <c:v>109007.35214584492</c:v>
                </c:pt>
                <c:pt idx="70">
                  <c:v>112017.82870228343</c:v>
                </c:pt>
                <c:pt idx="71">
                  <c:v>115018.00732674834</c:v>
                </c:pt>
                <c:pt idx="72">
                  <c:v>118004.01546014078</c:v>
                </c:pt>
                <c:pt idx="73">
                  <c:v>120972.05411041038</c:v>
                </c:pt>
                <c:pt idx="74">
                  <c:v>123918.4168217799</c:v>
                </c:pt>
                <c:pt idx="75">
                  <c:v>126839.50764044405</c:v>
                </c:pt>
                <c:pt idx="76">
                  <c:v>129731.85789839989</c:v>
                </c:pt>
                <c:pt idx="77">
                  <c:v>132592.1416584613</c:v>
                </c:pt>
                <c:pt idx="78">
                  <c:v>135417.18968722245</c:v>
                </c:pt>
                <c:pt idx="79">
                  <c:v>138204.00184813639</c:v>
                </c:pt>
                <c:pt idx="80">
                  <c:v>140949.75783331352</c:v>
                </c:pt>
                <c:pt idx="81">
                  <c:v>143651.82617947177</c:v>
                </c:pt>
                <c:pt idx="82">
                  <c:v>146307.77154005514</c:v>
                </c:pt>
                <c:pt idx="83">
                  <c:v>148915.360211297</c:v>
                </c:pt>
                <c:pt idx="84">
                  <c:v>151472.56393440609</c:v>
                </c:pt>
                <c:pt idx="85">
                  <c:v>153977.56201864473</c:v>
                </c:pt>
                <c:pt idx="86">
                  <c:v>156428.74185046984</c:v>
                </c:pt>
                <c:pt idx="87">
                  <c:v>158824.69787183052</c:v>
                </c:pt>
                <c:pt idx="88">
                  <c:v>161164.22912596216</c:v>
                </c:pt>
                <c:pt idx="89">
                  <c:v>163446.3354814646</c:v>
                </c:pt>
                <c:pt idx="90">
                  <c:v>165670.21265508031</c:v>
                </c:pt>
                <c:pt idx="91">
                  <c:v>167835.2461604274</c:v>
                </c:pt>
                <c:pt idx="92">
                  <c:v>169941.00431411355</c:v>
                </c:pt>
                <c:pt idx="93">
                  <c:v>171987.23043231582</c:v>
                </c:pt>
                <c:pt idx="94">
                  <c:v>173973.83435027357</c:v>
                </c:pt>
                <c:pt idx="95">
                  <c:v>175900.88339444774</c:v>
                </c:pt>
                <c:pt idx="96">
                  <c:v>177768.59293261523</c:v>
                </c:pt>
                <c:pt idx="97">
                  <c:v>179577.31662117253</c:v>
                </c:pt>
                <c:pt idx="98">
                  <c:v>181327.53646169472</c:v>
                </c:pt>
                <c:pt idx="99">
                  <c:v>183019.85277061054</c:v>
                </c:pt>
                <c:pt idx="100">
                  <c:v>184654.97415697938</c:v>
                </c:pt>
                <c:pt idx="101">
                  <c:v>186233.70759402623</c:v>
                </c:pt>
                <c:pt idx="102">
                  <c:v>187756.94866054328</c:v>
                </c:pt>
                <c:pt idx="103">
                  <c:v>189225.67201868544</c:v>
                </c:pt>
                <c:pt idx="104">
                  <c:v>190640.92218525932</c:v>
                </c:pt>
                <c:pt idx="105">
                  <c:v>192003.80464446481</c:v>
                </c:pt>
                <c:pt idx="106">
                  <c:v>193315.4773413215</c:v>
                </c:pt>
                <c:pt idx="107">
                  <c:v>194577.1425867932</c:v>
                </c:pt>
                <c:pt idx="108">
                  <c:v>195790.03939797729</c:v>
                </c:pt>
                <c:pt idx="109">
                  <c:v>196955.43628970825</c:v>
                </c:pt>
                <c:pt idx="110">
                  <c:v>198074.62452755644</c:v>
                </c:pt>
                <c:pt idx="111">
                  <c:v>199148.91184650816</c:v>
                </c:pt>
                <c:pt idx="112">
                  <c:v>200179.61663457111</c:v>
                </c:pt>
                <c:pt idx="113">
                  <c:v>201168.06257616865</c:v>
                </c:pt>
                <c:pt idx="114">
                  <c:v>202115.57374641788</c:v>
                </c:pt>
                <c:pt idx="115">
                  <c:v>203023.47014421938</c:v>
                </c:pt>
                <c:pt idx="116">
                  <c:v>203893.06364946897</c:v>
                </c:pt>
                <c:pt idx="117">
                  <c:v>204725.65438759796</c:v>
                </c:pt>
                <c:pt idx="118">
                  <c:v>205522.52748301378</c:v>
                </c:pt>
                <c:pt idx="119">
                  <c:v>206284.95018180084</c:v>
                </c:pt>
                <c:pt idx="120">
                  <c:v>207014.16932320854</c:v>
                </c:pt>
                <c:pt idx="121">
                  <c:v>207711.40913895291</c:v>
                </c:pt>
                <c:pt idx="122">
                  <c:v>208377.8693591521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77.070441965511719</c:v>
                </c:pt>
                <c:pt idx="14">
                  <c:v>750.02880466726651</c:v>
                </c:pt>
                <c:pt idx="15">
                  <c:v>1454.0217877526813</c:v>
                </c:pt>
                <c:pt idx="16">
                  <c:v>2190.2545183341754</c:v>
                </c:pt>
                <c:pt idx="17">
                  <c:v>2959.9562438705416</c:v>
                </c:pt>
                <c:pt idx="18">
                  <c:v>3764.3783741574816</c:v>
                </c:pt>
                <c:pt idx="19">
                  <c:v>4604.7922121401743</c:v>
                </c:pt>
                <c:pt idx="20">
                  <c:v>5482.4863523891363</c:v>
                </c:pt>
                <c:pt idx="21">
                  <c:v>6398.7637263480547</c:v>
                </c:pt>
                <c:pt idx="22">
                  <c:v>7389.4138836783432</c:v>
                </c:pt>
                <c:pt idx="23">
                  <c:v>8441.8094643272179</c:v>
                </c:pt>
                <c:pt idx="24">
                  <c:v>9538.5211994804795</c:v>
                </c:pt>
                <c:pt idx="25">
                  <c:v>10680.910902604917</c:v>
                </c:pt>
                <c:pt idx="26">
                  <c:v>11870.333464420413</c:v>
                </c:pt>
                <c:pt idx="27">
                  <c:v>13108.131275381153</c:v>
                </c:pt>
                <c:pt idx="28">
                  <c:v>14395.628180179738</c:v>
                </c:pt>
                <c:pt idx="29">
                  <c:v>15734.122960103821</c:v>
                </c:pt>
                <c:pt idx="30">
                  <c:v>17124.882343653757</c:v>
                </c:pt>
                <c:pt idx="31">
                  <c:v>18569.133551064984</c:v>
                </c:pt>
                <c:pt idx="32">
                  <c:v>20068.056384284446</c:v>
                </c:pt>
                <c:pt idx="33">
                  <c:v>21622.774880525831</c:v>
                </c:pt>
                <c:pt idx="34">
                  <c:v>23234.348554755386</c:v>
                </c:pt>
                <c:pt idx="35">
                  <c:v>24903.763264309178</c:v>
                </c:pt>
                <c:pt idx="36">
                  <c:v>26631.921737257591</c:v>
                </c:pt>
                <c:pt idx="37">
                  <c:v>28419.633815037767</c:v>
                </c:pt>
                <c:pt idx="38">
                  <c:v>30267.606469172108</c:v>
                </c:pt>
                <c:pt idx="39">
                  <c:v>32176.433661451116</c:v>
                </c:pt>
                <c:pt idx="40">
                  <c:v>34146.58612663333</c:v>
                </c:pt>
                <c:pt idx="41">
                  <c:v>36178.401166320909</c:v>
                </c:pt>
                <c:pt idx="42">
                  <c:v>38272.072552003163</c:v>
                </c:pt>
                <c:pt idx="43">
                  <c:v>40427.640644093641</c:v>
                </c:pt>
                <c:pt idx="44">
                  <c:v>42644.982841863493</c:v>
                </c:pt>
                <c:pt idx="45">
                  <c:v>44923.8044862346</c:v>
                </c:pt>
                <c:pt idx="46">
                  <c:v>47263.630343155382</c:v>
                </c:pt>
                <c:pt idx="47">
                  <c:v>49663.796799462943</c:v>
                </c:pt>
                <c:pt idx="48">
                  <c:v>52123.444905455843</c:v>
                </c:pt>
                <c:pt idx="49">
                  <c:v>54641.514398602907</c:v>
                </c:pt>
                <c:pt idx="50">
                  <c:v>57216.738840653212</c:v>
                </c:pt>
                <c:pt idx="51">
                  <c:v>59847.641995690487</c:v>
                </c:pt>
                <c:pt idx="52">
                  <c:v>62532.535569234526</c:v>
                </c:pt>
                <c:pt idx="53">
                  <c:v>65269.518418237632</c:v>
                </c:pt>
                <c:pt idx="54">
                  <c:v>68056.477328725043</c:v>
                </c:pt>
                <c:pt idx="55">
                  <c:v>70891.089441934222</c:v>
                </c:pt>
                <c:pt idx="56">
                  <c:v>73770.826391250637</c:v>
                </c:pt>
                <c:pt idx="57">
                  <c:v>76692.960191236518</c:v>
                </c:pt>
                <c:pt idx="58">
                  <c:v>79654.570896913807</c:v>
                </c:pt>
                <c:pt idx="59">
                  <c:v>82652.556026585313</c:v>
                </c:pt>
                <c:pt idx="60">
                  <c:v>85683.64171533499</c:v>
                </c:pt>
                <c:pt idx="61">
                  <c:v>88744.395539481207</c:v>
                </c:pt>
                <c:pt idx="62">
                  <c:v>91831.240925264763</c:v>
                </c:pt>
                <c:pt idx="63">
                  <c:v>94940.473028572465</c:v>
                </c:pt>
                <c:pt idx="64">
                  <c:v>98068.275947182163</c:v>
                </c:pt>
                <c:pt idx="65">
                  <c:v>101210.74110351775</c:v>
                </c:pt>
                <c:pt idx="66">
                  <c:v>104363.88661484266</c:v>
                </c:pt>
                <c:pt idx="67">
                  <c:v>107523.67744977848</c:v>
                </c:pt>
                <c:pt idx="68">
                  <c:v>110686.04615550228</c:v>
                </c:pt>
                <c:pt idx="69">
                  <c:v>113846.91392937522</c:v>
                </c:pt>
                <c:pt idx="70">
                  <c:v>117002.21180237434</c:v>
                </c:pt>
                <c:pt idx="71">
                  <c:v>120147.90169973321</c:v>
                </c:pt>
                <c:pt idx="72">
                  <c:v>123279.99714669076</c:v>
                </c:pt>
                <c:pt idx="73">
                  <c:v>126394.58339413148</c:v>
                </c:pt>
                <c:pt idx="74">
                  <c:v>129487.83674997033</c:v>
                </c:pt>
                <c:pt idx="75">
                  <c:v>132556.04291707158</c:v>
                </c:pt>
                <c:pt idx="76">
                  <c:v>135595.61415687006</c:v>
                </c:pt>
                <c:pt idx="77">
                  <c:v>138603.10511916946</c:v>
                </c:pt>
                <c:pt idx="78">
                  <c:v>141575.22720224608</c:v>
                </c:pt>
                <c:pt idx="79">
                  <c:v>144508.86133276008</c:v>
                </c:pt>
                <c:pt idx="80">
                  <c:v>147401.06908141807</c:v>
                </c:pt>
                <c:pt idx="81">
                  <c:v>150249.10205719361</c:v>
                </c:pt>
                <c:pt idx="82">
                  <c:v>153050.40954956206</c:v>
                </c:pt>
                <c:pt idx="83">
                  <c:v>155802.64441406151</c:v>
                </c:pt>
                <c:pt idx="84">
                  <c:v>158503.66722101663</c:v>
                </c:pt>
                <c:pt idx="85">
                  <c:v>161151.54871000181</c:v>
                </c:pt>
                <c:pt idx="86">
                  <c:v>163744.57061319341</c:v>
                </c:pt>
                <c:pt idx="87">
                  <c:v>166281.22492887668</c:v>
                </c:pt>
                <c:pt idx="88">
                  <c:v>168760.21174182693</c:v>
                </c:pt>
                <c:pt idx="89">
                  <c:v>171180.43569995553</c:v>
                </c:pt>
                <c:pt idx="90">
                  <c:v>173541.00126647161</c:v>
                </c:pt>
                <c:pt idx="91">
                  <c:v>175841.20687388812</c:v>
                </c:pt>
                <c:pt idx="92">
                  <c:v>178080.53811061257</c:v>
                </c:pt>
                <c:pt idx="93">
                  <c:v>180258.66007276339</c:v>
                </c:pt>
                <c:pt idx="94">
                  <c:v>182375.40901344988</c:v>
                </c:pt>
                <c:pt idx="95">
                  <c:v>184430.78341928954</c:v>
                </c:pt>
                <c:pt idx="96">
                  <c:v>186424.93463967042</c:v>
                </c:pt>
                <c:pt idx="97">
                  <c:v>188358.15718847769</c:v>
                </c:pt>
                <c:pt idx="98">
                  <c:v>190230.87883096651</c:v>
                </c:pt>
                <c:pt idx="99">
                  <c:v>192043.65056045321</c:v>
                </c:pt>
                <c:pt idx="100">
                  <c:v>193797.13656077752</c:v>
                </c:pt>
                <c:pt idx="101">
                  <c:v>195492.10424129743</c:v>
                </c:pt>
                <c:pt idx="102">
                  <c:v>197129.41442174779</c:v>
                </c:pt>
                <c:pt idx="103">
                  <c:v>198710.01173481095</c:v>
                </c:pt>
                <c:pt idx="104">
                  <c:v>200234.91530489761</c:v>
                </c:pt>
                <c:pt idx="105">
                  <c:v>201705.20975255454</c:v>
                </c:pt>
                <c:pt idx="106">
                  <c:v>203122.03656522799</c:v>
                </c:pt>
                <c:pt idx="107">
                  <c:v>204486.58586691483</c:v>
                </c:pt>
                <c:pt idx="108">
                  <c:v>205800.08861159129</c:v>
                </c:pt>
                <c:pt idx="109">
                  <c:v>207063.80921828089</c:v>
                </c:pt>
                <c:pt idx="110">
                  <c:v>208279.03865923037</c:v>
                </c:pt>
                <c:pt idx="111">
                  <c:v>209447.08800692833</c:v>
                </c:pt>
                <c:pt idx="112">
                  <c:v>210569.28244061171</c:v>
                </c:pt>
                <c:pt idx="113">
                  <c:v>211646.95570846469</c:v>
                </c:pt>
                <c:pt idx="114">
                  <c:v>212681.44503787981</c:v>
                </c:pt>
                <c:pt idx="115">
                  <c:v>213674.08648291082</c:v>
                </c:pt>
                <c:pt idx="116">
                  <c:v>214626.21069534984</c:v>
                </c:pt>
                <c:pt idx="117">
                  <c:v>215539.13910367622</c:v>
                </c:pt>
                <c:pt idx="118">
                  <c:v>216414.18048240463</c:v>
                </c:pt>
                <c:pt idx="119">
                  <c:v>217252.62789306178</c:v>
                </c:pt>
                <c:pt idx="120">
                  <c:v>218055.75597710264</c:v>
                </c:pt>
                <c:pt idx="121">
                  <c:v>218824.81858049051</c:v>
                </c:pt>
                <c:pt idx="122">
                  <c:v>219561.04668937618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it-IT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rPr>
              <a:t>Italy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it-IT" sz="1400" b="0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bSIR'!$E$7</c:f>
              <c:strCache>
                <c:ptCount val="1"/>
                <c:pt idx="0">
                  <c:v>Italy remov. rate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bSIR'!$E$62:$E$281</c:f>
              <c:numCache>
                <c:formatCode>General</c:formatCode>
                <c:ptCount val="220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12</c:v>
                </c:pt>
                <c:pt idx="6">
                  <c:v>38</c:v>
                </c:pt>
                <c:pt idx="7">
                  <c:v>84</c:v>
                </c:pt>
                <c:pt idx="8">
                  <c:v>38</c:v>
                </c:pt>
                <c:pt idx="9">
                  <c:v>144</c:v>
                </c:pt>
                <c:pt idx="10">
                  <c:v>179</c:v>
                </c:pt>
                <c:pt idx="11">
                  <c:v>158</c:v>
                </c:pt>
                <c:pt idx="12">
                  <c:v>102</c:v>
                </c:pt>
                <c:pt idx="13">
                  <c:v>166</c:v>
                </c:pt>
                <c:pt idx="14">
                  <c:v>199</c:v>
                </c:pt>
                <c:pt idx="15">
                  <c:v>448</c:v>
                </c:pt>
                <c:pt idx="16">
                  <c:v>237</c:v>
                </c:pt>
                <c:pt idx="17">
                  <c:v>402</c:v>
                </c:pt>
                <c:pt idx="18">
                  <c:v>431</c:v>
                </c:pt>
                <c:pt idx="19">
                  <c:v>702</c:v>
                </c:pt>
                <c:pt idx="20">
                  <c:v>737</c:v>
                </c:pt>
                <c:pt idx="21">
                  <c:v>763</c:v>
                </c:pt>
                <c:pt idx="22">
                  <c:v>537</c:v>
                </c:pt>
                <c:pt idx="23">
                  <c:v>1559</c:v>
                </c:pt>
                <c:pt idx="24">
                  <c:v>842</c:v>
                </c:pt>
                <c:pt idx="25">
                  <c:v>1316</c:v>
                </c:pt>
                <c:pt idx="26">
                  <c:v>1736</c:v>
                </c:pt>
                <c:pt idx="27">
                  <c:v>1603</c:v>
                </c:pt>
                <c:pt idx="28">
                  <c:v>1009</c:v>
                </c:pt>
                <c:pt idx="29">
                  <c:v>1637</c:v>
                </c:pt>
                <c:pt idx="30">
                  <c:v>1719</c:v>
                </c:pt>
                <c:pt idx="31">
                  <c:v>1661</c:v>
                </c:pt>
                <c:pt idx="32">
                  <c:v>1558</c:v>
                </c:pt>
                <c:pt idx="33">
                  <c:v>2323</c:v>
                </c:pt>
                <c:pt idx="34">
                  <c:v>1402</c:v>
                </c:pt>
                <c:pt idx="35">
                  <c:v>2402</c:v>
                </c:pt>
                <c:pt idx="36">
                  <c:v>1946</c:v>
                </c:pt>
                <c:pt idx="37">
                  <c:v>1845</c:v>
                </c:pt>
                <c:pt idx="38">
                  <c:v>2191</c:v>
                </c:pt>
                <c:pt idx="39">
                  <c:v>2246</c:v>
                </c:pt>
                <c:pt idx="40">
                  <c:v>1919</c:v>
                </c:pt>
                <c:pt idx="41">
                  <c:v>1344</c:v>
                </c:pt>
                <c:pt idx="42">
                  <c:v>1658</c:v>
                </c:pt>
                <c:pt idx="43">
                  <c:v>2159</c:v>
                </c:pt>
                <c:pt idx="44">
                  <c:v>2641</c:v>
                </c:pt>
                <c:pt idx="45">
                  <c:v>2589</c:v>
                </c:pt>
                <c:pt idx="46">
                  <c:v>2555</c:v>
                </c:pt>
                <c:pt idx="47">
                  <c:v>2698</c:v>
                </c:pt>
                <c:pt idx="48">
                  <c:v>2108</c:v>
                </c:pt>
                <c:pt idx="49">
                  <c:v>1790</c:v>
                </c:pt>
                <c:pt idx="50">
                  <c:v>2297</c:v>
                </c:pt>
                <c:pt idx="51">
                  <c:v>1540</c:v>
                </c:pt>
                <c:pt idx="52">
                  <c:v>2597</c:v>
                </c:pt>
                <c:pt idx="53">
                  <c:v>3138</c:v>
                </c:pt>
                <c:pt idx="54">
                  <c:v>2682</c:v>
                </c:pt>
                <c:pt idx="55">
                  <c:v>2561</c:v>
                </c:pt>
                <c:pt idx="56">
                  <c:v>2276</c:v>
                </c:pt>
                <c:pt idx="57">
                  <c:v>3257</c:v>
                </c:pt>
                <c:pt idx="58">
                  <c:v>3380</c:v>
                </c:pt>
                <c:pt idx="59">
                  <c:v>3497</c:v>
                </c:pt>
                <c:pt idx="60">
                  <c:v>3342</c:v>
                </c:pt>
                <c:pt idx="61">
                  <c:v>3037</c:v>
                </c:pt>
                <c:pt idx="62">
                  <c:v>2068</c:v>
                </c:pt>
                <c:pt idx="63">
                  <c:v>2029</c:v>
                </c:pt>
                <c:pt idx="64">
                  <c:v>2699</c:v>
                </c:pt>
                <c:pt idx="65">
                  <c:v>2634</c:v>
                </c:pt>
                <c:pt idx="66">
                  <c:v>4978</c:v>
                </c:pt>
                <c:pt idx="67">
                  <c:v>2573</c:v>
                </c:pt>
                <c:pt idx="68">
                  <c:v>2139</c:v>
                </c:pt>
                <c:pt idx="69">
                  <c:v>1914</c:v>
                </c:pt>
                <c:pt idx="70">
                  <c:v>1420</c:v>
                </c:pt>
                <c:pt idx="71">
                  <c:v>2588</c:v>
                </c:pt>
                <c:pt idx="72">
                  <c:v>8383</c:v>
                </c:pt>
                <c:pt idx="73">
                  <c:v>3305</c:v>
                </c:pt>
                <c:pt idx="74">
                  <c:v>2990</c:v>
                </c:pt>
                <c:pt idx="75">
                  <c:v>4202</c:v>
                </c:pt>
                <c:pt idx="76">
                  <c:v>2320</c:v>
                </c:pt>
                <c:pt idx="77">
                  <c:v>1580</c:v>
                </c:pt>
                <c:pt idx="78">
                  <c:v>2624</c:v>
                </c:pt>
                <c:pt idx="79">
                  <c:v>3697</c:v>
                </c:pt>
                <c:pt idx="80">
                  <c:v>3009</c:v>
                </c:pt>
                <c:pt idx="81">
                  <c:v>5159</c:v>
                </c:pt>
                <c:pt idx="82">
                  <c:v>2758</c:v>
                </c:pt>
                <c:pt idx="83">
                  <c:v>2511</c:v>
                </c:pt>
                <c:pt idx="84">
                  <c:v>2249</c:v>
                </c:pt>
                <c:pt idx="85">
                  <c:v>2237</c:v>
                </c:pt>
                <c:pt idx="86">
                  <c:v>3042</c:v>
                </c:pt>
                <c:pt idx="87">
                  <c:v>2434</c:v>
                </c:pt>
                <c:pt idx="88">
                  <c:v>2290</c:v>
                </c:pt>
                <c:pt idx="89">
                  <c:v>2239</c:v>
                </c:pt>
                <c:pt idx="90">
                  <c:v>1689</c:v>
                </c:pt>
                <c:pt idx="91">
                  <c:v>1594</c:v>
                </c:pt>
                <c:pt idx="92">
                  <c:v>2755</c:v>
                </c:pt>
                <c:pt idx="93">
                  <c:v>2560</c:v>
                </c:pt>
                <c:pt idx="94">
                  <c:v>3573</c:v>
                </c:pt>
                <c:pt idx="95">
                  <c:v>2327</c:v>
                </c:pt>
                <c:pt idx="96">
                  <c:v>2900</c:v>
                </c:pt>
                <c:pt idx="97">
                  <c:v>1949</c:v>
                </c:pt>
                <c:pt idx="98">
                  <c:v>908</c:v>
                </c:pt>
                <c:pt idx="99">
                  <c:v>1792</c:v>
                </c:pt>
                <c:pt idx="100">
                  <c:v>917</c:v>
                </c:pt>
                <c:pt idx="101">
                  <c:v>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bSIR'!$K$7</c:f>
              <c:strCache>
                <c:ptCount val="1"/>
                <c:pt idx="0">
                  <c:v>Italy remov. rate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bSIR'!$K$62:$K$281</c:f>
              <c:numCache>
                <c:formatCode>General</c:formatCode>
                <c:ptCount val="220"/>
                <c:pt idx="0">
                  <c:v>386.02902478918912</c:v>
                </c:pt>
                <c:pt idx="1">
                  <c:v>404.70758193265596</c:v>
                </c:pt>
                <c:pt idx="2">
                  <c:v>424.22055777193958</c:v>
                </c:pt>
                <c:pt idx="3">
                  <c:v>444.59814451953287</c:v>
                </c:pt>
                <c:pt idx="4">
                  <c:v>465.87088648928682</c:v>
                </c:pt>
                <c:pt idx="5">
                  <c:v>488.06959538452236</c:v>
                </c:pt>
                <c:pt idx="6">
                  <c:v>511.22525395515953</c:v>
                </c:pt>
                <c:pt idx="7">
                  <c:v>535.36890714892047</c:v>
                </c:pt>
                <c:pt idx="8">
                  <c:v>560.53153986771986</c:v>
                </c:pt>
                <c:pt idx="9">
                  <c:v>586.74394043499558</c:v>
                </c:pt>
                <c:pt idx="10">
                  <c:v>614.03654888470521</c:v>
                </c:pt>
                <c:pt idx="11">
                  <c:v>642.43928919992322</c:v>
                </c:pt>
                <c:pt idx="12">
                  <c:v>671.98138466054297</c:v>
                </c:pt>
                <c:pt idx="13">
                  <c:v>702.69115550771505</c:v>
                </c:pt>
                <c:pt idx="14">
                  <c:v>734.59579819982787</c:v>
                </c:pt>
                <c:pt idx="15">
                  <c:v>767.72114562353147</c:v>
                </c:pt>
                <c:pt idx="16">
                  <c:v>802.09140773618856</c:v>
                </c:pt>
                <c:pt idx="17">
                  <c:v>837.72889225593622</c:v>
                </c:pt>
                <c:pt idx="18">
                  <c:v>874.65370518489215</c:v>
                </c:pt>
                <c:pt idx="19">
                  <c:v>912.88343115266719</c:v>
                </c:pt>
                <c:pt idx="20">
                  <c:v>952.43279380368335</c:v>
                </c:pt>
                <c:pt idx="21">
                  <c:v>993.31329672515051</c:v>
                </c:pt>
                <c:pt idx="22">
                  <c:v>1035.5328457247904</c:v>
                </c:pt>
                <c:pt idx="23">
                  <c:v>1079.0953536199775</c:v>
                </c:pt>
                <c:pt idx="24">
                  <c:v>1124.0003290936158</c:v>
                </c:pt>
                <c:pt idx="25">
                  <c:v>1170.2424516068429</c:v>
                </c:pt>
                <c:pt idx="26">
                  <c:v>1217.8111348334685</c:v>
                </c:pt>
                <c:pt idx="27">
                  <c:v>1266.6900815938557</c:v>
                </c:pt>
                <c:pt idx="28">
                  <c:v>1316.8568338131224</c:v>
                </c:pt>
                <c:pt idx="29">
                  <c:v>1368.2823216050815</c:v>
                </c:pt>
                <c:pt idx="30">
                  <c:v>1420.9304161823907</c:v>
                </c:pt>
                <c:pt idx="31">
                  <c:v>1474.7574919062652</c:v>
                </c:pt>
                <c:pt idx="32">
                  <c:v>1529.7120034050286</c:v>
                </c:pt>
                <c:pt idx="33">
                  <c:v>1585.7340842968274</c:v>
                </c:pt>
                <c:pt idx="34">
                  <c:v>1642.7551746329507</c:v>
                </c:pt>
                <c:pt idx="35">
                  <c:v>1700.6976847170738</c:v>
                </c:pt>
                <c:pt idx="36">
                  <c:v>1759.4747034331526</c:v>
                </c:pt>
                <c:pt idx="37">
                  <c:v>1818.9897596094827</c:v>
                </c:pt>
                <c:pt idx="38">
                  <c:v>1879.1366452360542</c:v>
                </c:pt>
                <c:pt idx="39">
                  <c:v>1939.7993095132149</c:v>
                </c:pt>
                <c:pt idx="40">
                  <c:v>2000.8518327177192</c:v>
                </c:pt>
                <c:pt idx="41">
                  <c:v>2062.158488704014</c:v>
                </c:pt>
                <c:pt idx="42">
                  <c:v>2123.5739044915126</c:v>
                </c:pt>
                <c:pt idx="43">
                  <c:v>2184.9433248025584</c:v>
                </c:pt>
                <c:pt idx="44">
                  <c:v>2246.1029885939342</c:v>
                </c:pt>
                <c:pt idx="45">
                  <c:v>2306.8806235547668</c:v>
                </c:pt>
                <c:pt idx="46">
                  <c:v>2367.0960632189121</c:v>
                </c:pt>
                <c:pt idx="47">
                  <c:v>2426.5619897607298</c:v>
                </c:pt>
                <c:pt idx="48">
                  <c:v>2485.0848037176847</c:v>
                </c:pt>
                <c:pt idx="49">
                  <c:v>2542.4656198287225</c:v>
                </c:pt>
                <c:pt idx="50">
                  <c:v>2598.5013859204032</c:v>
                </c:pt>
                <c:pt idx="51">
                  <c:v>2652.9861193501097</c:v>
                </c:pt>
                <c:pt idx="52">
                  <c:v>2705.7122529736084</c:v>
                </c:pt>
                <c:pt idx="53">
                  <c:v>2756.4720799990091</c:v>
                </c:pt>
                <c:pt idx="54">
                  <c:v>2805.0592844849198</c:v>
                </c:pt>
                <c:pt idx="55">
                  <c:v>2851.2705417089642</c:v>
                </c:pt>
                <c:pt idx="56">
                  <c:v>2894.9071702502101</c:v>
                </c:pt>
                <c:pt idx="57">
                  <c:v>2935.776815474384</c:v>
                </c:pt>
                <c:pt idx="58">
                  <c:v>2973.6951422629222</c:v>
                </c:pt>
                <c:pt idx="59">
                  <c:v>3008.4875133611736</c:v>
                </c:pt>
                <c:pt idx="60">
                  <c:v>3039.990628705968</c:v>
                </c:pt>
                <c:pt idx="61">
                  <c:v>3068.0541005868808</c:v>
                </c:pt>
                <c:pt idx="62">
                  <c:v>3092.5419395441886</c:v>
                </c:pt>
                <c:pt idx="63">
                  <c:v>3113.3339265389827</c:v>
                </c:pt>
                <c:pt idx="64">
                  <c:v>3130.3268481585264</c:v>
                </c:pt>
                <c:pt idx="65">
                  <c:v>3143.4355734339365</c:v>
                </c:pt>
                <c:pt idx="66">
                  <c:v>3152.5939532188831</c:v>
                </c:pt>
                <c:pt idx="67">
                  <c:v>3157.755525957964</c:v>
                </c:pt>
                <c:pt idx="68">
                  <c:v>3158.894016993615</c:v>
                </c:pt>
                <c:pt idx="69">
                  <c:v>3156.0036222360777</c:v>
                </c:pt>
                <c:pt idx="70">
                  <c:v>3149.099070953017</c:v>
                </c:pt>
                <c:pt idx="71">
                  <c:v>3138.2154665152402</c:v>
                </c:pt>
                <c:pt idx="72">
                  <c:v>3123.4079080476035</c:v>
                </c:pt>
                <c:pt idx="73">
                  <c:v>3104.7508999636379</c:v>
                </c:pt>
                <c:pt idx="74">
                  <c:v>3082.3375601958464</c:v>
                </c:pt>
                <c:pt idx="75">
                  <c:v>3056.2786414660745</c:v>
                </c:pt>
                <c:pt idx="76">
                  <c:v>3026.70138307855</c:v>
                </c:pt>
                <c:pt idx="77">
                  <c:v>2993.7482133843482</c:v>
                </c:pt>
                <c:pt idx="78">
                  <c:v>2957.5753251999417</c:v>
                </c:pt>
                <c:pt idx="79">
                  <c:v>2918.3511480237794</c:v>
                </c:pt>
                <c:pt idx="80">
                  <c:v>2876.2547418634704</c:v>
                </c:pt>
                <c:pt idx="81">
                  <c:v>2831.4741378621507</c:v>
                </c:pt>
                <c:pt idx="82">
                  <c:v>2784.2046507154732</c:v>
                </c:pt>
                <c:pt idx="83">
                  <c:v>2734.6471871368508</c:v>
                </c:pt>
                <c:pt idx="84">
                  <c:v>2683.0065734096224</c:v>
                </c:pt>
                <c:pt idx="85">
                  <c:v>2629.4899234239533</c:v>
                </c:pt>
                <c:pt idx="86">
                  <c:v>2574.3050666054237</c:v>
                </c:pt>
                <c:pt idx="87">
                  <c:v>2517.6590528787588</c:v>
                </c:pt>
                <c:pt idx="88">
                  <c:v>2459.7567493529991</c:v>
                </c:pt>
                <c:pt idx="89">
                  <c:v>2400.7995408420707</c:v>
                </c:pt>
                <c:pt idx="90">
                  <c:v>2340.9841437216733</c:v>
                </c:pt>
                <c:pt idx="91">
                  <c:v>2280.5015400381494</c:v>
                </c:pt>
                <c:pt idx="92">
                  <c:v>2219.5360362885949</c:v>
                </c:pt>
                <c:pt idx="93">
                  <c:v>2158.2644489357176</c:v>
                </c:pt>
                <c:pt idx="94">
                  <c:v>2096.8554165481592</c:v>
                </c:pt>
                <c:pt idx="95">
                  <c:v>2035.4688364994017</c:v>
                </c:pt>
                <c:pt idx="96">
                  <c:v>1974.2554224385283</c:v>
                </c:pt>
                <c:pt idx="97">
                  <c:v>1913.3563772769921</c:v>
                </c:pt>
                <c:pt idx="98">
                  <c:v>1852.9031752220915</c:v>
                </c:pt>
                <c:pt idx="99">
                  <c:v>1793.0174454268817</c:v>
                </c:pt>
                <c:pt idx="100">
                  <c:v>1733.8109491088458</c:v>
                </c:pt>
                <c:pt idx="101">
                  <c:v>1675.3856415010785</c:v>
                </c:pt>
                <c:pt idx="102">
                  <c:v>1617.8338097218311</c:v>
                </c:pt>
                <c:pt idx="103">
                  <c:v>1561.2382775595224</c:v>
                </c:pt>
                <c:pt idx="104">
                  <c:v>1505.6726682478288</c:v>
                </c:pt>
                <c:pt idx="105">
                  <c:v>1451.2017165252951</c:v>
                </c:pt>
                <c:pt idx="106">
                  <c:v>1397.8816216120954</c:v>
                </c:pt>
                <c:pt idx="107">
                  <c:v>1345.7604331700186</c:v>
                </c:pt>
                <c:pt idx="108">
                  <c:v>1294.8784628183791</c:v>
                </c:pt>
                <c:pt idx="109">
                  <c:v>1245.2687143380722</c:v>
                </c:pt>
                <c:pt idx="110">
                  <c:v>1196.9573262899376</c:v>
                </c:pt>
                <c:pt idx="111">
                  <c:v>1149.9640213856699</c:v>
                </c:pt>
                <c:pt idx="112">
                  <c:v>1104.3025575655711</c:v>
                </c:pt>
                <c:pt idx="113">
                  <c:v>1059.9811763455248</c:v>
                </c:pt>
                <c:pt idx="114">
                  <c:v>1017.0030445857434</c:v>
                </c:pt>
                <c:pt idx="115">
                  <c:v>975.36668639838911</c:v>
                </c:pt>
                <c:pt idx="116">
                  <c:v>935.06640244388211</c:v>
                </c:pt>
                <c:pt idx="117">
                  <c:v>896.09267436234177</c:v>
                </c:pt>
                <c:pt idx="118">
                  <c:v>858.43255254419751</c:v>
                </c:pt>
                <c:pt idx="119">
                  <c:v>822.07002586096257</c:v>
                </c:pt>
                <c:pt idx="120">
                  <c:v>786.98637235287879</c:v>
                </c:pt>
                <c:pt idx="121">
                  <c:v>753.16049020505056</c:v>
                </c:pt>
                <c:pt idx="122">
                  <c:v>720.56920863879975</c:v>
                </c:pt>
                <c:pt idx="123">
                  <c:v>689.1875786019632</c:v>
                </c:pt>
                <c:pt idx="124">
                  <c:v>658.98914336280359</c:v>
                </c:pt>
                <c:pt idx="125">
                  <c:v>629.9461892994741</c:v>
                </c:pt>
                <c:pt idx="126">
                  <c:v>602.02997733314055</c:v>
                </c:pt>
                <c:pt idx="127">
                  <c:v>575.21095558062689</c:v>
                </c:pt>
                <c:pt idx="128">
                  <c:v>549.45895390447799</c:v>
                </c:pt>
                <c:pt idx="129">
                  <c:v>524.74336111734749</c:v>
                </c:pt>
                <c:pt idx="130">
                  <c:v>501.0332856562099</c:v>
                </c:pt>
                <c:pt idx="131">
                  <c:v>478.29770058252041</c:v>
                </c:pt>
                <c:pt idx="132">
                  <c:v>456.5055737895176</c:v>
                </c:pt>
                <c:pt idx="133">
                  <c:v>435.625984309486</c:v>
                </c:pt>
                <c:pt idx="134">
                  <c:v>415.62822561406091</c:v>
                </c:pt>
                <c:pt idx="135">
                  <c:v>396.48189679135703</c:v>
                </c:pt>
                <c:pt idx="136">
                  <c:v>378.15698246651823</c:v>
                </c:pt>
                <c:pt idx="137">
                  <c:v>360.62392230872018</c:v>
                </c:pt>
                <c:pt idx="138">
                  <c:v>343.85367093901198</c:v>
                </c:pt>
                <c:pt idx="139">
                  <c:v>327.81774902085641</c:v>
                </c:pt>
                <c:pt idx="140">
                  <c:v>312.48828627981334</c:v>
                </c:pt>
                <c:pt idx="141">
                  <c:v>297.83805716140307</c:v>
                </c:pt>
                <c:pt idx="142">
                  <c:v>283.84050979755386</c:v>
                </c:pt>
                <c:pt idx="143">
                  <c:v>270.46978891279065</c:v>
                </c:pt>
                <c:pt idx="144">
                  <c:v>257.70075326203033</c:v>
                </c:pt>
                <c:pt idx="145">
                  <c:v>245.5089881529465</c:v>
                </c:pt>
                <c:pt idx="146">
                  <c:v>233.87081356770145</c:v>
                </c:pt>
                <c:pt idx="147">
                  <c:v>222.76328836173766</c:v>
                </c:pt>
                <c:pt idx="148">
                  <c:v>212.1642109814691</c:v>
                </c:pt>
                <c:pt idx="149">
                  <c:v>202.05211710831119</c:v>
                </c:pt>
                <c:pt idx="150">
                  <c:v>192.40627460364752</c:v>
                </c:pt>
                <c:pt idx="151">
                  <c:v>183.20667609814325</c:v>
                </c:pt>
                <c:pt idx="152">
                  <c:v>174.43402953932593</c:v>
                </c:pt>
                <c:pt idx="153">
                  <c:v>166.06974698358701</c:v>
                </c:pt>
                <c:pt idx="154">
                  <c:v>158.09593189271132</c:v>
                </c:pt>
                <c:pt idx="155">
                  <c:v>150.49536517069501</c:v>
                </c:pt>
                <c:pt idx="156">
                  <c:v>143.25149015392216</c:v>
                </c:pt>
                <c:pt idx="157">
                  <c:v>136.34839674670388</c:v>
                </c:pt>
                <c:pt idx="158">
                  <c:v>129.7708048746585</c:v>
                </c:pt>
                <c:pt idx="159">
                  <c:v>123.50404741039023</c:v>
                </c:pt>
                <c:pt idx="160">
                  <c:v>117.53405270930644</c:v>
                </c:pt>
                <c:pt idx="161">
                  <c:v>111.84732687815783</c:v>
                </c:pt>
                <c:pt idx="162">
                  <c:v>106.43093588488968</c:v>
                </c:pt>
                <c:pt idx="163">
                  <c:v>101.27248760559608</c:v>
                </c:pt>
                <c:pt idx="164">
                  <c:v>96.360113892696546</c:v>
                </c:pt>
                <c:pt idx="165">
                  <c:v>91.682452737822373</c:v>
                </c:pt>
                <c:pt idx="166">
                  <c:v>87.228630593250344</c:v>
                </c:pt>
                <c:pt idx="167">
                  <c:v>82.988244906972099</c:v>
                </c:pt>
                <c:pt idx="168">
                  <c:v>78.951346918580967</c:v>
                </c:pt>
                <c:pt idx="169">
                  <c:v>75.108424756025073</c:v>
                </c:pt>
                <c:pt idx="170">
                  <c:v>71.450386866859134</c:v>
                </c:pt>
                <c:pt idx="171">
                  <c:v>67.968545811866974</c:v>
                </c:pt>
                <c:pt idx="172">
                  <c:v>64.654602443771694</c:v>
                </c:pt>
                <c:pt idx="173">
                  <c:v>61.500630489147419</c:v>
                </c:pt>
                <c:pt idx="174">
                  <c:v>58.499061547549566</c:v>
                </c:pt>
                <c:pt idx="175">
                  <c:v>55.642670518244998</c:v>
                </c:pt>
                <c:pt idx="176">
                  <c:v>52.924561461707107</c:v>
                </c:pt>
                <c:pt idx="177">
                  <c:v>50.338153900207729</c:v>
                </c:pt>
                <c:pt idx="178">
                  <c:v>47.87716955935057</c:v>
                </c:pt>
                <c:pt idx="179">
                  <c:v>45.535619550216424</c:v>
                </c:pt>
                <c:pt idx="180">
                  <c:v>43.307791989901247</c:v>
                </c:pt>
                <c:pt idx="181">
                  <c:v>41.18824005659409</c:v>
                </c:pt>
                <c:pt idx="182">
                  <c:v>39.17177047393735</c:v>
                </c:pt>
                <c:pt idx="183">
                  <c:v>37.25343241821605</c:v>
                </c:pt>
                <c:pt idx="184">
                  <c:v>35.428506840911155</c:v>
                </c:pt>
                <c:pt idx="185">
                  <c:v>33.692496198306948</c:v>
                </c:pt>
                <c:pt idx="186">
                  <c:v>32.041114579146502</c:v>
                </c:pt>
                <c:pt idx="187">
                  <c:v>30.470278220763738</c:v>
                </c:pt>
                <c:pt idx="188">
                  <c:v>28.976096403674145</c:v>
                </c:pt>
                <c:pt idx="189">
                  <c:v>27.554862714262811</c:v>
                </c:pt>
                <c:pt idx="190">
                  <c:v>26.203046664956705</c:v>
                </c:pt>
                <c:pt idx="191">
                  <c:v>24.91728566109823</c:v>
                </c:pt>
                <c:pt idx="192">
                  <c:v>23.694377303636895</c:v>
                </c:pt>
                <c:pt idx="193">
                  <c:v>22.531272016719118</c:v>
                </c:pt>
                <c:pt idx="194">
                  <c:v>21.425065989271776</c:v>
                </c:pt>
                <c:pt idx="195">
                  <c:v>20.37299441973903</c:v>
                </c:pt>
                <c:pt idx="196">
                  <c:v>19.372425053234579</c:v>
                </c:pt>
                <c:pt idx="197">
                  <c:v>18.420852000509829</c:v>
                </c:pt>
                <c:pt idx="198">
                  <c:v>17.515889828304594</c:v>
                </c:pt>
                <c:pt idx="199">
                  <c:v>16.655267910838919</c:v>
                </c:pt>
                <c:pt idx="200">
                  <c:v>15.836825032415771</c:v>
                </c:pt>
                <c:pt idx="201">
                  <c:v>15.05850423133303</c:v>
                </c:pt>
                <c:pt idx="202">
                  <c:v>14.318347875544575</c:v>
                </c:pt>
                <c:pt idx="203">
                  <c:v>13.614492960762643</c:v>
                </c:pt>
                <c:pt idx="204">
                  <c:v>12.945166621953776</c:v>
                </c:pt>
                <c:pt idx="205">
                  <c:v>12.308681849446051</c:v>
                </c:pt>
                <c:pt idx="206">
                  <c:v>11.703433401135261</c:v>
                </c:pt>
                <c:pt idx="207">
                  <c:v>11.127893902548786</c:v>
                </c:pt>
                <c:pt idx="208">
                  <c:v>10.580610126797797</c:v>
                </c:pt>
                <c:pt idx="209">
                  <c:v>10.060199446719745</c:v>
                </c:pt>
                <c:pt idx="210">
                  <c:v>9.5653464517819895</c:v>
                </c:pt>
                <c:pt idx="211">
                  <c:v>9.0947997225836108</c:v>
                </c:pt>
                <c:pt idx="212">
                  <c:v>8.6473687560551031</c:v>
                </c:pt>
                <c:pt idx="213">
                  <c:v>8.2219210347134872</c:v>
                </c:pt>
                <c:pt idx="214">
                  <c:v>7.817379233583563</c:v>
                </c:pt>
                <c:pt idx="215">
                  <c:v>7.4327185586436002</c:v>
                </c:pt>
                <c:pt idx="216">
                  <c:v>7.0669642108954065</c:v>
                </c:pt>
                <c:pt idx="217">
                  <c:v>6.7191889703944305</c:v>
                </c:pt>
                <c:pt idx="218">
                  <c:v>6.3885108948045604</c:v>
                </c:pt>
                <c:pt idx="219">
                  <c:v>6.0740911272650475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'New_removed - bSIR'!$I$7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bSIR'!$I$62:$I$281</c:f>
              <c:numCache>
                <c:formatCode>General</c:formatCode>
                <c:ptCount val="220"/>
                <c:pt idx="0">
                  <c:v>382.70077351108154</c:v>
                </c:pt>
                <c:pt idx="1">
                  <c:v>401.25596698814536</c:v>
                </c:pt>
                <c:pt idx="2">
                  <c:v>420.64591718276284</c:v>
                </c:pt>
                <c:pt idx="3">
                  <c:v>440.90131762577874</c:v>
                </c:pt>
                <c:pt idx="4">
                  <c:v>462.05326003937466</c:v>
                </c:pt>
                <c:pt idx="5">
                  <c:v>484.1331512058041</c:v>
                </c:pt>
                <c:pt idx="6">
                  <c:v>507.17261798006331</c:v>
                </c:pt>
                <c:pt idx="7">
                  <c:v>531.20339951942071</c:v>
                </c:pt>
                <c:pt idx="8">
                  <c:v>556.25722578343266</c:v>
                </c:pt>
                <c:pt idx="9">
                  <c:v>582.36568134726986</c:v>
                </c:pt>
                <c:pt idx="10">
                  <c:v>609.56005357079016</c:v>
                </c:pt>
                <c:pt idx="11">
                  <c:v>637.87116417776713</c:v>
                </c:pt>
                <c:pt idx="12">
                  <c:v>667.329183326372</c:v>
                </c:pt>
                <c:pt idx="13">
                  <c:v>697.96342529571803</c:v>
                </c:pt>
                <c:pt idx="14">
                  <c:v>729.8021249767595</c:v>
                </c:pt>
                <c:pt idx="15">
                  <c:v>762.87219444177117</c:v>
                </c:pt>
                <c:pt idx="16">
                  <c:v>797.19895897796084</c:v>
                </c:pt>
                <c:pt idx="17">
                  <c:v>832.80587211054376</c:v>
                </c:pt>
                <c:pt idx="18">
                  <c:v>869.71420931174237</c:v>
                </c:pt>
                <c:pt idx="19">
                  <c:v>907.94274029782116</c:v>
                </c:pt>
                <c:pt idx="20">
                  <c:v>947.50738005916105</c:v>
                </c:pt>
                <c:pt idx="21">
                  <c:v>988.42081905127804</c:v>
                </c:pt>
                <c:pt idx="22">
                  <c:v>1030.6921332998272</c:v>
                </c:pt>
                <c:pt idx="23">
                  <c:v>1074.3263755418307</c:v>
                </c:pt>
                <c:pt idx="24">
                  <c:v>1119.3241489397933</c:v>
                </c:pt>
                <c:pt idx="25">
                  <c:v>1165.6811653652767</c:v>
                </c:pt>
                <c:pt idx="26">
                  <c:v>1213.3877907531767</c:v>
                </c:pt>
                <c:pt idx="27">
                  <c:v>1262.4285805753959</c:v>
                </c:pt>
                <c:pt idx="28">
                  <c:v>1312.7818090693311</c:v>
                </c:pt>
                <c:pt idx="29">
                  <c:v>1364.4189964773791</c:v>
                </c:pt>
                <c:pt idx="30">
                  <c:v>1417.3044392015254</c:v>
                </c:pt>
                <c:pt idx="31">
                  <c:v>1471.3947484425912</c:v>
                </c:pt>
                <c:pt idx="32">
                  <c:v>1526.6384035655344</c:v>
                </c:pt>
                <c:pt idx="33">
                  <c:v>1582.9753270962813</c:v>
                </c:pt>
                <c:pt idx="34">
                  <c:v>1640.3364888954709</c:v>
                </c:pt>
                <c:pt idx="35">
                  <c:v>1698.6435476514039</c:v>
                </c:pt>
                <c:pt idx="36">
                  <c:v>1757.8085383670641</c:v>
                </c:pt>
                <c:pt idx="37">
                  <c:v>1817.7336149610287</c:v>
                </c:pt>
                <c:pt idx="38">
                  <c:v>1878.3108574342327</c:v>
                </c:pt>
                <c:pt idx="39">
                  <c:v>1939.4221532476233</c:v>
                </c:pt>
                <c:pt idx="40">
                  <c:v>2000.9391625827902</c:v>
                </c:pt>
                <c:pt idx="41">
                  <c:v>2062.7233769920931</c:v>
                </c:pt>
                <c:pt idx="42">
                  <c:v>2124.6262805613746</c:v>
                </c:pt>
                <c:pt idx="43">
                  <c:v>2186.4896220841615</c:v>
                </c:pt>
                <c:pt idx="44">
                  <c:v>2248.145805862101</c:v>
                </c:pt>
                <c:pt idx="45">
                  <c:v>2309.4184075884236</c:v>
                </c:pt>
                <c:pt idx="46">
                  <c:v>2370.1228203315059</c:v>
                </c:pt>
                <c:pt idx="47">
                  <c:v>2430.0670339147532</c:v>
                </c:pt>
                <c:pt idx="48">
                  <c:v>2489.0525489958604</c:v>
                </c:pt>
                <c:pt idx="49">
                  <c:v>2546.8754249028661</c:v>
                </c:pt>
                <c:pt idx="50">
                  <c:v>2603.3274578161418</c:v>
                </c:pt>
                <c:pt idx="51">
                  <c:v>2658.1974832365595</c:v>
                </c:pt>
                <c:pt idx="52">
                  <c:v>2711.2727939029837</c:v>
                </c:pt>
                <c:pt idx="53">
                  <c:v>2762.3406614807932</c:v>
                </c:pt>
                <c:pt idx="54">
                  <c:v>2811.1899475101072</c:v>
                </c:pt>
                <c:pt idx="55">
                  <c:v>2857.6127863587612</c:v>
                </c:pt>
                <c:pt idx="56">
                  <c:v>2901.4063203569017</c:v>
                </c:pt>
                <c:pt idx="57">
                  <c:v>2942.3744649861119</c:v>
                </c:pt>
                <c:pt idx="58">
                  <c:v>2980.3296800442631</c:v>
                </c:pt>
                <c:pt idx="59">
                  <c:v>3015.0947211909079</c:v>
                </c:pt>
                <c:pt idx="60">
                  <c:v>3046.5043452723412</c:v>
                </c:pt>
                <c:pt idx="61">
                  <c:v>3074.4069423931946</c:v>
                </c:pt>
                <c:pt idx="62">
                  <c:v>3098.6660678897492</c:v>
                </c:pt>
                <c:pt idx="63">
                  <c:v>3119.1618481977152</c:v>
                </c:pt>
                <c:pt idx="64">
                  <c:v>3135.7922361009523</c:v>
                </c:pt>
                <c:pt idx="65">
                  <c:v>3148.4740929824702</c:v>
                </c:pt>
                <c:pt idx="66">
                  <c:v>3157.1440784359847</c:v>
                </c:pt>
                <c:pt idx="67">
                  <c:v>3161.7593308743458</c:v>
                </c:pt>
                <c:pt idx="68">
                  <c:v>3162.297926507898</c:v>
                </c:pt>
                <c:pt idx="69">
                  <c:v>3158.7591081610876</c:v>
                </c:pt>
                <c:pt idx="70">
                  <c:v>3151.1632797343714</c:v>
                </c:pt>
                <c:pt idx="71">
                  <c:v>3139.5517665764633</c:v>
                </c:pt>
                <c:pt idx="72">
                  <c:v>3123.9863464793252</c:v>
                </c:pt>
                <c:pt idx="73">
                  <c:v>3104.5485603163743</c:v>
                </c:pt>
                <c:pt idx="74">
                  <c:v>3081.3388153897895</c:v>
                </c:pt>
                <c:pt idx="75">
                  <c:v>3054.4752982232735</c:v>
                </c:pt>
                <c:pt idx="76">
                  <c:v>3024.0927167347008</c:v>
                </c:pt>
                <c:pt idx="77">
                  <c:v>2990.3408943703685</c:v>
                </c:pt>
                <c:pt idx="78">
                  <c:v>2953.3832408215812</c:v>
                </c:pt>
                <c:pt idx="79">
                  <c:v>2913.3951253406735</c:v>
                </c:pt>
                <c:pt idx="80">
                  <c:v>2870.5621794157541</c:v>
                </c:pt>
                <c:pt idx="81">
                  <c:v>2825.0785556626561</c:v>
                </c:pt>
                <c:pt idx="82">
                  <c:v>2777.1451692803676</c:v>
                </c:pt>
                <c:pt idx="83">
                  <c:v>2726.9679473426568</c:v>
                </c:pt>
                <c:pt idx="84">
                  <c:v>2674.7561096285544</c:v>
                </c:pt>
                <c:pt idx="85">
                  <c:v>2620.7205027041687</c:v>
                </c:pt>
                <c:pt idx="86">
                  <c:v>2565.0720066419231</c:v>
                </c:pt>
                <c:pt idx="87">
                  <c:v>2508.0200311884446</c:v>
                </c:pt>
                <c:pt idx="88">
                  <c:v>2449.7711154568524</c:v>
                </c:pt>
                <c:pt idx="89">
                  <c:v>2390.5276424080125</c:v>
                </c:pt>
                <c:pt idx="90">
                  <c:v>2330.4866765773413</c:v>
                </c:pt>
                <c:pt idx="91">
                  <c:v>2269.8389307699035</c:v>
                </c:pt>
                <c:pt idx="92">
                  <c:v>2208.7678648481219</c:v>
                </c:pt>
                <c:pt idx="93">
                  <c:v>2147.4489173237303</c:v>
                </c:pt>
                <c:pt idx="94">
                  <c:v>2086.0488682780879</c:v>
                </c:pt>
                <c:pt idx="95">
                  <c:v>2024.7253302006814</c:v>
                </c:pt>
                <c:pt idx="96">
                  <c:v>1963.6263616719016</c:v>
                </c:pt>
                <c:pt idx="97">
                  <c:v>1902.8901974308519</c:v>
                </c:pt>
                <c:pt idx="98">
                  <c:v>1842.6450872604992</c:v>
                </c:pt>
                <c:pt idx="99">
                  <c:v>1783.0092352825993</c:v>
                </c:pt>
                <c:pt idx="100">
                  <c:v>1724.0908306684553</c:v>
                </c:pt>
                <c:pt idx="101">
                  <c:v>1665.9881604193074</c:v>
                </c:pt>
                <c:pt idx="102">
                  <c:v>1608.7897947288898</c:v>
                </c:pt>
                <c:pt idx="103">
                  <c:v>1552.5748354852867</c:v>
                </c:pt>
                <c:pt idx="104">
                  <c:v>1497.4132186733427</c:v>
                </c:pt>
                <c:pt idx="105">
                  <c:v>1443.3660617761254</c:v>
                </c:pt>
                <c:pt idx="106">
                  <c:v>1390.4860477185418</c:v>
                </c:pt>
                <c:pt idx="107">
                  <c:v>1338.8178374236929</c:v>
                </c:pt>
                <c:pt idx="108">
                  <c:v>1288.398503640391</c:v>
                </c:pt>
                <c:pt idx="109">
                  <c:v>1239.2579793277569</c:v>
                </c:pt>
                <c:pt idx="110">
                  <c:v>1191.4195145320066</c:v>
                </c:pt>
                <c:pt idx="111">
                  <c:v>1144.9001363454724</c:v>
                </c:pt>
                <c:pt idx="112">
                  <c:v>1099.7111071854904</c:v>
                </c:pt>
                <c:pt idx="113">
                  <c:v>1055.8583772598843</c:v>
                </c:pt>
                <c:pt idx="114">
                  <c:v>1013.3430276878006</c:v>
                </c:pt>
                <c:pt idx="115">
                  <c:v>972.16170131289334</c:v>
                </c:pt>
                <c:pt idx="116">
                  <c:v>932.30701877541867</c:v>
                </c:pt>
                <c:pt idx="117">
                  <c:v>893.76797789764544</c:v>
                </c:pt>
                <c:pt idx="118">
                  <c:v>856.53033488118399</c:v>
                </c:pt>
                <c:pt idx="119">
                  <c:v>820.57696621488776</c:v>
                </c:pt>
                <c:pt idx="120">
                  <c:v>785.88821054828293</c:v>
                </c:pt>
                <c:pt idx="121">
                  <c:v>752.44219009916253</c:v>
                </c:pt>
                <c:pt idx="122">
                  <c:v>720.21511143697649</c:v>
                </c:pt>
                <c:pt idx="123">
                  <c:v>689.18154571807838</c:v>
                </c:pt>
                <c:pt idx="124">
                  <c:v>659.31468864750229</c:v>
                </c:pt>
                <c:pt idx="125">
                  <c:v>630.58660060740021</c:v>
                </c:pt>
                <c:pt idx="126">
                  <c:v>602.96842752759665</c:v>
                </c:pt>
                <c:pt idx="127">
                  <c:v>576.43060318176458</c:v>
                </c:pt>
                <c:pt idx="128">
                  <c:v>550.94303367640748</c:v>
                </c:pt>
                <c:pt idx="129">
                  <c:v>526.47526496197656</c:v>
                </c:pt>
                <c:pt idx="130">
                  <c:v>502.99663423865638</c:v>
                </c:pt>
                <c:pt idx="131">
                  <c:v>480.47640615620014</c:v>
                </c:pt>
                <c:pt idx="132">
                  <c:v>458.88389471995436</c:v>
                </c:pt>
                <c:pt idx="133">
                  <c:v>438.18857181607211</c:v>
                </c:pt>
                <c:pt idx="134">
                  <c:v>418.36016325977744</c:v>
                </c:pt>
                <c:pt idx="135">
                  <c:v>399.36873325321267</c:v>
                </c:pt>
                <c:pt idx="136">
                  <c:v>381.18475811541981</c:v>
                </c:pt>
                <c:pt idx="137">
                  <c:v>363.77919011777209</c:v>
                </c:pt>
                <c:pt idx="138">
                  <c:v>347.12351222491765</c:v>
                </c:pt>
                <c:pt idx="139">
                  <c:v>331.18978450506626</c:v>
                </c:pt>
                <c:pt idx="140">
                  <c:v>315.95068293518574</c:v>
                </c:pt>
                <c:pt idx="141">
                  <c:v>301.37953128714508</c:v>
                </c:pt>
                <c:pt idx="142">
                  <c:v>287.45032674070876</c:v>
                </c:pt>
                <c:pt idx="143">
                  <c:v>274.13775982911358</c:v>
                </c:pt>
                <c:pt idx="144">
                  <c:v>261.41722928320428</c:v>
                </c:pt>
                <c:pt idx="145">
                  <c:v>249.26485230112775</c:v>
                </c:pt>
                <c:pt idx="146">
                  <c:v>237.65747073269148</c:v>
                </c:pt>
                <c:pt idx="147">
                  <c:v>226.57265363091065</c:v>
                </c:pt>
                <c:pt idx="148">
                  <c:v>215.9886965881719</c:v>
                </c:pt>
                <c:pt idx="149">
                  <c:v>205.88461824095216</c:v>
                </c:pt>
                <c:pt idx="150">
                  <c:v>196.24015429523905</c:v>
                </c:pt>
                <c:pt idx="151">
                  <c:v>187.03574939474569</c:v>
                </c:pt>
                <c:pt idx="152">
                  <c:v>178.25254712572024</c:v>
                </c:pt>
                <c:pt idx="153">
                  <c:v>169.87237842561956</c:v>
                </c:pt>
                <c:pt idx="154">
                  <c:v>161.87774863811279</c:v>
                </c:pt>
                <c:pt idx="155">
                  <c:v>154.25182343377833</c:v>
                </c:pt>
                <c:pt idx="156">
                  <c:v>146.9784137943883</c:v>
                </c:pt>
                <c:pt idx="157">
                  <c:v>140.04196023879865</c:v>
                </c:pt>
                <c:pt idx="158">
                  <c:v>133.42751645009011</c:v>
                </c:pt>
                <c:pt idx="159">
                  <c:v>127.1207324466846</c:v>
                </c:pt>
                <c:pt idx="160">
                  <c:v>121.10783742459952</c:v>
                </c:pt>
                <c:pt idx="161">
                  <c:v>115.37562238373496</c:v>
                </c:pt>
                <c:pt idx="162">
                  <c:v>109.91142263803403</c:v>
                </c:pt>
                <c:pt idx="163">
                  <c:v>104.70310029743661</c:v>
                </c:pt>
                <c:pt idx="164">
                  <c:v>99.739026798690944</c:v>
                </c:pt>
                <c:pt idx="165">
                  <c:v>95.008065552217175</c:v>
                </c:pt>
                <c:pt idx="166">
                  <c:v>90.499554763268492</c:v>
                </c:pt>
                <c:pt idx="167">
                  <c:v>86.203290477534935</c:v>
                </c:pt>
                <c:pt idx="168">
                  <c:v>82.109509894022352</c:v>
                </c:pt>
                <c:pt idx="169">
                  <c:v>78.208874981449853</c:v>
                </c:pt>
                <c:pt idx="170">
                  <c:v>74.492456428487358</c:v>
                </c:pt>
                <c:pt idx="171">
                  <c:v>70.951717952847744</c:v>
                </c:pt>
                <c:pt idx="172">
                  <c:v>67.5785009894973</c:v>
                </c:pt>
                <c:pt idx="173">
                  <c:v>64.365009774016201</c:v>
                </c:pt>
                <c:pt idx="174">
                  <c:v>61.303796833373625</c:v>
                </c:pt>
                <c:pt idx="175">
                  <c:v>58.387748893043756</c:v>
                </c:pt>
                <c:pt idx="176">
                  <c:v>55.610073206438074</c:v>
                </c:pt>
                <c:pt idx="177">
                  <c:v>52.964284310032582</c:v>
                </c:pt>
                <c:pt idx="178">
                  <c:v>50.444191205290061</c:v>
                </c:pt>
                <c:pt idx="179">
                  <c:v>48.043884966488818</c:v>
                </c:pt>
                <c:pt idx="180">
                  <c:v>45.757726771843906</c:v>
                </c:pt>
                <c:pt idx="181">
                  <c:v>43.580336353812228</c:v>
                </c:pt>
                <c:pt idx="182">
                  <c:v>41.506580863195992</c:v>
                </c:pt>
                <c:pt idx="183">
                  <c:v>39.531564140568953</c:v>
                </c:pt>
                <c:pt idx="184">
                  <c:v>37.650616387630684</c:v>
                </c:pt>
                <c:pt idx="185">
                  <c:v>35.859284230329585</c:v>
                </c:pt>
                <c:pt idx="186">
                  <c:v>34.153321164964517</c:v>
                </c:pt>
                <c:pt idx="187">
                  <c:v>32.528678377967779</c:v>
                </c:pt>
                <c:pt idx="188">
                  <c:v>30.981495929670864</c:v>
                </c:pt>
                <c:pt idx="189">
                  <c:v>29.508094292049762</c:v>
                </c:pt>
                <c:pt idx="190">
                  <c:v>28.104966230226164</c:v>
                </c:pt>
                <c:pt idx="191">
                  <c:v>26.768769017353264</c:v>
                </c:pt>
                <c:pt idx="192">
                  <c:v>25.49631697243483</c:v>
                </c:pt>
                <c:pt idx="193">
                  <c:v>24.284574310600675</c:v>
                </c:pt>
                <c:pt idx="194">
                  <c:v>23.13064829538682</c:v>
                </c:pt>
                <c:pt idx="195">
                  <c:v>22.031782682636774</c:v>
                </c:pt>
                <c:pt idx="196">
                  <c:v>20.985351445744257</c:v>
                </c:pt>
                <c:pt idx="197">
                  <c:v>19.98885277209439</c:v>
                </c:pt>
                <c:pt idx="198">
                  <c:v>19.039903320722729</c:v>
                </c:pt>
                <c:pt idx="199">
                  <c:v>18.136232731397275</c:v>
                </c:pt>
                <c:pt idx="200">
                  <c:v>17.275678375531722</c:v>
                </c:pt>
                <c:pt idx="201">
                  <c:v>16.456180339557669</c:v>
                </c:pt>
                <c:pt idx="202">
                  <c:v>15.675776631615003</c:v>
                </c:pt>
                <c:pt idx="203">
                  <c:v>14.932598602659811</c:v>
                </c:pt>
                <c:pt idx="204">
                  <c:v>14.224866573337845</c:v>
                </c:pt>
                <c:pt idx="205">
                  <c:v>13.550885658224185</c:v>
                </c:pt>
                <c:pt idx="206">
                  <c:v>12.909041779286541</c:v>
                </c:pt>
                <c:pt idx="207">
                  <c:v>12.297797860687425</c:v>
                </c:pt>
                <c:pt idx="208">
                  <c:v>11.715690197299296</c:v>
                </c:pt>
                <c:pt idx="209">
                  <c:v>11.16132498956398</c:v>
                </c:pt>
                <c:pt idx="210">
                  <c:v>10.63337503758356</c:v>
                </c:pt>
                <c:pt idx="211">
                  <c:v>10.130576587582889</c:v>
                </c:pt>
                <c:pt idx="212">
                  <c:v>9.6517263241330564</c:v>
                </c:pt>
                <c:pt idx="213">
                  <c:v>9.1956785017704625</c:v>
                </c:pt>
                <c:pt idx="214">
                  <c:v>8.7613422098864291</c:v>
                </c:pt>
                <c:pt idx="215">
                  <c:v>8.3476787649977098</c:v>
                </c:pt>
                <c:pt idx="216">
                  <c:v>7.953699224737889</c:v>
                </c:pt>
                <c:pt idx="217">
                  <c:v>7.5784620181338198</c:v>
                </c:pt>
                <c:pt idx="218">
                  <c:v>7.221070686948833</c:v>
                </c:pt>
                <c:pt idx="219">
                  <c:v>6.8806717330866025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'New_removed - bSIR'!$Q$7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bSIR'!$Q$8:$Q$281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1681.9927251665142</c:v>
                      </c:pt>
                      <c:pt idx="1">
                        <c:v>1683.3743139954684</c:v>
                      </c:pt>
                      <c:pt idx="2">
                        <c:v>1684.8268350802446</c:v>
                      </c:pt>
                      <c:pt idx="3">
                        <c:v>1686.3538944264467</c:v>
                      </c:pt>
                      <c:pt idx="4">
                        <c:v>1687.9592775675851</c:v>
                      </c:pt>
                      <c:pt idx="5">
                        <c:v>1689.6469580990872</c:v>
                      </c:pt>
                      <c:pt idx="6">
                        <c:v>1691.4211065744355</c:v>
                      </c:pt>
                      <c:pt idx="7">
                        <c:v>1693.2860997739454</c:v>
                      </c:pt>
                      <c:pt idx="8">
                        <c:v>1695.2465303564077</c:v>
                      </c:pt>
                      <c:pt idx="9">
                        <c:v>1697.3072169034328</c:v>
                      </c:pt>
                      <c:pt idx="10">
                        <c:v>1699.4732143658371</c:v>
                      </c:pt>
                      <c:pt idx="11">
                        <c:v>1701.7498249207911</c:v>
                      </c:pt>
                      <c:pt idx="12">
                        <c:v>1704.1426092476938</c:v>
                      </c:pt>
                      <c:pt idx="13">
                        <c:v>1706.6573982298169</c:v>
                      </c:pt>
                      <c:pt idx="14">
                        <c:v>1709.3003050876762</c:v>
                      </c:pt>
                      <c:pt idx="15">
                        <c:v>1712.0777379488054</c:v>
                      </c:pt>
                      <c:pt idx="16">
                        <c:v>1714.9964128571039</c:v>
                      </c:pt>
                      <c:pt idx="17">
                        <c:v>1718.0633672231861</c:v>
                      </c:pt>
                      <c:pt idx="18">
                        <c:v>1721.2859737151555</c:v>
                      </c:pt>
                      <c:pt idx="19">
                        <c:v>1724.6719545869178</c:v>
                      </c:pt>
                      <c:pt idx="20">
                        <c:v>1728.2293964385096</c:v>
                      </c:pt>
                      <c:pt idx="21">
                        <c:v>1731.9667653999331</c:v>
                      </c:pt>
                      <c:pt idx="22">
                        <c:v>1735.8929227265817</c:v>
                      </c:pt>
                      <c:pt idx="23">
                        <c:v>1740.0171407905234</c:v>
                      </c:pt>
                      <c:pt idx="24">
                        <c:v>1744.3491194475855</c:v>
                      </c:pt>
                      <c:pt idx="25">
                        <c:v>1748.899002755353</c:v>
                      </c:pt>
                      <c:pt idx="26">
                        <c:v>1753.6773960117839</c:v>
                      </c:pt>
                      <c:pt idx="27">
                        <c:v>1758.6953830780974</c:v>
                      </c:pt>
                      <c:pt idx="28">
                        <c:v>1763.9645439428768</c:v>
                      </c:pt>
                      <c:pt idx="29">
                        <c:v>1769.4969724768655</c:v>
                      </c:pt>
                      <c:pt idx="30">
                        <c:v>1775.3052943196694</c:v>
                      </c:pt>
                      <c:pt idx="31">
                        <c:v>1781.4026848304431</c:v>
                      </c:pt>
                      <c:pt idx="32">
                        <c:v>1787.8028870245751</c:v>
                      </c:pt>
                      <c:pt idx="33">
                        <c:v>1794.5202294073056</c:v>
                      </c:pt>
                      <c:pt idx="34">
                        <c:v>1801.5696436030644</c:v>
                      </c:pt>
                      <c:pt idx="35">
                        <c:v>1808.9666816659983</c:v>
                      </c:pt>
                      <c:pt idx="36">
                        <c:v>1816.727532942635</c:v>
                      </c:pt>
                      <c:pt idx="37">
                        <c:v>1824.8690403417795</c:v>
                      </c:pt>
                      <c:pt idx="38">
                        <c:v>1833.4087158495272</c:v>
                      </c:pt>
                      <c:pt idx="39">
                        <c:v>1842.3647551086106</c:v>
                      </c:pt>
                      <c:pt idx="40">
                        <c:v>1851.7560508611043</c:v>
                      </c:pt>
                      <c:pt idx="41">
                        <c:v>1861.6022050317499</c:v>
                      </c:pt>
                      <c:pt idx="42">
                        <c:v>1871.9235392057583</c:v>
                      </c:pt>
                      <c:pt idx="43">
                        <c:v>1882.7411032298614</c:v>
                      </c:pt>
                      <c:pt idx="44">
                        <c:v>1894.0766816385928</c:v>
                      </c:pt>
                      <c:pt idx="45">
                        <c:v>1905.9527975792632</c:v>
                      </c:pt>
                      <c:pt idx="46">
                        <c:v>1918.3927138788563</c:v>
                      </c:pt>
                      <c:pt idx="47">
                        <c:v>1931.4204308641656</c:v>
                      </c:pt>
                      <c:pt idx="48">
                        <c:v>1945.0606805129516</c:v>
                      </c:pt>
                      <c:pt idx="49">
                        <c:v>1959.338916478853</c:v>
                      </c:pt>
                      <c:pt idx="50">
                        <c:v>1974.2812994963642</c:v>
                      </c:pt>
                      <c:pt idx="51">
                        <c:v>1989.9146776345908</c:v>
                      </c:pt>
                      <c:pt idx="52">
                        <c:v>2006.2665608299728</c:v>
                      </c:pt>
                      <c:pt idx="53">
                        <c:v>2023.3650890890412</c:v>
                      </c:pt>
                      <c:pt idx="54">
                        <c:v>2041.2389937129406</c:v>
                      </c:pt>
                      <c:pt idx="55">
                        <c:v>2059.9175508564072</c:v>
                      </c:pt>
                      <c:pt idx="56">
                        <c:v>2079.4305266956908</c:v>
                      </c:pt>
                      <c:pt idx="57">
                        <c:v>2099.8081134432841</c:v>
                      </c:pt>
                      <c:pt idx="58">
                        <c:v>2121.0808554130381</c:v>
                      </c:pt>
                      <c:pt idx="59">
                        <c:v>2143.2795643082736</c:v>
                      </c:pt>
                      <c:pt idx="60">
                        <c:v>2166.4352228789107</c:v>
                      </c:pt>
                      <c:pt idx="61">
                        <c:v>2190.5788760726718</c:v>
                      </c:pt>
                      <c:pt idx="62">
                        <c:v>2215.7415087914715</c:v>
                      </c:pt>
                      <c:pt idx="63">
                        <c:v>2241.9539093587468</c:v>
                      </c:pt>
                      <c:pt idx="64">
                        <c:v>2269.2465178084567</c:v>
                      </c:pt>
                      <c:pt idx="65">
                        <c:v>2297.6492581236744</c:v>
                      </c:pt>
                      <c:pt idx="66">
                        <c:v>2327.1913535842941</c:v>
                      </c:pt>
                      <c:pt idx="67">
                        <c:v>2357.9011244314665</c:v>
                      </c:pt>
                      <c:pt idx="68">
                        <c:v>2389.8057671235792</c:v>
                      </c:pt>
                      <c:pt idx="69">
                        <c:v>2422.931114547283</c:v>
                      </c:pt>
                      <c:pt idx="70">
                        <c:v>2457.3013766599397</c:v>
                      </c:pt>
                      <c:pt idx="71">
                        <c:v>2492.9388611796876</c:v>
                      </c:pt>
                      <c:pt idx="72">
                        <c:v>2529.8636741086434</c:v>
                      </c:pt>
                      <c:pt idx="73">
                        <c:v>2568.0934000764187</c:v>
                      </c:pt>
                      <c:pt idx="74">
                        <c:v>2607.6427627274347</c:v>
                      </c:pt>
                      <c:pt idx="75">
                        <c:v>2648.523265648902</c:v>
                      </c:pt>
                      <c:pt idx="76">
                        <c:v>2690.7428146485418</c:v>
                      </c:pt>
                      <c:pt idx="77">
                        <c:v>2734.3053225437288</c:v>
                      </c:pt>
                      <c:pt idx="78">
                        <c:v>2779.2102980173672</c:v>
                      </c:pt>
                      <c:pt idx="79">
                        <c:v>2825.4524205305943</c:v>
                      </c:pt>
                      <c:pt idx="80">
                        <c:v>2873.0211037572199</c:v>
                      </c:pt>
                      <c:pt idx="81">
                        <c:v>2921.9000505176073</c:v>
                      </c:pt>
                      <c:pt idx="82">
                        <c:v>2972.0668027368738</c:v>
                      </c:pt>
                      <c:pt idx="83">
                        <c:v>3023.4922905288331</c:v>
                      </c:pt>
                      <c:pt idx="84">
                        <c:v>3076.1403851061423</c:v>
                      </c:pt>
                      <c:pt idx="85">
                        <c:v>3129.9674608300165</c:v>
                      </c:pt>
                      <c:pt idx="86">
                        <c:v>3184.9219723287797</c:v>
                      </c:pt>
                      <c:pt idx="87">
                        <c:v>3240.944053220579</c:v>
                      </c:pt>
                      <c:pt idx="88">
                        <c:v>3297.9651435567021</c:v>
                      </c:pt>
                      <c:pt idx="89">
                        <c:v>3355.9076536408252</c:v>
                      </c:pt>
                      <c:pt idx="90">
                        <c:v>3414.6846723569042</c:v>
                      </c:pt>
                      <c:pt idx="91">
                        <c:v>3474.1997285332341</c:v>
                      </c:pt>
                      <c:pt idx="92">
                        <c:v>3534.3466141598055</c:v>
                      </c:pt>
                      <c:pt idx="93">
                        <c:v>3595.0092784369663</c:v>
                      </c:pt>
                      <c:pt idx="94">
                        <c:v>3656.0618016414705</c:v>
                      </c:pt>
                      <c:pt idx="95">
                        <c:v>3717.3684576277656</c:v>
                      </c:pt>
                      <c:pt idx="96">
                        <c:v>3778.7838734152638</c:v>
                      </c:pt>
                      <c:pt idx="97">
                        <c:v>3840.15329372631</c:v>
                      </c:pt>
                      <c:pt idx="98">
                        <c:v>3901.3129575176854</c:v>
                      </c:pt>
                      <c:pt idx="99">
                        <c:v>3962.0905924785184</c:v>
                      </c:pt>
                      <c:pt idx="100">
                        <c:v>4022.3060321426638</c:v>
                      </c:pt>
                      <c:pt idx="101">
                        <c:v>4081.7719586844814</c:v>
                      </c:pt>
                      <c:pt idx="102">
                        <c:v>4140.2947726414359</c:v>
                      </c:pt>
                      <c:pt idx="103">
                        <c:v>4197.6755887524741</c:v>
                      </c:pt>
                      <c:pt idx="104">
                        <c:v>4253.7113548441548</c:v>
                      </c:pt>
                      <c:pt idx="105">
                        <c:v>4308.1960882738613</c:v>
                      </c:pt>
                      <c:pt idx="106">
                        <c:v>4360.92222189736</c:v>
                      </c:pt>
                      <c:pt idx="107">
                        <c:v>4411.6820489227603</c:v>
                      </c:pt>
                      <c:pt idx="108">
                        <c:v>4460.2692534086709</c:v>
                      </c:pt>
                      <c:pt idx="109">
                        <c:v>4506.4805106327158</c:v>
                      </c:pt>
                      <c:pt idx="110">
                        <c:v>4550.1171391739617</c:v>
                      </c:pt>
                      <c:pt idx="111">
                        <c:v>4590.9867843981356</c:v>
                      </c:pt>
                      <c:pt idx="112">
                        <c:v>4628.9051111866738</c:v>
                      </c:pt>
                      <c:pt idx="113">
                        <c:v>4663.6974822849252</c:v>
                      </c:pt>
                      <c:pt idx="114">
                        <c:v>4695.2005976297196</c:v>
                      </c:pt>
                      <c:pt idx="115">
                        <c:v>4723.264069510632</c:v>
                      </c:pt>
                      <c:pt idx="116">
                        <c:v>4747.7519084679398</c:v>
                      </c:pt>
                      <c:pt idx="117">
                        <c:v>4768.5438954627343</c:v>
                      </c:pt>
                      <c:pt idx="118">
                        <c:v>4785.5368170822776</c:v>
                      </c:pt>
                      <c:pt idx="119">
                        <c:v>4798.6455423576881</c:v>
                      </c:pt>
                      <c:pt idx="120">
                        <c:v>4807.8039221426343</c:v>
                      </c:pt>
                      <c:pt idx="121">
                        <c:v>4812.9654948817151</c:v>
                      </c:pt>
                      <c:pt idx="122">
                        <c:v>4814.1039859173661</c:v>
                      </c:pt>
                      <c:pt idx="123">
                        <c:v>4811.2135911598289</c:v>
                      </c:pt>
                      <c:pt idx="124">
                        <c:v>4804.3090398767681</c:v>
                      </c:pt>
                      <c:pt idx="125">
                        <c:v>4793.4254354389914</c:v>
                      </c:pt>
                      <c:pt idx="126">
                        <c:v>4778.6178769713551</c:v>
                      </c:pt>
                      <c:pt idx="127">
                        <c:v>4759.9608688873896</c:v>
                      </c:pt>
                      <c:pt idx="128">
                        <c:v>4737.547529119598</c:v>
                      </c:pt>
                      <c:pt idx="129">
                        <c:v>4711.4886103898261</c:v>
                      </c:pt>
                      <c:pt idx="130">
                        <c:v>4681.9113520023011</c:v>
                      </c:pt>
                      <c:pt idx="131">
                        <c:v>4648.9581823080998</c:v>
                      </c:pt>
                      <c:pt idx="132">
                        <c:v>4612.7852941236933</c:v>
                      </c:pt>
                      <c:pt idx="133">
                        <c:v>4573.5611169475305</c:v>
                      </c:pt>
                      <c:pt idx="134">
                        <c:v>4531.4647107872215</c:v>
                      </c:pt>
                      <c:pt idx="135">
                        <c:v>4486.6841067859023</c:v>
                      </c:pt>
                      <c:pt idx="136">
                        <c:v>4439.4146196392248</c:v>
                      </c:pt>
                      <c:pt idx="137">
                        <c:v>4389.8571560606024</c:v>
                      </c:pt>
                      <c:pt idx="138">
                        <c:v>4338.2165423333736</c:v>
                      </c:pt>
                      <c:pt idx="139">
                        <c:v>4284.6998923477049</c:v>
                      </c:pt>
                      <c:pt idx="140">
                        <c:v>4229.5150355291753</c:v>
                      </c:pt>
                      <c:pt idx="141">
                        <c:v>4172.8690218025104</c:v>
                      </c:pt>
                      <c:pt idx="142">
                        <c:v>4114.9667182767507</c:v>
                      </c:pt>
                      <c:pt idx="143">
                        <c:v>4056.0095097658223</c:v>
                      </c:pt>
                      <c:pt idx="144">
                        <c:v>3996.1941126454249</c:v>
                      </c:pt>
                      <c:pt idx="145">
                        <c:v>3935.711508961901</c:v>
                      </c:pt>
                      <c:pt idx="146">
                        <c:v>3874.7460052123461</c:v>
                      </c:pt>
                      <c:pt idx="147">
                        <c:v>3813.4744178594692</c:v>
                      </c:pt>
                      <c:pt idx="148">
                        <c:v>3752.0653854719103</c:v>
                      </c:pt>
                      <c:pt idx="149">
                        <c:v>3690.6788054231529</c:v>
                      </c:pt>
                      <c:pt idx="150">
                        <c:v>3629.4653913622797</c:v>
                      </c:pt>
                      <c:pt idx="151">
                        <c:v>3568.5663462007433</c:v>
                      </c:pt>
                      <c:pt idx="152">
                        <c:v>3508.1131441458429</c:v>
                      </c:pt>
                      <c:pt idx="153">
                        <c:v>3448.2274143506329</c:v>
                      </c:pt>
                      <c:pt idx="154">
                        <c:v>3389.0209180325974</c:v>
                      </c:pt>
                      <c:pt idx="155">
                        <c:v>3330.5956104248298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bSIR'!$R$7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bSIR'!$R$8:$R$281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45.487715793322423</c:v>
                      </c:pt>
                      <c:pt idx="90">
                        <c:v>104.26473450940125</c:v>
                      </c:pt>
                      <c:pt idx="91">
                        <c:v>163.77979068573131</c:v>
                      </c:pt>
                      <c:pt idx="92">
                        <c:v>223.92667631230279</c:v>
                      </c:pt>
                      <c:pt idx="93">
                        <c:v>284.58934058946352</c:v>
                      </c:pt>
                      <c:pt idx="94">
                        <c:v>345.64186379396779</c:v>
                      </c:pt>
                      <c:pt idx="95">
                        <c:v>406.94851978026259</c:v>
                      </c:pt>
                      <c:pt idx="96">
                        <c:v>468.36393556776125</c:v>
                      </c:pt>
                      <c:pt idx="97">
                        <c:v>529.73335587880706</c:v>
                      </c:pt>
                      <c:pt idx="98">
                        <c:v>590.89301967018287</c:v>
                      </c:pt>
                      <c:pt idx="99">
                        <c:v>651.6706546310154</c:v>
                      </c:pt>
                      <c:pt idx="100">
                        <c:v>711.88609429516077</c:v>
                      </c:pt>
                      <c:pt idx="101">
                        <c:v>771.35202083697845</c:v>
                      </c:pt>
                      <c:pt idx="102">
                        <c:v>829.87483479393336</c:v>
                      </c:pt>
                      <c:pt idx="103">
                        <c:v>887.25565090497116</c:v>
                      </c:pt>
                      <c:pt idx="104">
                        <c:v>943.29141699665183</c:v>
                      </c:pt>
                      <c:pt idx="105">
                        <c:v>997.7761504263583</c:v>
                      </c:pt>
                      <c:pt idx="106">
                        <c:v>1050.5022840498571</c:v>
                      </c:pt>
                      <c:pt idx="107">
                        <c:v>1101.2621110752577</c:v>
                      </c:pt>
                      <c:pt idx="108">
                        <c:v>1149.8493155611684</c:v>
                      </c:pt>
                      <c:pt idx="109">
                        <c:v>1196.0605727852128</c:v>
                      </c:pt>
                      <c:pt idx="110">
                        <c:v>1239.6972013264588</c:v>
                      </c:pt>
                      <c:pt idx="111">
                        <c:v>1280.5668465506326</c:v>
                      </c:pt>
                      <c:pt idx="112">
                        <c:v>1318.4851733391708</c:v>
                      </c:pt>
                      <c:pt idx="113">
                        <c:v>1353.2775444374222</c:v>
                      </c:pt>
                      <c:pt idx="114">
                        <c:v>1384.7806597822166</c:v>
                      </c:pt>
                      <c:pt idx="115">
                        <c:v>1412.8441316631295</c:v>
                      </c:pt>
                      <c:pt idx="116">
                        <c:v>1437.3319706204372</c:v>
                      </c:pt>
                      <c:pt idx="117">
                        <c:v>1458.1239576152313</c:v>
                      </c:pt>
                      <c:pt idx="118">
                        <c:v>1475.1168792347751</c:v>
                      </c:pt>
                      <c:pt idx="119">
                        <c:v>1488.2256045101851</c:v>
                      </c:pt>
                      <c:pt idx="120">
                        <c:v>1497.3839842951318</c:v>
                      </c:pt>
                      <c:pt idx="121">
                        <c:v>1502.5455570342126</c:v>
                      </c:pt>
                      <c:pt idx="122">
                        <c:v>1503.6840480698636</c:v>
                      </c:pt>
                      <c:pt idx="123">
                        <c:v>1500.7936533123263</c:v>
                      </c:pt>
                      <c:pt idx="124">
                        <c:v>1493.8891020292656</c:v>
                      </c:pt>
                      <c:pt idx="125">
                        <c:v>1483.0054975914888</c:v>
                      </c:pt>
                      <c:pt idx="126">
                        <c:v>1468.1979391238522</c:v>
                      </c:pt>
                      <c:pt idx="127">
                        <c:v>1449.5409310398866</c:v>
                      </c:pt>
                      <c:pt idx="128">
                        <c:v>1427.1275912720951</c:v>
                      </c:pt>
                      <c:pt idx="129">
                        <c:v>1401.0686725423232</c:v>
                      </c:pt>
                      <c:pt idx="130">
                        <c:v>1371.4914141547986</c:v>
                      </c:pt>
                      <c:pt idx="131">
                        <c:v>1338.5382444605968</c:v>
                      </c:pt>
                      <c:pt idx="132">
                        <c:v>1302.3653562761904</c:v>
                      </c:pt>
                      <c:pt idx="133">
                        <c:v>1263.141179100028</c:v>
                      </c:pt>
                      <c:pt idx="134">
                        <c:v>1221.044772939719</c:v>
                      </c:pt>
                      <c:pt idx="135">
                        <c:v>1176.2641689383993</c:v>
                      </c:pt>
                      <c:pt idx="136">
                        <c:v>1128.9946817917219</c:v>
                      </c:pt>
                      <c:pt idx="137">
                        <c:v>1079.4372182130994</c:v>
                      </c:pt>
                      <c:pt idx="138">
                        <c:v>1027.7966044858711</c:v>
                      </c:pt>
                      <c:pt idx="139">
                        <c:v>974.27995450020194</c:v>
                      </c:pt>
                      <c:pt idx="140">
                        <c:v>919.09509768167231</c:v>
                      </c:pt>
                      <c:pt idx="141">
                        <c:v>862.44908395500738</c:v>
                      </c:pt>
                      <c:pt idx="142">
                        <c:v>804.54678042924775</c:v>
                      </c:pt>
                      <c:pt idx="143">
                        <c:v>745.58957191831928</c:v>
                      </c:pt>
                      <c:pt idx="144">
                        <c:v>685.77417479792189</c:v>
                      </c:pt>
                      <c:pt idx="145">
                        <c:v>625.29157111439804</c:v>
                      </c:pt>
                      <c:pt idx="146">
                        <c:v>564.32606736484354</c:v>
                      </c:pt>
                      <c:pt idx="147">
                        <c:v>503.05448001196623</c:v>
                      </c:pt>
                      <c:pt idx="148">
                        <c:v>441.64544762440778</c:v>
                      </c:pt>
                      <c:pt idx="149">
                        <c:v>380.25886757565036</c:v>
                      </c:pt>
                      <c:pt idx="150">
                        <c:v>319.04545351477691</c:v>
                      </c:pt>
                      <c:pt idx="151">
                        <c:v>258.14640835324076</c:v>
                      </c:pt>
                      <c:pt idx="152">
                        <c:v>197.6932062983401</c:v>
                      </c:pt>
                      <c:pt idx="153">
                        <c:v>137.80747650313037</c:v>
                      </c:pt>
                      <c:pt idx="154">
                        <c:v>78.600980185094386</c:v>
                      </c:pt>
                      <c:pt idx="155">
                        <c:v>20.175672577327077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bSIR'!$AH$7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bSIR'!$AH$62:$AH$281</c:f>
              <c:numCache>
                <c:formatCode>0</c:formatCode>
                <c:ptCount val="220"/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8</c:v>
                </c:pt>
                <c:pt idx="6">
                  <c:v>38</c:v>
                </c:pt>
                <c:pt idx="7">
                  <c:v>84</c:v>
                </c:pt>
                <c:pt idx="8">
                  <c:v>37</c:v>
                </c:pt>
                <c:pt idx="9">
                  <c:v>144</c:v>
                </c:pt>
                <c:pt idx="10">
                  <c:v>177</c:v>
                </c:pt>
                <c:pt idx="11">
                  <c:v>157</c:v>
                </c:pt>
                <c:pt idx="12">
                  <c:v>101</c:v>
                </c:pt>
                <c:pt idx="13">
                  <c:v>164</c:v>
                </c:pt>
                <c:pt idx="14">
                  <c:v>198</c:v>
                </c:pt>
                <c:pt idx="15">
                  <c:v>447</c:v>
                </c:pt>
                <c:pt idx="16">
                  <c:v>237</c:v>
                </c:pt>
                <c:pt idx="17">
                  <c:v>384</c:v>
                </c:pt>
                <c:pt idx="18">
                  <c:v>421</c:v>
                </c:pt>
                <c:pt idx="19">
                  <c:v>664</c:v>
                </c:pt>
                <c:pt idx="20">
                  <c:v>750</c:v>
                </c:pt>
                <c:pt idx="21">
                  <c:v>737</c:v>
                </c:pt>
                <c:pt idx="22">
                  <c:v>512</c:v>
                </c:pt>
                <c:pt idx="23">
                  <c:v>1533</c:v>
                </c:pt>
                <c:pt idx="24">
                  <c:v>809</c:v>
                </c:pt>
                <c:pt idx="25">
                  <c:v>1272</c:v>
                </c:pt>
                <c:pt idx="26">
                  <c:v>1679</c:v>
                </c:pt>
                <c:pt idx="27">
                  <c:v>1566</c:v>
                </c:pt>
                <c:pt idx="28">
                  <c:v>952</c:v>
                </c:pt>
                <c:pt idx="29">
                  <c:v>1584</c:v>
                </c:pt>
                <c:pt idx="30">
                  <c:v>1664</c:v>
                </c:pt>
                <c:pt idx="31">
                  <c:v>1600</c:v>
                </c:pt>
                <c:pt idx="32">
                  <c:v>1462</c:v>
                </c:pt>
                <c:pt idx="33">
                  <c:v>2223</c:v>
                </c:pt>
                <c:pt idx="34">
                  <c:v>1341</c:v>
                </c:pt>
                <c:pt idx="35">
                  <c:v>2365</c:v>
                </c:pt>
                <c:pt idx="36">
                  <c:v>1872</c:v>
                </c:pt>
                <c:pt idx="37">
                  <c:v>1738</c:v>
                </c:pt>
                <c:pt idx="38">
                  <c:v>2084</c:v>
                </c:pt>
                <c:pt idx="39">
                  <c:v>2149</c:v>
                </c:pt>
                <c:pt idx="40">
                  <c:v>1829</c:v>
                </c:pt>
                <c:pt idx="41">
                  <c:v>1297</c:v>
                </c:pt>
                <c:pt idx="42">
                  <c:v>1582</c:v>
                </c:pt>
                <c:pt idx="43">
                  <c:v>2046</c:v>
                </c:pt>
                <c:pt idx="44">
                  <c:v>2525</c:v>
                </c:pt>
                <c:pt idx="45">
                  <c:v>2483</c:v>
                </c:pt>
                <c:pt idx="46">
                  <c:v>2432</c:v>
                </c:pt>
                <c:pt idx="47">
                  <c:v>2545</c:v>
                </c:pt>
                <c:pt idx="48">
                  <c:v>1990</c:v>
                </c:pt>
                <c:pt idx="49">
                  <c:v>1720</c:v>
                </c:pt>
                <c:pt idx="50">
                  <c:v>2186</c:v>
                </c:pt>
                <c:pt idx="51">
                  <c:v>1410</c:v>
                </c:pt>
                <c:pt idx="52">
                  <c:v>2467</c:v>
                </c:pt>
                <c:pt idx="53">
                  <c:v>3011</c:v>
                </c:pt>
                <c:pt idx="54">
                  <c:v>2522</c:v>
                </c:pt>
                <c:pt idx="55">
                  <c:v>2412</c:v>
                </c:pt>
                <c:pt idx="56">
                  <c:v>2141</c:v>
                </c:pt>
                <c:pt idx="57">
                  <c:v>3129</c:v>
                </c:pt>
                <c:pt idx="58">
                  <c:v>3239</c:v>
                </c:pt>
                <c:pt idx="59">
                  <c:v>3356</c:v>
                </c:pt>
                <c:pt idx="60">
                  <c:v>3189</c:v>
                </c:pt>
                <c:pt idx="61">
                  <c:v>2905</c:v>
                </c:pt>
                <c:pt idx="62">
                  <c:v>1928</c:v>
                </c:pt>
                <c:pt idx="63">
                  <c:v>1975</c:v>
                </c:pt>
                <c:pt idx="64">
                  <c:v>2560</c:v>
                </c:pt>
                <c:pt idx="65">
                  <c:v>2522</c:v>
                </c:pt>
                <c:pt idx="66">
                  <c:v>4849</c:v>
                </c:pt>
                <c:pt idx="67">
                  <c:v>2407</c:v>
                </c:pt>
                <c:pt idx="68">
                  <c:v>2033</c:v>
                </c:pt>
                <c:pt idx="69">
                  <c:v>1820</c:v>
                </c:pt>
                <c:pt idx="70">
                  <c:v>1324</c:v>
                </c:pt>
                <c:pt idx="71">
                  <c:v>2444</c:v>
                </c:pt>
                <c:pt idx="72">
                  <c:v>8186</c:v>
                </c:pt>
                <c:pt idx="73">
                  <c:v>3153</c:v>
                </c:pt>
                <c:pt idx="74">
                  <c:v>2840</c:v>
                </c:pt>
                <c:pt idx="75">
                  <c:v>3993</c:v>
                </c:pt>
                <c:pt idx="76">
                  <c:v>2188</c:v>
                </c:pt>
                <c:pt idx="77">
                  <c:v>1480</c:v>
                </c:pt>
                <c:pt idx="78">
                  <c:v>2528</c:v>
                </c:pt>
                <c:pt idx="79">
                  <c:v>3569</c:v>
                </c:pt>
                <c:pt idx="80">
                  <c:v>2886</c:v>
                </c:pt>
                <c:pt idx="81">
                  <c:v>5037</c:v>
                </c:pt>
                <c:pt idx="82">
                  <c:v>2637</c:v>
                </c:pt>
                <c:pt idx="83">
                  <c:v>2386</c:v>
                </c:pt>
                <c:pt idx="84">
                  <c:v>2100</c:v>
                </c:pt>
                <c:pt idx="85">
                  <c:v>2096</c:v>
                </c:pt>
                <c:pt idx="86">
                  <c:v>2924</c:v>
                </c:pt>
                <c:pt idx="87">
                  <c:v>2276</c:v>
                </c:pt>
                <c:pt idx="88">
                  <c:v>2078</c:v>
                </c:pt>
                <c:pt idx="89">
                  <c:v>2027</c:v>
                </c:pt>
                <c:pt idx="90">
                  <c:v>1526</c:v>
                </c:pt>
                <c:pt idx="91">
                  <c:v>1509</c:v>
                </c:pt>
                <c:pt idx="92">
                  <c:v>2584</c:v>
                </c:pt>
                <c:pt idx="93">
                  <c:v>2352</c:v>
                </c:pt>
                <c:pt idx="94">
                  <c:v>3433</c:v>
                </c:pt>
                <c:pt idx="95">
                  <c:v>2162</c:v>
                </c:pt>
                <c:pt idx="96">
                  <c:v>2655</c:v>
                </c:pt>
                <c:pt idx="97">
                  <c:v>1825</c:v>
                </c:pt>
                <c:pt idx="98">
                  <c:v>794</c:v>
                </c:pt>
                <c:pt idx="99">
                  <c:v>1712</c:v>
                </c:pt>
                <c:pt idx="100">
                  <c:v>868</c:v>
                </c:pt>
                <c:pt idx="101">
                  <c:v>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bSIR'!$AL$7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bSIR'!$AL$62:$AL$281</c:f>
              <c:numCache>
                <c:formatCode>General</c:formatCode>
                <c:ptCount val="220"/>
                <c:pt idx="0">
                  <c:v>357.44156558754497</c:v>
                </c:pt>
                <c:pt idx="1">
                  <c:v>375.0551665743759</c:v>
                </c:pt>
                <c:pt idx="2">
                  <c:v>393.47234941385426</c:v>
                </c:pt>
                <c:pt idx="3">
                  <c:v>412.72308749119776</c:v>
                </c:pt>
                <c:pt idx="4">
                  <c:v>432.83776163217846</c:v>
                </c:pt>
                <c:pt idx="5">
                  <c:v>453.84707968476692</c:v>
                </c:pt>
                <c:pt idx="6">
                  <c:v>475.78198445362182</c:v>
                </c:pt>
                <c:pt idx="7">
                  <c:v>498.67354906761113</c:v>
                </c:pt>
                <c:pt idx="8">
                  <c:v>522.55285884067473</c:v>
                </c:pt>
                <c:pt idx="9">
                  <c:v>547.45087867481413</c:v>
                </c:pt>
                <c:pt idx="10">
                  <c:v>573.39830505274062</c:v>
                </c:pt>
                <c:pt idx="11">
                  <c:v>600.42540167865525</c:v>
                </c:pt>
                <c:pt idx="12">
                  <c:v>628.56181785111414</c:v>
                </c:pt>
                <c:pt idx="13">
                  <c:v>657.83638869425113</c:v>
                </c:pt>
                <c:pt idx="14">
                  <c:v>688.27691643551327</c:v>
                </c:pt>
                <c:pt idx="15">
                  <c:v>719.90993200219009</c:v>
                </c:pt>
                <c:pt idx="16">
                  <c:v>752.76043631830873</c:v>
                </c:pt>
                <c:pt idx="17">
                  <c:v>786.85162082097179</c:v>
                </c:pt>
                <c:pt idx="18">
                  <c:v>822.20456688384309</c:v>
                </c:pt>
                <c:pt idx="19">
                  <c:v>858.83792403836912</c:v>
                </c:pt>
                <c:pt idx="20">
                  <c:v>896.7675671232131</c:v>
                </c:pt>
                <c:pt idx="21">
                  <c:v>936.0062327720135</c:v>
                </c:pt>
                <c:pt idx="22">
                  <c:v>976.56313597121368</c:v>
                </c:pt>
                <c:pt idx="23">
                  <c:v>1018.4435677851533</c:v>
                </c:pt>
                <c:pt idx="24">
                  <c:v>1061.6484757560715</c:v>
                </c:pt>
                <c:pt idx="25">
                  <c:v>1106.1740289423929</c:v>
                </c:pt>
                <c:pt idx="26">
                  <c:v>1152.0111700589805</c:v>
                </c:pt>
                <c:pt idx="27">
                  <c:v>1199.1451577259752</c:v>
                </c:pt>
                <c:pt idx="28">
                  <c:v>1247.555102414932</c:v>
                </c:pt>
                <c:pt idx="29">
                  <c:v>1297.2135002970638</c:v>
                </c:pt>
                <c:pt idx="30">
                  <c:v>1348.0857698415427</c:v>
                </c:pt>
                <c:pt idx="31">
                  <c:v>1400.1297966726727</c:v>
                </c:pt>
                <c:pt idx="32">
                  <c:v>1453.2954928620206</c:v>
                </c:pt>
                <c:pt idx="33">
                  <c:v>1507.5243774913429</c:v>
                </c:pt>
                <c:pt idx="34">
                  <c:v>1562.7491859579925</c:v>
                </c:pt>
                <c:pt idx="35">
                  <c:v>1618.8935160877425</c:v>
                </c:pt>
                <c:pt idx="36">
                  <c:v>1675.8715196493524</c:v>
                </c:pt>
                <c:pt idx="37">
                  <c:v>1733.5876483075651</c:v>
                </c:pt>
                <c:pt idx="38">
                  <c:v>1791.9364633814976</c:v>
                </c:pt>
                <c:pt idx="39">
                  <c:v>1850.8025189673976</c:v>
                </c:pt>
                <c:pt idx="40">
                  <c:v>1910.0603280116784</c:v>
                </c:pt>
                <c:pt idx="41">
                  <c:v>1969.5744207555131</c:v>
                </c:pt>
                <c:pt idx="42">
                  <c:v>2029.199504590955</c:v>
                </c:pt>
                <c:pt idx="43">
                  <c:v>2088.7807337477288</c:v>
                </c:pt>
                <c:pt idx="44">
                  <c:v>2148.1540963504385</c:v>
                </c:pt>
                <c:pt idx="45">
                  <c:v>2207.1469252341526</c:v>
                </c:pt>
                <c:pt idx="46">
                  <c:v>2265.5785374743177</c:v>
                </c:pt>
                <c:pt idx="47">
                  <c:v>2323.2610058753176</c:v>
                </c:pt>
                <c:pt idx="48">
                  <c:v>2380.0000636796362</c:v>
                </c:pt>
                <c:pt idx="49">
                  <c:v>2435.5961415262868</c:v>
                </c:pt>
                <c:pt idx="50">
                  <c:v>2489.8455332327317</c:v>
                </c:pt>
                <c:pt idx="51">
                  <c:v>2542.5416843408793</c:v>
                </c:pt>
                <c:pt idx="52">
                  <c:v>2593.4765946072334</c:v>
                </c:pt>
                <c:pt idx="53">
                  <c:v>2642.4423227935144</c:v>
                </c:pt>
                <c:pt idx="54">
                  <c:v>2689.2325792997422</c:v>
                </c:pt>
                <c:pt idx="55">
                  <c:v>2733.6443894574986</c:v>
                </c:pt>
                <c:pt idx="56">
                  <c:v>2775.4798077527798</c:v>
                </c:pt>
                <c:pt idx="57">
                  <c:v>2814.547660963864</c:v>
                </c:pt>
                <c:pt idx="58">
                  <c:v>2850.6652962677163</c:v>
                </c:pt>
                <c:pt idx="59">
                  <c:v>2883.6603088713323</c:v>
                </c:pt>
                <c:pt idx="60">
                  <c:v>2913.3722227370927</c:v>
                </c:pt>
                <c:pt idx="61">
                  <c:v>2939.6540975559669</c:v>
                </c:pt>
                <c:pt idx="62">
                  <c:v>2962.3740353261037</c:v>
                </c:pt>
                <c:pt idx="63">
                  <c:v>2981.4165607451923</c:v>
                </c:pt>
                <c:pt idx="64">
                  <c:v>2996.6838511295782</c:v>
                </c:pt>
                <c:pt idx="65">
                  <c:v>3008.0967937161004</c:v>
                </c:pt>
                <c:pt idx="66">
                  <c:v>3015.5958509446177</c:v>
                </c:pt>
                <c:pt idx="67">
                  <c:v>3019.1417175990341</c:v>
                </c:pt>
                <c:pt idx="68">
                  <c:v>3018.7157574196654</c:v>
                </c:pt>
                <c:pt idx="69">
                  <c:v>3014.3202108897863</c:v>
                </c:pt>
                <c:pt idx="70">
                  <c:v>3005.9781702290234</c:v>
                </c:pt>
                <c:pt idx="71">
                  <c:v>2993.7333220717123</c:v>
                </c:pt>
                <c:pt idx="72">
                  <c:v>2977.6494627397196</c:v>
                </c:pt>
                <c:pt idx="73">
                  <c:v>2957.8097953079623</c:v>
                </c:pt>
                <c:pt idx="74">
                  <c:v>2934.3160216839369</c:v>
                </c:pt>
                <c:pt idx="75">
                  <c:v>2907.2872465679857</c:v>
                </c:pt>
                <c:pt idx="76">
                  <c:v>2876.8587133317696</c:v>
                </c:pt>
                <c:pt idx="77">
                  <c:v>2843.1803944705348</c:v>
                </c:pt>
                <c:pt idx="78">
                  <c:v>2806.4154612932894</c:v>
                </c:pt>
                <c:pt idx="79">
                  <c:v>2766.7386588801064</c:v>
                </c:pt>
                <c:pt idx="80">
                  <c:v>2724.3346130464734</c:v>
                </c:pt>
                <c:pt idx="81">
                  <c:v>2679.396096122658</c:v>
                </c:pt>
                <c:pt idx="82">
                  <c:v>2632.1222778136394</c:v>
                </c:pt>
                <c:pt idx="83">
                  <c:v>2582.7169863027798</c:v>
                </c:pt>
                <c:pt idx="84">
                  <c:v>2531.3870031655447</c:v>
                </c:pt>
                <c:pt idx="85">
                  <c:v>2478.3404136448971</c:v>
                </c:pt>
                <c:pt idx="86">
                  <c:v>2423.7850314919651</c:v>
                </c:pt>
                <c:pt idx="87">
                  <c:v>2367.9269149821271</c:v>
                </c:pt>
                <c:pt idx="88">
                  <c:v>2310.9689879659641</c:v>
                </c:pt>
                <c:pt idx="89">
                  <c:v>2253.1097769916719</c:v>
                </c:pt>
                <c:pt idx="90">
                  <c:v>2194.5422727194464</c:v>
                </c:pt>
                <c:pt idx="91">
                  <c:v>2135.4529211100967</c:v>
                </c:pt>
                <c:pt idx="92">
                  <c:v>2076.0207472708248</c:v>
                </c:pt>
                <c:pt idx="93">
                  <c:v>2016.4166124309957</c:v>
                </c:pt>
                <c:pt idx="94">
                  <c:v>1956.8026023390014</c:v>
                </c:pt>
                <c:pt idx="95">
                  <c:v>1897.3315434458061</c:v>
                </c:pt>
                <c:pt idx="96">
                  <c:v>1838.1466415884934</c:v>
                </c:pt>
                <c:pt idx="97">
                  <c:v>1779.3812365155954</c:v>
                </c:pt>
                <c:pt idx="98">
                  <c:v>1721.1586645033317</c:v>
                </c:pt>
                <c:pt idx="99">
                  <c:v>1663.5922204893802</c:v>
                </c:pt>
                <c:pt idx="100">
                  <c:v>1606.7852105830325</c:v>
                </c:pt>
                <c:pt idx="101">
                  <c:v>1550.8310854777344</c:v>
                </c:pt>
                <c:pt idx="102">
                  <c:v>1495.8136451706416</c:v>
                </c:pt>
                <c:pt idx="103">
                  <c:v>1441.8073054583926</c:v>
                </c:pt>
                <c:pt idx="104">
                  <c:v>1388.8774169021904</c:v>
                </c:pt>
                <c:pt idx="105">
                  <c:v>1337.0806273117721</c:v>
                </c:pt>
                <c:pt idx="106">
                  <c:v>1286.4652792609168</c:v>
                </c:pt>
                <c:pt idx="107">
                  <c:v>1237.0718346920901</c:v>
                </c:pt>
                <c:pt idx="108">
                  <c:v>1188.9333192719437</c:v>
                </c:pt>
                <c:pt idx="109">
                  <c:v>1142.075779801823</c:v>
                </c:pt>
                <c:pt idx="110">
                  <c:v>1096.5187486501368</c:v>
                </c:pt>
                <c:pt idx="111">
                  <c:v>1052.2757098403574</c:v>
                </c:pt>
                <c:pt idx="112">
                  <c:v>1009.3545620864531</c:v>
                </c:pt>
                <c:pt idx="113">
                  <c:v>967.75807470552274</c:v>
                </c:pt>
                <c:pt idx="114">
                  <c:v>927.48433294677</c:v>
                </c:pt>
                <c:pt idx="115">
                  <c:v>888.52716985003985</c:v>
                </c:pt>
                <c:pt idx="116">
                  <c:v>850.87658228113139</c:v>
                </c:pt>
                <c:pt idx="117">
                  <c:v>814.51912928201011</c:v>
                </c:pt>
                <c:pt idx="118">
                  <c:v>779.43831132007892</c:v>
                </c:pt>
                <c:pt idx="119">
                  <c:v>745.61492942139967</c:v>
                </c:pt>
                <c:pt idx="120">
                  <c:v>713.02742352871655</c:v>
                </c:pt>
                <c:pt idx="121">
                  <c:v>681.65218973756043</c:v>
                </c:pt>
                <c:pt idx="122">
                  <c:v>651.4638763346527</c:v>
                </c:pt>
                <c:pt idx="123">
                  <c:v>622.43565879452467</c:v>
                </c:pt>
                <c:pt idx="124">
                  <c:v>594.53949408557958</c:v>
                </c:pt>
                <c:pt idx="125">
                  <c:v>567.74635479851679</c:v>
                </c:pt>
                <c:pt idx="126">
                  <c:v>542.02644374123815</c:v>
                </c:pt>
                <c:pt idx="127">
                  <c:v>517.34938974801446</c:v>
                </c:pt>
                <c:pt idx="128">
                  <c:v>493.6844255297965</c:v>
                </c:pt>
                <c:pt idx="129">
                  <c:v>471.00054845002347</c:v>
                </c:pt>
                <c:pt idx="130">
                  <c:v>449.26666514877405</c:v>
                </c:pt>
                <c:pt idx="131">
                  <c:v>428.45172096027073</c:v>
                </c:pt>
                <c:pt idx="132">
                  <c:v>408.52481507689964</c:v>
                </c:pt>
                <c:pt idx="133">
                  <c:v>389.45530240928326</c:v>
                </c:pt>
                <c:pt idx="134">
                  <c:v>371.21288307848471</c:v>
                </c:pt>
                <c:pt idx="135">
                  <c:v>353.76768045495766</c:v>
                </c:pt>
                <c:pt idx="136">
                  <c:v>337.09030863095086</c:v>
                </c:pt>
                <c:pt idx="137">
                  <c:v>321.15193018015214</c:v>
                </c:pt>
                <c:pt idx="138">
                  <c:v>305.92430502164802</c:v>
                </c:pt>
                <c:pt idx="139">
                  <c:v>291.37983116584383</c:v>
                </c:pt>
                <c:pt idx="140">
                  <c:v>277.49157807877185</c:v>
                </c:pt>
                <c:pt idx="141">
                  <c:v>264.23331335898376</c:v>
                </c:pt>
                <c:pt idx="142">
                  <c:v>251.57952337863807</c:v>
                </c:pt>
                <c:pt idx="143">
                  <c:v>239.50542849800357</c:v>
                </c:pt>
                <c:pt idx="144">
                  <c:v>227.98699342086502</c:v>
                </c:pt>
                <c:pt idx="145">
                  <c:v>217.00093321757825</c:v>
                </c:pt>
                <c:pt idx="146">
                  <c:v>206.52471550308007</c:v>
                </c:pt>
                <c:pt idx="147">
                  <c:v>196.53655921922496</c:v>
                </c:pt>
                <c:pt idx="148">
                  <c:v>187.0154304345607</c:v>
                </c:pt>
                <c:pt idx="149">
                  <c:v>177.94103554017178</c:v>
                </c:pt>
                <c:pt idx="150">
                  <c:v>169.29381218759605</c:v>
                </c:pt>
                <c:pt idx="151">
                  <c:v>161.05491828408014</c:v>
                </c:pt>
                <c:pt idx="152">
                  <c:v>153.20621933159441</c:v>
                </c:pt>
                <c:pt idx="153">
                  <c:v>145.73027436906619</c:v>
                </c:pt>
                <c:pt idx="154">
                  <c:v>138.6103207521636</c:v>
                </c:pt>
                <c:pt idx="155">
                  <c:v>131.83025798163678</c:v>
                </c:pt>
                <c:pt idx="156">
                  <c:v>125.37463076961588</c:v>
                </c:pt>
                <c:pt idx="157">
                  <c:v>119.22861151332695</c:v>
                </c:pt>
                <c:pt idx="158">
                  <c:v>113.37798232732261</c:v>
                </c:pt>
                <c:pt idx="159">
                  <c:v>107.80911676846453</c:v>
                </c:pt>
                <c:pt idx="160">
                  <c:v>102.50896137244997</c:v>
                </c:pt>
                <c:pt idx="161">
                  <c:v>97.465017106561277</c:v>
                </c:pt>
                <c:pt idx="162">
                  <c:v>92.665320830456196</c:v>
                </c:pt>
                <c:pt idx="163">
                  <c:v>88.098426845118198</c:v>
                </c:pt>
                <c:pt idx="164">
                  <c:v>83.753388599474874</c:v>
                </c:pt>
                <c:pt idx="165">
                  <c:v>79.61974061458794</c:v>
                </c:pt>
                <c:pt idx="166">
                  <c:v>75.687480676646786</c:v>
                </c:pt>
                <c:pt idx="167">
                  <c:v>71.94705234218705</c:v>
                </c:pt>
                <c:pt idx="168">
                  <c:v>68.389327791937575</c:v>
                </c:pt>
                <c:pt idx="169">
                  <c:v>65.005591063410506</c:v>
                </c:pt>
                <c:pt idx="170">
                  <c:v>61.787521686726784</c:v>
                </c:pt>
                <c:pt idx="171">
                  <c:v>58.727178743161829</c:v>
                </c:pt>
                <c:pt idx="172">
                  <c:v>55.816985361441255</c:v>
                </c:pt>
                <c:pt idx="173">
                  <c:v>53.049713662875128</c:v>
                </c:pt>
                <c:pt idx="174">
                  <c:v>50.418470162937048</c:v>
                </c:pt>
                <c:pt idx="175">
                  <c:v>47.916681633832937</c:v>
                </c:pt>
                <c:pt idx="176">
                  <c:v>45.538081429922848</c:v>
                </c:pt>
                <c:pt idx="177">
                  <c:v>43.27669627552158</c:v>
                </c:pt>
                <c:pt idx="178">
                  <c:v>41.126833512575793</c:v>
                </c:pt>
                <c:pt idx="179">
                  <c:v>39.083068803966761</c:v>
                </c:pt>
                <c:pt idx="180">
                  <c:v>37.140234286692227</c:v>
                </c:pt>
                <c:pt idx="181">
                  <c:v>35.293407167905364</c:v>
                </c:pt>
                <c:pt idx="182">
                  <c:v>33.537898755721216</c:v>
                </c:pt>
                <c:pt idx="183">
                  <c:v>31.869243915808838</c:v>
                </c:pt>
                <c:pt idx="184">
                  <c:v>30.28319094405666</c:v>
                </c:pt>
                <c:pt idx="185">
                  <c:v>28.775691845011444</c:v>
                </c:pt>
                <c:pt idx="186">
                  <c:v>27.342893005328719</c:v>
                </c:pt>
                <c:pt idx="187">
                  <c:v>25.981126251123172</c:v>
                </c:pt>
                <c:pt idx="188">
                  <c:v>24.686900277855127</c:v>
                </c:pt>
                <c:pt idx="189">
                  <c:v>23.456892441224145</c:v>
                </c:pt>
                <c:pt idx="190">
                  <c:v>22.287940897451332</c:v>
                </c:pt>
                <c:pt idx="191">
                  <c:v>21.177037081306498</c:v>
                </c:pt>
                <c:pt idx="192">
                  <c:v>20.121318510270942</c:v>
                </c:pt>
                <c:pt idx="193">
                  <c:v>19.118061903307726</c:v>
                </c:pt>
                <c:pt idx="194">
                  <c:v>18.164676602835726</c:v>
                </c:pt>
                <c:pt idx="195">
                  <c:v>17.258698288664458</c:v>
                </c:pt>
                <c:pt idx="196">
                  <c:v>16.397782972836449</c:v>
                </c:pt>
                <c:pt idx="197">
                  <c:v>15.579701264539988</c:v>
                </c:pt>
                <c:pt idx="198">
                  <c:v>14.80233289449145</c:v>
                </c:pt>
                <c:pt idx="199">
                  <c:v>14.063661488439996</c:v>
                </c:pt>
                <c:pt idx="200">
                  <c:v>13.36176957971368</c:v>
                </c:pt>
                <c:pt idx="201">
                  <c:v>12.694833851003454</c:v>
                </c:pt>
                <c:pt idx="202">
                  <c:v>12.061120595866226</c:v>
                </c:pt>
                <c:pt idx="203">
                  <c:v>11.458981390717614</c:v>
                </c:pt>
                <c:pt idx="204">
                  <c:v>10.886848968378509</c:v>
                </c:pt>
                <c:pt idx="205">
                  <c:v>10.343233284533529</c:v>
                </c:pt>
                <c:pt idx="206">
                  <c:v>9.8267177687539</c:v>
                </c:pt>
                <c:pt idx="207">
                  <c:v>9.3359557520295962</c:v>
                </c:pt>
                <c:pt idx="208">
                  <c:v>8.8696670630457248</c:v>
                </c:pt>
                <c:pt idx="209">
                  <c:v>8.4266347857239108</c:v>
                </c:pt>
                <c:pt idx="210">
                  <c:v>8.0057021708312899</c:v>
                </c:pt>
                <c:pt idx="211">
                  <c:v>7.6057696947359998</c:v>
                </c:pt>
                <c:pt idx="212">
                  <c:v>7.2257922586585357</c:v>
                </c:pt>
                <c:pt idx="213">
                  <c:v>6.8647765220326349</c:v>
                </c:pt>
                <c:pt idx="214">
                  <c:v>6.5217783638469156</c:v>
                </c:pt>
                <c:pt idx="215">
                  <c:v>6.1959004660891681</c:v>
                </c:pt>
                <c:pt idx="216">
                  <c:v>5.8862900136585834</c:v>
                </c:pt>
                <c:pt idx="217">
                  <c:v>5.5921365053475807</c:v>
                </c:pt>
                <c:pt idx="218">
                  <c:v>5.3126696707232828</c:v>
                </c:pt>
                <c:pt idx="219">
                  <c:v>5.0471574879602912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bSIR'!$AO$7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bSIR'!$AO$55:$AO$281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1888.3762689214932</c:v>
                      </c:pt>
                      <c:pt idx="1">
                        <c:v>1901.1575216482302</c:v>
                      </c:pt>
                      <c:pt idx="2">
                        <c:v>1914.5486568222077</c:v>
                      </c:pt>
                      <c:pt idx="3">
                        <c:v>1928.5753436039358</c:v>
                      </c:pt>
                      <c:pt idx="4">
                        <c:v>1943.2639659799975</c:v>
                      </c:pt>
                      <c:pt idx="5">
                        <c:v>1958.6416008808719</c:v>
                      </c:pt>
                      <c:pt idx="6">
                        <c:v>1974.7359901268564</c:v>
                      </c:pt>
                      <c:pt idx="7">
                        <c:v>1991.5755055413465</c:v>
                      </c:pt>
                      <c:pt idx="8">
                        <c:v>2009.1891065281775</c:v>
                      </c:pt>
                      <c:pt idx="9">
                        <c:v>2027.6062893676558</c:v>
                      </c:pt>
                      <c:pt idx="10">
                        <c:v>2046.8570274449992</c:v>
                      </c:pt>
                      <c:pt idx="11">
                        <c:v>2066.9717015859801</c:v>
                      </c:pt>
                      <c:pt idx="12">
                        <c:v>2087.9810196385683</c:v>
                      </c:pt>
                      <c:pt idx="13">
                        <c:v>2109.9159244074235</c:v>
                      </c:pt>
                      <c:pt idx="14">
                        <c:v>2132.8074890214125</c:v>
                      </c:pt>
                      <c:pt idx="15">
                        <c:v>2156.6867987944761</c:v>
                      </c:pt>
                      <c:pt idx="16">
                        <c:v>2181.5848186286157</c:v>
                      </c:pt>
                      <c:pt idx="17">
                        <c:v>2207.5322450065423</c:v>
                      </c:pt>
                      <c:pt idx="18">
                        <c:v>2234.5593416324568</c:v>
                      </c:pt>
                      <c:pt idx="19">
                        <c:v>2262.6957578049155</c:v>
                      </c:pt>
                      <c:pt idx="20">
                        <c:v>2291.9703286480526</c:v>
                      </c:pt>
                      <c:pt idx="21">
                        <c:v>2322.4108563893146</c:v>
                      </c:pt>
                      <c:pt idx="22">
                        <c:v>2354.0438719559916</c:v>
                      </c:pt>
                      <c:pt idx="23">
                        <c:v>2386.8943762721101</c:v>
                      </c:pt>
                      <c:pt idx="24">
                        <c:v>2420.9855607747731</c:v>
                      </c:pt>
                      <c:pt idx="25">
                        <c:v>2456.3385068376447</c:v>
                      </c:pt>
                      <c:pt idx="26">
                        <c:v>2492.9718639921707</c:v>
                      </c:pt>
                      <c:pt idx="27">
                        <c:v>2530.9015070770147</c:v>
                      </c:pt>
                      <c:pt idx="28">
                        <c:v>2570.1401727258149</c:v>
                      </c:pt>
                      <c:pt idx="29">
                        <c:v>2610.6970759250153</c:v>
                      </c:pt>
                      <c:pt idx="30">
                        <c:v>2652.5775077389549</c:v>
                      </c:pt>
                      <c:pt idx="31">
                        <c:v>2695.782415709873</c:v>
                      </c:pt>
                      <c:pt idx="32">
                        <c:v>2740.3079688961943</c:v>
                      </c:pt>
                      <c:pt idx="33">
                        <c:v>2786.145110012782</c:v>
                      </c:pt>
                      <c:pt idx="34">
                        <c:v>2833.2790976797769</c:v>
                      </c:pt>
                      <c:pt idx="35">
                        <c:v>2881.6890423687337</c:v>
                      </c:pt>
                      <c:pt idx="36">
                        <c:v>2931.3474402508655</c:v>
                      </c:pt>
                      <c:pt idx="37">
                        <c:v>2982.219709795344</c:v>
                      </c:pt>
                      <c:pt idx="38">
                        <c:v>3034.2637366264744</c:v>
                      </c:pt>
                      <c:pt idx="39">
                        <c:v>3087.4294328158221</c:v>
                      </c:pt>
                      <c:pt idx="40">
                        <c:v>3141.6583174451443</c:v>
                      </c:pt>
                      <c:pt idx="41">
                        <c:v>3196.8831259117942</c:v>
                      </c:pt>
                      <c:pt idx="42">
                        <c:v>3253.0274560415437</c:v>
                      </c:pt>
                      <c:pt idx="43">
                        <c:v>3310.0054596031541</c:v>
                      </c:pt>
                      <c:pt idx="44">
                        <c:v>3367.7215882613664</c:v>
                      </c:pt>
                      <c:pt idx="45">
                        <c:v>3426.070403335299</c:v>
                      </c:pt>
                      <c:pt idx="46">
                        <c:v>3484.9364589211991</c:v>
                      </c:pt>
                      <c:pt idx="47">
                        <c:v>3544.1942679654799</c:v>
                      </c:pt>
                      <c:pt idx="48">
                        <c:v>3603.7083607093145</c:v>
                      </c:pt>
                      <c:pt idx="49">
                        <c:v>3663.3334445447563</c:v>
                      </c:pt>
                      <c:pt idx="50">
                        <c:v>3722.9146737015303</c:v>
                      </c:pt>
                      <c:pt idx="51">
                        <c:v>3782.28803630424</c:v>
                      </c:pt>
                      <c:pt idx="52">
                        <c:v>3841.2808651879541</c:v>
                      </c:pt>
                      <c:pt idx="53">
                        <c:v>3899.7124774281192</c:v>
                      </c:pt>
                      <c:pt idx="54">
                        <c:v>3957.394945829119</c:v>
                      </c:pt>
                      <c:pt idx="55">
                        <c:v>4014.1340036334377</c:v>
                      </c:pt>
                      <c:pt idx="56">
                        <c:v>4069.7300814800883</c:v>
                      </c:pt>
                      <c:pt idx="57">
                        <c:v>4123.9794731865331</c:v>
                      </c:pt>
                      <c:pt idx="58">
                        <c:v>4176.6756242946813</c:v>
                      </c:pt>
                      <c:pt idx="59">
                        <c:v>4227.6105345610349</c:v>
                      </c:pt>
                      <c:pt idx="60">
                        <c:v>4276.5762627473159</c:v>
                      </c:pt>
                      <c:pt idx="61">
                        <c:v>4323.3665192535436</c:v>
                      </c:pt>
                      <c:pt idx="62">
                        <c:v>4367.7783294112996</c:v>
                      </c:pt>
                      <c:pt idx="63">
                        <c:v>4409.6137477065813</c:v>
                      </c:pt>
                      <c:pt idx="64">
                        <c:v>4448.6816009176655</c:v>
                      </c:pt>
                      <c:pt idx="65">
                        <c:v>4484.7992362215173</c:v>
                      </c:pt>
                      <c:pt idx="66">
                        <c:v>4517.7942488251338</c:v>
                      </c:pt>
                      <c:pt idx="67">
                        <c:v>4547.5061626908937</c:v>
                      </c:pt>
                      <c:pt idx="68">
                        <c:v>4573.7880375097684</c:v>
                      </c:pt>
                      <c:pt idx="69">
                        <c:v>4596.5079752799047</c:v>
                      </c:pt>
                      <c:pt idx="70">
                        <c:v>4615.5505006989933</c:v>
                      </c:pt>
                      <c:pt idx="71">
                        <c:v>4630.8177910833801</c:v>
                      </c:pt>
                      <c:pt idx="72">
                        <c:v>4642.2307336699014</c:v>
                      </c:pt>
                      <c:pt idx="73">
                        <c:v>4649.7297908984192</c:v>
                      </c:pt>
                      <c:pt idx="74">
                        <c:v>4653.2756575528356</c:v>
                      </c:pt>
                      <c:pt idx="75">
                        <c:v>4652.8496973734673</c:v>
                      </c:pt>
                      <c:pt idx="76">
                        <c:v>4648.4541508435877</c:v>
                      </c:pt>
                      <c:pt idx="77">
                        <c:v>4640.1121101828248</c:v>
                      </c:pt>
                      <c:pt idx="78">
                        <c:v>4627.8672620255138</c:v>
                      </c:pt>
                      <c:pt idx="79">
                        <c:v>4611.7834026935216</c:v>
                      </c:pt>
                      <c:pt idx="80">
                        <c:v>4591.9437352617642</c:v>
                      </c:pt>
                      <c:pt idx="81">
                        <c:v>4568.4499616377379</c:v>
                      </c:pt>
                      <c:pt idx="82">
                        <c:v>4541.4211865217876</c:v>
                      </c:pt>
                      <c:pt idx="83">
                        <c:v>4510.9926532855716</c:v>
                      </c:pt>
                      <c:pt idx="84">
                        <c:v>4477.3143344243363</c:v>
                      </c:pt>
                      <c:pt idx="85">
                        <c:v>4440.5494012470908</c:v>
                      </c:pt>
                      <c:pt idx="86">
                        <c:v>4400.8725988339083</c:v>
                      </c:pt>
                      <c:pt idx="87">
                        <c:v>4358.4685530002753</c:v>
                      </c:pt>
                      <c:pt idx="88">
                        <c:v>4313.5300360764595</c:v>
                      </c:pt>
                      <c:pt idx="89">
                        <c:v>4266.2562177674408</c:v>
                      </c:pt>
                      <c:pt idx="90">
                        <c:v>4216.8509262565813</c:v>
                      </c:pt>
                      <c:pt idx="91">
                        <c:v>4165.5209431193462</c:v>
                      </c:pt>
                      <c:pt idx="92">
                        <c:v>4112.4743535986981</c:v>
                      </c:pt>
                      <c:pt idx="93">
                        <c:v>4057.9189714457666</c:v>
                      </c:pt>
                      <c:pt idx="94">
                        <c:v>4002.0608549359285</c:v>
                      </c:pt>
                      <c:pt idx="95">
                        <c:v>3945.1029279197655</c:v>
                      </c:pt>
                      <c:pt idx="96">
                        <c:v>3887.2437169454734</c:v>
                      </c:pt>
                      <c:pt idx="97">
                        <c:v>3828.6762126732478</c:v>
                      </c:pt>
                      <c:pt idx="98">
                        <c:v>3769.5868610638981</c:v>
                      </c:pt>
                      <c:pt idx="99">
                        <c:v>3710.1546872246263</c:v>
                      </c:pt>
                      <c:pt idx="100">
                        <c:v>3650.5505523847969</c:v>
                      </c:pt>
                      <c:pt idx="101">
                        <c:v>3590.9365422928031</c:v>
                      </c:pt>
                      <c:pt idx="102">
                        <c:v>3531.4654833996074</c:v>
                      </c:pt>
                      <c:pt idx="103">
                        <c:v>3472.2805815422948</c:v>
                      </c:pt>
                      <c:pt idx="104">
                        <c:v>3413.5151764693969</c:v>
                      </c:pt>
                      <c:pt idx="105">
                        <c:v>3355.2926044571332</c:v>
                      </c:pt>
                      <c:pt idx="106">
                        <c:v>3297.7261604431815</c:v>
                      </c:pt>
                      <c:pt idx="107">
                        <c:v>3240.919150536834</c:v>
                      </c:pt>
                      <c:pt idx="108">
                        <c:v>3184.9650254315357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bSIR'!$AP$7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bSIR'!$AP$55:$AP$281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41.737579695550949</c:v>
                      </c:pt>
                      <c:pt idx="44">
                        <c:v>99.453708353763659</c:v>
                      </c:pt>
                      <c:pt idx="45">
                        <c:v>157.80252342769609</c:v>
                      </c:pt>
                      <c:pt idx="46">
                        <c:v>216.66857901359617</c:v>
                      </c:pt>
                      <c:pt idx="47">
                        <c:v>275.92638805787692</c:v>
                      </c:pt>
                      <c:pt idx="48">
                        <c:v>335.4404808017116</c:v>
                      </c:pt>
                      <c:pt idx="49">
                        <c:v>395.06556463715356</c:v>
                      </c:pt>
                      <c:pt idx="50">
                        <c:v>454.64679379392737</c:v>
                      </c:pt>
                      <c:pt idx="51">
                        <c:v>514.02015639663705</c:v>
                      </c:pt>
                      <c:pt idx="52">
                        <c:v>573.01298528035113</c:v>
                      </c:pt>
                      <c:pt idx="53">
                        <c:v>631.44459752051625</c:v>
                      </c:pt>
                      <c:pt idx="54">
                        <c:v>689.12706592151608</c:v>
                      </c:pt>
                      <c:pt idx="55">
                        <c:v>745.86612372583477</c:v>
                      </c:pt>
                      <c:pt idx="56">
                        <c:v>801.46220157248536</c:v>
                      </c:pt>
                      <c:pt idx="57">
                        <c:v>855.7115932789302</c:v>
                      </c:pt>
                      <c:pt idx="58">
                        <c:v>908.40774438707786</c:v>
                      </c:pt>
                      <c:pt idx="59">
                        <c:v>959.34265465343196</c:v>
                      </c:pt>
                      <c:pt idx="60">
                        <c:v>1008.308382839713</c:v>
                      </c:pt>
                      <c:pt idx="61">
                        <c:v>1055.0986393459407</c:v>
                      </c:pt>
                      <c:pt idx="62">
                        <c:v>1099.5104495036971</c:v>
                      </c:pt>
                      <c:pt idx="63">
                        <c:v>1141.3458677989784</c:v>
                      </c:pt>
                      <c:pt idx="64">
                        <c:v>1180.4137210100625</c:v>
                      </c:pt>
                      <c:pt idx="65">
                        <c:v>1216.5313563139148</c:v>
                      </c:pt>
                      <c:pt idx="66">
                        <c:v>1249.5263689175308</c:v>
                      </c:pt>
                      <c:pt idx="67">
                        <c:v>1279.2382827832912</c:v>
                      </c:pt>
                      <c:pt idx="68">
                        <c:v>1305.5201576021655</c:v>
                      </c:pt>
                      <c:pt idx="69">
                        <c:v>1328.2400953723022</c:v>
                      </c:pt>
                      <c:pt idx="70">
                        <c:v>1347.2826207913909</c:v>
                      </c:pt>
                      <c:pt idx="71">
                        <c:v>1362.5499111757767</c:v>
                      </c:pt>
                      <c:pt idx="72">
                        <c:v>1373.9628537622989</c:v>
                      </c:pt>
                      <c:pt idx="73">
                        <c:v>1381.4619109908162</c:v>
                      </c:pt>
                      <c:pt idx="74">
                        <c:v>1385.0077776452326</c:v>
                      </c:pt>
                      <c:pt idx="75">
                        <c:v>1384.5818174658639</c:v>
                      </c:pt>
                      <c:pt idx="76">
                        <c:v>1380.1862709359848</c:v>
                      </c:pt>
                      <c:pt idx="77">
                        <c:v>1371.8442302752219</c:v>
                      </c:pt>
                      <c:pt idx="78">
                        <c:v>1359.5993821179109</c:v>
                      </c:pt>
                      <c:pt idx="79">
                        <c:v>1343.5155227859182</c:v>
                      </c:pt>
                      <c:pt idx="80">
                        <c:v>1323.6758553541608</c:v>
                      </c:pt>
                      <c:pt idx="81">
                        <c:v>1300.1820817301355</c:v>
                      </c:pt>
                      <c:pt idx="82">
                        <c:v>1273.1533066141842</c:v>
                      </c:pt>
                      <c:pt idx="83">
                        <c:v>1242.7247733779682</c:v>
                      </c:pt>
                      <c:pt idx="84">
                        <c:v>1209.0464545167333</c:v>
                      </c:pt>
                      <c:pt idx="85">
                        <c:v>1172.2815213394879</c:v>
                      </c:pt>
                      <c:pt idx="86">
                        <c:v>1132.6047189263049</c:v>
                      </c:pt>
                      <c:pt idx="87">
                        <c:v>1090.2006730926719</c:v>
                      </c:pt>
                      <c:pt idx="88">
                        <c:v>1045.2621561688566</c:v>
                      </c:pt>
                      <c:pt idx="89">
                        <c:v>997.98833785983788</c:v>
                      </c:pt>
                      <c:pt idx="90">
                        <c:v>948.58304634897831</c:v>
                      </c:pt>
                      <c:pt idx="91">
                        <c:v>897.25306321174321</c:v>
                      </c:pt>
                      <c:pt idx="92">
                        <c:v>844.20647369109565</c:v>
                      </c:pt>
                      <c:pt idx="93">
                        <c:v>789.65109153816366</c:v>
                      </c:pt>
                      <c:pt idx="94">
                        <c:v>733.7929750283256</c:v>
                      </c:pt>
                      <c:pt idx="95">
                        <c:v>676.83504801216259</c:v>
                      </c:pt>
                      <c:pt idx="96">
                        <c:v>618.97583703787041</c:v>
                      </c:pt>
                      <c:pt idx="97">
                        <c:v>560.4083327656449</c:v>
                      </c:pt>
                      <c:pt idx="98">
                        <c:v>501.31898115629519</c:v>
                      </c:pt>
                      <c:pt idx="99">
                        <c:v>441.88680731702334</c:v>
                      </c:pt>
                      <c:pt idx="100">
                        <c:v>382.28267247719418</c:v>
                      </c:pt>
                      <c:pt idx="101">
                        <c:v>322.66866238519992</c:v>
                      </c:pt>
                      <c:pt idx="102">
                        <c:v>263.19760349200465</c:v>
                      </c:pt>
                      <c:pt idx="103">
                        <c:v>204.01270163469189</c:v>
                      </c:pt>
                      <c:pt idx="104">
                        <c:v>145.24729656179397</c:v>
                      </c:pt>
                      <c:pt idx="105">
                        <c:v>87.02472454953022</c:v>
                      </c:pt>
                      <c:pt idx="106">
                        <c:v>29.458280535578751</c:v>
                      </c:pt>
                      <c:pt idx="107">
                        <c:v>0</c:v>
                      </c:pt>
                      <c:pt idx="10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removal rate (# of people remived per day) - basic SIR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'New_removed - bSIR'!$T$7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bSIR'!$T$62:$T$281</c:f>
              <c:numCache>
                <c:formatCode>General</c:formatCode>
                <c:ptCount val="2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18</c:v>
                </c:pt>
                <c:pt idx="18">
                  <c:v>10</c:v>
                </c:pt>
                <c:pt idx="19">
                  <c:v>38</c:v>
                </c:pt>
                <c:pt idx="20">
                  <c:v>-13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33</c:v>
                </c:pt>
                <c:pt idx="25">
                  <c:v>44</c:v>
                </c:pt>
                <c:pt idx="26">
                  <c:v>57</c:v>
                </c:pt>
                <c:pt idx="27">
                  <c:v>37</c:v>
                </c:pt>
                <c:pt idx="28">
                  <c:v>57</c:v>
                </c:pt>
                <c:pt idx="29">
                  <c:v>53</c:v>
                </c:pt>
                <c:pt idx="30">
                  <c:v>55</c:v>
                </c:pt>
                <c:pt idx="31">
                  <c:v>61</c:v>
                </c:pt>
                <c:pt idx="32">
                  <c:v>96</c:v>
                </c:pt>
                <c:pt idx="33">
                  <c:v>100</c:v>
                </c:pt>
                <c:pt idx="34">
                  <c:v>61</c:v>
                </c:pt>
                <c:pt idx="35">
                  <c:v>37</c:v>
                </c:pt>
                <c:pt idx="36">
                  <c:v>74</c:v>
                </c:pt>
                <c:pt idx="37">
                  <c:v>107</c:v>
                </c:pt>
                <c:pt idx="38">
                  <c:v>107</c:v>
                </c:pt>
                <c:pt idx="39">
                  <c:v>97</c:v>
                </c:pt>
                <c:pt idx="40">
                  <c:v>90</c:v>
                </c:pt>
                <c:pt idx="41">
                  <c:v>47</c:v>
                </c:pt>
                <c:pt idx="42">
                  <c:v>76</c:v>
                </c:pt>
                <c:pt idx="43">
                  <c:v>113</c:v>
                </c:pt>
                <c:pt idx="44">
                  <c:v>116</c:v>
                </c:pt>
                <c:pt idx="45">
                  <c:v>106</c:v>
                </c:pt>
                <c:pt idx="46">
                  <c:v>123</c:v>
                </c:pt>
                <c:pt idx="47">
                  <c:v>153</c:v>
                </c:pt>
                <c:pt idx="48">
                  <c:v>118</c:v>
                </c:pt>
                <c:pt idx="49">
                  <c:v>70</c:v>
                </c:pt>
                <c:pt idx="50">
                  <c:v>111</c:v>
                </c:pt>
                <c:pt idx="51">
                  <c:v>130</c:v>
                </c:pt>
                <c:pt idx="52">
                  <c:v>130</c:v>
                </c:pt>
                <c:pt idx="53">
                  <c:v>127</c:v>
                </c:pt>
                <c:pt idx="54">
                  <c:v>160</c:v>
                </c:pt>
                <c:pt idx="55">
                  <c:v>149</c:v>
                </c:pt>
                <c:pt idx="56">
                  <c:v>135</c:v>
                </c:pt>
                <c:pt idx="57">
                  <c:v>128</c:v>
                </c:pt>
                <c:pt idx="58">
                  <c:v>141</c:v>
                </c:pt>
                <c:pt idx="59">
                  <c:v>141</c:v>
                </c:pt>
                <c:pt idx="60">
                  <c:v>153</c:v>
                </c:pt>
                <c:pt idx="61">
                  <c:v>132</c:v>
                </c:pt>
                <c:pt idx="62">
                  <c:v>140</c:v>
                </c:pt>
                <c:pt idx="63">
                  <c:v>54</c:v>
                </c:pt>
                <c:pt idx="64">
                  <c:v>139</c:v>
                </c:pt>
                <c:pt idx="65">
                  <c:v>112</c:v>
                </c:pt>
                <c:pt idx="66">
                  <c:v>129</c:v>
                </c:pt>
                <c:pt idx="67">
                  <c:v>166</c:v>
                </c:pt>
                <c:pt idx="68">
                  <c:v>106</c:v>
                </c:pt>
                <c:pt idx="69">
                  <c:v>94</c:v>
                </c:pt>
                <c:pt idx="70">
                  <c:v>96</c:v>
                </c:pt>
                <c:pt idx="71">
                  <c:v>144</c:v>
                </c:pt>
                <c:pt idx="72">
                  <c:v>197</c:v>
                </c:pt>
                <c:pt idx="73">
                  <c:v>152</c:v>
                </c:pt>
                <c:pt idx="74">
                  <c:v>150</c:v>
                </c:pt>
                <c:pt idx="75">
                  <c:v>209</c:v>
                </c:pt>
                <c:pt idx="76">
                  <c:v>132</c:v>
                </c:pt>
                <c:pt idx="77">
                  <c:v>100</c:v>
                </c:pt>
                <c:pt idx="78">
                  <c:v>96</c:v>
                </c:pt>
                <c:pt idx="79">
                  <c:v>128</c:v>
                </c:pt>
                <c:pt idx="80">
                  <c:v>123</c:v>
                </c:pt>
                <c:pt idx="81">
                  <c:v>122</c:v>
                </c:pt>
                <c:pt idx="82">
                  <c:v>121</c:v>
                </c:pt>
                <c:pt idx="83">
                  <c:v>125</c:v>
                </c:pt>
                <c:pt idx="84">
                  <c:v>149</c:v>
                </c:pt>
                <c:pt idx="85">
                  <c:v>141</c:v>
                </c:pt>
                <c:pt idx="86">
                  <c:v>118</c:v>
                </c:pt>
                <c:pt idx="87">
                  <c:v>158</c:v>
                </c:pt>
                <c:pt idx="88">
                  <c:v>212</c:v>
                </c:pt>
                <c:pt idx="89">
                  <c:v>212</c:v>
                </c:pt>
                <c:pt idx="90">
                  <c:v>163</c:v>
                </c:pt>
                <c:pt idx="91">
                  <c:v>85</c:v>
                </c:pt>
                <c:pt idx="92">
                  <c:v>171</c:v>
                </c:pt>
                <c:pt idx="93">
                  <c:v>208</c:v>
                </c:pt>
                <c:pt idx="94">
                  <c:v>140</c:v>
                </c:pt>
                <c:pt idx="95">
                  <c:v>165</c:v>
                </c:pt>
                <c:pt idx="96">
                  <c:v>245</c:v>
                </c:pt>
                <c:pt idx="97">
                  <c:v>124</c:v>
                </c:pt>
                <c:pt idx="98">
                  <c:v>114</c:v>
                </c:pt>
                <c:pt idx="99">
                  <c:v>80</c:v>
                </c:pt>
                <c:pt idx="100">
                  <c:v>49</c:v>
                </c:pt>
                <c:pt idx="101">
                  <c:v>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ser>
          <c:idx val="4"/>
          <c:order val="4"/>
          <c:tx>
            <c:strRef>
              <c:f>'New_removed - bSIR'!$V$7</c:f>
              <c:strCache>
                <c:ptCount val="1"/>
                <c:pt idx="0">
                  <c:v>6-days moving avg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'New_removed - bSIR'!$C$62:$C$142</c:f>
              <c:numCache>
                <c:formatCode>General</c:formatCode>
                <c:ptCount val="81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</c:numCache>
            </c:numRef>
          </c:xVal>
          <c:yVal>
            <c:numRef>
              <c:f>'New_removed - bSIR'!$V$62:$V$142</c:f>
              <c:numCache>
                <c:formatCode>General</c:formatCode>
                <c:ptCount val="8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0.66666666666666663</c:v>
                </c:pt>
                <c:pt idx="6">
                  <c:v>0.66666666666666663</c:v>
                </c:pt>
                <c:pt idx="7">
                  <c:v>0.83333333333333337</c:v>
                </c:pt>
                <c:pt idx="8">
                  <c:v>0.83333333333333337</c:v>
                </c:pt>
                <c:pt idx="9">
                  <c:v>1.1666666666666667</c:v>
                </c:pt>
                <c:pt idx="10">
                  <c:v>0.66666666666666663</c:v>
                </c:pt>
                <c:pt idx="11">
                  <c:v>0.83333333333333337</c:v>
                </c:pt>
                <c:pt idx="12">
                  <c:v>1.1666666666666667</c:v>
                </c:pt>
                <c:pt idx="13">
                  <c:v>1.1666666666666667</c:v>
                </c:pt>
                <c:pt idx="14">
                  <c:v>1.3333333333333333</c:v>
                </c:pt>
                <c:pt idx="15">
                  <c:v>1</c:v>
                </c:pt>
                <c:pt idx="16">
                  <c:v>3.8333333333333335</c:v>
                </c:pt>
                <c:pt idx="17">
                  <c:v>5.333333333333333</c:v>
                </c:pt>
                <c:pt idx="18">
                  <c:v>11.333333333333334</c:v>
                </c:pt>
                <c:pt idx="19">
                  <c:v>9</c:v>
                </c:pt>
                <c:pt idx="20">
                  <c:v>13.166666666666666</c:v>
                </c:pt>
                <c:pt idx="21">
                  <c:v>17.333333333333332</c:v>
                </c:pt>
                <c:pt idx="22">
                  <c:v>18.666666666666668</c:v>
                </c:pt>
                <c:pt idx="23">
                  <c:v>22.5</c:v>
                </c:pt>
                <c:pt idx="24">
                  <c:v>23.5</c:v>
                </c:pt>
                <c:pt idx="25">
                  <c:v>35.166666666666664</c:v>
                </c:pt>
                <c:pt idx="26">
                  <c:v>37</c:v>
                </c:pt>
                <c:pt idx="27">
                  <c:v>42.333333333333336</c:v>
                </c:pt>
                <c:pt idx="28">
                  <c:v>46.833333333333336</c:v>
                </c:pt>
                <c:pt idx="29">
                  <c:v>50.5</c:v>
                </c:pt>
                <c:pt idx="30">
                  <c:v>53.333333333333336</c:v>
                </c:pt>
                <c:pt idx="31">
                  <c:v>59.833333333333336</c:v>
                </c:pt>
                <c:pt idx="32">
                  <c:v>70.333333333333329</c:v>
                </c:pt>
                <c:pt idx="33">
                  <c:v>71</c:v>
                </c:pt>
                <c:pt idx="34">
                  <c:v>68.333333333333329</c:v>
                </c:pt>
                <c:pt idx="35">
                  <c:v>71.5</c:v>
                </c:pt>
                <c:pt idx="36">
                  <c:v>79.166666666666671</c:v>
                </c:pt>
                <c:pt idx="37">
                  <c:v>81</c:v>
                </c:pt>
                <c:pt idx="38">
                  <c:v>80.5</c:v>
                </c:pt>
                <c:pt idx="39">
                  <c:v>85.333333333333329</c:v>
                </c:pt>
                <c:pt idx="40">
                  <c:v>87</c:v>
                </c:pt>
                <c:pt idx="41">
                  <c:v>87.333333333333329</c:v>
                </c:pt>
                <c:pt idx="42">
                  <c:v>88.333333333333329</c:v>
                </c:pt>
                <c:pt idx="43">
                  <c:v>89.833333333333329</c:v>
                </c:pt>
                <c:pt idx="44">
                  <c:v>91.333333333333329</c:v>
                </c:pt>
                <c:pt idx="45">
                  <c:v>96.833333333333329</c:v>
                </c:pt>
                <c:pt idx="46">
                  <c:v>114.5</c:v>
                </c:pt>
                <c:pt idx="47">
                  <c:v>121.5</c:v>
                </c:pt>
                <c:pt idx="48">
                  <c:v>114.33333333333333</c:v>
                </c:pt>
                <c:pt idx="49">
                  <c:v>113.5</c:v>
                </c:pt>
                <c:pt idx="50">
                  <c:v>117.5</c:v>
                </c:pt>
                <c:pt idx="51">
                  <c:v>118.66666666666667</c:v>
                </c:pt>
                <c:pt idx="52">
                  <c:v>114.33333333333333</c:v>
                </c:pt>
                <c:pt idx="53">
                  <c:v>121.33333333333333</c:v>
                </c:pt>
                <c:pt idx="54">
                  <c:v>134.5</c:v>
                </c:pt>
                <c:pt idx="55">
                  <c:v>138.5</c:v>
                </c:pt>
                <c:pt idx="56">
                  <c:v>138.16666666666666</c:v>
                </c:pt>
                <c:pt idx="57">
                  <c:v>140</c:v>
                </c:pt>
                <c:pt idx="58">
                  <c:v>142.33333333333334</c:v>
                </c:pt>
                <c:pt idx="59">
                  <c:v>141.16666666666666</c:v>
                </c:pt>
                <c:pt idx="60">
                  <c:v>138.33333333333334</c:v>
                </c:pt>
                <c:pt idx="61">
                  <c:v>139.16666666666666</c:v>
                </c:pt>
                <c:pt idx="62">
                  <c:v>126.83333333333333</c:v>
                </c:pt>
                <c:pt idx="63">
                  <c:v>126.5</c:v>
                </c:pt>
                <c:pt idx="64">
                  <c:v>121.66666666666667</c:v>
                </c:pt>
                <c:pt idx="65">
                  <c:v>117.66666666666667</c:v>
                </c:pt>
                <c:pt idx="66">
                  <c:v>123.33333333333333</c:v>
                </c:pt>
                <c:pt idx="67">
                  <c:v>117.66666666666667</c:v>
                </c:pt>
                <c:pt idx="68">
                  <c:v>124.33333333333333</c:v>
                </c:pt>
                <c:pt idx="69">
                  <c:v>117.16666666666667</c:v>
                </c:pt>
                <c:pt idx="70">
                  <c:v>122.5</c:v>
                </c:pt>
                <c:pt idx="71">
                  <c:v>133.83333333333334</c:v>
                </c:pt>
                <c:pt idx="72">
                  <c:v>131.5</c:v>
                </c:pt>
                <c:pt idx="73">
                  <c:v>138.83333333333334</c:v>
                </c:pt>
                <c:pt idx="74">
                  <c:v>158</c:v>
                </c:pt>
                <c:pt idx="75">
                  <c:v>164</c:v>
                </c:pt>
                <c:pt idx="76">
                  <c:v>156.66666666666666</c:v>
                </c:pt>
                <c:pt idx="77">
                  <c:v>139.83333333333334</c:v>
                </c:pt>
                <c:pt idx="78">
                  <c:v>135.83333333333334</c:v>
                </c:pt>
                <c:pt idx="79">
                  <c:v>131.33333333333334</c:v>
                </c:pt>
                <c:pt idx="80">
                  <c:v>116.83333333333333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24-497E-B5EB-EF96344A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bSIR'!$Z$7</c:f>
              <c:strCache>
                <c:ptCount val="1"/>
                <c:pt idx="0">
                  <c:v>region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bSIR'!$Z$62:$Z$281</c:f>
              <c:numCache>
                <c:formatCode>General</c:formatCode>
                <c:ptCount val="220"/>
                <c:pt idx="0">
                  <c:v>25.259207923536586</c:v>
                </c:pt>
                <c:pt idx="1">
                  <c:v>26.200800413769461</c:v>
                </c:pt>
                <c:pt idx="2">
                  <c:v>27.173567768908576</c:v>
                </c:pt>
                <c:pt idx="3">
                  <c:v>28.178230134580993</c:v>
                </c:pt>
                <c:pt idx="4">
                  <c:v>29.21549840719619</c:v>
                </c:pt>
                <c:pt idx="5">
                  <c:v>30.286071521037165</c:v>
                </c:pt>
                <c:pt idx="6">
                  <c:v>31.390633526441512</c:v>
                </c:pt>
                <c:pt idx="7">
                  <c:v>32.529850451809544</c:v>
                </c:pt>
                <c:pt idx="8">
                  <c:v>33.704366942757886</c:v>
                </c:pt>
                <c:pt idx="9">
                  <c:v>34.914802672455735</c:v>
                </c:pt>
                <c:pt idx="10">
                  <c:v>36.161748518049563</c:v>
                </c:pt>
                <c:pt idx="11">
                  <c:v>37.445762499111865</c:v>
                </c:pt>
                <c:pt idx="12">
                  <c:v>38.767365475257805</c:v>
                </c:pt>
                <c:pt idx="13">
                  <c:v>40.12703660146687</c:v>
                </c:pt>
                <c:pt idx="14">
                  <c:v>41.525208541246265</c:v>
                </c:pt>
                <c:pt idx="15">
                  <c:v>42.962262439581075</c:v>
                </c:pt>
                <c:pt idx="16">
                  <c:v>44.438522659652108</c:v>
                </c:pt>
                <c:pt idx="17">
                  <c:v>45.954251289571992</c:v>
                </c:pt>
                <c:pt idx="18">
                  <c:v>47.50964242789933</c:v>
                </c:pt>
                <c:pt idx="19">
                  <c:v>49.104816259452008</c:v>
                </c:pt>
                <c:pt idx="20">
                  <c:v>50.73981293594796</c:v>
                </c:pt>
                <c:pt idx="21">
                  <c:v>52.414586279264491</c:v>
                </c:pt>
                <c:pt idx="22">
                  <c:v>54.128997328613558</c:v>
                </c:pt>
                <c:pt idx="23">
                  <c:v>55.88280775667738</c:v>
                </c:pt>
                <c:pt idx="24">
                  <c:v>57.675673183721671</c:v>
                </c:pt>
                <c:pt idx="25">
                  <c:v>59.507136422883782</c:v>
                </c:pt>
                <c:pt idx="26">
                  <c:v>61.376620694196077</c:v>
                </c:pt>
                <c:pt idx="27">
                  <c:v>63.283422849420788</c:v>
                </c:pt>
                <c:pt idx="28">
                  <c:v>65.226706654399095</c:v>
                </c:pt>
                <c:pt idx="29">
                  <c:v>67.205496180315308</c:v>
                </c:pt>
                <c:pt idx="30">
                  <c:v>69.218669359982613</c:v>
                </c:pt>
                <c:pt idx="31">
                  <c:v>71.264951769918511</c:v>
                </c:pt>
                <c:pt idx="32">
                  <c:v>73.342910703513695</c:v>
                </c:pt>
                <c:pt idx="33">
                  <c:v>75.450949604938373</c:v>
                </c:pt>
                <c:pt idx="34">
                  <c:v>77.587302937478483</c:v>
                </c:pt>
                <c:pt idx="35">
                  <c:v>79.750031563661324</c:v>
                </c:pt>
                <c:pt idx="36">
                  <c:v>81.937018717711595</c:v>
                </c:pt>
                <c:pt idx="37">
                  <c:v>84.145966653463461</c:v>
                </c:pt>
                <c:pt idx="38">
                  <c:v>86.374394052735056</c:v>
                </c:pt>
                <c:pt idx="39">
                  <c:v>88.619634280225583</c:v>
                </c:pt>
                <c:pt idx="40">
                  <c:v>90.878834571111938</c:v>
                </c:pt>
                <c:pt idx="41">
                  <c:v>93.148956236580162</c:v>
                </c:pt>
                <c:pt idx="42">
                  <c:v>95.42677597041974</c:v>
                </c:pt>
                <c:pt idx="43">
                  <c:v>97.708888336432466</c:v>
                </c:pt>
                <c:pt idx="44">
                  <c:v>99.991709511662421</c:v>
                </c:pt>
                <c:pt idx="45">
                  <c:v>102.27148235427096</c:v>
                </c:pt>
                <c:pt idx="46">
                  <c:v>104.54428285718801</c:v>
                </c:pt>
                <c:pt idx="47">
                  <c:v>106.80602803943566</c:v>
                </c:pt>
                <c:pt idx="48">
                  <c:v>109.05248531622441</c:v>
                </c:pt>
                <c:pt idx="49">
                  <c:v>111.27928337657913</c:v>
                </c:pt>
                <c:pt idx="50">
                  <c:v>113.48192458341013</c:v>
                </c:pt>
                <c:pt idx="51">
                  <c:v>115.65579889567999</c:v>
                </c:pt>
                <c:pt idx="52">
                  <c:v>117.79619929575041</c:v>
                </c:pt>
                <c:pt idx="53">
                  <c:v>119.89833868727874</c:v>
                </c:pt>
                <c:pt idx="54">
                  <c:v>121.95736821036495</c:v>
                </c:pt>
                <c:pt idx="55">
                  <c:v>123.96839690126257</c:v>
                </c:pt>
                <c:pt idx="56">
                  <c:v>125.92651260412181</c:v>
                </c:pt>
                <c:pt idx="57">
                  <c:v>127.82680402224767</c:v>
                </c:pt>
                <c:pt idx="58">
                  <c:v>129.66438377654694</c:v>
                </c:pt>
                <c:pt idx="59">
                  <c:v>131.43441231957556</c:v>
                </c:pt>
                <c:pt idx="60">
                  <c:v>133.13212253524847</c:v>
                </c:pt>
                <c:pt idx="61">
                  <c:v>134.75284483722771</c:v>
                </c:pt>
                <c:pt idx="62">
                  <c:v>136.29203256364565</c:v>
                </c:pt>
                <c:pt idx="63">
                  <c:v>137.74528745252306</c:v>
                </c:pt>
                <c:pt idx="64">
                  <c:v>139.10838497137388</c:v>
                </c:pt>
                <c:pt idx="65">
                  <c:v>140.37729926636987</c:v>
                </c:pt>
                <c:pt idx="66">
                  <c:v>141.54822749136687</c:v>
                </c:pt>
                <c:pt idx="67">
                  <c:v>142.61761327531147</c:v>
                </c:pt>
                <c:pt idx="68">
                  <c:v>143.58216908823266</c:v>
                </c:pt>
                <c:pt idx="69">
                  <c:v>144.4388972713013</c:v>
                </c:pt>
                <c:pt idx="70">
                  <c:v>145.18510950534807</c:v>
                </c:pt>
                <c:pt idx="71">
                  <c:v>145.81844450475072</c:v>
                </c:pt>
                <c:pt idx="72">
                  <c:v>146.33688373960536</c:v>
                </c:pt>
                <c:pt idx="73">
                  <c:v>146.73876500841192</c:v>
                </c:pt>
                <c:pt idx="74">
                  <c:v>147.02279370585268</c:v>
                </c:pt>
                <c:pt idx="75">
                  <c:v>147.18805165528795</c:v>
                </c:pt>
                <c:pt idx="76">
                  <c:v>147.23400340293139</c:v>
                </c:pt>
                <c:pt idx="77">
                  <c:v>147.16049989983387</c:v>
                </c:pt>
                <c:pt idx="78">
                  <c:v>146.96777952829211</c:v>
                </c:pt>
                <c:pt idx="79">
                  <c:v>146.6564664605672</c:v>
                </c:pt>
                <c:pt idx="80">
                  <c:v>146.22756636928099</c:v>
                </c:pt>
                <c:pt idx="81">
                  <c:v>145.68245953999801</c:v>
                </c:pt>
                <c:pt idx="82">
                  <c:v>145.02289146672842</c:v>
                </c:pt>
                <c:pt idx="83">
                  <c:v>144.2509610398769</c:v>
                </c:pt>
                <c:pt idx="84">
                  <c:v>143.3691064630097</c:v>
                </c:pt>
                <c:pt idx="85">
                  <c:v>142.38008905927174</c:v>
                </c:pt>
                <c:pt idx="86">
                  <c:v>141.28697514995775</c:v>
                </c:pt>
                <c:pt idx="87">
                  <c:v>140.09311620631743</c:v>
                </c:pt>
                <c:pt idx="88">
                  <c:v>138.80212749088821</c:v>
                </c:pt>
                <c:pt idx="89">
                  <c:v>137.41786541634067</c:v>
                </c:pt>
                <c:pt idx="90">
                  <c:v>135.94440385789494</c:v>
                </c:pt>
                <c:pt idx="91">
                  <c:v>134.38600965980697</c:v>
                </c:pt>
                <c:pt idx="92">
                  <c:v>132.7471175772973</c:v>
                </c:pt>
                <c:pt idx="93">
                  <c:v>131.03230489273449</c:v>
                </c:pt>
                <c:pt idx="94">
                  <c:v>129.24626593908653</c:v>
                </c:pt>
                <c:pt idx="95">
                  <c:v>127.39378675487534</c:v>
                </c:pt>
                <c:pt idx="96">
                  <c:v>125.47972008340824</c:v>
                </c:pt>
                <c:pt idx="97">
                  <c:v>123.50896091525638</c:v>
                </c:pt>
                <c:pt idx="98">
                  <c:v>121.48642275716749</c:v>
                </c:pt>
                <c:pt idx="99">
                  <c:v>119.41701479321905</c:v>
                </c:pt>
                <c:pt idx="100">
                  <c:v>117.30562008542275</c:v>
                </c:pt>
                <c:pt idx="101">
                  <c:v>115.15707494157297</c:v>
                </c:pt>
                <c:pt idx="102">
                  <c:v>112.97614955824814</c:v>
                </c:pt>
                <c:pt idx="103">
                  <c:v>110.76753002689402</c:v>
                </c:pt>
                <c:pt idx="104">
                  <c:v>108.53580177115225</c:v>
                </c:pt>
                <c:pt idx="105">
                  <c:v>106.28543446435329</c:v>
                </c:pt>
                <c:pt idx="106">
                  <c:v>104.02076845762504</c:v>
                </c:pt>
                <c:pt idx="107">
                  <c:v>101.7460027316028</c:v>
                </c:pt>
                <c:pt idx="108">
                  <c:v>99.465184368447396</c:v>
                </c:pt>
                <c:pt idx="109">
                  <c:v>97.182199525933825</c:v>
                </c:pt>
                <c:pt idx="110">
                  <c:v>94.900765881869717</c:v>
                </c:pt>
                <c:pt idx="111">
                  <c:v>92.624426505114982</c:v>
                </c:pt>
                <c:pt idx="112">
                  <c:v>90.356545099037348</c:v>
                </c:pt>
                <c:pt idx="113">
                  <c:v>88.100302554361463</c:v>
                </c:pt>
                <c:pt idx="114">
                  <c:v>85.858694741030646</c:v>
                </c:pt>
                <c:pt idx="115">
                  <c:v>83.634531462853502</c:v>
                </c:pt>
                <c:pt idx="116">
                  <c:v>81.430436494287321</c:v>
                </c:pt>
                <c:pt idx="117">
                  <c:v>79.248848615635367</c:v>
                </c:pt>
                <c:pt idx="118">
                  <c:v>77.092023561105037</c:v>
                </c:pt>
                <c:pt idx="119">
                  <c:v>74.96203679348811</c:v>
                </c:pt>
                <c:pt idx="120">
                  <c:v>72.860787019566402</c:v>
                </c:pt>
                <c:pt idx="121">
                  <c:v>70.790000361602068</c:v>
                </c:pt>
                <c:pt idx="122">
                  <c:v>68.751235102323733</c:v>
                </c:pt>
                <c:pt idx="123">
                  <c:v>66.745886923553684</c:v>
                </c:pt>
                <c:pt idx="124">
                  <c:v>64.775194561922689</c:v>
                </c:pt>
                <c:pt idx="125">
                  <c:v>62.840245808883388</c:v>
                </c:pt>
                <c:pt idx="126">
                  <c:v>60.941983786358485</c:v>
                </c:pt>
                <c:pt idx="127">
                  <c:v>59.081213433750165</c:v>
                </c:pt>
                <c:pt idx="128">
                  <c:v>57.258608146610953</c:v>
                </c:pt>
                <c:pt idx="129">
                  <c:v>55.474716511953062</c:v>
                </c:pt>
                <c:pt idx="130">
                  <c:v>53.729969089882353</c:v>
                </c:pt>
                <c:pt idx="131">
                  <c:v>52.024685195929436</c:v>
                </c:pt>
                <c:pt idx="132">
                  <c:v>50.359079643054692</c:v>
                </c:pt>
                <c:pt idx="133">
                  <c:v>48.733269406788821</c:v>
                </c:pt>
                <c:pt idx="134">
                  <c:v>47.147280181292707</c:v>
                </c:pt>
                <c:pt idx="135">
                  <c:v>45.601052798255033</c:v>
                </c:pt>
                <c:pt idx="136">
                  <c:v>44.094449484468932</c:v>
                </c:pt>
                <c:pt idx="137">
                  <c:v>42.627259937619939</c:v>
                </c:pt>
                <c:pt idx="138">
                  <c:v>41.199207203269644</c:v>
                </c:pt>
                <c:pt idx="139">
                  <c:v>39.809953339222417</c:v>
                </c:pt>
                <c:pt idx="140">
                  <c:v>38.459104856413873</c:v>
                </c:pt>
                <c:pt idx="141">
                  <c:v>37.146217928161299</c:v>
                </c:pt>
                <c:pt idx="142">
                  <c:v>35.870803362070703</c:v>
                </c:pt>
                <c:pt idx="143">
                  <c:v>34.632331331110016</c:v>
                </c:pt>
                <c:pt idx="144">
                  <c:v>33.430235862339252</c:v>
                </c:pt>
                <c:pt idx="145">
                  <c:v>32.263919083549489</c:v>
                </c:pt>
                <c:pt idx="146">
                  <c:v>31.132755229611416</c:v>
                </c:pt>
                <c:pt idx="147">
                  <c:v>30.036094411685706</c:v>
                </c:pt>
                <c:pt idx="148">
                  <c:v>28.973266153611217</c:v>
                </c:pt>
                <c:pt idx="149">
                  <c:v>27.943582700780372</c:v>
                </c:pt>
                <c:pt idx="150">
                  <c:v>26.946342107643002</c:v>
                </c:pt>
                <c:pt idx="151">
                  <c:v>25.980831110665559</c:v>
                </c:pt>
                <c:pt idx="152">
                  <c:v>25.046327794125833</c:v>
                </c:pt>
                <c:pt idx="153">
                  <c:v>24.14210405655335</c:v>
                </c:pt>
                <c:pt idx="154">
                  <c:v>23.267427885949193</c:v>
                </c:pt>
                <c:pt idx="155">
                  <c:v>22.42156545214154</c:v>
                </c:pt>
                <c:pt idx="156">
                  <c:v>21.603783024772429</c:v>
                </c:pt>
                <c:pt idx="157">
                  <c:v>20.813348725471684</c:v>
                </c:pt>
                <c:pt idx="158">
                  <c:v>20.049534122767486</c:v>
                </c:pt>
                <c:pt idx="159">
                  <c:v>19.311615678220072</c:v>
                </c:pt>
                <c:pt idx="160">
                  <c:v>18.598876052149549</c:v>
                </c:pt>
                <c:pt idx="161">
                  <c:v>17.910605277173694</c:v>
                </c:pt>
                <c:pt idx="162">
                  <c:v>17.246101807577823</c:v>
                </c:pt>
                <c:pt idx="163">
                  <c:v>16.604673452318409</c:v>
                </c:pt>
                <c:pt idx="164">
                  <c:v>15.985638199216073</c:v>
                </c:pt>
                <c:pt idx="165">
                  <c:v>15.388324937629241</c:v>
                </c:pt>
                <c:pt idx="166">
                  <c:v>14.812074086621701</c:v>
                </c:pt>
                <c:pt idx="167">
                  <c:v>14.256238135347886</c:v>
                </c:pt>
                <c:pt idx="168">
                  <c:v>13.720182102084772</c:v>
                </c:pt>
                <c:pt idx="169">
                  <c:v>13.203283918039347</c:v>
                </c:pt>
                <c:pt idx="170">
                  <c:v>12.704934741760576</c:v>
                </c:pt>
                <c:pt idx="171">
                  <c:v>12.22453920968592</c:v>
                </c:pt>
                <c:pt idx="172">
                  <c:v>11.761515628056044</c:v>
                </c:pt>
                <c:pt idx="173">
                  <c:v>11.315296111141068</c:v>
                </c:pt>
                <c:pt idx="174">
                  <c:v>10.885326670436573</c:v>
                </c:pt>
                <c:pt idx="175">
                  <c:v>10.471067259210818</c:v>
                </c:pt>
                <c:pt idx="176">
                  <c:v>10.071991776515228</c:v>
                </c:pt>
                <c:pt idx="177">
                  <c:v>9.6875880345110001</c:v>
                </c:pt>
                <c:pt idx="178">
                  <c:v>9.3173576927142694</c:v>
                </c:pt>
                <c:pt idx="179">
                  <c:v>8.9608161625220575</c:v>
                </c:pt>
                <c:pt idx="180">
                  <c:v>8.6174924851516828</c:v>
                </c:pt>
                <c:pt idx="181">
                  <c:v>8.2869291859068621</c:v>
                </c:pt>
                <c:pt idx="182">
                  <c:v>7.9686821074747742</c:v>
                </c:pt>
                <c:pt idx="183">
                  <c:v>7.662320224760113</c:v>
                </c:pt>
                <c:pt idx="184">
                  <c:v>7.3674254435740245</c:v>
                </c:pt>
                <c:pt idx="185">
                  <c:v>7.0835923853181413</c:v>
                </c:pt>
                <c:pt idx="186">
                  <c:v>6.8104281596357978</c:v>
                </c:pt>
                <c:pt idx="187">
                  <c:v>6.5475521268446046</c:v>
                </c:pt>
                <c:pt idx="188">
                  <c:v>6.2945956518157367</c:v>
                </c:pt>
                <c:pt idx="189">
                  <c:v>6.051201850825616</c:v>
                </c:pt>
                <c:pt idx="190">
                  <c:v>5.8170253327748318</c:v>
                </c:pt>
                <c:pt idx="191">
                  <c:v>5.5917319360467683</c:v>
                </c:pt>
                <c:pt idx="192">
                  <c:v>5.3749984621638864</c:v>
                </c:pt>
                <c:pt idx="193">
                  <c:v>5.1665124072929487</c:v>
                </c:pt>
                <c:pt idx="194">
                  <c:v>4.9659716925510953</c:v>
                </c:pt>
                <c:pt idx="195">
                  <c:v>4.773084393972316</c:v>
                </c:pt>
                <c:pt idx="196">
                  <c:v>4.5875684729078099</c:v>
                </c:pt>
                <c:pt idx="197">
                  <c:v>4.4091515075544034</c:v>
                </c:pt>
                <c:pt idx="198">
                  <c:v>4.2375704262312777</c:v>
                </c:pt>
                <c:pt idx="199">
                  <c:v>4.0725712429572791</c:v>
                </c:pt>
                <c:pt idx="200">
                  <c:v>3.9139087958180432</c:v>
                </c:pt>
                <c:pt idx="201">
                  <c:v>3.7613464885542154</c:v>
                </c:pt>
                <c:pt idx="202">
                  <c:v>3.6146560357487769</c:v>
                </c:pt>
                <c:pt idx="203">
                  <c:v>3.4736172119421966</c:v>
                </c:pt>
                <c:pt idx="204">
                  <c:v>3.3380176049593366</c:v>
                </c:pt>
                <c:pt idx="205">
                  <c:v>3.2076523736906575</c:v>
                </c:pt>
                <c:pt idx="206">
                  <c:v>3.0823240105326417</c:v>
                </c:pt>
                <c:pt idx="207">
                  <c:v>2.9618421086578279</c:v>
                </c:pt>
                <c:pt idx="208">
                  <c:v>2.8460231342535716</c:v>
                </c:pt>
                <c:pt idx="209">
                  <c:v>2.7346902038400689</c:v>
                </c:pt>
                <c:pt idx="210">
                  <c:v>2.6276728667522704</c:v>
                </c:pt>
                <c:pt idx="211">
                  <c:v>2.5248068928468888</c:v>
                </c:pt>
                <c:pt idx="212">
                  <c:v>2.4259340654745207</c:v>
                </c:pt>
                <c:pt idx="213">
                  <c:v>2.3309019797378281</c:v>
                </c:pt>
                <c:pt idx="214">
                  <c:v>2.239563846039514</c:v>
                </c:pt>
                <c:pt idx="215">
                  <c:v>2.1517782989085408</c:v>
                </c:pt>
                <c:pt idx="216">
                  <c:v>2.0674092110793061</c:v>
                </c:pt>
                <c:pt idx="217">
                  <c:v>1.9863255127862396</c:v>
                </c:pt>
                <c:pt idx="218">
                  <c:v>1.9084010162255507</c:v>
                </c:pt>
                <c:pt idx="219">
                  <c:v>1.8335142451263109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5"/>
          <c:order val="5"/>
          <c:tx>
            <c:strRef>
              <c:f>'New_removed - bSIR'!$AC$7</c:f>
              <c:strCache>
                <c:ptCount val="1"/>
                <c:pt idx="0">
                  <c:v>6-days moving avg fit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'New_removed - bSIR'!$C$62:$C$142</c:f>
              <c:numCache>
                <c:formatCode>General</c:formatCode>
                <c:ptCount val="81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</c:numCache>
            </c:numRef>
          </c:xVal>
          <c:yVal>
            <c:numRef>
              <c:f>'New_removed - bSIR'!$AC$62:$AC$142</c:f>
              <c:numCache>
                <c:formatCode>General</c:formatCode>
                <c:ptCount val="81"/>
                <c:pt idx="0">
                  <c:v>25.259207923536586</c:v>
                </c:pt>
                <c:pt idx="1">
                  <c:v>26.200800413769461</c:v>
                </c:pt>
                <c:pt idx="2">
                  <c:v>27.173567768908576</c:v>
                </c:pt>
                <c:pt idx="3">
                  <c:v>28.178230134580993</c:v>
                </c:pt>
                <c:pt idx="4">
                  <c:v>29.21549840719619</c:v>
                </c:pt>
                <c:pt idx="5">
                  <c:v>30.286071521037165</c:v>
                </c:pt>
                <c:pt idx="6">
                  <c:v>31.390633526441512</c:v>
                </c:pt>
                <c:pt idx="7">
                  <c:v>32.529850451809544</c:v>
                </c:pt>
                <c:pt idx="8">
                  <c:v>33.704366942757886</c:v>
                </c:pt>
                <c:pt idx="9">
                  <c:v>34.914802672455735</c:v>
                </c:pt>
                <c:pt idx="10">
                  <c:v>36.161748518049563</c:v>
                </c:pt>
                <c:pt idx="11">
                  <c:v>37.445762499111865</c:v>
                </c:pt>
                <c:pt idx="12">
                  <c:v>38.767365475257805</c:v>
                </c:pt>
                <c:pt idx="13">
                  <c:v>40.12703660146687</c:v>
                </c:pt>
                <c:pt idx="14">
                  <c:v>41.525208541246265</c:v>
                </c:pt>
                <c:pt idx="15">
                  <c:v>42.962262439581075</c:v>
                </c:pt>
                <c:pt idx="16">
                  <c:v>44.438522659652108</c:v>
                </c:pt>
                <c:pt idx="17">
                  <c:v>45.954251289571992</c:v>
                </c:pt>
                <c:pt idx="18">
                  <c:v>47.50964242789933</c:v>
                </c:pt>
                <c:pt idx="19">
                  <c:v>49.104816259452008</c:v>
                </c:pt>
                <c:pt idx="20">
                  <c:v>50.73981293594796</c:v>
                </c:pt>
                <c:pt idx="21">
                  <c:v>52.414586279264491</c:v>
                </c:pt>
                <c:pt idx="22">
                  <c:v>54.128997328613558</c:v>
                </c:pt>
                <c:pt idx="23">
                  <c:v>55.88280775667738</c:v>
                </c:pt>
                <c:pt idx="24">
                  <c:v>57.675673183721671</c:v>
                </c:pt>
                <c:pt idx="25">
                  <c:v>59.507136422883782</c:v>
                </c:pt>
                <c:pt idx="26">
                  <c:v>61.376620694196077</c:v>
                </c:pt>
                <c:pt idx="27">
                  <c:v>63.283422849420788</c:v>
                </c:pt>
                <c:pt idx="28">
                  <c:v>65.226706654399095</c:v>
                </c:pt>
                <c:pt idx="29">
                  <c:v>67.205496180315308</c:v>
                </c:pt>
                <c:pt idx="30">
                  <c:v>69.218669359982613</c:v>
                </c:pt>
                <c:pt idx="31">
                  <c:v>71.264951769918511</c:v>
                </c:pt>
                <c:pt idx="32">
                  <c:v>73.342910703513695</c:v>
                </c:pt>
                <c:pt idx="33">
                  <c:v>75.450949604938373</c:v>
                </c:pt>
                <c:pt idx="34">
                  <c:v>77.587302937478483</c:v>
                </c:pt>
                <c:pt idx="35">
                  <c:v>79.750031563661324</c:v>
                </c:pt>
                <c:pt idx="36">
                  <c:v>81.937018717711595</c:v>
                </c:pt>
                <c:pt idx="37">
                  <c:v>84.145966653463461</c:v>
                </c:pt>
                <c:pt idx="38">
                  <c:v>86.374394052735056</c:v>
                </c:pt>
                <c:pt idx="39">
                  <c:v>88.619634280225583</c:v>
                </c:pt>
                <c:pt idx="40">
                  <c:v>90.878834571111938</c:v>
                </c:pt>
                <c:pt idx="41">
                  <c:v>93.148956236580162</c:v>
                </c:pt>
                <c:pt idx="42">
                  <c:v>95.42677597041974</c:v>
                </c:pt>
                <c:pt idx="43">
                  <c:v>97.708888336432466</c:v>
                </c:pt>
                <c:pt idx="44">
                  <c:v>99.991709511662421</c:v>
                </c:pt>
                <c:pt idx="45">
                  <c:v>102.27148235427096</c:v>
                </c:pt>
                <c:pt idx="46">
                  <c:v>104.54428285718801</c:v>
                </c:pt>
                <c:pt idx="47">
                  <c:v>106.80602803943566</c:v>
                </c:pt>
                <c:pt idx="48">
                  <c:v>109.05248531622441</c:v>
                </c:pt>
                <c:pt idx="49">
                  <c:v>111.27928337657913</c:v>
                </c:pt>
                <c:pt idx="50">
                  <c:v>113.48192458341013</c:v>
                </c:pt>
                <c:pt idx="51">
                  <c:v>115.65579889567999</c:v>
                </c:pt>
                <c:pt idx="52">
                  <c:v>117.79619929575041</c:v>
                </c:pt>
                <c:pt idx="53">
                  <c:v>119.89833868727874</c:v>
                </c:pt>
                <c:pt idx="54">
                  <c:v>121.95736821036495</c:v>
                </c:pt>
                <c:pt idx="55">
                  <c:v>123.96839690126257</c:v>
                </c:pt>
                <c:pt idx="56">
                  <c:v>125.92651260412181</c:v>
                </c:pt>
                <c:pt idx="57">
                  <c:v>127.82680402224767</c:v>
                </c:pt>
                <c:pt idx="58">
                  <c:v>129.66438377654694</c:v>
                </c:pt>
                <c:pt idx="59">
                  <c:v>131.43441231957556</c:v>
                </c:pt>
                <c:pt idx="60">
                  <c:v>133.13212253524847</c:v>
                </c:pt>
                <c:pt idx="61">
                  <c:v>134.75284483722771</c:v>
                </c:pt>
                <c:pt idx="62">
                  <c:v>136.29203256364565</c:v>
                </c:pt>
                <c:pt idx="63">
                  <c:v>137.74528745252306</c:v>
                </c:pt>
                <c:pt idx="64">
                  <c:v>139.10838497137388</c:v>
                </c:pt>
                <c:pt idx="65">
                  <c:v>140.37729926636987</c:v>
                </c:pt>
                <c:pt idx="66">
                  <c:v>141.54822749136687</c:v>
                </c:pt>
                <c:pt idx="67">
                  <c:v>142.61761327531147</c:v>
                </c:pt>
                <c:pt idx="68">
                  <c:v>143.58216908823266</c:v>
                </c:pt>
                <c:pt idx="69">
                  <c:v>144.4388972713013</c:v>
                </c:pt>
                <c:pt idx="70">
                  <c:v>145.18510950534807</c:v>
                </c:pt>
                <c:pt idx="71">
                  <c:v>145.81844450475072</c:v>
                </c:pt>
                <c:pt idx="72">
                  <c:v>146.33688373960536</c:v>
                </c:pt>
                <c:pt idx="73">
                  <c:v>146.73876500841192</c:v>
                </c:pt>
                <c:pt idx="74">
                  <c:v>147.02279370585268</c:v>
                </c:pt>
                <c:pt idx="75">
                  <c:v>147.18805165528795</c:v>
                </c:pt>
                <c:pt idx="76">
                  <c:v>147.23400340293139</c:v>
                </c:pt>
                <c:pt idx="77">
                  <c:v>147.16049989983387</c:v>
                </c:pt>
                <c:pt idx="78">
                  <c:v>146.96777952829211</c:v>
                </c:pt>
                <c:pt idx="79">
                  <c:v>146.6564664605672</c:v>
                </c:pt>
                <c:pt idx="80">
                  <c:v>146.22756636928099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524-497E-B5EB-EF96344A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bSIR'!$AE$7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88.844582474392666</c:v>
                      </c:pt>
                      <c:pt idx="1">
                        <c:v>89.588411365950009</c:v>
                      </c:pt>
                      <c:pt idx="2">
                        <c:v>90.358302834197474</c:v>
                      </c:pt>
                      <c:pt idx="3">
                        <c:v>91.15498166726519</c:v>
                      </c:pt>
                      <c:pt idx="4">
                        <c:v>91.979177225448439</c:v>
                      </c:pt>
                      <c:pt idx="5">
                        <c:v>92.831621961498485</c:v>
                      </c:pt>
                      <c:pt idx="6">
                        <c:v>93.713049790186659</c:v>
                      </c:pt>
                      <c:pt idx="7">
                        <c:v>94.624194298636979</c:v>
                      </c:pt>
                      <c:pt idx="8">
                        <c:v>95.565786788869858</c:v>
                      </c:pt>
                      <c:pt idx="9">
                        <c:v>96.53855414400897</c:v>
                      </c:pt>
                      <c:pt idx="10">
                        <c:v>97.5432165096814</c:v>
                      </c:pt>
                      <c:pt idx="11">
                        <c:v>98.580484782296594</c:v>
                      </c:pt>
                      <c:pt idx="12">
                        <c:v>99.651057896137559</c:v>
                      </c:pt>
                      <c:pt idx="13">
                        <c:v>100.75561990154191</c:v>
                      </c:pt>
                      <c:pt idx="14">
                        <c:v>101.89483682690994</c:v>
                      </c:pt>
                      <c:pt idx="15">
                        <c:v>103.06935331785829</c:v>
                      </c:pt>
                      <c:pt idx="16">
                        <c:v>104.27978904755614</c:v>
                      </c:pt>
                      <c:pt idx="17">
                        <c:v>105.52673489314996</c:v>
                      </c:pt>
                      <c:pt idx="18">
                        <c:v>106.81074887421227</c:v>
                      </c:pt>
                      <c:pt idx="19">
                        <c:v>108.13235185035821</c:v>
                      </c:pt>
                      <c:pt idx="20">
                        <c:v>109.49202297656727</c:v>
                      </c:pt>
                      <c:pt idx="21">
                        <c:v>110.89019491634667</c:v>
                      </c:pt>
                      <c:pt idx="22">
                        <c:v>112.32724881468147</c:v>
                      </c:pt>
                      <c:pt idx="23">
                        <c:v>113.80350903475251</c:v>
                      </c:pt>
                      <c:pt idx="24">
                        <c:v>115.31923766467239</c:v>
                      </c:pt>
                      <c:pt idx="25">
                        <c:v>116.87462880299972</c:v>
                      </c:pt>
                      <c:pt idx="26">
                        <c:v>118.46980263455241</c:v>
                      </c:pt>
                      <c:pt idx="27">
                        <c:v>120.10479931104837</c:v>
                      </c:pt>
                      <c:pt idx="28">
                        <c:v>121.7795726543649</c:v>
                      </c:pt>
                      <c:pt idx="29">
                        <c:v>123.49398370371395</c:v>
                      </c:pt>
                      <c:pt idx="30">
                        <c:v>125.24779413177778</c:v>
                      </c:pt>
                      <c:pt idx="31">
                        <c:v>127.04065955882207</c:v>
                      </c:pt>
                      <c:pt idx="32">
                        <c:v>128.87212279798419</c:v>
                      </c:pt>
                      <c:pt idx="33">
                        <c:v>130.74160706929649</c:v>
                      </c:pt>
                      <c:pt idx="34">
                        <c:v>132.64840922452117</c:v>
                      </c:pt>
                      <c:pt idx="35">
                        <c:v>134.59169302949948</c:v>
                      </c:pt>
                      <c:pt idx="36">
                        <c:v>136.57048255541571</c:v>
                      </c:pt>
                      <c:pt idx="37">
                        <c:v>138.58365573508303</c:v>
                      </c:pt>
                      <c:pt idx="38">
                        <c:v>140.62993814501891</c:v>
                      </c:pt>
                      <c:pt idx="39">
                        <c:v>142.70789707861411</c:v>
                      </c:pt>
                      <c:pt idx="40">
                        <c:v>144.81593598003877</c:v>
                      </c:pt>
                      <c:pt idx="41">
                        <c:v>146.9522893125789</c:v>
                      </c:pt>
                      <c:pt idx="42">
                        <c:v>149.11501793876172</c:v>
                      </c:pt>
                      <c:pt idx="43">
                        <c:v>151.30200509281201</c:v>
                      </c:pt>
                      <c:pt idx="44">
                        <c:v>153.51095302856385</c:v>
                      </c:pt>
                      <c:pt idx="45">
                        <c:v>155.73938042783544</c:v>
                      </c:pt>
                      <c:pt idx="46">
                        <c:v>157.98462065532598</c:v>
                      </c:pt>
                      <c:pt idx="47">
                        <c:v>160.24382094621234</c:v>
                      </c:pt>
                      <c:pt idx="48">
                        <c:v>162.51394261168056</c:v>
                      </c:pt>
                      <c:pt idx="49">
                        <c:v>164.79176234552014</c:v>
                      </c:pt>
                      <c:pt idx="50">
                        <c:v>167.07387471153288</c:v>
                      </c:pt>
                      <c:pt idx="51">
                        <c:v>169.35669588676282</c:v>
                      </c:pt>
                      <c:pt idx="52">
                        <c:v>171.63646872937136</c:v>
                      </c:pt>
                      <c:pt idx="53">
                        <c:v>173.90926923228841</c:v>
                      </c:pt>
                      <c:pt idx="54">
                        <c:v>176.17101441453605</c:v>
                      </c:pt>
                      <c:pt idx="55">
                        <c:v>178.41747169132481</c:v>
                      </c:pt>
                      <c:pt idx="56">
                        <c:v>180.64426975167953</c:v>
                      </c:pt>
                      <c:pt idx="57">
                        <c:v>182.84691095851053</c:v>
                      </c:pt>
                      <c:pt idx="58">
                        <c:v>185.02078527078038</c:v>
                      </c:pt>
                      <c:pt idx="59">
                        <c:v>187.16118567085081</c:v>
                      </c:pt>
                      <c:pt idx="60">
                        <c:v>189.26332506237912</c:v>
                      </c:pt>
                      <c:pt idx="61">
                        <c:v>191.32235458546535</c:v>
                      </c:pt>
                      <c:pt idx="62">
                        <c:v>193.33338327636295</c:v>
                      </c:pt>
                      <c:pt idx="63">
                        <c:v>195.29149897922221</c:v>
                      </c:pt>
                      <c:pt idx="64">
                        <c:v>197.19179039734809</c:v>
                      </c:pt>
                      <c:pt idx="65">
                        <c:v>199.02937015164736</c:v>
                      </c:pt>
                      <c:pt idx="66">
                        <c:v>200.79939869467597</c:v>
                      </c:pt>
                      <c:pt idx="67">
                        <c:v>202.49710891034886</c:v>
                      </c:pt>
                      <c:pt idx="68">
                        <c:v>204.1178312123281</c:v>
                      </c:pt>
                      <c:pt idx="69">
                        <c:v>205.65701893874603</c:v>
                      </c:pt>
                      <c:pt idx="70">
                        <c:v>207.11027382762347</c:v>
                      </c:pt>
                      <c:pt idx="71">
                        <c:v>208.47337134647427</c:v>
                      </c:pt>
                      <c:pt idx="72">
                        <c:v>209.74228564147029</c:v>
                      </c:pt>
                      <c:pt idx="73">
                        <c:v>210.91321386646729</c:v>
                      </c:pt>
                      <c:pt idx="74">
                        <c:v>211.98259965041188</c:v>
                      </c:pt>
                      <c:pt idx="75">
                        <c:v>212.94715546333305</c:v>
                      </c:pt>
                      <c:pt idx="76">
                        <c:v>213.80388364640169</c:v>
                      </c:pt>
                      <c:pt idx="77">
                        <c:v>214.55009588044845</c:v>
                      </c:pt>
                      <c:pt idx="78">
                        <c:v>215.18343087985113</c:v>
                      </c:pt>
                      <c:pt idx="79">
                        <c:v>215.70187011470574</c:v>
                      </c:pt>
                      <c:pt idx="80">
                        <c:v>216.1037513835123</c:v>
                      </c:pt>
                      <c:pt idx="81">
                        <c:v>216.38778008095306</c:v>
                      </c:pt>
                      <c:pt idx="82">
                        <c:v>216.55303803038834</c:v>
                      </c:pt>
                      <c:pt idx="83">
                        <c:v>216.59898977803181</c:v>
                      </c:pt>
                      <c:pt idx="84">
                        <c:v>216.52548627493428</c:v>
                      </c:pt>
                      <c:pt idx="85">
                        <c:v>216.3327659033925</c:v>
                      </c:pt>
                      <c:pt idx="86">
                        <c:v>216.02145283566762</c:v>
                      </c:pt>
                      <c:pt idx="87">
                        <c:v>215.59255274438141</c:v>
                      </c:pt>
                      <c:pt idx="88">
                        <c:v>215.04744591509842</c:v>
                      </c:pt>
                      <c:pt idx="89">
                        <c:v>214.38787784182881</c:v>
                      </c:pt>
                      <c:pt idx="90">
                        <c:v>213.61594741497731</c:v>
                      </c:pt>
                      <c:pt idx="91">
                        <c:v>212.73409283811009</c:v>
                      </c:pt>
                      <c:pt idx="92">
                        <c:v>211.74507543437215</c:v>
                      </c:pt>
                      <c:pt idx="93">
                        <c:v>210.65196152505814</c:v>
                      </c:pt>
                      <c:pt idx="94">
                        <c:v>209.45810258141785</c:v>
                      </c:pt>
                      <c:pt idx="95">
                        <c:v>208.1671138659886</c:v>
                      </c:pt>
                      <c:pt idx="96">
                        <c:v>206.78285179144109</c:v>
                      </c:pt>
                      <c:pt idx="97">
                        <c:v>205.30939023299533</c:v>
                      </c:pt>
                      <c:pt idx="98">
                        <c:v>203.75099603490736</c:v>
                      </c:pt>
                      <c:pt idx="99">
                        <c:v>202.11210395239772</c:v>
                      </c:pt>
                      <c:pt idx="100">
                        <c:v>200.39729126783487</c:v>
                      </c:pt>
                      <c:pt idx="101">
                        <c:v>198.61125231418691</c:v>
                      </c:pt>
                      <c:pt idx="102">
                        <c:v>196.75877312997574</c:v>
                      </c:pt>
                      <c:pt idx="103">
                        <c:v>194.84470645850865</c:v>
                      </c:pt>
                      <c:pt idx="104">
                        <c:v>192.8739472903568</c:v>
                      </c:pt>
                      <c:pt idx="105">
                        <c:v>190.85140913226789</c:v>
                      </c:pt>
                      <c:pt idx="106">
                        <c:v>188.78200116831945</c:v>
                      </c:pt>
                      <c:pt idx="107">
                        <c:v>186.67060646052315</c:v>
                      </c:pt>
                      <c:pt idx="108">
                        <c:v>184.52206131667339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C74-42C3-AEA3-0FCF0C9EED5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bSIR'!$AF$55:$AF$281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1.8999653948181106</c:v>
                      </c:pt>
                      <c:pt idx="39">
                        <c:v>3.9779243284132946</c:v>
                      </c:pt>
                      <c:pt idx="40">
                        <c:v>6.0859632298379722</c:v>
                      </c:pt>
                      <c:pt idx="41">
                        <c:v>8.2223165623780829</c:v>
                      </c:pt>
                      <c:pt idx="42">
                        <c:v>10.385045188560923</c:v>
                      </c:pt>
                      <c:pt idx="43">
                        <c:v>12.572032342611195</c:v>
                      </c:pt>
                      <c:pt idx="44">
                        <c:v>14.78098027836306</c:v>
                      </c:pt>
                      <c:pt idx="45">
                        <c:v>17.009407677634655</c:v>
                      </c:pt>
                      <c:pt idx="46">
                        <c:v>19.254647905125182</c:v>
                      </c:pt>
                      <c:pt idx="47">
                        <c:v>21.513848196011537</c:v>
                      </c:pt>
                      <c:pt idx="48">
                        <c:v>23.783969861479761</c:v>
                      </c:pt>
                      <c:pt idx="49">
                        <c:v>26.06178959531934</c:v>
                      </c:pt>
                      <c:pt idx="50">
                        <c:v>28.343901961332065</c:v>
                      </c:pt>
                      <c:pt idx="51">
                        <c:v>30.62672313656202</c:v>
                      </c:pt>
                      <c:pt idx="52">
                        <c:v>32.906495979170558</c:v>
                      </c:pt>
                      <c:pt idx="53">
                        <c:v>35.179296482087608</c:v>
                      </c:pt>
                      <c:pt idx="54">
                        <c:v>37.441041664335259</c:v>
                      </c:pt>
                      <c:pt idx="55">
                        <c:v>39.687498941124005</c:v>
                      </c:pt>
                      <c:pt idx="56">
                        <c:v>41.914297001478729</c:v>
                      </c:pt>
                      <c:pt idx="57">
                        <c:v>44.116938208309733</c:v>
                      </c:pt>
                      <c:pt idx="58">
                        <c:v>46.290812520579593</c:v>
                      </c:pt>
                      <c:pt idx="59">
                        <c:v>48.431212920650012</c:v>
                      </c:pt>
                      <c:pt idx="60">
                        <c:v>50.533352312178337</c:v>
                      </c:pt>
                      <c:pt idx="61">
                        <c:v>52.592381835264547</c:v>
                      </c:pt>
                      <c:pt idx="62">
                        <c:v>54.603410526162165</c:v>
                      </c:pt>
                      <c:pt idx="63">
                        <c:v>56.56152622902141</c:v>
                      </c:pt>
                      <c:pt idx="64">
                        <c:v>58.461817647147271</c:v>
                      </c:pt>
                      <c:pt idx="65">
                        <c:v>60.299397401446541</c:v>
                      </c:pt>
                      <c:pt idx="66">
                        <c:v>62.069425944475157</c:v>
                      </c:pt>
                      <c:pt idx="67">
                        <c:v>63.76713616014807</c:v>
                      </c:pt>
                      <c:pt idx="68">
                        <c:v>65.387858462127312</c:v>
                      </c:pt>
                      <c:pt idx="69">
                        <c:v>66.927046188545248</c:v>
                      </c:pt>
                      <c:pt idx="70">
                        <c:v>68.380301077422658</c:v>
                      </c:pt>
                      <c:pt idx="71">
                        <c:v>69.743398596273479</c:v>
                      </c:pt>
                      <c:pt idx="72">
                        <c:v>71.012312891269474</c:v>
                      </c:pt>
                      <c:pt idx="73">
                        <c:v>72.183241116266473</c:v>
                      </c:pt>
                      <c:pt idx="74">
                        <c:v>73.252626900211069</c:v>
                      </c:pt>
                      <c:pt idx="75">
                        <c:v>74.21718271313226</c:v>
                      </c:pt>
                      <c:pt idx="76">
                        <c:v>75.0739108962009</c:v>
                      </c:pt>
                      <c:pt idx="77">
                        <c:v>75.820123130247666</c:v>
                      </c:pt>
                      <c:pt idx="78">
                        <c:v>76.453458129650315</c:v>
                      </c:pt>
                      <c:pt idx="79">
                        <c:v>76.971897364504954</c:v>
                      </c:pt>
                      <c:pt idx="80">
                        <c:v>77.373778633311517</c:v>
                      </c:pt>
                      <c:pt idx="81">
                        <c:v>77.657807330752277</c:v>
                      </c:pt>
                      <c:pt idx="82">
                        <c:v>77.823065280187549</c:v>
                      </c:pt>
                      <c:pt idx="83">
                        <c:v>77.869017027830992</c:v>
                      </c:pt>
                      <c:pt idx="84">
                        <c:v>77.795513524733465</c:v>
                      </c:pt>
                      <c:pt idx="85">
                        <c:v>77.602793153191712</c:v>
                      </c:pt>
                      <c:pt idx="86">
                        <c:v>77.291480085466802</c:v>
                      </c:pt>
                      <c:pt idx="87">
                        <c:v>76.862579994180592</c:v>
                      </c:pt>
                      <c:pt idx="88">
                        <c:v>76.317473164897606</c:v>
                      </c:pt>
                      <c:pt idx="89">
                        <c:v>75.657905091628024</c:v>
                      </c:pt>
                      <c:pt idx="90">
                        <c:v>74.885974664776498</c:v>
                      </c:pt>
                      <c:pt idx="91">
                        <c:v>74.0041200879093</c:v>
                      </c:pt>
                      <c:pt idx="92">
                        <c:v>73.015102684171339</c:v>
                      </c:pt>
                      <c:pt idx="93">
                        <c:v>71.921988774857354</c:v>
                      </c:pt>
                      <c:pt idx="94">
                        <c:v>70.728129831217032</c:v>
                      </c:pt>
                      <c:pt idx="95">
                        <c:v>69.43714111578781</c:v>
                      </c:pt>
                      <c:pt idx="96">
                        <c:v>68.052879041240274</c:v>
                      </c:pt>
                      <c:pt idx="97">
                        <c:v>66.57941748279454</c:v>
                      </c:pt>
                      <c:pt idx="98">
                        <c:v>65.021023284706573</c:v>
                      </c:pt>
                      <c:pt idx="99">
                        <c:v>63.382131202196902</c:v>
                      </c:pt>
                      <c:pt idx="100">
                        <c:v>61.667318517634087</c:v>
                      </c:pt>
                      <c:pt idx="101">
                        <c:v>59.881279563986126</c:v>
                      </c:pt>
                      <c:pt idx="102">
                        <c:v>58.028800379774935</c:v>
                      </c:pt>
                      <c:pt idx="103">
                        <c:v>56.114733708307838</c:v>
                      </c:pt>
                      <c:pt idx="104">
                        <c:v>54.14397454015598</c:v>
                      </c:pt>
                      <c:pt idx="105">
                        <c:v>52.121436382067088</c:v>
                      </c:pt>
                      <c:pt idx="106">
                        <c:v>50.052028418118653</c:v>
                      </c:pt>
                      <c:pt idx="107">
                        <c:v>47.940633710322345</c:v>
                      </c:pt>
                      <c:pt idx="108">
                        <c:v>45.792088566472572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74-42C3-AEA3-0FCF0C9EED54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'New_removed - bSIR'!$T$7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bSIR'!$T$62:$T$281</c:f>
              <c:numCache>
                <c:formatCode>General</c:formatCode>
                <c:ptCount val="2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18</c:v>
                </c:pt>
                <c:pt idx="18">
                  <c:v>10</c:v>
                </c:pt>
                <c:pt idx="19">
                  <c:v>38</c:v>
                </c:pt>
                <c:pt idx="20">
                  <c:v>-13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33</c:v>
                </c:pt>
                <c:pt idx="25">
                  <c:v>44</c:v>
                </c:pt>
                <c:pt idx="26">
                  <c:v>57</c:v>
                </c:pt>
                <c:pt idx="27">
                  <c:v>37</c:v>
                </c:pt>
                <c:pt idx="28">
                  <c:v>57</c:v>
                </c:pt>
                <c:pt idx="29">
                  <c:v>53</c:v>
                </c:pt>
                <c:pt idx="30">
                  <c:v>55</c:v>
                </c:pt>
                <c:pt idx="31">
                  <c:v>61</c:v>
                </c:pt>
                <c:pt idx="32">
                  <c:v>96</c:v>
                </c:pt>
                <c:pt idx="33">
                  <c:v>100</c:v>
                </c:pt>
                <c:pt idx="34">
                  <c:v>61</c:v>
                </c:pt>
                <c:pt idx="35">
                  <c:v>37</c:v>
                </c:pt>
                <c:pt idx="36">
                  <c:v>74</c:v>
                </c:pt>
                <c:pt idx="37">
                  <c:v>107</c:v>
                </c:pt>
                <c:pt idx="38">
                  <c:v>107</c:v>
                </c:pt>
                <c:pt idx="39">
                  <c:v>97</c:v>
                </c:pt>
                <c:pt idx="40">
                  <c:v>90</c:v>
                </c:pt>
                <c:pt idx="41">
                  <c:v>47</c:v>
                </c:pt>
                <c:pt idx="42">
                  <c:v>76</c:v>
                </c:pt>
                <c:pt idx="43">
                  <c:v>113</c:v>
                </c:pt>
                <c:pt idx="44">
                  <c:v>116</c:v>
                </c:pt>
                <c:pt idx="45">
                  <c:v>106</c:v>
                </c:pt>
                <c:pt idx="46">
                  <c:v>123</c:v>
                </c:pt>
                <c:pt idx="47">
                  <c:v>153</c:v>
                </c:pt>
                <c:pt idx="48">
                  <c:v>118</c:v>
                </c:pt>
                <c:pt idx="49">
                  <c:v>70</c:v>
                </c:pt>
                <c:pt idx="50">
                  <c:v>111</c:v>
                </c:pt>
                <c:pt idx="51">
                  <c:v>130</c:v>
                </c:pt>
                <c:pt idx="52">
                  <c:v>130</c:v>
                </c:pt>
                <c:pt idx="53">
                  <c:v>127</c:v>
                </c:pt>
                <c:pt idx="54">
                  <c:v>160</c:v>
                </c:pt>
                <c:pt idx="55">
                  <c:v>149</c:v>
                </c:pt>
                <c:pt idx="56">
                  <c:v>135</c:v>
                </c:pt>
                <c:pt idx="57">
                  <c:v>128</c:v>
                </c:pt>
                <c:pt idx="58">
                  <c:v>141</c:v>
                </c:pt>
                <c:pt idx="59">
                  <c:v>141</c:v>
                </c:pt>
                <c:pt idx="60">
                  <c:v>153</c:v>
                </c:pt>
                <c:pt idx="61">
                  <c:v>132</c:v>
                </c:pt>
                <c:pt idx="62">
                  <c:v>140</c:v>
                </c:pt>
                <c:pt idx="63">
                  <c:v>54</c:v>
                </c:pt>
                <c:pt idx="64">
                  <c:v>139</c:v>
                </c:pt>
                <c:pt idx="65">
                  <c:v>112</c:v>
                </c:pt>
                <c:pt idx="66">
                  <c:v>129</c:v>
                </c:pt>
                <c:pt idx="67">
                  <c:v>166</c:v>
                </c:pt>
                <c:pt idx="68">
                  <c:v>106</c:v>
                </c:pt>
                <c:pt idx="69">
                  <c:v>94</c:v>
                </c:pt>
                <c:pt idx="70">
                  <c:v>96</c:v>
                </c:pt>
                <c:pt idx="71">
                  <c:v>144</c:v>
                </c:pt>
                <c:pt idx="72">
                  <c:v>197</c:v>
                </c:pt>
                <c:pt idx="73">
                  <c:v>152</c:v>
                </c:pt>
                <c:pt idx="74">
                  <c:v>150</c:v>
                </c:pt>
                <c:pt idx="75">
                  <c:v>209</c:v>
                </c:pt>
                <c:pt idx="76">
                  <c:v>132</c:v>
                </c:pt>
                <c:pt idx="77">
                  <c:v>100</c:v>
                </c:pt>
                <c:pt idx="78">
                  <c:v>96</c:v>
                </c:pt>
                <c:pt idx="79">
                  <c:v>128</c:v>
                </c:pt>
                <c:pt idx="80">
                  <c:v>123</c:v>
                </c:pt>
                <c:pt idx="81">
                  <c:v>122</c:v>
                </c:pt>
                <c:pt idx="82">
                  <c:v>121</c:v>
                </c:pt>
                <c:pt idx="83">
                  <c:v>125</c:v>
                </c:pt>
                <c:pt idx="84">
                  <c:v>149</c:v>
                </c:pt>
                <c:pt idx="85">
                  <c:v>141</c:v>
                </c:pt>
                <c:pt idx="86">
                  <c:v>118</c:v>
                </c:pt>
                <c:pt idx="87">
                  <c:v>158</c:v>
                </c:pt>
                <c:pt idx="88">
                  <c:v>212</c:v>
                </c:pt>
                <c:pt idx="89">
                  <c:v>212</c:v>
                </c:pt>
                <c:pt idx="90">
                  <c:v>163</c:v>
                </c:pt>
                <c:pt idx="91">
                  <c:v>85</c:v>
                </c:pt>
                <c:pt idx="92">
                  <c:v>171</c:v>
                </c:pt>
                <c:pt idx="93">
                  <c:v>208</c:v>
                </c:pt>
                <c:pt idx="94">
                  <c:v>140</c:v>
                </c:pt>
                <c:pt idx="95">
                  <c:v>165</c:v>
                </c:pt>
                <c:pt idx="96">
                  <c:v>245</c:v>
                </c:pt>
                <c:pt idx="97">
                  <c:v>124</c:v>
                </c:pt>
                <c:pt idx="98">
                  <c:v>114</c:v>
                </c:pt>
                <c:pt idx="99">
                  <c:v>80</c:v>
                </c:pt>
                <c:pt idx="100">
                  <c:v>49</c:v>
                </c:pt>
                <c:pt idx="101">
                  <c:v>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bSIR'!$Z$7</c:f>
              <c:strCache>
                <c:ptCount val="1"/>
                <c:pt idx="0">
                  <c:v>region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bSIR'!$Z$62:$Z$281</c:f>
              <c:numCache>
                <c:formatCode>General</c:formatCode>
                <c:ptCount val="220"/>
                <c:pt idx="0">
                  <c:v>25.259207923536586</c:v>
                </c:pt>
                <c:pt idx="1">
                  <c:v>26.200800413769461</c:v>
                </c:pt>
                <c:pt idx="2">
                  <c:v>27.173567768908576</c:v>
                </c:pt>
                <c:pt idx="3">
                  <c:v>28.178230134580993</c:v>
                </c:pt>
                <c:pt idx="4">
                  <c:v>29.21549840719619</c:v>
                </c:pt>
                <c:pt idx="5">
                  <c:v>30.286071521037165</c:v>
                </c:pt>
                <c:pt idx="6">
                  <c:v>31.390633526441512</c:v>
                </c:pt>
                <c:pt idx="7">
                  <c:v>32.529850451809544</c:v>
                </c:pt>
                <c:pt idx="8">
                  <c:v>33.704366942757886</c:v>
                </c:pt>
                <c:pt idx="9">
                  <c:v>34.914802672455735</c:v>
                </c:pt>
                <c:pt idx="10">
                  <c:v>36.161748518049563</c:v>
                </c:pt>
                <c:pt idx="11">
                  <c:v>37.445762499111865</c:v>
                </c:pt>
                <c:pt idx="12">
                  <c:v>38.767365475257805</c:v>
                </c:pt>
                <c:pt idx="13">
                  <c:v>40.12703660146687</c:v>
                </c:pt>
                <c:pt idx="14">
                  <c:v>41.525208541246265</c:v>
                </c:pt>
                <c:pt idx="15">
                  <c:v>42.962262439581075</c:v>
                </c:pt>
                <c:pt idx="16">
                  <c:v>44.438522659652108</c:v>
                </c:pt>
                <c:pt idx="17">
                  <c:v>45.954251289571992</c:v>
                </c:pt>
                <c:pt idx="18">
                  <c:v>47.50964242789933</c:v>
                </c:pt>
                <c:pt idx="19">
                  <c:v>49.104816259452008</c:v>
                </c:pt>
                <c:pt idx="20">
                  <c:v>50.73981293594796</c:v>
                </c:pt>
                <c:pt idx="21">
                  <c:v>52.414586279264491</c:v>
                </c:pt>
                <c:pt idx="22">
                  <c:v>54.128997328613558</c:v>
                </c:pt>
                <c:pt idx="23">
                  <c:v>55.88280775667738</c:v>
                </c:pt>
                <c:pt idx="24">
                  <c:v>57.675673183721671</c:v>
                </c:pt>
                <c:pt idx="25">
                  <c:v>59.507136422883782</c:v>
                </c:pt>
                <c:pt idx="26">
                  <c:v>61.376620694196077</c:v>
                </c:pt>
                <c:pt idx="27">
                  <c:v>63.283422849420788</c:v>
                </c:pt>
                <c:pt idx="28">
                  <c:v>65.226706654399095</c:v>
                </c:pt>
                <c:pt idx="29">
                  <c:v>67.205496180315308</c:v>
                </c:pt>
                <c:pt idx="30">
                  <c:v>69.218669359982613</c:v>
                </c:pt>
                <c:pt idx="31">
                  <c:v>71.264951769918511</c:v>
                </c:pt>
                <c:pt idx="32">
                  <c:v>73.342910703513695</c:v>
                </c:pt>
                <c:pt idx="33">
                  <c:v>75.450949604938373</c:v>
                </c:pt>
                <c:pt idx="34">
                  <c:v>77.587302937478483</c:v>
                </c:pt>
                <c:pt idx="35">
                  <c:v>79.750031563661324</c:v>
                </c:pt>
                <c:pt idx="36">
                  <c:v>81.937018717711595</c:v>
                </c:pt>
                <c:pt idx="37">
                  <c:v>84.145966653463461</c:v>
                </c:pt>
                <c:pt idx="38">
                  <c:v>86.374394052735056</c:v>
                </c:pt>
                <c:pt idx="39">
                  <c:v>88.619634280225583</c:v>
                </c:pt>
                <c:pt idx="40">
                  <c:v>90.878834571111938</c:v>
                </c:pt>
                <c:pt idx="41">
                  <c:v>93.148956236580162</c:v>
                </c:pt>
                <c:pt idx="42">
                  <c:v>95.42677597041974</c:v>
                </c:pt>
                <c:pt idx="43">
                  <c:v>97.708888336432466</c:v>
                </c:pt>
                <c:pt idx="44">
                  <c:v>99.991709511662421</c:v>
                </c:pt>
                <c:pt idx="45">
                  <c:v>102.27148235427096</c:v>
                </c:pt>
                <c:pt idx="46">
                  <c:v>104.54428285718801</c:v>
                </c:pt>
                <c:pt idx="47">
                  <c:v>106.80602803943566</c:v>
                </c:pt>
                <c:pt idx="48">
                  <c:v>109.05248531622441</c:v>
                </c:pt>
                <c:pt idx="49">
                  <c:v>111.27928337657913</c:v>
                </c:pt>
                <c:pt idx="50">
                  <c:v>113.48192458341013</c:v>
                </c:pt>
                <c:pt idx="51">
                  <c:v>115.65579889567999</c:v>
                </c:pt>
                <c:pt idx="52">
                  <c:v>117.79619929575041</c:v>
                </c:pt>
                <c:pt idx="53">
                  <c:v>119.89833868727874</c:v>
                </c:pt>
                <c:pt idx="54">
                  <c:v>121.95736821036495</c:v>
                </c:pt>
                <c:pt idx="55">
                  <c:v>123.96839690126257</c:v>
                </c:pt>
                <c:pt idx="56">
                  <c:v>125.92651260412181</c:v>
                </c:pt>
                <c:pt idx="57">
                  <c:v>127.82680402224767</c:v>
                </c:pt>
                <c:pt idx="58">
                  <c:v>129.66438377654694</c:v>
                </c:pt>
                <c:pt idx="59">
                  <c:v>131.43441231957556</c:v>
                </c:pt>
                <c:pt idx="60">
                  <c:v>133.13212253524847</c:v>
                </c:pt>
                <c:pt idx="61">
                  <c:v>134.75284483722771</c:v>
                </c:pt>
                <c:pt idx="62">
                  <c:v>136.29203256364565</c:v>
                </c:pt>
                <c:pt idx="63">
                  <c:v>137.74528745252306</c:v>
                </c:pt>
                <c:pt idx="64">
                  <c:v>139.10838497137388</c:v>
                </c:pt>
                <c:pt idx="65">
                  <c:v>140.37729926636987</c:v>
                </c:pt>
                <c:pt idx="66">
                  <c:v>141.54822749136687</c:v>
                </c:pt>
                <c:pt idx="67">
                  <c:v>142.61761327531147</c:v>
                </c:pt>
                <c:pt idx="68">
                  <c:v>143.58216908823266</c:v>
                </c:pt>
                <c:pt idx="69">
                  <c:v>144.4388972713013</c:v>
                </c:pt>
                <c:pt idx="70">
                  <c:v>145.18510950534807</c:v>
                </c:pt>
                <c:pt idx="71">
                  <c:v>145.81844450475072</c:v>
                </c:pt>
                <c:pt idx="72">
                  <c:v>146.33688373960536</c:v>
                </c:pt>
                <c:pt idx="73">
                  <c:v>146.73876500841192</c:v>
                </c:pt>
                <c:pt idx="74">
                  <c:v>147.02279370585268</c:v>
                </c:pt>
                <c:pt idx="75">
                  <c:v>147.18805165528795</c:v>
                </c:pt>
                <c:pt idx="76">
                  <c:v>147.23400340293139</c:v>
                </c:pt>
                <c:pt idx="77">
                  <c:v>147.16049989983387</c:v>
                </c:pt>
                <c:pt idx="78">
                  <c:v>146.96777952829211</c:v>
                </c:pt>
                <c:pt idx="79">
                  <c:v>146.6564664605672</c:v>
                </c:pt>
                <c:pt idx="80">
                  <c:v>146.22756636928099</c:v>
                </c:pt>
                <c:pt idx="81">
                  <c:v>145.68245953999801</c:v>
                </c:pt>
                <c:pt idx="82">
                  <c:v>145.02289146672842</c:v>
                </c:pt>
                <c:pt idx="83">
                  <c:v>144.2509610398769</c:v>
                </c:pt>
                <c:pt idx="84">
                  <c:v>143.3691064630097</c:v>
                </c:pt>
                <c:pt idx="85">
                  <c:v>142.38008905927174</c:v>
                </c:pt>
                <c:pt idx="86">
                  <c:v>141.28697514995775</c:v>
                </c:pt>
                <c:pt idx="87">
                  <c:v>140.09311620631743</c:v>
                </c:pt>
                <c:pt idx="88">
                  <c:v>138.80212749088821</c:v>
                </c:pt>
                <c:pt idx="89">
                  <c:v>137.41786541634067</c:v>
                </c:pt>
                <c:pt idx="90">
                  <c:v>135.94440385789494</c:v>
                </c:pt>
                <c:pt idx="91">
                  <c:v>134.38600965980697</c:v>
                </c:pt>
                <c:pt idx="92">
                  <c:v>132.7471175772973</c:v>
                </c:pt>
                <c:pt idx="93">
                  <c:v>131.03230489273449</c:v>
                </c:pt>
                <c:pt idx="94">
                  <c:v>129.24626593908653</c:v>
                </c:pt>
                <c:pt idx="95">
                  <c:v>127.39378675487534</c:v>
                </c:pt>
                <c:pt idx="96">
                  <c:v>125.47972008340824</c:v>
                </c:pt>
                <c:pt idx="97">
                  <c:v>123.50896091525638</c:v>
                </c:pt>
                <c:pt idx="98">
                  <c:v>121.48642275716749</c:v>
                </c:pt>
                <c:pt idx="99">
                  <c:v>119.41701479321905</c:v>
                </c:pt>
                <c:pt idx="100">
                  <c:v>117.30562008542275</c:v>
                </c:pt>
                <c:pt idx="101">
                  <c:v>115.15707494157297</c:v>
                </c:pt>
                <c:pt idx="102">
                  <c:v>112.97614955824814</c:v>
                </c:pt>
                <c:pt idx="103">
                  <c:v>110.76753002689402</c:v>
                </c:pt>
                <c:pt idx="104">
                  <c:v>108.53580177115225</c:v>
                </c:pt>
                <c:pt idx="105">
                  <c:v>106.28543446435329</c:v>
                </c:pt>
                <c:pt idx="106">
                  <c:v>104.02076845762504</c:v>
                </c:pt>
                <c:pt idx="107">
                  <c:v>101.7460027316028</c:v>
                </c:pt>
                <c:pt idx="108">
                  <c:v>99.465184368447396</c:v>
                </c:pt>
                <c:pt idx="109">
                  <c:v>97.182199525933825</c:v>
                </c:pt>
                <c:pt idx="110">
                  <c:v>94.900765881869717</c:v>
                </c:pt>
                <c:pt idx="111">
                  <c:v>92.624426505114982</c:v>
                </c:pt>
                <c:pt idx="112">
                  <c:v>90.356545099037348</c:v>
                </c:pt>
                <c:pt idx="113">
                  <c:v>88.100302554361463</c:v>
                </c:pt>
                <c:pt idx="114">
                  <c:v>85.858694741030646</c:v>
                </c:pt>
                <c:pt idx="115">
                  <c:v>83.634531462853502</c:v>
                </c:pt>
                <c:pt idx="116">
                  <c:v>81.430436494287321</c:v>
                </c:pt>
                <c:pt idx="117">
                  <c:v>79.248848615635367</c:v>
                </c:pt>
                <c:pt idx="118">
                  <c:v>77.092023561105037</c:v>
                </c:pt>
                <c:pt idx="119">
                  <c:v>74.96203679348811</c:v>
                </c:pt>
                <c:pt idx="120">
                  <c:v>72.860787019566402</c:v>
                </c:pt>
                <c:pt idx="121">
                  <c:v>70.790000361602068</c:v>
                </c:pt>
                <c:pt idx="122">
                  <c:v>68.751235102323733</c:v>
                </c:pt>
                <c:pt idx="123">
                  <c:v>66.745886923553684</c:v>
                </c:pt>
                <c:pt idx="124">
                  <c:v>64.775194561922689</c:v>
                </c:pt>
                <c:pt idx="125">
                  <c:v>62.840245808883388</c:v>
                </c:pt>
                <c:pt idx="126">
                  <c:v>60.941983786358485</c:v>
                </c:pt>
                <c:pt idx="127">
                  <c:v>59.081213433750165</c:v>
                </c:pt>
                <c:pt idx="128">
                  <c:v>57.258608146610953</c:v>
                </c:pt>
                <c:pt idx="129">
                  <c:v>55.474716511953062</c:v>
                </c:pt>
                <c:pt idx="130">
                  <c:v>53.729969089882353</c:v>
                </c:pt>
                <c:pt idx="131">
                  <c:v>52.024685195929436</c:v>
                </c:pt>
                <c:pt idx="132">
                  <c:v>50.359079643054692</c:v>
                </c:pt>
                <c:pt idx="133">
                  <c:v>48.733269406788821</c:v>
                </c:pt>
                <c:pt idx="134">
                  <c:v>47.147280181292707</c:v>
                </c:pt>
                <c:pt idx="135">
                  <c:v>45.601052798255033</c:v>
                </c:pt>
                <c:pt idx="136">
                  <c:v>44.094449484468932</c:v>
                </c:pt>
                <c:pt idx="137">
                  <c:v>42.627259937619939</c:v>
                </c:pt>
                <c:pt idx="138">
                  <c:v>41.199207203269644</c:v>
                </c:pt>
                <c:pt idx="139">
                  <c:v>39.809953339222417</c:v>
                </c:pt>
                <c:pt idx="140">
                  <c:v>38.459104856413873</c:v>
                </c:pt>
                <c:pt idx="141">
                  <c:v>37.146217928161299</c:v>
                </c:pt>
                <c:pt idx="142">
                  <c:v>35.870803362070703</c:v>
                </c:pt>
                <c:pt idx="143">
                  <c:v>34.632331331110016</c:v>
                </c:pt>
                <c:pt idx="144">
                  <c:v>33.430235862339252</c:v>
                </c:pt>
                <c:pt idx="145">
                  <c:v>32.263919083549489</c:v>
                </c:pt>
                <c:pt idx="146">
                  <c:v>31.132755229611416</c:v>
                </c:pt>
                <c:pt idx="147">
                  <c:v>30.036094411685706</c:v>
                </c:pt>
                <c:pt idx="148">
                  <c:v>28.973266153611217</c:v>
                </c:pt>
                <c:pt idx="149">
                  <c:v>27.943582700780372</c:v>
                </c:pt>
                <c:pt idx="150">
                  <c:v>26.946342107643002</c:v>
                </c:pt>
                <c:pt idx="151">
                  <c:v>25.980831110665559</c:v>
                </c:pt>
                <c:pt idx="152">
                  <c:v>25.046327794125833</c:v>
                </c:pt>
                <c:pt idx="153">
                  <c:v>24.14210405655335</c:v>
                </c:pt>
                <c:pt idx="154">
                  <c:v>23.267427885949193</c:v>
                </c:pt>
                <c:pt idx="155">
                  <c:v>22.42156545214154</c:v>
                </c:pt>
                <c:pt idx="156">
                  <c:v>21.603783024772429</c:v>
                </c:pt>
                <c:pt idx="157">
                  <c:v>20.813348725471684</c:v>
                </c:pt>
                <c:pt idx="158">
                  <c:v>20.049534122767486</c:v>
                </c:pt>
                <c:pt idx="159">
                  <c:v>19.311615678220072</c:v>
                </c:pt>
                <c:pt idx="160">
                  <c:v>18.598876052149549</c:v>
                </c:pt>
                <c:pt idx="161">
                  <c:v>17.910605277173694</c:v>
                </c:pt>
                <c:pt idx="162">
                  <c:v>17.246101807577823</c:v>
                </c:pt>
                <c:pt idx="163">
                  <c:v>16.604673452318409</c:v>
                </c:pt>
                <c:pt idx="164">
                  <c:v>15.985638199216073</c:v>
                </c:pt>
                <c:pt idx="165">
                  <c:v>15.388324937629241</c:v>
                </c:pt>
                <c:pt idx="166">
                  <c:v>14.812074086621701</c:v>
                </c:pt>
                <c:pt idx="167">
                  <c:v>14.256238135347886</c:v>
                </c:pt>
                <c:pt idx="168">
                  <c:v>13.720182102084772</c:v>
                </c:pt>
                <c:pt idx="169">
                  <c:v>13.203283918039347</c:v>
                </c:pt>
                <c:pt idx="170">
                  <c:v>12.704934741760576</c:v>
                </c:pt>
                <c:pt idx="171">
                  <c:v>12.22453920968592</c:v>
                </c:pt>
                <c:pt idx="172">
                  <c:v>11.761515628056044</c:v>
                </c:pt>
                <c:pt idx="173">
                  <c:v>11.315296111141068</c:v>
                </c:pt>
                <c:pt idx="174">
                  <c:v>10.885326670436573</c:v>
                </c:pt>
                <c:pt idx="175">
                  <c:v>10.471067259210818</c:v>
                </c:pt>
                <c:pt idx="176">
                  <c:v>10.071991776515228</c:v>
                </c:pt>
                <c:pt idx="177">
                  <c:v>9.6875880345110001</c:v>
                </c:pt>
                <c:pt idx="178">
                  <c:v>9.3173576927142694</c:v>
                </c:pt>
                <c:pt idx="179">
                  <c:v>8.9608161625220575</c:v>
                </c:pt>
                <c:pt idx="180">
                  <c:v>8.6174924851516828</c:v>
                </c:pt>
                <c:pt idx="181">
                  <c:v>8.2869291859068621</c:v>
                </c:pt>
                <c:pt idx="182">
                  <c:v>7.9686821074747742</c:v>
                </c:pt>
                <c:pt idx="183">
                  <c:v>7.662320224760113</c:v>
                </c:pt>
                <c:pt idx="184">
                  <c:v>7.3674254435740245</c:v>
                </c:pt>
                <c:pt idx="185">
                  <c:v>7.0835923853181413</c:v>
                </c:pt>
                <c:pt idx="186">
                  <c:v>6.8104281596357978</c:v>
                </c:pt>
                <c:pt idx="187">
                  <c:v>6.5475521268446046</c:v>
                </c:pt>
                <c:pt idx="188">
                  <c:v>6.2945956518157367</c:v>
                </c:pt>
                <c:pt idx="189">
                  <c:v>6.051201850825616</c:v>
                </c:pt>
                <c:pt idx="190">
                  <c:v>5.8170253327748318</c:v>
                </c:pt>
                <c:pt idx="191">
                  <c:v>5.5917319360467683</c:v>
                </c:pt>
                <c:pt idx="192">
                  <c:v>5.3749984621638864</c:v>
                </c:pt>
                <c:pt idx="193">
                  <c:v>5.1665124072929487</c:v>
                </c:pt>
                <c:pt idx="194">
                  <c:v>4.9659716925510953</c:v>
                </c:pt>
                <c:pt idx="195">
                  <c:v>4.773084393972316</c:v>
                </c:pt>
                <c:pt idx="196">
                  <c:v>4.5875684729078099</c:v>
                </c:pt>
                <c:pt idx="197">
                  <c:v>4.4091515075544034</c:v>
                </c:pt>
                <c:pt idx="198">
                  <c:v>4.2375704262312777</c:v>
                </c:pt>
                <c:pt idx="199">
                  <c:v>4.0725712429572791</c:v>
                </c:pt>
                <c:pt idx="200">
                  <c:v>3.9139087958180432</c:v>
                </c:pt>
                <c:pt idx="201">
                  <c:v>3.7613464885542154</c:v>
                </c:pt>
                <c:pt idx="202">
                  <c:v>3.6146560357487769</c:v>
                </c:pt>
                <c:pt idx="203">
                  <c:v>3.4736172119421966</c:v>
                </c:pt>
                <c:pt idx="204">
                  <c:v>3.3380176049593366</c:v>
                </c:pt>
                <c:pt idx="205">
                  <c:v>3.2076523736906575</c:v>
                </c:pt>
                <c:pt idx="206">
                  <c:v>3.0823240105326417</c:v>
                </c:pt>
                <c:pt idx="207">
                  <c:v>2.9618421086578279</c:v>
                </c:pt>
                <c:pt idx="208">
                  <c:v>2.8460231342535716</c:v>
                </c:pt>
                <c:pt idx="209">
                  <c:v>2.7346902038400689</c:v>
                </c:pt>
                <c:pt idx="210">
                  <c:v>2.6276728667522704</c:v>
                </c:pt>
                <c:pt idx="211">
                  <c:v>2.5248068928468888</c:v>
                </c:pt>
                <c:pt idx="212">
                  <c:v>2.4259340654745207</c:v>
                </c:pt>
                <c:pt idx="213">
                  <c:v>2.3309019797378281</c:v>
                </c:pt>
                <c:pt idx="214">
                  <c:v>2.239563846039514</c:v>
                </c:pt>
                <c:pt idx="215">
                  <c:v>2.1517782989085408</c:v>
                </c:pt>
                <c:pt idx="216">
                  <c:v>2.0674092110793061</c:v>
                </c:pt>
                <c:pt idx="217">
                  <c:v>1.9863255127862396</c:v>
                </c:pt>
                <c:pt idx="218">
                  <c:v>1.9084010162255507</c:v>
                </c:pt>
                <c:pt idx="219">
                  <c:v>1.8335142451263109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bSIR'!$AE$7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88.844582474392666</c:v>
                      </c:pt>
                      <c:pt idx="1">
                        <c:v>89.588411365950009</c:v>
                      </c:pt>
                      <c:pt idx="2">
                        <c:v>90.358302834197474</c:v>
                      </c:pt>
                      <c:pt idx="3">
                        <c:v>91.15498166726519</c:v>
                      </c:pt>
                      <c:pt idx="4">
                        <c:v>91.979177225448439</c:v>
                      </c:pt>
                      <c:pt idx="5">
                        <c:v>92.831621961498485</c:v>
                      </c:pt>
                      <c:pt idx="6">
                        <c:v>93.713049790186659</c:v>
                      </c:pt>
                      <c:pt idx="7">
                        <c:v>94.624194298636979</c:v>
                      </c:pt>
                      <c:pt idx="8">
                        <c:v>95.565786788869858</c:v>
                      </c:pt>
                      <c:pt idx="9">
                        <c:v>96.53855414400897</c:v>
                      </c:pt>
                      <c:pt idx="10">
                        <c:v>97.5432165096814</c:v>
                      </c:pt>
                      <c:pt idx="11">
                        <c:v>98.580484782296594</c:v>
                      </c:pt>
                      <c:pt idx="12">
                        <c:v>99.651057896137559</c:v>
                      </c:pt>
                      <c:pt idx="13">
                        <c:v>100.75561990154191</c:v>
                      </c:pt>
                      <c:pt idx="14">
                        <c:v>101.89483682690994</c:v>
                      </c:pt>
                      <c:pt idx="15">
                        <c:v>103.06935331785829</c:v>
                      </c:pt>
                      <c:pt idx="16">
                        <c:v>104.27978904755614</c:v>
                      </c:pt>
                      <c:pt idx="17">
                        <c:v>105.52673489314996</c:v>
                      </c:pt>
                      <c:pt idx="18">
                        <c:v>106.81074887421227</c:v>
                      </c:pt>
                      <c:pt idx="19">
                        <c:v>108.13235185035821</c:v>
                      </c:pt>
                      <c:pt idx="20">
                        <c:v>109.49202297656727</c:v>
                      </c:pt>
                      <c:pt idx="21">
                        <c:v>110.89019491634667</c:v>
                      </c:pt>
                      <c:pt idx="22">
                        <c:v>112.32724881468147</c:v>
                      </c:pt>
                      <c:pt idx="23">
                        <c:v>113.80350903475251</c:v>
                      </c:pt>
                      <c:pt idx="24">
                        <c:v>115.31923766467239</c:v>
                      </c:pt>
                      <c:pt idx="25">
                        <c:v>116.87462880299972</c:v>
                      </c:pt>
                      <c:pt idx="26">
                        <c:v>118.46980263455241</c:v>
                      </c:pt>
                      <c:pt idx="27">
                        <c:v>120.10479931104837</c:v>
                      </c:pt>
                      <c:pt idx="28">
                        <c:v>121.7795726543649</c:v>
                      </c:pt>
                      <c:pt idx="29">
                        <c:v>123.49398370371395</c:v>
                      </c:pt>
                      <c:pt idx="30">
                        <c:v>125.24779413177778</c:v>
                      </c:pt>
                      <c:pt idx="31">
                        <c:v>127.04065955882207</c:v>
                      </c:pt>
                      <c:pt idx="32">
                        <c:v>128.87212279798419</c:v>
                      </c:pt>
                      <c:pt idx="33">
                        <c:v>130.74160706929649</c:v>
                      </c:pt>
                      <c:pt idx="34">
                        <c:v>132.64840922452117</c:v>
                      </c:pt>
                      <c:pt idx="35">
                        <c:v>134.59169302949948</c:v>
                      </c:pt>
                      <c:pt idx="36">
                        <c:v>136.57048255541571</c:v>
                      </c:pt>
                      <c:pt idx="37">
                        <c:v>138.58365573508303</c:v>
                      </c:pt>
                      <c:pt idx="38">
                        <c:v>140.62993814501891</c:v>
                      </c:pt>
                      <c:pt idx="39">
                        <c:v>142.70789707861411</c:v>
                      </c:pt>
                      <c:pt idx="40">
                        <c:v>144.81593598003877</c:v>
                      </c:pt>
                      <c:pt idx="41">
                        <c:v>146.9522893125789</c:v>
                      </c:pt>
                      <c:pt idx="42">
                        <c:v>149.11501793876172</c:v>
                      </c:pt>
                      <c:pt idx="43">
                        <c:v>151.30200509281201</c:v>
                      </c:pt>
                      <c:pt idx="44">
                        <c:v>153.51095302856385</c:v>
                      </c:pt>
                      <c:pt idx="45">
                        <c:v>155.73938042783544</c:v>
                      </c:pt>
                      <c:pt idx="46">
                        <c:v>157.98462065532598</c:v>
                      </c:pt>
                      <c:pt idx="47">
                        <c:v>160.24382094621234</c:v>
                      </c:pt>
                      <c:pt idx="48">
                        <c:v>162.51394261168056</c:v>
                      </c:pt>
                      <c:pt idx="49">
                        <c:v>164.79176234552014</c:v>
                      </c:pt>
                      <c:pt idx="50">
                        <c:v>167.07387471153288</c:v>
                      </c:pt>
                      <c:pt idx="51">
                        <c:v>169.35669588676282</c:v>
                      </c:pt>
                      <c:pt idx="52">
                        <c:v>171.63646872937136</c:v>
                      </c:pt>
                      <c:pt idx="53">
                        <c:v>173.90926923228841</c:v>
                      </c:pt>
                      <c:pt idx="54">
                        <c:v>176.17101441453605</c:v>
                      </c:pt>
                      <c:pt idx="55">
                        <c:v>178.41747169132481</c:v>
                      </c:pt>
                      <c:pt idx="56">
                        <c:v>180.64426975167953</c:v>
                      </c:pt>
                      <c:pt idx="57">
                        <c:v>182.84691095851053</c:v>
                      </c:pt>
                      <c:pt idx="58">
                        <c:v>185.02078527078038</c:v>
                      </c:pt>
                      <c:pt idx="59">
                        <c:v>187.16118567085081</c:v>
                      </c:pt>
                      <c:pt idx="60">
                        <c:v>189.26332506237912</c:v>
                      </c:pt>
                      <c:pt idx="61">
                        <c:v>191.32235458546535</c:v>
                      </c:pt>
                      <c:pt idx="62">
                        <c:v>193.33338327636295</c:v>
                      </c:pt>
                      <c:pt idx="63">
                        <c:v>195.29149897922221</c:v>
                      </c:pt>
                      <c:pt idx="64">
                        <c:v>197.19179039734809</c:v>
                      </c:pt>
                      <c:pt idx="65">
                        <c:v>199.02937015164736</c:v>
                      </c:pt>
                      <c:pt idx="66">
                        <c:v>200.79939869467597</c:v>
                      </c:pt>
                      <c:pt idx="67">
                        <c:v>202.49710891034886</c:v>
                      </c:pt>
                      <c:pt idx="68">
                        <c:v>204.1178312123281</c:v>
                      </c:pt>
                      <c:pt idx="69">
                        <c:v>205.65701893874603</c:v>
                      </c:pt>
                      <c:pt idx="70">
                        <c:v>207.11027382762347</c:v>
                      </c:pt>
                      <c:pt idx="71">
                        <c:v>208.47337134647427</c:v>
                      </c:pt>
                      <c:pt idx="72">
                        <c:v>209.74228564147029</c:v>
                      </c:pt>
                      <c:pt idx="73">
                        <c:v>210.91321386646729</c:v>
                      </c:pt>
                      <c:pt idx="74">
                        <c:v>211.98259965041188</c:v>
                      </c:pt>
                      <c:pt idx="75">
                        <c:v>212.94715546333305</c:v>
                      </c:pt>
                      <c:pt idx="76">
                        <c:v>213.80388364640169</c:v>
                      </c:pt>
                      <c:pt idx="77">
                        <c:v>214.55009588044845</c:v>
                      </c:pt>
                      <c:pt idx="78">
                        <c:v>215.18343087985113</c:v>
                      </c:pt>
                      <c:pt idx="79">
                        <c:v>215.70187011470574</c:v>
                      </c:pt>
                      <c:pt idx="80">
                        <c:v>216.1037513835123</c:v>
                      </c:pt>
                      <c:pt idx="81">
                        <c:v>216.38778008095306</c:v>
                      </c:pt>
                      <c:pt idx="82">
                        <c:v>216.55303803038834</c:v>
                      </c:pt>
                      <c:pt idx="83">
                        <c:v>216.59898977803181</c:v>
                      </c:pt>
                      <c:pt idx="84">
                        <c:v>216.52548627493428</c:v>
                      </c:pt>
                      <c:pt idx="85">
                        <c:v>216.3327659033925</c:v>
                      </c:pt>
                      <c:pt idx="86">
                        <c:v>216.02145283566762</c:v>
                      </c:pt>
                      <c:pt idx="87">
                        <c:v>215.59255274438141</c:v>
                      </c:pt>
                      <c:pt idx="88">
                        <c:v>215.04744591509842</c:v>
                      </c:pt>
                      <c:pt idx="89">
                        <c:v>214.38787784182881</c:v>
                      </c:pt>
                      <c:pt idx="90">
                        <c:v>213.61594741497731</c:v>
                      </c:pt>
                      <c:pt idx="91">
                        <c:v>212.73409283811009</c:v>
                      </c:pt>
                      <c:pt idx="92">
                        <c:v>211.74507543437215</c:v>
                      </c:pt>
                      <c:pt idx="93">
                        <c:v>210.65196152505814</c:v>
                      </c:pt>
                      <c:pt idx="94">
                        <c:v>209.45810258141785</c:v>
                      </c:pt>
                      <c:pt idx="95">
                        <c:v>208.1671138659886</c:v>
                      </c:pt>
                      <c:pt idx="96">
                        <c:v>206.78285179144109</c:v>
                      </c:pt>
                      <c:pt idx="97">
                        <c:v>205.30939023299533</c:v>
                      </c:pt>
                      <c:pt idx="98">
                        <c:v>203.75099603490736</c:v>
                      </c:pt>
                      <c:pt idx="99">
                        <c:v>202.11210395239772</c:v>
                      </c:pt>
                      <c:pt idx="100">
                        <c:v>200.39729126783487</c:v>
                      </c:pt>
                      <c:pt idx="101">
                        <c:v>198.61125231418691</c:v>
                      </c:pt>
                      <c:pt idx="102">
                        <c:v>196.75877312997574</c:v>
                      </c:pt>
                      <c:pt idx="103">
                        <c:v>194.84470645850865</c:v>
                      </c:pt>
                      <c:pt idx="104">
                        <c:v>192.8739472903568</c:v>
                      </c:pt>
                      <c:pt idx="105">
                        <c:v>190.85140913226789</c:v>
                      </c:pt>
                      <c:pt idx="106">
                        <c:v>188.78200116831945</c:v>
                      </c:pt>
                      <c:pt idx="107">
                        <c:v>186.67060646052315</c:v>
                      </c:pt>
                      <c:pt idx="108">
                        <c:v>184.52206131667339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bSIR'!$AF$55:$AF$281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1.8999653948181106</c:v>
                      </c:pt>
                      <c:pt idx="39">
                        <c:v>3.9779243284132946</c:v>
                      </c:pt>
                      <c:pt idx="40">
                        <c:v>6.0859632298379722</c:v>
                      </c:pt>
                      <c:pt idx="41">
                        <c:v>8.2223165623780829</c:v>
                      </c:pt>
                      <c:pt idx="42">
                        <c:v>10.385045188560923</c:v>
                      </c:pt>
                      <c:pt idx="43">
                        <c:v>12.572032342611195</c:v>
                      </c:pt>
                      <c:pt idx="44">
                        <c:v>14.78098027836306</c:v>
                      </c:pt>
                      <c:pt idx="45">
                        <c:v>17.009407677634655</c:v>
                      </c:pt>
                      <c:pt idx="46">
                        <c:v>19.254647905125182</c:v>
                      </c:pt>
                      <c:pt idx="47">
                        <c:v>21.513848196011537</c:v>
                      </c:pt>
                      <c:pt idx="48">
                        <c:v>23.783969861479761</c:v>
                      </c:pt>
                      <c:pt idx="49">
                        <c:v>26.06178959531934</c:v>
                      </c:pt>
                      <c:pt idx="50">
                        <c:v>28.343901961332065</c:v>
                      </c:pt>
                      <c:pt idx="51">
                        <c:v>30.62672313656202</c:v>
                      </c:pt>
                      <c:pt idx="52">
                        <c:v>32.906495979170558</c:v>
                      </c:pt>
                      <c:pt idx="53">
                        <c:v>35.179296482087608</c:v>
                      </c:pt>
                      <c:pt idx="54">
                        <c:v>37.441041664335259</c:v>
                      </c:pt>
                      <c:pt idx="55">
                        <c:v>39.687498941124005</c:v>
                      </c:pt>
                      <c:pt idx="56">
                        <c:v>41.914297001478729</c:v>
                      </c:pt>
                      <c:pt idx="57">
                        <c:v>44.116938208309733</c:v>
                      </c:pt>
                      <c:pt idx="58">
                        <c:v>46.290812520579593</c:v>
                      </c:pt>
                      <c:pt idx="59">
                        <c:v>48.431212920650012</c:v>
                      </c:pt>
                      <c:pt idx="60">
                        <c:v>50.533352312178337</c:v>
                      </c:pt>
                      <c:pt idx="61">
                        <c:v>52.592381835264547</c:v>
                      </c:pt>
                      <c:pt idx="62">
                        <c:v>54.603410526162165</c:v>
                      </c:pt>
                      <c:pt idx="63">
                        <c:v>56.56152622902141</c:v>
                      </c:pt>
                      <c:pt idx="64">
                        <c:v>58.461817647147271</c:v>
                      </c:pt>
                      <c:pt idx="65">
                        <c:v>60.299397401446541</c:v>
                      </c:pt>
                      <c:pt idx="66">
                        <c:v>62.069425944475157</c:v>
                      </c:pt>
                      <c:pt idx="67">
                        <c:v>63.76713616014807</c:v>
                      </c:pt>
                      <c:pt idx="68">
                        <c:v>65.387858462127312</c:v>
                      </c:pt>
                      <c:pt idx="69">
                        <c:v>66.927046188545248</c:v>
                      </c:pt>
                      <c:pt idx="70">
                        <c:v>68.380301077422658</c:v>
                      </c:pt>
                      <c:pt idx="71">
                        <c:v>69.743398596273479</c:v>
                      </c:pt>
                      <c:pt idx="72">
                        <c:v>71.012312891269474</c:v>
                      </c:pt>
                      <c:pt idx="73">
                        <c:v>72.183241116266473</c:v>
                      </c:pt>
                      <c:pt idx="74">
                        <c:v>73.252626900211069</c:v>
                      </c:pt>
                      <c:pt idx="75">
                        <c:v>74.21718271313226</c:v>
                      </c:pt>
                      <c:pt idx="76">
                        <c:v>75.0739108962009</c:v>
                      </c:pt>
                      <c:pt idx="77">
                        <c:v>75.820123130247666</c:v>
                      </c:pt>
                      <c:pt idx="78">
                        <c:v>76.453458129650315</c:v>
                      </c:pt>
                      <c:pt idx="79">
                        <c:v>76.971897364504954</c:v>
                      </c:pt>
                      <c:pt idx="80">
                        <c:v>77.373778633311517</c:v>
                      </c:pt>
                      <c:pt idx="81">
                        <c:v>77.657807330752277</c:v>
                      </c:pt>
                      <c:pt idx="82">
                        <c:v>77.823065280187549</c:v>
                      </c:pt>
                      <c:pt idx="83">
                        <c:v>77.869017027830992</c:v>
                      </c:pt>
                      <c:pt idx="84">
                        <c:v>77.795513524733465</c:v>
                      </c:pt>
                      <c:pt idx="85">
                        <c:v>77.602793153191712</c:v>
                      </c:pt>
                      <c:pt idx="86">
                        <c:v>77.291480085466802</c:v>
                      </c:pt>
                      <c:pt idx="87">
                        <c:v>76.862579994180592</c:v>
                      </c:pt>
                      <c:pt idx="88">
                        <c:v>76.317473164897606</c:v>
                      </c:pt>
                      <c:pt idx="89">
                        <c:v>75.657905091628024</c:v>
                      </c:pt>
                      <c:pt idx="90">
                        <c:v>74.885974664776498</c:v>
                      </c:pt>
                      <c:pt idx="91">
                        <c:v>74.0041200879093</c:v>
                      </c:pt>
                      <c:pt idx="92">
                        <c:v>73.015102684171339</c:v>
                      </c:pt>
                      <c:pt idx="93">
                        <c:v>71.921988774857354</c:v>
                      </c:pt>
                      <c:pt idx="94">
                        <c:v>70.728129831217032</c:v>
                      </c:pt>
                      <c:pt idx="95">
                        <c:v>69.43714111578781</c:v>
                      </c:pt>
                      <c:pt idx="96">
                        <c:v>68.052879041240274</c:v>
                      </c:pt>
                      <c:pt idx="97">
                        <c:v>66.57941748279454</c:v>
                      </c:pt>
                      <c:pt idx="98">
                        <c:v>65.021023284706573</c:v>
                      </c:pt>
                      <c:pt idx="99">
                        <c:v>63.382131202196902</c:v>
                      </c:pt>
                      <c:pt idx="100">
                        <c:v>61.667318517634087</c:v>
                      </c:pt>
                      <c:pt idx="101">
                        <c:v>59.881279563986126</c:v>
                      </c:pt>
                      <c:pt idx="102">
                        <c:v>58.028800379774935</c:v>
                      </c:pt>
                      <c:pt idx="103">
                        <c:v>56.114733708307838</c:v>
                      </c:pt>
                      <c:pt idx="104">
                        <c:v>54.14397454015598</c:v>
                      </c:pt>
                      <c:pt idx="105">
                        <c:v>52.121436382067088</c:v>
                      </c:pt>
                      <c:pt idx="106">
                        <c:v>50.052028418118653</c:v>
                      </c:pt>
                      <c:pt idx="107">
                        <c:v>47.940633710322345</c:v>
                      </c:pt>
                      <c:pt idx="108">
                        <c:v>45.792088566472572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'New_removed_rate - bSIR'!$F$7</c:f>
              <c:strCache>
                <c:ptCount val="1"/>
                <c:pt idx="0">
                  <c:v>Italy accel. data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-5</c:v>
                </c:pt>
                <c:pt idx="56">
                  <c:v>1</c:v>
                </c:pt>
                <c:pt idx="57">
                  <c:v>43</c:v>
                </c:pt>
                <c:pt idx="58">
                  <c:v>-42</c:v>
                </c:pt>
                <c:pt idx="59">
                  <c:v>7</c:v>
                </c:pt>
                <c:pt idx="60">
                  <c:v>26</c:v>
                </c:pt>
                <c:pt idx="61">
                  <c:v>46</c:v>
                </c:pt>
                <c:pt idx="62">
                  <c:v>-46</c:v>
                </c:pt>
                <c:pt idx="63">
                  <c:v>106</c:v>
                </c:pt>
                <c:pt idx="64">
                  <c:v>35</c:v>
                </c:pt>
                <c:pt idx="65">
                  <c:v>-21</c:v>
                </c:pt>
                <c:pt idx="66">
                  <c:v>-56</c:v>
                </c:pt>
                <c:pt idx="67">
                  <c:v>64</c:v>
                </c:pt>
                <c:pt idx="68">
                  <c:v>33</c:v>
                </c:pt>
                <c:pt idx="69">
                  <c:v>249</c:v>
                </c:pt>
                <c:pt idx="70">
                  <c:v>-211</c:v>
                </c:pt>
                <c:pt idx="71">
                  <c:v>165</c:v>
                </c:pt>
                <c:pt idx="72">
                  <c:v>29</c:v>
                </c:pt>
                <c:pt idx="73">
                  <c:v>271</c:v>
                </c:pt>
                <c:pt idx="74">
                  <c:v>35</c:v>
                </c:pt>
                <c:pt idx="75">
                  <c:v>26</c:v>
                </c:pt>
                <c:pt idx="76">
                  <c:v>-226</c:v>
                </c:pt>
                <c:pt idx="77">
                  <c:v>1022</c:v>
                </c:pt>
                <c:pt idx="78">
                  <c:v>-717</c:v>
                </c:pt>
                <c:pt idx="79">
                  <c:v>474</c:v>
                </c:pt>
                <c:pt idx="80">
                  <c:v>420</c:v>
                </c:pt>
                <c:pt idx="81">
                  <c:v>-133</c:v>
                </c:pt>
                <c:pt idx="82">
                  <c:v>-594</c:v>
                </c:pt>
                <c:pt idx="83">
                  <c:v>628</c:v>
                </c:pt>
                <c:pt idx="84">
                  <c:v>82</c:v>
                </c:pt>
                <c:pt idx="85">
                  <c:v>-58</c:v>
                </c:pt>
                <c:pt idx="86">
                  <c:v>-103</c:v>
                </c:pt>
                <c:pt idx="87">
                  <c:v>765</c:v>
                </c:pt>
                <c:pt idx="88">
                  <c:v>-921</c:v>
                </c:pt>
                <c:pt idx="89">
                  <c:v>1000</c:v>
                </c:pt>
                <c:pt idx="90">
                  <c:v>-456</c:v>
                </c:pt>
                <c:pt idx="91">
                  <c:v>-101</c:v>
                </c:pt>
                <c:pt idx="92">
                  <c:v>346</c:v>
                </c:pt>
                <c:pt idx="93">
                  <c:v>55</c:v>
                </c:pt>
                <c:pt idx="94">
                  <c:v>-327</c:v>
                </c:pt>
                <c:pt idx="95">
                  <c:v>-575</c:v>
                </c:pt>
                <c:pt idx="96">
                  <c:v>314</c:v>
                </c:pt>
                <c:pt idx="97">
                  <c:v>501</c:v>
                </c:pt>
                <c:pt idx="98">
                  <c:v>482</c:v>
                </c:pt>
                <c:pt idx="99">
                  <c:v>-52</c:v>
                </c:pt>
                <c:pt idx="100">
                  <c:v>-34</c:v>
                </c:pt>
                <c:pt idx="101">
                  <c:v>143</c:v>
                </c:pt>
                <c:pt idx="102">
                  <c:v>-590</c:v>
                </c:pt>
                <c:pt idx="103">
                  <c:v>-318</c:v>
                </c:pt>
                <c:pt idx="104">
                  <c:v>507</c:v>
                </c:pt>
                <c:pt idx="105">
                  <c:v>-757</c:v>
                </c:pt>
                <c:pt idx="106">
                  <c:v>1057</c:v>
                </c:pt>
                <c:pt idx="107">
                  <c:v>541</c:v>
                </c:pt>
                <c:pt idx="108">
                  <c:v>-456</c:v>
                </c:pt>
                <c:pt idx="109">
                  <c:v>-121</c:v>
                </c:pt>
                <c:pt idx="110">
                  <c:v>-285</c:v>
                </c:pt>
                <c:pt idx="111">
                  <c:v>981</c:v>
                </c:pt>
                <c:pt idx="112">
                  <c:v>123</c:v>
                </c:pt>
                <c:pt idx="113">
                  <c:v>117</c:v>
                </c:pt>
                <c:pt idx="114">
                  <c:v>-155</c:v>
                </c:pt>
                <c:pt idx="115">
                  <c:v>-305</c:v>
                </c:pt>
                <c:pt idx="116">
                  <c:v>-969</c:v>
                </c:pt>
                <c:pt idx="117">
                  <c:v>-39</c:v>
                </c:pt>
                <c:pt idx="118">
                  <c:v>670</c:v>
                </c:pt>
                <c:pt idx="119">
                  <c:v>-65</c:v>
                </c:pt>
                <c:pt idx="120">
                  <c:v>2344</c:v>
                </c:pt>
                <c:pt idx="121">
                  <c:v>-2405</c:v>
                </c:pt>
                <c:pt idx="122">
                  <c:v>-434</c:v>
                </c:pt>
                <c:pt idx="123">
                  <c:v>-225</c:v>
                </c:pt>
                <c:pt idx="124">
                  <c:v>-494</c:v>
                </c:pt>
                <c:pt idx="125">
                  <c:v>1168</c:v>
                </c:pt>
                <c:pt idx="126">
                  <c:v>5795</c:v>
                </c:pt>
                <c:pt idx="127">
                  <c:v>-5078</c:v>
                </c:pt>
                <c:pt idx="128">
                  <c:v>-315</c:v>
                </c:pt>
                <c:pt idx="129">
                  <c:v>1212</c:v>
                </c:pt>
                <c:pt idx="130">
                  <c:v>-1882</c:v>
                </c:pt>
                <c:pt idx="131">
                  <c:v>-740</c:v>
                </c:pt>
                <c:pt idx="132">
                  <c:v>1044</c:v>
                </c:pt>
                <c:pt idx="133">
                  <c:v>1073</c:v>
                </c:pt>
                <c:pt idx="134">
                  <c:v>-688</c:v>
                </c:pt>
                <c:pt idx="135">
                  <c:v>2150</c:v>
                </c:pt>
                <c:pt idx="136">
                  <c:v>-2401</c:v>
                </c:pt>
                <c:pt idx="137">
                  <c:v>-247</c:v>
                </c:pt>
                <c:pt idx="138">
                  <c:v>-262</c:v>
                </c:pt>
                <c:pt idx="139">
                  <c:v>-12</c:v>
                </c:pt>
                <c:pt idx="140">
                  <c:v>805</c:v>
                </c:pt>
                <c:pt idx="141">
                  <c:v>-608</c:v>
                </c:pt>
                <c:pt idx="142">
                  <c:v>-144</c:v>
                </c:pt>
                <c:pt idx="143">
                  <c:v>-51</c:v>
                </c:pt>
                <c:pt idx="144">
                  <c:v>-550</c:v>
                </c:pt>
                <c:pt idx="145">
                  <c:v>-95</c:v>
                </c:pt>
                <c:pt idx="146">
                  <c:v>1161</c:v>
                </c:pt>
                <c:pt idx="147">
                  <c:v>-195</c:v>
                </c:pt>
                <c:pt idx="148">
                  <c:v>1013</c:v>
                </c:pt>
                <c:pt idx="149">
                  <c:v>-1246</c:v>
                </c:pt>
                <c:pt idx="150">
                  <c:v>573</c:v>
                </c:pt>
                <c:pt idx="151">
                  <c:v>-951</c:v>
                </c:pt>
                <c:pt idx="152">
                  <c:v>-1041</c:v>
                </c:pt>
                <c:pt idx="153">
                  <c:v>884</c:v>
                </c:pt>
                <c:pt idx="154">
                  <c:v>-875</c:v>
                </c:pt>
                <c:pt idx="155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'New_removed_rate - bSIR'!$Z$7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bSIR'!$Z$8:$Z$184</c:f>
              <c:numCache>
                <c:formatCode>General</c:formatCode>
                <c:ptCount val="177"/>
                <c:pt idx="0">
                  <c:v>1.3472814689114128</c:v>
                </c:pt>
                <c:pt idx="1">
                  <c:v>1.4164685017059462</c:v>
                </c:pt>
                <c:pt idx="2">
                  <c:v>1.4891745324294052</c:v>
                </c:pt>
                <c:pt idx="3">
                  <c:v>1.5655749400187304</c:v>
                </c:pt>
                <c:pt idx="4">
                  <c:v>1.6458534599188384</c:v>
                </c:pt>
                <c:pt idx="5">
                  <c:v>1.7302025408771835</c:v>
                </c:pt>
                <c:pt idx="6">
                  <c:v>1.8188237123678896</c:v>
                </c:pt>
                <c:pt idx="7">
                  <c:v>1.9119279624000736</c:v>
                </c:pt>
                <c:pt idx="8">
                  <c:v>2.0097361253740167</c:v>
                </c:pt>
                <c:pt idx="9">
                  <c:v>2.1124792795456573</c:v>
                </c:pt>
                <c:pt idx="10">
                  <c:v>2.220399153543525</c:v>
                </c:pt>
                <c:pt idx="11">
                  <c:v>2.3337485412512224</c:v>
                </c:pt>
                <c:pt idx="12">
                  <c:v>2.4527917242213584</c:v>
                </c:pt>
                <c:pt idx="13">
                  <c:v>2.577804900622072</c:v>
                </c:pt>
                <c:pt idx="14">
                  <c:v>2.7090766195329548</c:v>
                </c:pt>
                <c:pt idx="15">
                  <c:v>2.8469082192017856</c:v>
                </c:pt>
                <c:pt idx="16">
                  <c:v>2.9916142676447186</c:v>
                </c:pt>
                <c:pt idx="17">
                  <c:v>3.1435230037185957</c:v>
                </c:pt>
                <c:pt idx="18">
                  <c:v>3.3029767765123337</c:v>
                </c:pt>
                <c:pt idx="19">
                  <c:v>3.4703324805928664</c:v>
                </c:pt>
                <c:pt idx="20">
                  <c:v>3.6459619842968278</c:v>
                </c:pt>
                <c:pt idx="21">
                  <c:v>3.8302525478798901</c:v>
                </c:pt>
                <c:pt idx="22">
                  <c:v>4.0236072279182116</c:v>
                </c:pt>
                <c:pt idx="23">
                  <c:v>4.2264452638980297</c:v>
                </c:pt>
                <c:pt idx="24">
                  <c:v>4.4392024424269509</c:v>
                </c:pt>
                <c:pt idx="25">
                  <c:v>4.6623314339507758</c:v>
                </c:pt>
                <c:pt idx="26">
                  <c:v>4.8963020962594594</c:v>
                </c:pt>
                <c:pt idx="27">
                  <c:v>5.1416017384118113</c:v>
                </c:pt>
                <c:pt idx="28">
                  <c:v>5.3987353379976106</c:v>
                </c:pt>
                <c:pt idx="29">
                  <c:v>5.6682257038841684</c:v>
                </c:pt>
                <c:pt idx="30">
                  <c:v>5.95061357575978</c:v>
                </c:pt>
                <c:pt idx="31">
                  <c:v>6.246457650884861</c:v>
                </c:pt>
                <c:pt idx="32">
                  <c:v>6.5563345274910239</c:v>
                </c:pt>
                <c:pt idx="33">
                  <c:v>6.8808385532260994</c:v>
                </c:pt>
                <c:pt idx="34">
                  <c:v>7.2205815659270058</c:v>
                </c:pt>
                <c:pt idx="35">
                  <c:v>7.576192512811815</c:v>
                </c:pt>
                <c:pt idx="36">
                  <c:v>7.9483169329158159</c:v>
                </c:pt>
                <c:pt idx="37">
                  <c:v>8.3376162862552672</c:v>
                </c:pt>
                <c:pt idx="38">
                  <c:v>8.7447671117875121</c:v>
                </c:pt>
                <c:pt idx="39">
                  <c:v>9.1704599947510808</c:v>
                </c:pt>
                <c:pt idx="40">
                  <c:v>9.6153983224180948</c:v>
                </c:pt>
                <c:pt idx="41">
                  <c:v>10.080296805681844</c:v>
                </c:pt>
                <c:pt idx="42">
                  <c:v>10.565879742242208</c:v>
                </c:pt>
                <c:pt idx="43">
                  <c:v>11.072878995454516</c:v>
                </c:pt>
                <c:pt idx="44">
                  <c:v>11.602031661187246</c:v>
                </c:pt>
                <c:pt idx="45">
                  <c:v>12.154077393310533</c:v>
                </c:pt>
                <c:pt idx="46">
                  <c:v>12.729755356733781</c:v>
                </c:pt>
                <c:pt idx="47">
                  <c:v>13.329800775254826</c:v>
                </c:pt>
                <c:pt idx="48">
                  <c:v>13.954941039909343</c:v>
                </c:pt>
                <c:pt idx="49">
                  <c:v>14.60589134205669</c:v>
                </c:pt>
                <c:pt idx="50">
                  <c:v>15.283349794154768</c:v>
                </c:pt>
                <c:pt idx="51">
                  <c:v>15.987992000115572</c:v>
                </c:pt>
                <c:pt idx="52">
                  <c:v>16.720465036358128</c:v>
                </c:pt>
                <c:pt idx="53">
                  <c:v>17.481380804258208</c:v>
                </c:pt>
                <c:pt idx="54">
                  <c:v>18.271308714715904</c:v>
                </c:pt>
                <c:pt idx="55">
                  <c:v>19.090767666116069</c:v>
                </c:pt>
                <c:pt idx="56">
                  <c:v>19.940217278143063</c:v>
                </c:pt>
                <c:pt idx="57">
                  <c:v>20.820048345848001</c:v>
                </c:pt>
                <c:pt idx="58">
                  <c:v>21.730572481175344</c:v>
                </c:pt>
                <c:pt idx="59">
                  <c:v>22.672010912976045</c:v>
                </c:pt>
                <c:pt idx="60">
                  <c:v>23.644482421512127</c:v>
                </c:pt>
                <c:pt idx="61">
                  <c:v>24.647990389750962</c:v>
                </c:pt>
                <c:pt idx="62">
                  <c:v>25.682408961522171</c:v>
                </c:pt>
                <c:pt idx="63">
                  <c:v>26.747468306038183</c:v>
                </c:pt>
                <c:pt idx="64">
                  <c:v>27.842738999537421</c:v>
                </c:pt>
                <c:pt idx="65">
                  <c:v>28.967615548071834</c:v>
                </c:pt>
                <c:pt idx="66">
                  <c:v>30.121299090901331</c:v>
                </c:pt>
                <c:pt idx="67">
                  <c:v>31.302779341733014</c:v>
                </c:pt>
                <c:pt idx="68">
                  <c:v>32.510815845301664</c:v>
                </c:pt>
                <c:pt idx="69">
                  <c:v>33.743918649641408</c:v>
                </c:pt>
                <c:pt idx="70">
                  <c:v>35.000328519931195</c:v>
                </c:pt>
                <c:pt idx="71">
                  <c:v>36.27799684804264</c:v>
                </c:pt>
                <c:pt idx="72">
                  <c:v>37.574565442849909</c:v>
                </c:pt>
                <c:pt idx="73">
                  <c:v>38.887346419881197</c:v>
                </c:pt>
                <c:pt idx="74">
                  <c:v>40.213302444807226</c:v>
                </c:pt>
                <c:pt idx="75">
                  <c:v>41.549027623281759</c:v>
                </c:pt>
                <c:pt idx="76">
                  <c:v>42.890729369351298</c:v>
                </c:pt>
                <c:pt idx="77">
                  <c:v>44.234211625481585</c:v>
                </c:pt>
                <c:pt idx="78">
                  <c:v>45.574859848487201</c:v>
                </c:pt>
                <c:pt idx="79">
                  <c:v>46.907628216418452</c:v>
                </c:pt>
                <c:pt idx="80">
                  <c:v>48.227029550679383</c:v>
                </c:pt>
                <c:pt idx="81">
                  <c:v>49.527128484067873</c:v>
                </c:pt>
                <c:pt idx="82">
                  <c:v>50.801538437581328</c:v>
                </c:pt>
                <c:pt idx="83">
                  <c:v>52.043422995072369</c:v>
                </c:pt>
                <c:pt idx="84">
                  <c:v>53.245502283342461</c:v>
                </c:pt>
                <c:pt idx="85">
                  <c:v>54.400064974042429</c:v>
                </c:pt>
                <c:pt idx="86">
                  <c:v>55.498986520704406</c:v>
                </c:pt>
                <c:pt idx="87">
                  <c:v>56.533754227183437</c:v>
                </c:pt>
                <c:pt idx="88">
                  <c:v>57.495499710555826</c:v>
                </c:pt>
                <c:pt idx="89">
                  <c:v>58.375039269993266</c:v>
                </c:pt>
                <c:pt idx="90">
                  <c:v>59.162922601361664</c:v>
                </c:pt>
                <c:pt idx="91">
                  <c:v>59.849490203617208</c:v>
                </c:pt>
                <c:pt idx="92">
                  <c:v>60.424939706224315</c:v>
                </c:pt>
                <c:pt idx="93">
                  <c:v>60.879401206076309</c:v>
                </c:pt>
                <c:pt idx="94">
                  <c:v>61.203021537704814</c:v>
                </c:pt>
                <c:pt idx="95">
                  <c:v>61.386057212689195</c:v>
                </c:pt>
                <c:pt idx="96">
                  <c:v>61.41897555482926</c:v>
                </c:pt>
                <c:pt idx="97">
                  <c:v>61.292563329595339</c:v>
                </c:pt>
                <c:pt idx="98">
                  <c:v>60.998041923543362</c:v>
                </c:pt>
                <c:pt idx="99">
                  <c:v>60.527187876886899</c:v>
                </c:pt>
                <c:pt idx="100">
                  <c:v>59.872457316569943</c:v>
                </c:pt>
                <c:pt idx="101">
                  <c:v>59.02711258543075</c:v>
                </c:pt>
                <c:pt idx="102">
                  <c:v>57.985349123842902</c:v>
                </c:pt>
                <c:pt idx="103">
                  <c:v>56.742420442839567</c:v>
                </c:pt>
                <c:pt idx="104">
                  <c:v>55.294758841965944</c:v>
                </c:pt>
                <c:pt idx="105">
                  <c:v>53.640089380950279</c:v>
                </c:pt>
                <c:pt idx="106">
                  <c:v>51.777534521480341</c:v>
                </c:pt>
                <c:pt idx="107">
                  <c:v>49.70770682296169</c:v>
                </c:pt>
                <c:pt idx="108">
                  <c:v>47.432787111940385</c:v>
                </c:pt>
                <c:pt idx="109">
                  <c:v>44.956585654994271</c:v>
                </c:pt>
                <c:pt idx="110">
                  <c:v>42.284584053206892</c:v>
                </c:pt>
                <c:pt idx="111">
                  <c:v>39.423955844040826</c:v>
                </c:pt>
                <c:pt idx="112">
                  <c:v>36.383564141708163</c:v>
                </c:pt>
                <c:pt idx="113">
                  <c:v>33.173935064923924</c:v>
                </c:pt>
                <c:pt idx="114">
                  <c:v>29.807206182807921</c:v>
                </c:pt>
                <c:pt idx="115">
                  <c:v>26.297049744002368</c:v>
                </c:pt>
                <c:pt idx="116">
                  <c:v>22.658571026142592</c:v>
                </c:pt>
                <c:pt idx="117">
                  <c:v>18.908182735465786</c:v>
                </c:pt>
                <c:pt idx="118">
                  <c:v>15.063456980484222</c:v>
                </c:pt>
                <c:pt idx="119">
                  <c:v>11.142956919067371</c:v>
                </c:pt>
                <c:pt idx="120">
                  <c:v>7.1660507145285992</c:v>
                </c:pt>
                <c:pt idx="121">
                  <c:v>3.1527109136619647</c:v>
                </c:pt>
                <c:pt idx="122">
                  <c:v>-0.87669723993003768</c:v>
                </c:pt>
                <c:pt idx="123">
                  <c:v>-4.9016347359076615</c:v>
                </c:pt>
                <c:pt idx="124">
                  <c:v>-8.9016109459008561</c:v>
                </c:pt>
                <c:pt idx="125">
                  <c:v>-12.856404875223943</c:v>
                </c:pt>
                <c:pt idx="126">
                  <c:v>-16.746281427321136</c:v>
                </c:pt>
                <c:pt idx="127">
                  <c:v>-20.552198731219264</c:v>
                </c:pt>
                <c:pt idx="128">
                  <c:v>-24.256002832420652</c:v>
                </c:pt>
                <c:pt idx="129">
                  <c:v>-27.840606397543649</c:v>
                </c:pt>
                <c:pt idx="130">
                  <c:v>-31.290148518960475</c:v>
                </c:pt>
                <c:pt idx="131">
                  <c:v>-34.590133210992235</c:v>
                </c:pt>
                <c:pt idx="132">
                  <c:v>-37.727544744998376</c:v>
                </c:pt>
                <c:pt idx="133">
                  <c:v>-40.690938556780317</c:v>
                </c:pt>
                <c:pt idx="134">
                  <c:v>-43.470507055648433</c:v>
                </c:pt>
                <c:pt idx="135">
                  <c:v>-46.058120250447828</c:v>
                </c:pt>
                <c:pt idx="136">
                  <c:v>-48.447341665456072</c:v>
                </c:pt>
                <c:pt idx="137">
                  <c:v>-50.633420532198727</c:v>
                </c:pt>
                <c:pt idx="138">
                  <c:v>-52.613261698476322</c:v>
                </c:pt>
                <c:pt idx="139">
                  <c:v>-54.385375082982009</c:v>
                </c:pt>
                <c:pt idx="140">
                  <c:v>-55.949806815852511</c:v>
                </c:pt>
                <c:pt idx="141">
                  <c:v>-57.308054438703046</c:v>
                </c:pt>
                <c:pt idx="142">
                  <c:v>-58.462968691679727</c:v>
                </c:pt>
                <c:pt idx="143">
                  <c:v>-59.418644492241974</c:v>
                </c:pt>
                <c:pt idx="144">
                  <c:v>-60.180303715657857</c:v>
                </c:pt>
                <c:pt idx="145">
                  <c:v>-60.754172327468872</c:v>
                </c:pt>
                <c:pt idx="146">
                  <c:v>-61.147354301877257</c:v>
                </c:pt>
                <c:pt idx="147">
                  <c:v>-61.367704596533926</c:v>
                </c:pt>
                <c:pt idx="148">
                  <c:v>-61.423703253464588</c:v>
                </c:pt>
                <c:pt idx="149">
                  <c:v>-61.3243324678186</c:v>
                </c:pt>
                <c:pt idx="150">
                  <c:v>-61.078958220365671</c:v>
                </c:pt>
                <c:pt idx="151">
                  <c:v>-60.697217815145606</c:v>
                </c:pt>
                <c:pt idx="152">
                  <c:v>-60.188914408437853</c:v>
                </c:pt>
                <c:pt idx="153">
                  <c:v>-59.563919366220105</c:v>
                </c:pt>
                <c:pt idx="154">
                  <c:v>-58.832083050330475</c:v>
                </c:pt>
                <c:pt idx="155">
                  <c:v>-58.003154413219569</c:v>
                </c:pt>
                <c:pt idx="156">
                  <c:v>-57.086709580896596</c:v>
                </c:pt>
                <c:pt idx="157">
                  <c:v>-56.092089425728624</c:v>
                </c:pt>
                <c:pt idx="158">
                  <c:v>-55.028345976433826</c:v>
                </c:pt>
                <c:pt idx="159">
                  <c:v>-53.90419738230927</c:v>
                </c:pt>
                <c:pt idx="160">
                  <c:v>-52.72799104208832</c:v>
                </c:pt>
                <c:pt idx="161">
                  <c:v>-51.507674423858226</c:v>
                </c:pt>
                <c:pt idx="162">
                  <c:v>-50.250773039726376</c:v>
                </c:pt>
                <c:pt idx="163">
                  <c:v>-48.964374995606249</c:v>
                </c:pt>
                <c:pt idx="164">
                  <c:v>-47.655121510568762</c:v>
                </c:pt>
                <c:pt idx="165">
                  <c:v>-46.32920278951795</c:v>
                </c:pt>
                <c:pt idx="166">
                  <c:v>-44.992358635314915</c:v>
                </c:pt>
                <c:pt idx="167">
                  <c:v>-43.649883199736095</c:v>
                </c:pt>
                <c:pt idx="168">
                  <c:v>-42.306633294755173</c:v>
                </c:pt>
                <c:pt idx="169">
                  <c:v>-40.967039714667209</c:v>
                </c:pt>
                <c:pt idx="170">
                  <c:v>-39.635121053770263</c:v>
                </c:pt>
                <c:pt idx="171">
                  <c:v>-38.314499542124864</c:v>
                </c:pt>
                <c:pt idx="172">
                  <c:v>-37.008418461947855</c:v>
                </c:pt>
                <c:pt idx="173">
                  <c:v>-35.719760748290675</c:v>
                </c:pt>
                <c:pt idx="174">
                  <c:v>-34.451068418811296</c:v>
                </c:pt>
                <c:pt idx="175">
                  <c:v>-33.204562517867004</c:v>
                </c:pt>
                <c:pt idx="176">
                  <c:v>-31.982163299185945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'New_removed_rate - bSIR'!$L$7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bSIR'!$L$8:$L$184</c:f>
              <c:numCache>
                <c:formatCode>General</c:formatCode>
                <c:ptCount val="177"/>
                <c:pt idx="0">
                  <c:v>1.3361189791669204</c:v>
                </c:pt>
                <c:pt idx="1">
                  <c:v>1.4043958950211433</c:v>
                </c:pt>
                <c:pt idx="2">
                  <c:v>1.4761439767200106</c:v>
                </c:pt>
                <c:pt idx="3">
                  <c:v>1.5515368600356823</c:v>
                </c:pt>
                <c:pt idx="4">
                  <c:v>1.6307565246554467</c:v>
                </c:pt>
                <c:pt idx="5">
                  <c:v>1.7139936565888494</c:v>
                </c:pt>
                <c:pt idx="6">
                  <c:v>1.8014480219445981</c:v>
                </c:pt>
                <c:pt idx="7">
                  <c:v>1.8933288518981535</c:v>
                </c:pt>
                <c:pt idx="8">
                  <c:v>1.9898552385842729</c:v>
                </c:pt>
                <c:pt idx="9">
                  <c:v>2.091256541550401</c:v>
                </c:pt>
                <c:pt idx="10">
                  <c:v>2.1977728042951803</c:v>
                </c:pt>
                <c:pt idx="11">
                  <c:v>2.309655180290235</c:v>
                </c:pt>
                <c:pt idx="12">
                  <c:v>2.4271663677412283</c:v>
                </c:pt>
                <c:pt idx="13">
                  <c:v>2.5505810521843801</c:v>
                </c:pt>
                <c:pt idx="14">
                  <c:v>2.6801863558354322</c:v>
                </c:pt>
                <c:pt idx="15">
                  <c:v>2.8162822924074957</c:v>
                </c:pt>
                <c:pt idx="16">
                  <c:v>2.9591822258903671</c:v>
                </c:pt>
                <c:pt idx="17">
                  <c:v>3.1092133315343706</c:v>
                </c:pt>
                <c:pt idx="18">
                  <c:v>3.2667170570045738</c:v>
                </c:pt>
                <c:pt idx="19">
                  <c:v>3.4320495813632834</c:v>
                </c:pt>
                <c:pt idx="20">
                  <c:v>3.6055822691979103</c:v>
                </c:pt>
                <c:pt idx="21">
                  <c:v>3.7877021168344172</c:v>
                </c:pt>
                <c:pt idx="22">
                  <c:v>3.9788121871606679</c:v>
                </c:pt>
                <c:pt idx="23">
                  <c:v>4.1793320291260843</c:v>
                </c:pt>
                <c:pt idx="24">
                  <c:v>4.389698077480519</c:v>
                </c:pt>
                <c:pt idx="25">
                  <c:v>4.6103640277629889</c:v>
                </c:pt>
                <c:pt idx="26">
                  <c:v>4.8418011809460477</c:v>
                </c:pt>
                <c:pt idx="27">
                  <c:v>5.0844987514808153</c:v>
                </c:pt>
                <c:pt idx="28">
                  <c:v>5.3389641317668959</c:v>
                </c:pt>
                <c:pt idx="29">
                  <c:v>5.6057231052872867</c:v>
                </c:pt>
                <c:pt idx="30">
                  <c:v>5.8853199997970806</c:v>
                </c:pt>
                <c:pt idx="31">
                  <c:v>6.1783177710326509</c:v>
                </c:pt>
                <c:pt idx="32">
                  <c:v>6.4852980064118508</c:v>
                </c:pt>
                <c:pt idx="33">
                  <c:v>6.8068608371226142</c:v>
                </c:pt>
                <c:pt idx="34">
                  <c:v>7.1436247458441757</c:v>
                </c:pt>
                <c:pt idx="35">
                  <c:v>7.4962262561102255</c:v>
                </c:pt>
                <c:pt idx="36">
                  <c:v>7.8653194880048947</c:v>
                </c:pt>
                <c:pt idx="37">
                  <c:v>8.2515755634806673</c:v>
                </c:pt>
                <c:pt idx="38">
                  <c:v>8.6556818431018456</c:v>
                </c:pt>
                <c:pt idx="39">
                  <c:v>9.0783409744508941</c:v>
                </c:pt>
                <c:pt idx="40">
                  <c:v>9.5202697307912185</c:v>
                </c:pt>
                <c:pt idx="41">
                  <c:v>9.9821976168643758</c:v>
                </c:pt>
                <c:pt idx="42">
                  <c:v>10.464865216920396</c:v>
                </c:pt>
                <c:pt idx="43">
                  <c:v>10.969022258248472</c:v>
                </c:pt>
                <c:pt idx="44">
                  <c:v>11.49542536160461</c:v>
                </c:pt>
                <c:pt idx="45">
                  <c:v>12.044835448042591</c:v>
                </c:pt>
                <c:pt idx="46">
                  <c:v>12.618014769766386</c:v>
                </c:pt>
                <c:pt idx="47">
                  <c:v>13.215723530763785</c:v>
                </c:pt>
                <c:pt idx="48">
                  <c:v>13.838716061185831</c:v>
                </c:pt>
                <c:pt idx="49">
                  <c:v>14.487736507745254</c:v>
                </c:pt>
                <c:pt idx="50">
                  <c:v>15.163514000865591</c:v>
                </c:pt>
                <c:pt idx="51">
                  <c:v>15.8667572579775</c:v>
                </c:pt>
                <c:pt idx="52">
                  <c:v>16.59814858129424</c:v>
                </c:pt>
                <c:pt idx="53">
                  <c:v>17.358337207677593</c:v>
                </c:pt>
                <c:pt idx="54">
                  <c:v>18.147931967915461</c:v>
                </c:pt>
                <c:pt idx="55">
                  <c:v>18.967493212967469</c:v>
                </c:pt>
                <c:pt idx="56">
                  <c:v>19.817523965604966</c:v>
                </c:pt>
                <c:pt idx="57">
                  <c:v>20.698460257497743</c:v>
                </c:pt>
                <c:pt idx="58">
                  <c:v>21.610660614315005</c:v>
                </c:pt>
                <c:pt idx="59">
                  <c:v>22.554394654961293</c:v>
                </c:pt>
                <c:pt idx="60">
                  <c:v>23.529830775818283</c:v>
                </c:pt>
                <c:pt idx="61">
                  <c:v>24.537022896982389</c:v>
                </c:pt>
                <c:pt idx="62">
                  <c:v>25.575896255161346</c:v>
                </c:pt>
                <c:pt idx="63">
                  <c:v>26.646232237307863</c:v>
                </c:pt>
                <c:pt idx="64">
                  <c:v>27.747652260428296</c:v>
                </c:pt>
                <c:pt idx="65">
                  <c:v>28.879600716503873</c:v>
                </c:pt>
                <c:pt idx="66">
                  <c:v>30.041327017304905</c:v>
                </c:pt>
                <c:pt idx="67">
                  <c:v>31.231866792246841</c:v>
                </c:pt>
                <c:pt idx="68">
                  <c:v>32.450022313512768</c:v>
                </c:pt>
                <c:pt idx="69">
                  <c:v>33.694342246590509</c:v>
                </c:pt>
                <c:pt idx="70">
                  <c:v>34.963100851260421</c:v>
                </c:pt>
                <c:pt idx="71">
                  <c:v>36.254276787988076</c:v>
                </c:pt>
                <c:pt idx="72">
                  <c:v>37.565531717621006</c:v>
                </c:pt>
                <c:pt idx="73">
                  <c:v>38.894188918191603</c:v>
                </c:pt>
                <c:pt idx="74">
                  <c:v>40.23721218131093</c:v>
                </c:pt>
                <c:pt idx="75">
                  <c:v>41.591185291819336</c:v>
                </c:pt>
                <c:pt idx="76">
                  <c:v>42.952292437616741</c:v>
                </c:pt>
                <c:pt idx="77">
                  <c:v>44.316299941352916</c:v>
                </c:pt>
                <c:pt idx="78">
                  <c:v>45.678539751171449</c:v>
                </c:pt>
                <c:pt idx="79">
                  <c:v>47.033895173025471</c:v>
                </c:pt>
                <c:pt idx="80">
                  <c:v>48.376789371072491</c:v>
                </c:pt>
                <c:pt idx="81">
                  <c:v>49.701177203943637</c:v>
                </c:pt>
                <c:pt idx="82">
                  <c:v>51.000541001674193</c:v>
                </c:pt>
                <c:pt idx="83">
                  <c:v>52.267890918961946</c:v>
                </c:pt>
                <c:pt idx="84">
                  <c:v>53.495770523163898</c:v>
                </c:pt>
                <c:pt idx="85">
                  <c:v>54.676268287828464</c:v>
                </c:pt>
                <c:pt idx="86">
                  <c:v>55.801035662228649</c:v>
                </c:pt>
                <c:pt idx="87">
                  <c:v>56.861312371845372</c:v>
                </c:pt>
                <c:pt idx="88">
                  <c:v>57.847959571558938</c:v>
                </c:pt>
                <c:pt idx="89">
                  <c:v>58.751501420015344</c:v>
                </c:pt>
                <c:pt idx="90">
                  <c:v>59.562175567985605</c:v>
                </c:pt>
                <c:pt idx="91">
                  <c:v>60.269992953576768</c:v>
                </c:pt>
                <c:pt idx="92">
                  <c:v>60.864807171365598</c:v>
                </c:pt>
                <c:pt idx="93">
                  <c:v>61.336393529996769</c:v>
                </c:pt>
                <c:pt idx="94">
                  <c:v>61.674537733358349</c:v>
                </c:pt>
                <c:pt idx="95">
                  <c:v>61.869133914889716</c:v>
                </c:pt>
                <c:pt idx="96">
                  <c:v>61.910291524739925</c:v>
                </c:pt>
                <c:pt idx="97">
                  <c:v>61.788450318440738</c:v>
                </c:pt>
                <c:pt idx="98">
                  <c:v>61.494502427874863</c:v>
                </c:pt>
                <c:pt idx="99">
                  <c:v>61.019920216370885</c:v>
                </c:pt>
                <c:pt idx="100">
                  <c:v>60.356888336885383</c:v>
                </c:pt>
                <c:pt idx="101">
                  <c:v>59.49843813390828</c:v>
                </c:pt>
                <c:pt idx="102">
                  <c:v>58.438582265571043</c:v>
                </c:pt>
                <c:pt idx="103">
                  <c:v>57.172447183018249</c:v>
                </c:pt>
                <c:pt idx="104">
                  <c:v>55.696400900578389</c:v>
                </c:pt>
                <c:pt idx="105">
                  <c:v>54.008173334006585</c:v>
                </c:pt>
                <c:pt idx="106">
                  <c:v>52.106966386116355</c:v>
                </c:pt>
                <c:pt idx="107">
                  <c:v>49.99355092966973</c:v>
                </c:pt>
                <c:pt idx="108">
                  <c:v>47.67034788519679</c:v>
                </c:pt>
                <c:pt idx="109">
                  <c:v>45.141490723148081</c:v>
                </c:pt>
                <c:pt idx="110">
                  <c:v>42.412866939503409</c:v>
                </c:pt>
                <c:pt idx="111">
                  <c:v>39.492136362574286</c:v>
                </c:pt>
                <c:pt idx="112">
                  <c:v>36.388724543624541</c:v>
                </c:pt>
                <c:pt idx="113">
                  <c:v>33.113789958678417</c:v>
                </c:pt>
                <c:pt idx="114">
                  <c:v>29.680164293220933</c:v>
                </c:pt>
                <c:pt idx="115">
                  <c:v>26.102265681447172</c:v>
                </c:pt>
                <c:pt idx="116">
                  <c:v>22.39598540994729</c:v>
                </c:pt>
                <c:pt idx="117">
                  <c:v>18.578549252128617</c:v>
                </c:pt>
                <c:pt idx="118">
                  <c:v>14.668355252175399</c:v>
                </c:pt>
                <c:pt idx="119">
                  <c:v>10.684790402798855</c:v>
                </c:pt>
                <c:pt idx="120">
                  <c:v>6.6480292363226843</c:v>
                </c:pt>
                <c:pt idx="121">
                  <c:v>2.5788178518136018</c:v>
                </c:pt>
                <c:pt idx="122">
                  <c:v>-1.5017526876974077</c:v>
                </c:pt>
                <c:pt idx="123">
                  <c:v>-5.5724793507748069</c:v>
                </c:pt>
                <c:pt idx="124">
                  <c:v>-9.6122821062061803</c:v>
                </c:pt>
                <c:pt idx="125">
                  <c:v>-13.600436390327998</c:v>
                </c:pt>
                <c:pt idx="126">
                  <c:v>-17.516798674129511</c:v>
                </c:pt>
                <c:pt idx="127">
                  <c:v>-21.342020933605674</c:v>
                </c:pt>
                <c:pt idx="128">
                  <c:v>-25.057750147814065</c:v>
                </c:pt>
                <c:pt idx="129">
                  <c:v>-28.646809375597865</c:v>
                </c:pt>
                <c:pt idx="130">
                  <c:v>-32.093357476901041</c:v>
                </c:pt>
                <c:pt idx="131">
                  <c:v>-35.383025127845698</c:v>
                </c:pt>
                <c:pt idx="132">
                  <c:v>-38.503025408059621</c:v>
                </c:pt>
                <c:pt idx="133">
                  <c:v>-41.442237890983222</c:v>
                </c:pt>
                <c:pt idx="134">
                  <c:v>-44.191265820102117</c:v>
                </c:pt>
                <c:pt idx="135">
                  <c:v>-46.74246658452094</c:v>
                </c:pt>
                <c:pt idx="136">
                  <c:v>-49.089956296440683</c:v>
                </c:pt>
                <c:pt idx="137">
                  <c:v>-51.229589804250708</c:v>
                </c:pt>
                <c:pt idx="138">
                  <c:v>-53.158917934832523</c:v>
                </c:pt>
                <c:pt idx="139">
                  <c:v>-54.877124137789473</c:v>
                </c:pt>
                <c:pt idx="140">
                  <c:v>-56.38494299698305</c:v>
                </c:pt>
                <c:pt idx="141">
                  <c:v>-57.684563279037441</c:v>
                </c:pt>
                <c:pt idx="142">
                  <c:v>-58.779518305878511</c:v>
                </c:pt>
                <c:pt idx="143">
                  <c:v>-59.674566473451684</c:v>
                </c:pt>
                <c:pt idx="144">
                  <c:v>-60.375564698571665</c:v>
                </c:pt>
                <c:pt idx="145">
                  <c:v>-60.889337469381132</c:v>
                </c:pt>
                <c:pt idx="146">
                  <c:v>-61.223544012458397</c:v>
                </c:pt>
                <c:pt idx="147">
                  <c:v>-61.386545882265807</c:v>
                </c:pt>
                <c:pt idx="148">
                  <c:v>-61.387277037639329</c:v>
                </c:pt>
                <c:pt idx="149">
                  <c:v>-61.235118206364959</c:v>
                </c:pt>
                <c:pt idx="150">
                  <c:v>-60.939777062882484</c:v>
                </c:pt>
                <c:pt idx="151">
                  <c:v>-60.511175465145037</c:v>
                </c:pt>
                <c:pt idx="152">
                  <c:v>-59.959344722783165</c:v>
                </c:pt>
                <c:pt idx="153">
                  <c:v>-59.294329606802521</c:v>
                </c:pt>
                <c:pt idx="154">
                  <c:v>-58.526101566535026</c:v>
                </c:pt>
                <c:pt idx="155">
                  <c:v>-57.664481396552532</c:v>
                </c:pt>
                <c:pt idx="156">
                  <c:v>-56.719071397544703</c:v>
                </c:pt>
                <c:pt idx="157">
                  <c:v>-55.699196902379988</c:v>
                </c:pt>
                <c:pt idx="158">
                  <c:v>-54.613856892294457</c:v>
                </c:pt>
                <c:pt idx="159">
                  <c:v>-53.471683308089737</c:v>
                </c:pt>
                <c:pt idx="160">
                  <c:v>-52.280908566347172</c:v>
                </c:pt>
                <c:pt idx="161">
                  <c:v>-51.049340719401023</c:v>
                </c:pt>
                <c:pt idx="162">
                  <c:v>-49.784345648174394</c:v>
                </c:pt>
                <c:pt idx="163">
                  <c:v>-48.492835646705728</c:v>
                </c:pt>
                <c:pt idx="164">
                  <c:v>-47.181263743884195</c:v>
                </c:pt>
                <c:pt idx="165">
                  <c:v>-45.855623109113125</c:v>
                </c:pt>
                <c:pt idx="166">
                  <c:v>-44.521450901933036</c:v>
                </c:pt>
                <c:pt idx="167">
                  <c:v>-43.183835948753085</c:v>
                </c:pt>
                <c:pt idx="168">
                  <c:v>-41.847429660621799</c:v>
                </c:pt>
                <c:pt idx="169">
                  <c:v>-40.516459642463417</c:v>
                </c:pt>
                <c:pt idx="170">
                  <c:v>-39.194745484667614</c:v>
                </c:pt>
                <c:pt idx="171">
                  <c:v>-37.885716270832475</c:v>
                </c:pt>
                <c:pt idx="172">
                  <c:v>-36.592429379517149</c:v>
                </c:pt>
                <c:pt idx="173">
                  <c:v>-35.317590201975698</c:v>
                </c:pt>
                <c:pt idx="174">
                  <c:v>-34.063572441129566</c:v>
                </c:pt>
                <c:pt idx="175">
                  <c:v>-32.832438698789637</c:v>
                </c:pt>
                <c:pt idx="176">
                  <c:v>-31.625961097827151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'New_removed_rate - bSIR'!$AI$7</c15:sqref>
                        </c15:formulaRef>
                      </c:ext>
                    </c:extLst>
                    <c:strCache>
                      <c:ptCount val="1"/>
                      <c:pt idx="0">
                        <c:v>selected region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4</c:v>
                      </c:pt>
                      <c:pt idx="60" formatCode="General">
                        <c:v>-4</c:v>
                      </c:pt>
                      <c:pt idx="61" formatCode="General">
                        <c:v>0</c:v>
                      </c:pt>
                      <c:pt idx="62" formatCode="General">
                        <c:v>1</c:v>
                      </c:pt>
                      <c:pt idx="63" formatCode="General">
                        <c:v>-1</c:v>
                      </c:pt>
                      <c:pt idx="64" formatCode="General">
                        <c:v>2</c:v>
                      </c:pt>
                      <c:pt idx="65" formatCode="General">
                        <c:v>-1</c:v>
                      </c:pt>
                      <c:pt idx="66" formatCode="General">
                        <c:v>0</c:v>
                      </c:pt>
                      <c:pt idx="67" formatCode="General">
                        <c:v>1</c:v>
                      </c:pt>
                      <c:pt idx="68" formatCode="General">
                        <c:v>-1</c:v>
                      </c:pt>
                      <c:pt idx="69" formatCode="General">
                        <c:v>0</c:v>
                      </c:pt>
                      <c:pt idx="70" formatCode="General">
                        <c:v>-1</c:v>
                      </c:pt>
                      <c:pt idx="71" formatCode="General">
                        <c:v>18</c:v>
                      </c:pt>
                      <c:pt idx="72" formatCode="General">
                        <c:v>-8</c:v>
                      </c:pt>
                      <c:pt idx="73" formatCode="General">
                        <c:v>28</c:v>
                      </c:pt>
                      <c:pt idx="74" formatCode="General">
                        <c:v>-51</c:v>
                      </c:pt>
                      <c:pt idx="75" formatCode="General">
                        <c:v>39</c:v>
                      </c:pt>
                      <c:pt idx="76" formatCode="General">
                        <c:v>-1</c:v>
                      </c:pt>
                      <c:pt idx="77" formatCode="General">
                        <c:v>1</c:v>
                      </c:pt>
                      <c:pt idx="78" formatCode="General">
                        <c:v>7</c:v>
                      </c:pt>
                      <c:pt idx="79" formatCode="General">
                        <c:v>11</c:v>
                      </c:pt>
                      <c:pt idx="80" formatCode="General">
                        <c:v>13</c:v>
                      </c:pt>
                      <c:pt idx="81" formatCode="General">
                        <c:v>-20</c:v>
                      </c:pt>
                      <c:pt idx="82" formatCode="General">
                        <c:v>20</c:v>
                      </c:pt>
                      <c:pt idx="83" formatCode="General">
                        <c:v>-4</c:v>
                      </c:pt>
                      <c:pt idx="84" formatCode="General">
                        <c:v>2</c:v>
                      </c:pt>
                      <c:pt idx="85" formatCode="General">
                        <c:v>6</c:v>
                      </c:pt>
                      <c:pt idx="86" formatCode="General">
                        <c:v>35</c:v>
                      </c:pt>
                      <c:pt idx="87" formatCode="General">
                        <c:v>4</c:v>
                      </c:pt>
                      <c:pt idx="88" formatCode="General">
                        <c:v>-39</c:v>
                      </c:pt>
                      <c:pt idx="89" formatCode="General">
                        <c:v>-24</c:v>
                      </c:pt>
                      <c:pt idx="90" formatCode="General">
                        <c:v>37</c:v>
                      </c:pt>
                      <c:pt idx="91" formatCode="General">
                        <c:v>33</c:v>
                      </c:pt>
                      <c:pt idx="92" formatCode="General">
                        <c:v>0</c:v>
                      </c:pt>
                      <c:pt idx="93" formatCode="General">
                        <c:v>-10</c:v>
                      </c:pt>
                      <c:pt idx="94" formatCode="General">
                        <c:v>-7</c:v>
                      </c:pt>
                      <c:pt idx="95" formatCode="General">
                        <c:v>-43</c:v>
                      </c:pt>
                      <c:pt idx="96" formatCode="General">
                        <c:v>29</c:v>
                      </c:pt>
                      <c:pt idx="97" formatCode="General">
                        <c:v>37</c:v>
                      </c:pt>
                      <c:pt idx="98" formatCode="General">
                        <c:v>3</c:v>
                      </c:pt>
                      <c:pt idx="99" formatCode="General">
                        <c:v>-10</c:v>
                      </c:pt>
                      <c:pt idx="100" formatCode="General">
                        <c:v>17</c:v>
                      </c:pt>
                      <c:pt idx="101" formatCode="General">
                        <c:v>30</c:v>
                      </c:pt>
                      <c:pt idx="102" formatCode="General">
                        <c:v>-35</c:v>
                      </c:pt>
                      <c:pt idx="103" formatCode="General">
                        <c:v>-48</c:v>
                      </c:pt>
                      <c:pt idx="104" formatCode="General">
                        <c:v>41</c:v>
                      </c:pt>
                      <c:pt idx="105" formatCode="General">
                        <c:v>19</c:v>
                      </c:pt>
                      <c:pt idx="106" formatCode="General">
                        <c:v>0</c:v>
                      </c:pt>
                      <c:pt idx="107" formatCode="General">
                        <c:v>-3</c:v>
                      </c:pt>
                      <c:pt idx="108" formatCode="General">
                        <c:v>33</c:v>
                      </c:pt>
                      <c:pt idx="109" formatCode="General">
                        <c:v>-11</c:v>
                      </c:pt>
                      <c:pt idx="110" formatCode="General">
                        <c:v>-14</c:v>
                      </c:pt>
                      <c:pt idx="111" formatCode="General">
                        <c:v>-7</c:v>
                      </c:pt>
                      <c:pt idx="112" formatCode="General">
                        <c:v>13</c:v>
                      </c:pt>
                      <c:pt idx="113" formatCode="General">
                        <c:v>0</c:v>
                      </c:pt>
                      <c:pt idx="114" formatCode="General">
                        <c:v>12</c:v>
                      </c:pt>
                      <c:pt idx="115" formatCode="General">
                        <c:v>-21</c:v>
                      </c:pt>
                      <c:pt idx="116" formatCode="General">
                        <c:v>8</c:v>
                      </c:pt>
                      <c:pt idx="117" formatCode="General">
                        <c:v>-86</c:v>
                      </c:pt>
                      <c:pt idx="118" formatCode="General">
                        <c:v>85</c:v>
                      </c:pt>
                      <c:pt idx="119" formatCode="General">
                        <c:v>-27</c:v>
                      </c:pt>
                      <c:pt idx="120" formatCode="General">
                        <c:v>17</c:v>
                      </c:pt>
                      <c:pt idx="121" formatCode="General">
                        <c:v>37</c:v>
                      </c:pt>
                      <c:pt idx="122" formatCode="General">
                        <c:v>-60</c:v>
                      </c:pt>
                      <c:pt idx="123" formatCode="General">
                        <c:v>-12</c:v>
                      </c:pt>
                      <c:pt idx="124" formatCode="General">
                        <c:v>2</c:v>
                      </c:pt>
                      <c:pt idx="125" formatCode="General">
                        <c:v>48</c:v>
                      </c:pt>
                      <c:pt idx="126" formatCode="General">
                        <c:v>53</c:v>
                      </c:pt>
                      <c:pt idx="127" formatCode="General">
                        <c:v>-45</c:v>
                      </c:pt>
                      <c:pt idx="128" formatCode="General">
                        <c:v>-2</c:v>
                      </c:pt>
                      <c:pt idx="129" formatCode="General">
                        <c:v>59</c:v>
                      </c:pt>
                      <c:pt idx="130" formatCode="General">
                        <c:v>-77</c:v>
                      </c:pt>
                      <c:pt idx="131" formatCode="General">
                        <c:v>-32</c:v>
                      </c:pt>
                      <c:pt idx="132" formatCode="General">
                        <c:v>-4</c:v>
                      </c:pt>
                      <c:pt idx="133" formatCode="General">
                        <c:v>32</c:v>
                      </c:pt>
                      <c:pt idx="134" formatCode="General">
                        <c:v>-5</c:v>
                      </c:pt>
                      <c:pt idx="135" formatCode="General">
                        <c:v>-1</c:v>
                      </c:pt>
                      <c:pt idx="136" formatCode="General">
                        <c:v>-1</c:v>
                      </c:pt>
                      <c:pt idx="137" formatCode="General">
                        <c:v>4</c:v>
                      </c:pt>
                      <c:pt idx="138" formatCode="General">
                        <c:v>24</c:v>
                      </c:pt>
                      <c:pt idx="139" formatCode="General">
                        <c:v>-8</c:v>
                      </c:pt>
                      <c:pt idx="140" formatCode="General">
                        <c:v>-23</c:v>
                      </c:pt>
                      <c:pt idx="141" formatCode="General">
                        <c:v>40</c:v>
                      </c:pt>
                      <c:pt idx="142" formatCode="General">
                        <c:v>54</c:v>
                      </c:pt>
                      <c:pt idx="143" formatCode="General">
                        <c:v>0</c:v>
                      </c:pt>
                      <c:pt idx="144" formatCode="General">
                        <c:v>-49</c:v>
                      </c:pt>
                      <c:pt idx="145" formatCode="General">
                        <c:v>-78</c:v>
                      </c:pt>
                      <c:pt idx="146" formatCode="General">
                        <c:v>86</c:v>
                      </c:pt>
                      <c:pt idx="147" formatCode="General">
                        <c:v>37</c:v>
                      </c:pt>
                      <c:pt idx="148" formatCode="General">
                        <c:v>-68</c:v>
                      </c:pt>
                      <c:pt idx="149" formatCode="General">
                        <c:v>25</c:v>
                      </c:pt>
                      <c:pt idx="150" formatCode="General">
                        <c:v>80</c:v>
                      </c:pt>
                      <c:pt idx="151" formatCode="General">
                        <c:v>-121</c:v>
                      </c:pt>
                      <c:pt idx="152" formatCode="General">
                        <c:v>-10</c:v>
                      </c:pt>
                      <c:pt idx="153" formatCode="General">
                        <c:v>-34</c:v>
                      </c:pt>
                      <c:pt idx="154" formatCode="General">
                        <c:v>-31</c:v>
                      </c:pt>
                      <c:pt idx="155" formatCode="General">
                        <c:v>92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bSIR'!$AW$7</c15:sqref>
                        </c15:formulaRef>
                      </c:ext>
                    </c:extLst>
                    <c:strCache>
                      <c:ptCount val="1"/>
                      <c:pt idx="0">
                        <c:v>sel. region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0.12399693280944413</c:v>
                      </c:pt>
                      <c:pt idx="1">
                        <c:v>0.12898154281243804</c:v>
                      </c:pt>
                      <c:pt idx="2">
                        <c:v>0.13416171587319026</c:v>
                      </c:pt>
                      <c:pt idx="3">
                        <c:v>0.13954472213991376</c:v>
                      </c:pt>
                      <c:pt idx="4">
                        <c:v>0.14513806804194634</c:v>
                      </c:pt>
                      <c:pt idx="5">
                        <c:v>0.15094950099949925</c:v>
                      </c:pt>
                      <c:pt idx="6">
                        <c:v>0.15698701393824852</c:v>
                      </c:pt>
                      <c:pt idx="7">
                        <c:v>0.16325884957196909</c:v>
                      </c:pt>
                      <c:pt idx="8">
                        <c:v>0.16977350441295641</c:v>
                      </c:pt>
                      <c:pt idx="9">
                        <c:v>0.17653973246627358</c:v>
                      </c:pt>
                      <c:pt idx="10">
                        <c:v>0.18356654855988683</c:v>
                      </c:pt>
                      <c:pt idx="11">
                        <c:v>0.19086323125851468</c:v>
                      </c:pt>
                      <c:pt idx="12">
                        <c:v>0.19843932530447927</c:v>
                      </c:pt>
                      <c:pt idx="13">
                        <c:v>0.20630464352401381</c:v>
                      </c:pt>
                      <c:pt idx="14">
                        <c:v>0.21446926813234524</c:v>
                      </c:pt>
                      <c:pt idx="15">
                        <c:v>0.22294355136538768</c:v>
                      </c:pt>
                      <c:pt idx="16">
                        <c:v>0.23173811536009425</c:v>
                      </c:pt>
                      <c:pt idx="17">
                        <c:v>0.24086385119935805</c:v>
                      </c:pt>
                      <c:pt idx="18">
                        <c:v>0.25033191703085594</c:v>
                      </c:pt>
                      <c:pt idx="19">
                        <c:v>0.26015373516237339</c:v>
                      </c:pt>
                      <c:pt idx="20">
                        <c:v>0.27034098802892087</c:v>
                      </c:pt>
                      <c:pt idx="21">
                        <c:v>0.28090561291936272</c:v>
                      </c:pt>
                      <c:pt idx="22">
                        <c:v>0.29185979534233059</c:v>
                      </c:pt>
                      <c:pt idx="23">
                        <c:v>0.30321596090286657</c:v>
                      </c:pt>
                      <c:pt idx="24">
                        <c:v>0.31498676555257538</c:v>
                      </c:pt>
                      <c:pt idx="25">
                        <c:v>0.32718508406704983</c:v>
                      </c:pt>
                      <c:pt idx="26">
                        <c:v>0.33982399659499707</c:v>
                      </c:pt>
                      <c:pt idx="27">
                        <c:v>0.35291677311384612</c:v>
                      </c:pt>
                      <c:pt idx="28">
                        <c:v>0.36647685561672899</c:v>
                      </c:pt>
                      <c:pt idx="29">
                        <c:v>0.38051783784556392</c:v>
                      </c:pt>
                      <c:pt idx="30">
                        <c:v>0.39505344237467388</c:v>
                      </c:pt>
                      <c:pt idx="31">
                        <c:v>0.4100974948389054</c:v>
                      </c:pt>
                      <c:pt idx="32">
                        <c:v>0.42566389508972308</c:v>
                      </c:pt>
                      <c:pt idx="33">
                        <c:v>0.44176658505228006</c:v>
                      </c:pt>
                      <c:pt idx="34">
                        <c:v>0.45841951304609768</c:v>
                      </c:pt>
                      <c:pt idx="35">
                        <c:v>0.47563659432187844</c:v>
                      </c:pt>
                      <c:pt idx="36">
                        <c:v>0.49343166755720963</c:v>
                      </c:pt>
                      <c:pt idx="37">
                        <c:v>0.51181844704465995</c:v>
                      </c:pt>
                      <c:pt idx="38">
                        <c:v>0.53081047029720252</c:v>
                      </c:pt>
                      <c:pt idx="39">
                        <c:v>0.55042104078817344</c:v>
                      </c:pt>
                      <c:pt idx="40">
                        <c:v>0.57066316553635876</c:v>
                      </c:pt>
                      <c:pt idx="41">
                        <c:v>0.59154948724147405</c:v>
                      </c:pt>
                      <c:pt idx="42">
                        <c:v>0.61309221067158215</c:v>
                      </c:pt>
                      <c:pt idx="43">
                        <c:v>0.63530302300214603</c:v>
                      </c:pt>
                      <c:pt idx="44">
                        <c:v>0.65819300780677858</c:v>
                      </c:pt>
                      <c:pt idx="45">
                        <c:v>0.68177255240267676</c:v>
                      </c:pt>
                      <c:pt idx="46">
                        <c:v>0.70605124825963483</c:v>
                      </c:pt>
                      <c:pt idx="47">
                        <c:v>0.73103778419081444</c:v>
                      </c:pt>
                      <c:pt idx="48">
                        <c:v>0.75673983205656636</c:v>
                      </c:pt>
                      <c:pt idx="49">
                        <c:v>0.78316392473012186</c:v>
                      </c:pt>
                      <c:pt idx="50">
                        <c:v>0.81031532609632584</c:v>
                      </c:pt>
                      <c:pt idx="51">
                        <c:v>0.8381978928824001</c:v>
                      </c:pt>
                      <c:pt idx="52">
                        <c:v>0.86681392815361913</c:v>
                      </c:pt>
                      <c:pt idx="53">
                        <c:v>0.89616402634730563</c:v>
                      </c:pt>
                      <c:pt idx="54">
                        <c:v>0.92624690976644586</c:v>
                      </c:pt>
                      <c:pt idx="55">
                        <c:v>0.95705925651007362</c:v>
                      </c:pt>
                      <c:pt idx="56">
                        <c:v>0.98859551988211758</c:v>
                      </c:pt>
                      <c:pt idx="57">
                        <c:v>1.0208477393943376</c:v>
                      </c:pt>
                      <c:pt idx="58">
                        <c:v>1.0538053435628669</c:v>
                      </c:pt>
                      <c:pt idx="59">
                        <c:v>1.087454944792573</c:v>
                      </c:pt>
                      <c:pt idx="60">
                        <c:v>1.1217801267493539</c:v>
                      </c:pt>
                      <c:pt idx="61">
                        <c:v>1.156761224738363</c:v>
                      </c:pt>
                      <c:pt idx="62">
                        <c:v>1.1923750997363616</c:v>
                      </c:pt>
                      <c:pt idx="63">
                        <c:v>1.2285949068694011</c:v>
                      </c:pt>
                      <c:pt idx="64">
                        <c:v>1.2653898592831299</c:v>
                      </c:pt>
                      <c:pt idx="65">
                        <c:v>1.3027249885222378</c:v>
                      </c:pt>
                      <c:pt idx="66">
                        <c:v>1.340560902718019</c:v>
                      </c:pt>
                      <c:pt idx="67">
                        <c:v>1.3788535440782046</c:v>
                      </c:pt>
                      <c:pt idx="68">
                        <c:v>1.4175539473809544</c:v>
                      </c:pt>
                      <c:pt idx="69">
                        <c:v>1.4566080013939351</c:v>
                      </c:pt>
                      <c:pt idx="70">
                        <c:v>1.4959562153690062</c:v>
                      </c:pt>
                      <c:pt idx="71">
                        <c:v>1.5355334930014384</c:v>
                      </c:pt>
                      <c:pt idx="72">
                        <c:v>1.5752689164878297</c:v>
                      </c:pt>
                      <c:pt idx="73">
                        <c:v>1.6150855435668041</c:v>
                      </c:pt>
                      <c:pt idx="74">
                        <c:v>1.6549002206779155</c:v>
                      </c:pt>
                      <c:pt idx="75">
                        <c:v>1.694623415623886</c:v>
                      </c:pt>
                      <c:pt idx="76">
                        <c:v>1.7341590733650307</c:v>
                      </c:pt>
                      <c:pt idx="77">
                        <c:v>1.773404498808131</c:v>
                      </c:pt>
                      <c:pt idx="78">
                        <c:v>1.8122502706697594</c:v>
                      </c:pt>
                      <c:pt idx="79">
                        <c:v>1.8505801906904304</c:v>
                      </c:pt>
                      <c:pt idx="80">
                        <c:v>1.8882712726444704</c:v>
                      </c:pt>
                      <c:pt idx="81">
                        <c:v>1.9251937757243405</c:v>
                      </c:pt>
                      <c:pt idx="82">
                        <c:v>1.9612112869696425</c:v>
                      </c:pt>
                      <c:pt idx="83">
                        <c:v>1.9961808574525937</c:v>
                      </c:pt>
                      <c:pt idx="84">
                        <c:v>2.029953196914732</c:v>
                      </c:pt>
                      <c:pt idx="85">
                        <c:v>2.0623729314659962</c:v>
                      </c:pt>
                      <c:pt idx="86">
                        <c:v>2.0932789287981786</c:v>
                      </c:pt>
                      <c:pt idx="87">
                        <c:v>2.1225046951220872</c:v>
                      </c:pt>
                      <c:pt idx="88">
                        <c:v>2.1498788477032531</c:v>
                      </c:pt>
                      <c:pt idx="89">
                        <c:v>2.1752256664374205</c:v>
                      </c:pt>
                      <c:pt idx="90">
                        <c:v>2.1983657273678623</c:v>
                      </c:pt>
                      <c:pt idx="91">
                        <c:v>2.2191166203962225</c:v>
                      </c:pt>
                      <c:pt idx="92">
                        <c:v>2.2372937526735841</c:v>
                      </c:pt>
                      <c:pt idx="93">
                        <c:v>2.2527112382765102</c:v>
                      </c:pt>
                      <c:pt idx="94">
                        <c:v>2.2651828737744402</c:v>
                      </c:pt>
                      <c:pt idx="95">
                        <c:v>2.2745231981825857</c:v>
                      </c:pt>
                      <c:pt idx="96">
                        <c:v>2.2805486345742243</c:v>
                      </c:pt>
                      <c:pt idx="97">
                        <c:v>2.2830787093068281</c:v>
                      </c:pt>
                      <c:pt idx="98">
                        <c:v>2.2819373434099313</c:v>
                      </c:pt>
                      <c:pt idx="99">
                        <c:v>2.2769542092051895</c:v>
                      </c:pt>
                      <c:pt idx="100">
                        <c:v>2.2679661437000584</c:v>
                      </c:pt>
                      <c:pt idx="101">
                        <c:v>2.2548186087393596</c:v>
                      </c:pt>
                      <c:pt idx="102">
                        <c:v>2.2373671863407689</c:v>
                      </c:pt>
                      <c:pt idx="103">
                        <c:v>2.2154790961110722</c:v>
                      </c:pt>
                      <c:pt idx="104">
                        <c:v>2.1890347201735105</c:v>
                      </c:pt>
                      <c:pt idx="105">
                        <c:v>2.1579291196683421</c:v>
                      </c:pt>
                      <c:pt idx="106">
                        <c:v>2.1220735256567553</c:v>
                      </c:pt>
                      <c:pt idx="107">
                        <c:v>2.0813967862009988</c:v>
                      </c:pt>
                      <c:pt idx="108">
                        <c:v>2.0358467505500037</c:v>
                      </c:pt>
                      <c:pt idx="109">
                        <c:v>1.9853915707674015</c:v>
                      </c:pt>
                      <c:pt idx="110">
                        <c:v>1.9300209008332105</c:v>
                      </c:pt>
                      <c:pt idx="111">
                        <c:v>1.8697469732636962</c:v>
                      </c:pt>
                      <c:pt idx="112">
                        <c:v>1.8046055336531153</c:v>
                      </c:pt>
                      <c:pt idx="113">
                        <c:v>1.7346566142675517</c:v>
                      </c:pt>
                      <c:pt idx="114">
                        <c:v>1.6599851289288092</c:v>
                      </c:pt>
                      <c:pt idx="115">
                        <c:v>1.5807012729211127</c:v>
                      </c:pt>
                      <c:pt idx="116">
                        <c:v>1.4969407135316095</c:v>
                      </c:pt>
                      <c:pt idx="117">
                        <c:v>1.4088645590840116</c:v>
                      </c:pt>
                      <c:pt idx="118">
                        <c:v>1.3166590969194907</c:v>
                      </c:pt>
                      <c:pt idx="119">
                        <c:v>1.220535293686043</c:v>
                      </c:pt>
                      <c:pt idx="120">
                        <c:v>1.1207280544727434</c:v>
                      </c:pt>
                      <c:pt idx="121">
                        <c:v>1.0174952407149762</c:v>
                      </c:pt>
                      <c:pt idx="122">
                        <c:v>0.91111645033853106</c:v>
                      </c:pt>
                      <c:pt idx="123">
                        <c:v>0.80189156723509103</c:v>
                      </c:pt>
                      <c:pt idx="124">
                        <c:v>0.69013909079410196</c:v>
                      </c:pt>
                      <c:pt idx="125">
                        <c:v>0.57619425977809036</c:v>
                      </c:pt>
                      <c:pt idx="126">
                        <c:v>0.46040698824020621</c:v>
                      </c:pt>
                      <c:pt idx="127">
                        <c:v>0.3431396343655958</c:v>
                      </c:pt>
                      <c:pt idx="128">
                        <c:v>0.22476462599658911</c:v>
                      </c:pt>
                      <c:pt idx="129">
                        <c:v>0.10566196910622178</c:v>
                      </c:pt>
                      <c:pt idx="130">
                        <c:v>-1.3783332446551055E-2</c:v>
                      </c:pt>
                      <c:pt idx="131">
                        <c:v>-0.13318391596475271</c:v>
                      </c:pt>
                      <c:pt idx="132">
                        <c:v>-0.25215272679452516</c:v>
                      </c:pt>
                      <c:pt idx="133">
                        <c:v>-0.3703056815685824</c:v>
                      </c:pt>
                      <c:pt idx="134">
                        <c:v>-0.48726429640662916</c:v>
                      </c:pt>
                      <c:pt idx="135">
                        <c:v>-0.60265824929780176</c:v>
                      </c:pt>
                      <c:pt idx="136">
                        <c:v>-0.71612784706934074</c:v>
                      </c:pt>
                      <c:pt idx="137">
                        <c:v>-0.82732636904391466</c:v>
                      </c:pt>
                      <c:pt idx="138">
                        <c:v>-0.9359222616623103</c:v>
                      </c:pt>
                      <c:pt idx="139">
                        <c:v>-1.0416011609448002</c:v>
                      </c:pt>
                      <c:pt idx="140">
                        <c:v>-1.1440677226195461</c:v>
                      </c:pt>
                      <c:pt idx="141">
                        <c:v>-1.2430472429888302</c:v>
                      </c:pt>
                      <c:pt idx="142">
                        <c:v>-1.3382870570574579</c:v>
                      </c:pt>
                      <c:pt idx="143">
                        <c:v>-1.4295577040329446</c:v>
                      </c:pt>
                      <c:pt idx="144">
                        <c:v>-1.5166538539447274</c:v>
                      </c:pt>
                      <c:pt idx="145">
                        <c:v>-1.5993949927415605</c:v>
                      </c:pt>
                      <c:pt idx="146">
                        <c:v>-1.6776258667389266</c:v>
                      </c:pt>
                      <c:pt idx="147">
                        <c:v>-1.7512166906337194</c:v>
                      </c:pt>
                      <c:pt idx="148">
                        <c:v>-1.8200631264211853</c:v>
                      </c:pt>
                      <c:pt idx="149">
                        <c:v>-1.8840860433878059</c:v>
                      </c:pt>
                      <c:pt idx="150">
                        <c:v>-1.9432310718712149</c:v>
                      </c:pt>
                      <c:pt idx="151">
                        <c:v>-1.9974679656429926</c:v>
                      </c:pt>
                      <c:pt idx="152">
                        <c:v>-2.0467897895607474</c:v>
                      </c:pt>
                      <c:pt idx="153">
                        <c:v>-2.0912119505413593</c:v>
                      </c:pt>
                      <c:pt idx="154">
                        <c:v>-2.130771090926225</c:v>
                      </c:pt>
                      <c:pt idx="155">
                        <c:v>-2.1655238639496068</c:v>
                      </c:pt>
                      <c:pt idx="156">
                        <c:v>-2.1955456112984346</c:v>
                      </c:pt>
                      <c:pt idx="157">
                        <c:v>-2.2209289626889523</c:v>
                      </c:pt>
                      <c:pt idx="158">
                        <c:v>-2.2417823770108503</c:v>
                      </c:pt>
                      <c:pt idx="159">
                        <c:v>-2.2582286439359711</c:v>
                      </c:pt>
                      <c:pt idx="160">
                        <c:v>-2.2704033639923016</c:v>
                      </c:pt>
                      <c:pt idx="161">
                        <c:v>-2.2784534240030463</c:v>
                      </c:pt>
                      <c:pt idx="162">
                        <c:v>-2.2825354835236418</c:v>
                      </c:pt>
                      <c:pt idx="163">
                        <c:v>-2.2828144865154885</c:v>
                      </c:pt>
                      <c:pt idx="164">
                        <c:v>-2.2794622110110252</c:v>
                      </c:pt>
                      <c:pt idx="165">
                        <c:v>-2.2726558679860789</c:v>
                      </c:pt>
                      <c:pt idx="166">
                        <c:v>-2.2625767590948227</c:v>
                      </c:pt>
                      <c:pt idx="167">
                        <c:v>-2.2494090013697452</c:v>
                      </c:pt>
                      <c:pt idx="168">
                        <c:v>-2.2333383254700161</c:v>
                      </c:pt>
                      <c:pt idx="169">
                        <c:v>-2.214550952598874</c:v>
                      </c:pt>
                      <c:pt idx="170">
                        <c:v>-2.1932325538229884</c:v>
                      </c:pt>
                      <c:pt idx="171">
                        <c:v>-2.1695672942292088</c:v>
                      </c:pt>
                      <c:pt idx="172">
                        <c:v>-2.143736963158084</c:v>
                      </c:pt>
                      <c:pt idx="173">
                        <c:v>-2.1159201906672385</c:v>
                      </c:pt>
                      <c:pt idx="174">
                        <c:v>-2.0862917494059601</c:v>
                      </c:pt>
                      <c:pt idx="175">
                        <c:v>-2.0550219402275287</c:v>
                      </c:pt>
                      <c:pt idx="176">
                        <c:v>-2.0222760591274218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3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-47</c:v>
                      </c:pt>
                      <c:pt idx="63">
                        <c:v>107</c:v>
                      </c:pt>
                      <c:pt idx="64">
                        <c:v>33</c:v>
                      </c:pt>
                      <c:pt idx="65">
                        <c:v>-20</c:v>
                      </c:pt>
                      <c:pt idx="66">
                        <c:v>-56</c:v>
                      </c:pt>
                      <c:pt idx="67">
                        <c:v>63</c:v>
                      </c:pt>
                      <c:pt idx="68">
                        <c:v>34</c:v>
                      </c:pt>
                      <c:pt idx="69">
                        <c:v>249</c:v>
                      </c:pt>
                      <c:pt idx="70">
                        <c:v>-210</c:v>
                      </c:pt>
                      <c:pt idx="71">
                        <c:v>147</c:v>
                      </c:pt>
                      <c:pt idx="72">
                        <c:v>37</c:v>
                      </c:pt>
                      <c:pt idx="73">
                        <c:v>243</c:v>
                      </c:pt>
                      <c:pt idx="74">
                        <c:v>86</c:v>
                      </c:pt>
                      <c:pt idx="75">
                        <c:v>-13</c:v>
                      </c:pt>
                      <c:pt idx="76">
                        <c:v>-225</c:v>
                      </c:pt>
                      <c:pt idx="77">
                        <c:v>1021</c:v>
                      </c:pt>
                      <c:pt idx="78">
                        <c:v>-724</c:v>
                      </c:pt>
                      <c:pt idx="79">
                        <c:v>463</c:v>
                      </c:pt>
                      <c:pt idx="80">
                        <c:v>407</c:v>
                      </c:pt>
                      <c:pt idx="81">
                        <c:v>-113</c:v>
                      </c:pt>
                      <c:pt idx="82">
                        <c:v>-614</c:v>
                      </c:pt>
                      <c:pt idx="83">
                        <c:v>632</c:v>
                      </c:pt>
                      <c:pt idx="84">
                        <c:v>80</c:v>
                      </c:pt>
                      <c:pt idx="85">
                        <c:v>-64</c:v>
                      </c:pt>
                      <c:pt idx="86">
                        <c:v>-138</c:v>
                      </c:pt>
                      <c:pt idx="87">
                        <c:v>761</c:v>
                      </c:pt>
                      <c:pt idx="88">
                        <c:v>-882</c:v>
                      </c:pt>
                      <c:pt idx="89">
                        <c:v>1024</c:v>
                      </c:pt>
                      <c:pt idx="90">
                        <c:v>-493</c:v>
                      </c:pt>
                      <c:pt idx="91">
                        <c:v>-134</c:v>
                      </c:pt>
                      <c:pt idx="92">
                        <c:v>346</c:v>
                      </c:pt>
                      <c:pt idx="93">
                        <c:v>65</c:v>
                      </c:pt>
                      <c:pt idx="94">
                        <c:v>-320</c:v>
                      </c:pt>
                      <c:pt idx="95">
                        <c:v>-532</c:v>
                      </c:pt>
                      <c:pt idx="96">
                        <c:v>285</c:v>
                      </c:pt>
                      <c:pt idx="97">
                        <c:v>464</c:v>
                      </c:pt>
                      <c:pt idx="98">
                        <c:v>479</c:v>
                      </c:pt>
                      <c:pt idx="99">
                        <c:v>-42</c:v>
                      </c:pt>
                      <c:pt idx="100">
                        <c:v>-51</c:v>
                      </c:pt>
                      <c:pt idx="101">
                        <c:v>113</c:v>
                      </c:pt>
                      <c:pt idx="102">
                        <c:v>-555</c:v>
                      </c:pt>
                      <c:pt idx="103">
                        <c:v>-270</c:v>
                      </c:pt>
                      <c:pt idx="104">
                        <c:v>466</c:v>
                      </c:pt>
                      <c:pt idx="105">
                        <c:v>-776</c:v>
                      </c:pt>
                      <c:pt idx="106">
                        <c:v>1057</c:v>
                      </c:pt>
                      <c:pt idx="107">
                        <c:v>544</c:v>
                      </c:pt>
                      <c:pt idx="108">
                        <c:v>-489</c:v>
                      </c:pt>
                      <c:pt idx="109">
                        <c:v>-110</c:v>
                      </c:pt>
                      <c:pt idx="110">
                        <c:v>-271</c:v>
                      </c:pt>
                      <c:pt idx="111">
                        <c:v>988</c:v>
                      </c:pt>
                      <c:pt idx="112">
                        <c:v>110</c:v>
                      </c:pt>
                      <c:pt idx="113">
                        <c:v>117</c:v>
                      </c:pt>
                      <c:pt idx="114">
                        <c:v>-167</c:v>
                      </c:pt>
                      <c:pt idx="115">
                        <c:v>-284</c:v>
                      </c:pt>
                      <c:pt idx="116">
                        <c:v>-977</c:v>
                      </c:pt>
                      <c:pt idx="117">
                        <c:v>47</c:v>
                      </c:pt>
                      <c:pt idx="118">
                        <c:v>585</c:v>
                      </c:pt>
                      <c:pt idx="119">
                        <c:v>-38</c:v>
                      </c:pt>
                      <c:pt idx="120">
                        <c:v>2327</c:v>
                      </c:pt>
                      <c:pt idx="121">
                        <c:v>-2442</c:v>
                      </c:pt>
                      <c:pt idx="122">
                        <c:v>-374</c:v>
                      </c:pt>
                      <c:pt idx="123">
                        <c:v>-213</c:v>
                      </c:pt>
                      <c:pt idx="124">
                        <c:v>-496</c:v>
                      </c:pt>
                      <c:pt idx="125">
                        <c:v>1120</c:v>
                      </c:pt>
                      <c:pt idx="126">
                        <c:v>5742</c:v>
                      </c:pt>
                      <c:pt idx="127">
                        <c:v>-5033</c:v>
                      </c:pt>
                      <c:pt idx="128">
                        <c:v>-313</c:v>
                      </c:pt>
                      <c:pt idx="129">
                        <c:v>1153</c:v>
                      </c:pt>
                      <c:pt idx="130">
                        <c:v>-1805</c:v>
                      </c:pt>
                      <c:pt idx="131">
                        <c:v>-708</c:v>
                      </c:pt>
                      <c:pt idx="132">
                        <c:v>1048</c:v>
                      </c:pt>
                      <c:pt idx="133">
                        <c:v>1041</c:v>
                      </c:pt>
                      <c:pt idx="134">
                        <c:v>-683</c:v>
                      </c:pt>
                      <c:pt idx="135">
                        <c:v>2151</c:v>
                      </c:pt>
                      <c:pt idx="136">
                        <c:v>-2400</c:v>
                      </c:pt>
                      <c:pt idx="137">
                        <c:v>-251</c:v>
                      </c:pt>
                      <c:pt idx="138">
                        <c:v>-286</c:v>
                      </c:pt>
                      <c:pt idx="139">
                        <c:v>-4</c:v>
                      </c:pt>
                      <c:pt idx="140">
                        <c:v>828</c:v>
                      </c:pt>
                      <c:pt idx="141">
                        <c:v>-648</c:v>
                      </c:pt>
                      <c:pt idx="142">
                        <c:v>-198</c:v>
                      </c:pt>
                      <c:pt idx="143">
                        <c:v>-51</c:v>
                      </c:pt>
                      <c:pt idx="144">
                        <c:v>-501</c:v>
                      </c:pt>
                      <c:pt idx="145">
                        <c:v>-17</c:v>
                      </c:pt>
                      <c:pt idx="146">
                        <c:v>1075</c:v>
                      </c:pt>
                      <c:pt idx="147">
                        <c:v>-232</c:v>
                      </c:pt>
                      <c:pt idx="148">
                        <c:v>1081</c:v>
                      </c:pt>
                      <c:pt idx="149">
                        <c:v>-1271</c:v>
                      </c:pt>
                      <c:pt idx="150">
                        <c:v>493</c:v>
                      </c:pt>
                      <c:pt idx="151">
                        <c:v>-830</c:v>
                      </c:pt>
                      <c:pt idx="152">
                        <c:v>-1031</c:v>
                      </c:pt>
                      <c:pt idx="153">
                        <c:v>918</c:v>
                      </c:pt>
                      <c:pt idx="154">
                        <c:v>-844</c:v>
                      </c:pt>
                      <c:pt idx="155">
                        <c:v>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1.2121220463574762</c:v>
                      </c:pt>
                      <c:pt idx="1">
                        <c:v>1.2754143522087051</c:v>
                      </c:pt>
                      <c:pt idx="2">
                        <c:v>1.3419822608468204</c:v>
                      </c:pt>
                      <c:pt idx="3">
                        <c:v>1.4119921378957685</c:v>
                      </c:pt>
                      <c:pt idx="4">
                        <c:v>1.4856184566135004</c:v>
                      </c:pt>
                      <c:pt idx="5">
                        <c:v>1.5630441555893502</c:v>
                      </c:pt>
                      <c:pt idx="6">
                        <c:v>1.6444610080063495</c:v>
                      </c:pt>
                      <c:pt idx="7">
                        <c:v>1.7300700023261844</c:v>
                      </c:pt>
                      <c:pt idx="8">
                        <c:v>1.8200817341713165</c:v>
                      </c:pt>
                      <c:pt idx="9">
                        <c:v>1.9147168090841273</c:v>
                      </c:pt>
                      <c:pt idx="10">
                        <c:v>2.0142062557352935</c:v>
                      </c:pt>
                      <c:pt idx="11">
                        <c:v>2.1187919490317202</c:v>
                      </c:pt>
                      <c:pt idx="12">
                        <c:v>2.2287270424367489</c:v>
                      </c:pt>
                      <c:pt idx="13">
                        <c:v>2.3442764086603662</c:v>
                      </c:pt>
                      <c:pt idx="14">
                        <c:v>2.4657170877030867</c:v>
                      </c:pt>
                      <c:pt idx="15">
                        <c:v>2.5933387410421083</c:v>
                      </c:pt>
                      <c:pt idx="16">
                        <c:v>2.7274441105302727</c:v>
                      </c:pt>
                      <c:pt idx="17">
                        <c:v>2.8683494803350125</c:v>
                      </c:pt>
                      <c:pt idx="18">
                        <c:v>3.016385139973718</c:v>
                      </c:pt>
                      <c:pt idx="19">
                        <c:v>3.1718958462009099</c:v>
                      </c:pt>
                      <c:pt idx="20">
                        <c:v>3.3352412811689893</c:v>
                      </c:pt>
                      <c:pt idx="21">
                        <c:v>3.5067965039150546</c:v>
                      </c:pt>
                      <c:pt idx="22">
                        <c:v>3.6869523918183371</c:v>
                      </c:pt>
                      <c:pt idx="23">
                        <c:v>3.8761160682232174</c:v>
                      </c:pt>
                      <c:pt idx="24">
                        <c:v>4.0747113119279437</c:v>
                      </c:pt>
                      <c:pt idx="25">
                        <c:v>4.2831789436959395</c:v>
                      </c:pt>
                      <c:pt idx="26">
                        <c:v>4.501977184351051</c:v>
                      </c:pt>
                      <c:pt idx="27">
                        <c:v>4.731581978366969</c:v>
                      </c:pt>
                      <c:pt idx="28">
                        <c:v>4.9724872761501668</c:v>
                      </c:pt>
                      <c:pt idx="29">
                        <c:v>5.2252052674417229</c:v>
                      </c:pt>
                      <c:pt idx="30">
                        <c:v>5.490266557422407</c:v>
                      </c:pt>
                      <c:pt idx="31">
                        <c:v>5.7682202761937456</c:v>
                      </c:pt>
                      <c:pt idx="32">
                        <c:v>6.0596341113221275</c:v>
                      </c:pt>
                      <c:pt idx="33">
                        <c:v>6.3650942520703344</c:v>
                      </c:pt>
                      <c:pt idx="34">
                        <c:v>6.6852052327980784</c:v>
                      </c:pt>
                      <c:pt idx="35">
                        <c:v>7.020589661788347</c:v>
                      </c:pt>
                      <c:pt idx="36">
                        <c:v>7.371887820447685</c:v>
                      </c:pt>
                      <c:pt idx="37">
                        <c:v>7.7397571164360075</c:v>
                      </c:pt>
                      <c:pt idx="38">
                        <c:v>8.1248713728046429</c:v>
                      </c:pt>
                      <c:pt idx="39">
                        <c:v>8.5279199336627212</c:v>
                      </c:pt>
                      <c:pt idx="40">
                        <c:v>8.9496065652548591</c:v>
                      </c:pt>
                      <c:pt idx="41">
                        <c:v>9.3906481296229014</c:v>
                      </c:pt>
                      <c:pt idx="42">
                        <c:v>9.8517730062488145</c:v>
                      </c:pt>
                      <c:pt idx="43">
                        <c:v>10.333719235246326</c:v>
                      </c:pt>
                      <c:pt idx="44">
                        <c:v>10.837232353797832</c:v>
                      </c:pt>
                      <c:pt idx="45">
                        <c:v>11.363062895639914</c:v>
                      </c:pt>
                      <c:pt idx="46">
                        <c:v>11.911963521506751</c:v>
                      </c:pt>
                      <c:pt idx="47">
                        <c:v>12.484685746572971</c:v>
                      </c:pt>
                      <c:pt idx="48">
                        <c:v>13.081976229129264</c:v>
                      </c:pt>
                      <c:pt idx="49">
                        <c:v>13.704572583015132</c:v>
                      </c:pt>
                      <c:pt idx="50">
                        <c:v>14.353198674769265</c:v>
                      </c:pt>
                      <c:pt idx="51">
                        <c:v>15.0285593650951</c:v>
                      </c:pt>
                      <c:pt idx="52">
                        <c:v>15.731334653140621</c:v>
                      </c:pt>
                      <c:pt idx="53">
                        <c:v>16.462173181330286</c:v>
                      </c:pt>
                      <c:pt idx="54">
                        <c:v>17.221685058149017</c:v>
                      </c:pt>
                      <c:pt idx="55">
                        <c:v>18.010433956457394</c:v>
                      </c:pt>
                      <c:pt idx="56">
                        <c:v>18.828928445722848</c:v>
                      </c:pt>
                      <c:pt idx="57">
                        <c:v>19.677612518103405</c:v>
                      </c:pt>
                      <c:pt idx="58">
                        <c:v>20.556855270752138</c:v>
                      </c:pt>
                      <c:pt idx="59">
                        <c:v>21.46693971016872</c:v>
                      </c:pt>
                      <c:pt idx="60">
                        <c:v>22.40805064906893</c:v>
                      </c:pt>
                      <c:pt idx="61">
                        <c:v>23.380261672244025</c:v>
                      </c:pt>
                      <c:pt idx="62">
                        <c:v>24.383521155424987</c:v>
                      </c:pt>
                      <c:pt idx="63">
                        <c:v>25.417637330438463</c:v>
                      </c:pt>
                      <c:pt idx="64">
                        <c:v>26.482262401145167</c:v>
                      </c:pt>
                      <c:pt idx="65">
                        <c:v>27.576875727981637</c:v>
                      </c:pt>
                      <c:pt idx="66">
                        <c:v>28.700766114586887</c:v>
                      </c:pt>
                      <c:pt idx="67">
                        <c:v>29.853013248168637</c:v>
                      </c:pt>
                      <c:pt idx="68">
                        <c:v>31.032468366131816</c:v>
                      </c:pt>
                      <c:pt idx="69">
                        <c:v>32.23773424519657</c:v>
                      </c:pt>
                      <c:pt idx="70">
                        <c:v>33.467144635891415</c:v>
                      </c:pt>
                      <c:pt idx="71">
                        <c:v>34.718743294986638</c:v>
                      </c:pt>
                      <c:pt idx="72">
                        <c:v>35.990262801133177</c:v>
                      </c:pt>
                      <c:pt idx="73">
                        <c:v>37.279103374624796</c:v>
                      </c:pt>
                      <c:pt idx="74">
                        <c:v>38.582311960633014</c:v>
                      </c:pt>
                      <c:pt idx="75">
                        <c:v>39.896561876195449</c:v>
                      </c:pt>
                      <c:pt idx="76">
                        <c:v>41.218133364251713</c:v>
                      </c:pt>
                      <c:pt idx="77">
                        <c:v>42.542895442544783</c:v>
                      </c:pt>
                      <c:pt idx="78">
                        <c:v>43.866289480501692</c:v>
                      </c:pt>
                      <c:pt idx="79">
                        <c:v>45.183314982335041</c:v>
                      </c:pt>
                      <c:pt idx="80">
                        <c:v>46.488518098428017</c:v>
                      </c:pt>
                      <c:pt idx="81">
                        <c:v>47.775983428219298</c:v>
                      </c:pt>
                      <c:pt idx="82">
                        <c:v>49.03932971470455</c:v>
                      </c:pt>
                      <c:pt idx="83">
                        <c:v>50.271710061509353</c:v>
                      </c:pt>
                      <c:pt idx="84">
                        <c:v>51.465817326249166</c:v>
                      </c:pt>
                      <c:pt idx="85">
                        <c:v>52.61389535636247</c:v>
                      </c:pt>
                      <c:pt idx="86">
                        <c:v>53.707756733430472</c:v>
                      </c:pt>
                      <c:pt idx="87">
                        <c:v>54.738807676723283</c:v>
                      </c:pt>
                      <c:pt idx="88">
                        <c:v>55.698080723855682</c:v>
                      </c:pt>
                      <c:pt idx="89">
                        <c:v>56.576275753577924</c:v>
                      </c:pt>
                      <c:pt idx="90">
                        <c:v>57.363809840617741</c:v>
                      </c:pt>
                      <c:pt idx="91">
                        <c:v>58.050876333180547</c:v>
                      </c:pt>
                      <c:pt idx="92">
                        <c:v>58.627513418692011</c:v>
                      </c:pt>
                      <c:pt idx="93">
                        <c:v>59.083682291720258</c:v>
                      </c:pt>
                      <c:pt idx="94">
                        <c:v>59.409354859583907</c:v>
                      </c:pt>
                      <c:pt idx="95">
                        <c:v>59.59461071670713</c:v>
                      </c:pt>
                      <c:pt idx="96">
                        <c:v>59.629742890165701</c:v>
                      </c:pt>
                      <c:pt idx="97">
                        <c:v>59.50537160913391</c:v>
                      </c:pt>
                      <c:pt idx="98">
                        <c:v>59.212565084464934</c:v>
                      </c:pt>
                      <c:pt idx="99">
                        <c:v>58.742966007165698</c:v>
                      </c:pt>
                      <c:pt idx="100">
                        <c:v>58.088922193185326</c:v>
                      </c:pt>
                      <c:pt idx="101">
                        <c:v>57.243619525168924</c:v>
                      </c:pt>
                      <c:pt idx="102">
                        <c:v>56.201215079230273</c:v>
                      </c:pt>
                      <c:pt idx="103">
                        <c:v>54.956968086907175</c:v>
                      </c:pt>
                      <c:pt idx="104">
                        <c:v>53.50736618040488</c:v>
                      </c:pt>
                      <c:pt idx="105">
                        <c:v>51.850244214338247</c:v>
                      </c:pt>
                      <c:pt idx="106">
                        <c:v>49.984892860459603</c:v>
                      </c:pt>
                      <c:pt idx="107">
                        <c:v>47.912154143468733</c:v>
                      </c:pt>
                      <c:pt idx="108">
                        <c:v>45.63450113464679</c:v>
                      </c:pt>
                      <c:pt idx="109">
                        <c:v>43.156099152380676</c:v>
                      </c:pt>
                      <c:pt idx="110">
                        <c:v>40.482846038670196</c:v>
                      </c:pt>
                      <c:pt idx="111">
                        <c:v>37.622389389310591</c:v>
                      </c:pt>
                      <c:pt idx="112">
                        <c:v>34.584119009971424</c:v>
                      </c:pt>
                      <c:pt idx="113">
                        <c:v>31.379133344410864</c:v>
                      </c:pt>
                      <c:pt idx="114">
                        <c:v>28.020179164292124</c:v>
                      </c:pt>
                      <c:pt idx="115">
                        <c:v>24.521564408526057</c:v>
                      </c:pt>
                      <c:pt idx="116">
                        <c:v>20.899044696415679</c:v>
                      </c:pt>
                      <c:pt idx="117">
                        <c:v>17.169684693044605</c:v>
                      </c:pt>
                      <c:pt idx="118">
                        <c:v>13.351696155255908</c:v>
                      </c:pt>
                      <c:pt idx="119">
                        <c:v>9.4642551091128126</c:v>
                      </c:pt>
                      <c:pt idx="120">
                        <c:v>5.5273011818499409</c:v>
                      </c:pt>
                      <c:pt idx="121">
                        <c:v>1.5613226110986254</c:v>
                      </c:pt>
                      <c:pt idx="122">
                        <c:v>-2.4128691380359388</c:v>
                      </c:pt>
                      <c:pt idx="123">
                        <c:v>-6.3743709180098982</c:v>
                      </c:pt>
                      <c:pt idx="124">
                        <c:v>-10.302421197000282</c:v>
                      </c:pt>
                      <c:pt idx="125">
                        <c:v>-14.176630650106087</c:v>
                      </c:pt>
                      <c:pt idx="126">
                        <c:v>-17.977205662369716</c:v>
                      </c:pt>
                      <c:pt idx="127">
                        <c:v>-21.68516056797127</c:v>
                      </c:pt>
                      <c:pt idx="128">
                        <c:v>-25.282514773810654</c:v>
                      </c:pt>
                      <c:pt idx="129">
                        <c:v>-28.752471344704087</c:v>
                      </c:pt>
                      <c:pt idx="130">
                        <c:v>-32.07957414445449</c:v>
                      </c:pt>
                      <c:pt idx="131">
                        <c:v>-35.249841211880948</c:v>
                      </c:pt>
                      <c:pt idx="132">
                        <c:v>-38.250872681265093</c:v>
                      </c:pt>
                      <c:pt idx="133">
                        <c:v>-41.071932209414641</c:v>
                      </c:pt>
                      <c:pt idx="134">
                        <c:v>-43.704001523695489</c:v>
                      </c:pt>
                      <c:pt idx="135">
                        <c:v>-46.139808335223137</c:v>
                      </c:pt>
                      <c:pt idx="136">
                        <c:v>-48.373828449371345</c:v>
                      </c:pt>
                      <c:pt idx="137">
                        <c:v>-50.402263435206791</c:v>
                      </c:pt>
                      <c:pt idx="138">
                        <c:v>-52.22299567317021</c:v>
                      </c:pt>
                      <c:pt idx="139">
                        <c:v>-53.835522976844672</c:v>
                      </c:pt>
                      <c:pt idx="140">
                        <c:v>-55.240875274363503</c:v>
                      </c:pt>
                      <c:pt idx="141">
                        <c:v>-56.441516036048611</c:v>
                      </c:pt>
                      <c:pt idx="142">
                        <c:v>-57.441231248821055</c:v>
                      </c:pt>
                      <c:pt idx="143">
                        <c:v>-58.245008769418739</c:v>
                      </c:pt>
                      <c:pt idx="144">
                        <c:v>-58.858910844626941</c:v>
                      </c:pt>
                      <c:pt idx="145">
                        <c:v>-59.289942476639574</c:v>
                      </c:pt>
                      <c:pt idx="146">
                        <c:v>-59.545918145719469</c:v>
                      </c:pt>
                      <c:pt idx="147">
                        <c:v>-59.635329191632088</c:v>
                      </c:pt>
                      <c:pt idx="148">
                        <c:v>-59.567213911218147</c:v>
                      </c:pt>
                      <c:pt idx="149">
                        <c:v>-59.351032162977155</c:v>
                      </c:pt>
                      <c:pt idx="150">
                        <c:v>-58.996545991011267</c:v>
                      </c:pt>
                      <c:pt idx="151">
                        <c:v>-58.513707499502047</c:v>
                      </c:pt>
                      <c:pt idx="152">
                        <c:v>-57.912554933222417</c:v>
                      </c:pt>
                      <c:pt idx="153">
                        <c:v>-57.203117656261163</c:v>
                      </c:pt>
                      <c:pt idx="154">
                        <c:v>-56.395330475608802</c:v>
                      </c:pt>
                      <c:pt idx="155">
                        <c:v>-55.498957532602923</c:v>
                      </c:pt>
                      <c:pt idx="156">
                        <c:v>-54.523525786246267</c:v>
                      </c:pt>
                      <c:pt idx="157">
                        <c:v>-53.478267939691037</c:v>
                      </c:pt>
                      <c:pt idx="158">
                        <c:v>-52.372074515283607</c:v>
                      </c:pt>
                      <c:pt idx="159">
                        <c:v>-51.213454664153765</c:v>
                      </c:pt>
                      <c:pt idx="160">
                        <c:v>-50.010505202354871</c:v>
                      </c:pt>
                      <c:pt idx="161">
                        <c:v>-48.770887295397976</c:v>
                      </c:pt>
                      <c:pt idx="162">
                        <c:v>-47.501810164650749</c:v>
                      </c:pt>
                      <c:pt idx="163">
                        <c:v>-46.210021160190237</c:v>
                      </c:pt>
                      <c:pt idx="164">
                        <c:v>-44.901801532873172</c:v>
                      </c:pt>
                      <c:pt idx="165">
                        <c:v>-43.582967241127044</c:v>
                      </c:pt>
                      <c:pt idx="166">
                        <c:v>-42.258874142838216</c:v>
                      </c:pt>
                      <c:pt idx="167">
                        <c:v>-40.934426947383344</c:v>
                      </c:pt>
                      <c:pt idx="168">
                        <c:v>-39.614091335151784</c:v>
                      </c:pt>
                      <c:pt idx="169">
                        <c:v>-38.30190868986454</c:v>
                      </c:pt>
                      <c:pt idx="170">
                        <c:v>-37.001512930844626</c:v>
                      </c:pt>
                      <c:pt idx="171">
                        <c:v>-35.716148976603264</c:v>
                      </c:pt>
                      <c:pt idx="172">
                        <c:v>-34.448692416359066</c:v>
                      </c:pt>
                      <c:pt idx="173">
                        <c:v>-33.201670011308458</c:v>
                      </c:pt>
                      <c:pt idx="174">
                        <c:v>-31.977280691723607</c:v>
                      </c:pt>
                      <c:pt idx="175">
                        <c:v>-30.777416758562111</c:v>
                      </c:pt>
                      <c:pt idx="176">
                        <c:v>-29.60368503869973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removals</a:t>
                </a:r>
                <a:r>
                  <a:rPr lang="it-IT" baseline="0"/>
                  <a:t> </a:t>
                </a:r>
                <a:r>
                  <a:rPr lang="it-IT"/>
                  <a:t>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the selected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'New_removed_rate - bSIR'!$BD$7</c:f>
              <c:strCache>
                <c:ptCount val="1"/>
                <c:pt idx="0">
                  <c:v>rest of Italy accel. data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bSIR'!$BD$8:$BD$184</c:f>
              <c:numCache>
                <c:formatCode>0</c:formatCode>
                <c:ptCount val="177"/>
                <c:pt idx="56">
                  <c:v>1</c:v>
                </c:pt>
                <c:pt idx="57">
                  <c:v>43</c:v>
                </c:pt>
                <c:pt idx="58">
                  <c:v>-42</c:v>
                </c:pt>
                <c:pt idx="59">
                  <c:v>3</c:v>
                </c:pt>
                <c:pt idx="60">
                  <c:v>30</c:v>
                </c:pt>
                <c:pt idx="61">
                  <c:v>46</c:v>
                </c:pt>
                <c:pt idx="62">
                  <c:v>-47</c:v>
                </c:pt>
                <c:pt idx="63">
                  <c:v>107</c:v>
                </c:pt>
                <c:pt idx="64">
                  <c:v>33</c:v>
                </c:pt>
                <c:pt idx="65">
                  <c:v>-20</c:v>
                </c:pt>
                <c:pt idx="66">
                  <c:v>-56</c:v>
                </c:pt>
                <c:pt idx="67">
                  <c:v>63</c:v>
                </c:pt>
                <c:pt idx="68">
                  <c:v>34</c:v>
                </c:pt>
                <c:pt idx="69">
                  <c:v>249</c:v>
                </c:pt>
                <c:pt idx="70">
                  <c:v>-210</c:v>
                </c:pt>
                <c:pt idx="71">
                  <c:v>147</c:v>
                </c:pt>
                <c:pt idx="72">
                  <c:v>37</c:v>
                </c:pt>
                <c:pt idx="73">
                  <c:v>243</c:v>
                </c:pt>
                <c:pt idx="74">
                  <c:v>86</c:v>
                </c:pt>
                <c:pt idx="75">
                  <c:v>-13</c:v>
                </c:pt>
                <c:pt idx="76">
                  <c:v>-225</c:v>
                </c:pt>
                <c:pt idx="77">
                  <c:v>1021</c:v>
                </c:pt>
                <c:pt idx="78">
                  <c:v>-724</c:v>
                </c:pt>
                <c:pt idx="79">
                  <c:v>463</c:v>
                </c:pt>
                <c:pt idx="80">
                  <c:v>407</c:v>
                </c:pt>
                <c:pt idx="81">
                  <c:v>-113</c:v>
                </c:pt>
                <c:pt idx="82">
                  <c:v>-614</c:v>
                </c:pt>
                <c:pt idx="83">
                  <c:v>632</c:v>
                </c:pt>
                <c:pt idx="84">
                  <c:v>80</c:v>
                </c:pt>
                <c:pt idx="85">
                  <c:v>-64</c:v>
                </c:pt>
                <c:pt idx="86">
                  <c:v>-138</c:v>
                </c:pt>
                <c:pt idx="87">
                  <c:v>761</c:v>
                </c:pt>
                <c:pt idx="88">
                  <c:v>-882</c:v>
                </c:pt>
                <c:pt idx="89">
                  <c:v>1024</c:v>
                </c:pt>
                <c:pt idx="90">
                  <c:v>-493</c:v>
                </c:pt>
                <c:pt idx="91">
                  <c:v>-134</c:v>
                </c:pt>
                <c:pt idx="92">
                  <c:v>346</c:v>
                </c:pt>
                <c:pt idx="93">
                  <c:v>65</c:v>
                </c:pt>
                <c:pt idx="94">
                  <c:v>-320</c:v>
                </c:pt>
                <c:pt idx="95">
                  <c:v>-532</c:v>
                </c:pt>
                <c:pt idx="96">
                  <c:v>285</c:v>
                </c:pt>
                <c:pt idx="97">
                  <c:v>464</c:v>
                </c:pt>
                <c:pt idx="98">
                  <c:v>479</c:v>
                </c:pt>
                <c:pt idx="99">
                  <c:v>-42</c:v>
                </c:pt>
                <c:pt idx="100">
                  <c:v>-51</c:v>
                </c:pt>
                <c:pt idx="101">
                  <c:v>113</c:v>
                </c:pt>
                <c:pt idx="102">
                  <c:v>-555</c:v>
                </c:pt>
                <c:pt idx="103">
                  <c:v>-270</c:v>
                </c:pt>
                <c:pt idx="104">
                  <c:v>466</c:v>
                </c:pt>
                <c:pt idx="105">
                  <c:v>-776</c:v>
                </c:pt>
                <c:pt idx="106">
                  <c:v>1057</c:v>
                </c:pt>
                <c:pt idx="107">
                  <c:v>544</c:v>
                </c:pt>
                <c:pt idx="108">
                  <c:v>-489</c:v>
                </c:pt>
                <c:pt idx="109">
                  <c:v>-110</c:v>
                </c:pt>
                <c:pt idx="110">
                  <c:v>-271</c:v>
                </c:pt>
                <c:pt idx="111">
                  <c:v>988</c:v>
                </c:pt>
                <c:pt idx="112">
                  <c:v>110</c:v>
                </c:pt>
                <c:pt idx="113">
                  <c:v>117</c:v>
                </c:pt>
                <c:pt idx="114">
                  <c:v>-167</c:v>
                </c:pt>
                <c:pt idx="115">
                  <c:v>-284</c:v>
                </c:pt>
                <c:pt idx="116">
                  <c:v>-977</c:v>
                </c:pt>
                <c:pt idx="117">
                  <c:v>47</c:v>
                </c:pt>
                <c:pt idx="118">
                  <c:v>585</c:v>
                </c:pt>
                <c:pt idx="119">
                  <c:v>-38</c:v>
                </c:pt>
                <c:pt idx="120">
                  <c:v>2327</c:v>
                </c:pt>
                <c:pt idx="121">
                  <c:v>-2442</c:v>
                </c:pt>
                <c:pt idx="122">
                  <c:v>-374</c:v>
                </c:pt>
                <c:pt idx="123">
                  <c:v>-213</c:v>
                </c:pt>
                <c:pt idx="124">
                  <c:v>-496</c:v>
                </c:pt>
                <c:pt idx="125">
                  <c:v>1120</c:v>
                </c:pt>
                <c:pt idx="126">
                  <c:v>5742</c:v>
                </c:pt>
                <c:pt idx="127">
                  <c:v>-5033</c:v>
                </c:pt>
                <c:pt idx="128">
                  <c:v>-313</c:v>
                </c:pt>
                <c:pt idx="129">
                  <c:v>1153</c:v>
                </c:pt>
                <c:pt idx="130">
                  <c:v>-1805</c:v>
                </c:pt>
                <c:pt idx="131">
                  <c:v>-708</c:v>
                </c:pt>
                <c:pt idx="132">
                  <c:v>1048</c:v>
                </c:pt>
                <c:pt idx="133">
                  <c:v>1041</c:v>
                </c:pt>
                <c:pt idx="134">
                  <c:v>-683</c:v>
                </c:pt>
                <c:pt idx="135">
                  <c:v>2151</c:v>
                </c:pt>
                <c:pt idx="136">
                  <c:v>-2400</c:v>
                </c:pt>
                <c:pt idx="137">
                  <c:v>-251</c:v>
                </c:pt>
                <c:pt idx="138">
                  <c:v>-286</c:v>
                </c:pt>
                <c:pt idx="139">
                  <c:v>-4</c:v>
                </c:pt>
                <c:pt idx="140">
                  <c:v>828</c:v>
                </c:pt>
                <c:pt idx="141">
                  <c:v>-648</c:v>
                </c:pt>
                <c:pt idx="142">
                  <c:v>-198</c:v>
                </c:pt>
                <c:pt idx="143">
                  <c:v>-51</c:v>
                </c:pt>
                <c:pt idx="144">
                  <c:v>-501</c:v>
                </c:pt>
                <c:pt idx="145">
                  <c:v>-17</c:v>
                </c:pt>
                <c:pt idx="146">
                  <c:v>1075</c:v>
                </c:pt>
                <c:pt idx="147">
                  <c:v>-232</c:v>
                </c:pt>
                <c:pt idx="148">
                  <c:v>1081</c:v>
                </c:pt>
                <c:pt idx="149">
                  <c:v>-1271</c:v>
                </c:pt>
                <c:pt idx="150">
                  <c:v>493</c:v>
                </c:pt>
                <c:pt idx="151">
                  <c:v>-830</c:v>
                </c:pt>
                <c:pt idx="152">
                  <c:v>-1031</c:v>
                </c:pt>
                <c:pt idx="153">
                  <c:v>918</c:v>
                </c:pt>
                <c:pt idx="154">
                  <c:v>-844</c:v>
                </c:pt>
                <c:pt idx="155">
                  <c:v>36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'New_removed_rate - bSIR'!$BR$7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bSIR'!$BR$8:$BR$184</c:f>
              <c:numCache>
                <c:formatCode>General</c:formatCode>
                <c:ptCount val="177"/>
                <c:pt idx="0">
                  <c:v>1.2121220463574762</c:v>
                </c:pt>
                <c:pt idx="1">
                  <c:v>1.2754143522087051</c:v>
                </c:pt>
                <c:pt idx="2">
                  <c:v>1.3419822608468204</c:v>
                </c:pt>
                <c:pt idx="3">
                  <c:v>1.4119921378957685</c:v>
                </c:pt>
                <c:pt idx="4">
                  <c:v>1.4856184566135004</c:v>
                </c:pt>
                <c:pt idx="5">
                  <c:v>1.5630441555893502</c:v>
                </c:pt>
                <c:pt idx="6">
                  <c:v>1.6444610080063495</c:v>
                </c:pt>
                <c:pt idx="7">
                  <c:v>1.7300700023261844</c:v>
                </c:pt>
                <c:pt idx="8">
                  <c:v>1.8200817341713165</c:v>
                </c:pt>
                <c:pt idx="9">
                  <c:v>1.9147168090841273</c:v>
                </c:pt>
                <c:pt idx="10">
                  <c:v>2.0142062557352935</c:v>
                </c:pt>
                <c:pt idx="11">
                  <c:v>2.1187919490317202</c:v>
                </c:pt>
                <c:pt idx="12">
                  <c:v>2.2287270424367489</c:v>
                </c:pt>
                <c:pt idx="13">
                  <c:v>2.3442764086603662</c:v>
                </c:pt>
                <c:pt idx="14">
                  <c:v>2.4657170877030867</c:v>
                </c:pt>
                <c:pt idx="15">
                  <c:v>2.5933387410421083</c:v>
                </c:pt>
                <c:pt idx="16">
                  <c:v>2.7274441105302727</c:v>
                </c:pt>
                <c:pt idx="17">
                  <c:v>2.8683494803350125</c:v>
                </c:pt>
                <c:pt idx="18">
                  <c:v>3.016385139973718</c:v>
                </c:pt>
                <c:pt idx="19">
                  <c:v>3.1718958462009099</c:v>
                </c:pt>
                <c:pt idx="20">
                  <c:v>3.3352412811689893</c:v>
                </c:pt>
                <c:pt idx="21">
                  <c:v>3.5067965039150546</c:v>
                </c:pt>
                <c:pt idx="22">
                  <c:v>3.6869523918183371</c:v>
                </c:pt>
                <c:pt idx="23">
                  <c:v>3.8761160682232174</c:v>
                </c:pt>
                <c:pt idx="24">
                  <c:v>4.0747113119279437</c:v>
                </c:pt>
                <c:pt idx="25">
                  <c:v>4.2831789436959395</c:v>
                </c:pt>
                <c:pt idx="26">
                  <c:v>4.501977184351051</c:v>
                </c:pt>
                <c:pt idx="27">
                  <c:v>4.731581978366969</c:v>
                </c:pt>
                <c:pt idx="28">
                  <c:v>4.9724872761501668</c:v>
                </c:pt>
                <c:pt idx="29">
                  <c:v>5.2252052674417229</c:v>
                </c:pt>
                <c:pt idx="30">
                  <c:v>5.490266557422407</c:v>
                </c:pt>
                <c:pt idx="31">
                  <c:v>5.7682202761937456</c:v>
                </c:pt>
                <c:pt idx="32">
                  <c:v>6.0596341113221275</c:v>
                </c:pt>
                <c:pt idx="33">
                  <c:v>6.3650942520703344</c:v>
                </c:pt>
                <c:pt idx="34">
                  <c:v>6.6852052327980784</c:v>
                </c:pt>
                <c:pt idx="35">
                  <c:v>7.020589661788347</c:v>
                </c:pt>
                <c:pt idx="36">
                  <c:v>7.371887820447685</c:v>
                </c:pt>
                <c:pt idx="37">
                  <c:v>7.7397571164360075</c:v>
                </c:pt>
                <c:pt idx="38">
                  <c:v>8.1248713728046429</c:v>
                </c:pt>
                <c:pt idx="39">
                  <c:v>8.5279199336627212</c:v>
                </c:pt>
                <c:pt idx="40">
                  <c:v>8.9496065652548591</c:v>
                </c:pt>
                <c:pt idx="41">
                  <c:v>9.3906481296229014</c:v>
                </c:pt>
                <c:pt idx="42">
                  <c:v>9.8517730062488145</c:v>
                </c:pt>
                <c:pt idx="43">
                  <c:v>10.333719235246326</c:v>
                </c:pt>
                <c:pt idx="44">
                  <c:v>10.837232353797832</c:v>
                </c:pt>
                <c:pt idx="45">
                  <c:v>11.363062895639914</c:v>
                </c:pt>
                <c:pt idx="46">
                  <c:v>11.911963521506751</c:v>
                </c:pt>
                <c:pt idx="47">
                  <c:v>12.484685746572971</c:v>
                </c:pt>
                <c:pt idx="48">
                  <c:v>13.081976229129264</c:v>
                </c:pt>
                <c:pt idx="49">
                  <c:v>13.704572583015132</c:v>
                </c:pt>
                <c:pt idx="50">
                  <c:v>14.353198674769265</c:v>
                </c:pt>
                <c:pt idx="51">
                  <c:v>15.0285593650951</c:v>
                </c:pt>
                <c:pt idx="52">
                  <c:v>15.731334653140621</c:v>
                </c:pt>
                <c:pt idx="53">
                  <c:v>16.462173181330286</c:v>
                </c:pt>
                <c:pt idx="54">
                  <c:v>17.221685058149017</c:v>
                </c:pt>
                <c:pt idx="55">
                  <c:v>18.010433956457394</c:v>
                </c:pt>
                <c:pt idx="56">
                  <c:v>18.828928445722848</c:v>
                </c:pt>
                <c:pt idx="57">
                  <c:v>19.677612518103405</c:v>
                </c:pt>
                <c:pt idx="58">
                  <c:v>20.556855270752138</c:v>
                </c:pt>
                <c:pt idx="59">
                  <c:v>21.46693971016872</c:v>
                </c:pt>
                <c:pt idx="60">
                  <c:v>22.40805064906893</c:v>
                </c:pt>
                <c:pt idx="61">
                  <c:v>23.380261672244025</c:v>
                </c:pt>
                <c:pt idx="62">
                  <c:v>24.383521155424987</c:v>
                </c:pt>
                <c:pt idx="63">
                  <c:v>25.417637330438463</c:v>
                </c:pt>
                <c:pt idx="64">
                  <c:v>26.482262401145167</c:v>
                </c:pt>
                <c:pt idx="65">
                  <c:v>27.576875727981637</c:v>
                </c:pt>
                <c:pt idx="66">
                  <c:v>28.700766114586887</c:v>
                </c:pt>
                <c:pt idx="67">
                  <c:v>29.853013248168637</c:v>
                </c:pt>
                <c:pt idx="68">
                  <c:v>31.032468366131816</c:v>
                </c:pt>
                <c:pt idx="69">
                  <c:v>32.23773424519657</c:v>
                </c:pt>
                <c:pt idx="70">
                  <c:v>33.467144635891415</c:v>
                </c:pt>
                <c:pt idx="71">
                  <c:v>34.718743294986638</c:v>
                </c:pt>
                <c:pt idx="72">
                  <c:v>35.990262801133177</c:v>
                </c:pt>
                <c:pt idx="73">
                  <c:v>37.279103374624796</c:v>
                </c:pt>
                <c:pt idx="74">
                  <c:v>38.582311960633014</c:v>
                </c:pt>
                <c:pt idx="75">
                  <c:v>39.896561876195449</c:v>
                </c:pt>
                <c:pt idx="76">
                  <c:v>41.218133364251713</c:v>
                </c:pt>
                <c:pt idx="77">
                  <c:v>42.542895442544783</c:v>
                </c:pt>
                <c:pt idx="78">
                  <c:v>43.866289480501692</c:v>
                </c:pt>
                <c:pt idx="79">
                  <c:v>45.183314982335041</c:v>
                </c:pt>
                <c:pt idx="80">
                  <c:v>46.488518098428017</c:v>
                </c:pt>
                <c:pt idx="81">
                  <c:v>47.775983428219298</c:v>
                </c:pt>
                <c:pt idx="82">
                  <c:v>49.03932971470455</c:v>
                </c:pt>
                <c:pt idx="83">
                  <c:v>50.271710061509353</c:v>
                </c:pt>
                <c:pt idx="84">
                  <c:v>51.465817326249166</c:v>
                </c:pt>
                <c:pt idx="85">
                  <c:v>52.61389535636247</c:v>
                </c:pt>
                <c:pt idx="86">
                  <c:v>53.707756733430472</c:v>
                </c:pt>
                <c:pt idx="87">
                  <c:v>54.738807676723283</c:v>
                </c:pt>
                <c:pt idx="88">
                  <c:v>55.698080723855682</c:v>
                </c:pt>
                <c:pt idx="89">
                  <c:v>56.576275753577924</c:v>
                </c:pt>
                <c:pt idx="90">
                  <c:v>57.363809840617741</c:v>
                </c:pt>
                <c:pt idx="91">
                  <c:v>58.050876333180547</c:v>
                </c:pt>
                <c:pt idx="92">
                  <c:v>58.627513418692011</c:v>
                </c:pt>
                <c:pt idx="93">
                  <c:v>59.083682291720258</c:v>
                </c:pt>
                <c:pt idx="94">
                  <c:v>59.409354859583907</c:v>
                </c:pt>
                <c:pt idx="95">
                  <c:v>59.59461071670713</c:v>
                </c:pt>
                <c:pt idx="96">
                  <c:v>59.629742890165701</c:v>
                </c:pt>
                <c:pt idx="97">
                  <c:v>59.50537160913391</c:v>
                </c:pt>
                <c:pt idx="98">
                  <c:v>59.212565084464934</c:v>
                </c:pt>
                <c:pt idx="99">
                  <c:v>58.742966007165698</c:v>
                </c:pt>
                <c:pt idx="100">
                  <c:v>58.088922193185326</c:v>
                </c:pt>
                <c:pt idx="101">
                  <c:v>57.243619525168924</c:v>
                </c:pt>
                <c:pt idx="102">
                  <c:v>56.201215079230273</c:v>
                </c:pt>
                <c:pt idx="103">
                  <c:v>54.956968086907175</c:v>
                </c:pt>
                <c:pt idx="104">
                  <c:v>53.50736618040488</c:v>
                </c:pt>
                <c:pt idx="105">
                  <c:v>51.850244214338247</c:v>
                </c:pt>
                <c:pt idx="106">
                  <c:v>49.984892860459603</c:v>
                </c:pt>
                <c:pt idx="107">
                  <c:v>47.912154143468733</c:v>
                </c:pt>
                <c:pt idx="108">
                  <c:v>45.63450113464679</c:v>
                </c:pt>
                <c:pt idx="109">
                  <c:v>43.156099152380676</c:v>
                </c:pt>
                <c:pt idx="110">
                  <c:v>40.482846038670196</c:v>
                </c:pt>
                <c:pt idx="111">
                  <c:v>37.622389389310591</c:v>
                </c:pt>
                <c:pt idx="112">
                  <c:v>34.584119009971424</c:v>
                </c:pt>
                <c:pt idx="113">
                  <c:v>31.379133344410864</c:v>
                </c:pt>
                <c:pt idx="114">
                  <c:v>28.020179164292124</c:v>
                </c:pt>
                <c:pt idx="115">
                  <c:v>24.521564408526057</c:v>
                </c:pt>
                <c:pt idx="116">
                  <c:v>20.899044696415679</c:v>
                </c:pt>
                <c:pt idx="117">
                  <c:v>17.169684693044605</c:v>
                </c:pt>
                <c:pt idx="118">
                  <c:v>13.351696155255908</c:v>
                </c:pt>
                <c:pt idx="119">
                  <c:v>9.4642551091128126</c:v>
                </c:pt>
                <c:pt idx="120">
                  <c:v>5.5273011818499409</c:v>
                </c:pt>
                <c:pt idx="121">
                  <c:v>1.5613226110986254</c:v>
                </c:pt>
                <c:pt idx="122">
                  <c:v>-2.4128691380359388</c:v>
                </c:pt>
                <c:pt idx="123">
                  <c:v>-6.3743709180098982</c:v>
                </c:pt>
                <c:pt idx="124">
                  <c:v>-10.302421197000282</c:v>
                </c:pt>
                <c:pt idx="125">
                  <c:v>-14.176630650106087</c:v>
                </c:pt>
                <c:pt idx="126">
                  <c:v>-17.977205662369716</c:v>
                </c:pt>
                <c:pt idx="127">
                  <c:v>-21.68516056797127</c:v>
                </c:pt>
                <c:pt idx="128">
                  <c:v>-25.282514773810654</c:v>
                </c:pt>
                <c:pt idx="129">
                  <c:v>-28.752471344704087</c:v>
                </c:pt>
                <c:pt idx="130">
                  <c:v>-32.07957414445449</c:v>
                </c:pt>
                <c:pt idx="131">
                  <c:v>-35.249841211880948</c:v>
                </c:pt>
                <c:pt idx="132">
                  <c:v>-38.250872681265093</c:v>
                </c:pt>
                <c:pt idx="133">
                  <c:v>-41.071932209414641</c:v>
                </c:pt>
                <c:pt idx="134">
                  <c:v>-43.704001523695489</c:v>
                </c:pt>
                <c:pt idx="135">
                  <c:v>-46.139808335223137</c:v>
                </c:pt>
                <c:pt idx="136">
                  <c:v>-48.373828449371345</c:v>
                </c:pt>
                <c:pt idx="137">
                  <c:v>-50.402263435206791</c:v>
                </c:pt>
                <c:pt idx="138">
                  <c:v>-52.22299567317021</c:v>
                </c:pt>
                <c:pt idx="139">
                  <c:v>-53.835522976844672</c:v>
                </c:pt>
                <c:pt idx="140">
                  <c:v>-55.240875274363503</c:v>
                </c:pt>
                <c:pt idx="141">
                  <c:v>-56.441516036048611</c:v>
                </c:pt>
                <c:pt idx="142">
                  <c:v>-57.441231248821055</c:v>
                </c:pt>
                <c:pt idx="143">
                  <c:v>-58.245008769418739</c:v>
                </c:pt>
                <c:pt idx="144">
                  <c:v>-58.858910844626941</c:v>
                </c:pt>
                <c:pt idx="145">
                  <c:v>-59.289942476639574</c:v>
                </c:pt>
                <c:pt idx="146">
                  <c:v>-59.545918145719469</c:v>
                </c:pt>
                <c:pt idx="147">
                  <c:v>-59.635329191632088</c:v>
                </c:pt>
                <c:pt idx="148">
                  <c:v>-59.567213911218147</c:v>
                </c:pt>
                <c:pt idx="149">
                  <c:v>-59.351032162977155</c:v>
                </c:pt>
                <c:pt idx="150">
                  <c:v>-58.996545991011267</c:v>
                </c:pt>
                <c:pt idx="151">
                  <c:v>-58.513707499502047</c:v>
                </c:pt>
                <c:pt idx="152">
                  <c:v>-57.912554933222417</c:v>
                </c:pt>
                <c:pt idx="153">
                  <c:v>-57.203117656261163</c:v>
                </c:pt>
                <c:pt idx="154">
                  <c:v>-56.395330475608802</c:v>
                </c:pt>
                <c:pt idx="155">
                  <c:v>-55.498957532602923</c:v>
                </c:pt>
                <c:pt idx="156">
                  <c:v>-54.523525786246267</c:v>
                </c:pt>
                <c:pt idx="157">
                  <c:v>-53.478267939691037</c:v>
                </c:pt>
                <c:pt idx="158">
                  <c:v>-52.372074515283607</c:v>
                </c:pt>
                <c:pt idx="159">
                  <c:v>-51.213454664153765</c:v>
                </c:pt>
                <c:pt idx="160">
                  <c:v>-50.010505202354871</c:v>
                </c:pt>
                <c:pt idx="161">
                  <c:v>-48.770887295397976</c:v>
                </c:pt>
                <c:pt idx="162">
                  <c:v>-47.501810164650749</c:v>
                </c:pt>
                <c:pt idx="163">
                  <c:v>-46.210021160190237</c:v>
                </c:pt>
                <c:pt idx="164">
                  <c:v>-44.901801532873172</c:v>
                </c:pt>
                <c:pt idx="165">
                  <c:v>-43.582967241127044</c:v>
                </c:pt>
                <c:pt idx="166">
                  <c:v>-42.258874142838216</c:v>
                </c:pt>
                <c:pt idx="167">
                  <c:v>-40.934426947383344</c:v>
                </c:pt>
                <c:pt idx="168">
                  <c:v>-39.614091335151784</c:v>
                </c:pt>
                <c:pt idx="169">
                  <c:v>-38.30190868986454</c:v>
                </c:pt>
                <c:pt idx="170">
                  <c:v>-37.001512930844626</c:v>
                </c:pt>
                <c:pt idx="171">
                  <c:v>-35.716148976603264</c:v>
                </c:pt>
                <c:pt idx="172">
                  <c:v>-34.448692416359066</c:v>
                </c:pt>
                <c:pt idx="173">
                  <c:v>-33.201670011308458</c:v>
                </c:pt>
                <c:pt idx="174">
                  <c:v>-31.977280691723607</c:v>
                </c:pt>
                <c:pt idx="175">
                  <c:v>-30.777416758562111</c:v>
                </c:pt>
                <c:pt idx="176">
                  <c:v>-29.60368503869973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'New_removed_rate - bSIR'!$F$7</c15:sqref>
                        </c15:formulaRef>
                      </c:ext>
                    </c:extLst>
                    <c:strCache>
                      <c:ptCount val="1"/>
                      <c:pt idx="0">
                        <c:v>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-5</c:v>
                      </c:pt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7</c:v>
                      </c:pt>
                      <c:pt idx="60">
                        <c:v>26</c:v>
                      </c:pt>
                      <c:pt idx="61">
                        <c:v>46</c:v>
                      </c:pt>
                      <c:pt idx="62">
                        <c:v>-46</c:v>
                      </c:pt>
                      <c:pt idx="63">
                        <c:v>106</c:v>
                      </c:pt>
                      <c:pt idx="64">
                        <c:v>35</c:v>
                      </c:pt>
                      <c:pt idx="65">
                        <c:v>-21</c:v>
                      </c:pt>
                      <c:pt idx="66">
                        <c:v>-56</c:v>
                      </c:pt>
                      <c:pt idx="67">
                        <c:v>64</c:v>
                      </c:pt>
                      <c:pt idx="68">
                        <c:v>33</c:v>
                      </c:pt>
                      <c:pt idx="69">
                        <c:v>249</c:v>
                      </c:pt>
                      <c:pt idx="70">
                        <c:v>-211</c:v>
                      </c:pt>
                      <c:pt idx="71">
                        <c:v>165</c:v>
                      </c:pt>
                      <c:pt idx="72">
                        <c:v>29</c:v>
                      </c:pt>
                      <c:pt idx="73">
                        <c:v>271</c:v>
                      </c:pt>
                      <c:pt idx="74">
                        <c:v>35</c:v>
                      </c:pt>
                      <c:pt idx="75">
                        <c:v>26</c:v>
                      </c:pt>
                      <c:pt idx="76">
                        <c:v>-226</c:v>
                      </c:pt>
                      <c:pt idx="77">
                        <c:v>1022</c:v>
                      </c:pt>
                      <c:pt idx="78">
                        <c:v>-717</c:v>
                      </c:pt>
                      <c:pt idx="79">
                        <c:v>474</c:v>
                      </c:pt>
                      <c:pt idx="80">
                        <c:v>420</c:v>
                      </c:pt>
                      <c:pt idx="81">
                        <c:v>-133</c:v>
                      </c:pt>
                      <c:pt idx="82">
                        <c:v>-594</c:v>
                      </c:pt>
                      <c:pt idx="83">
                        <c:v>628</c:v>
                      </c:pt>
                      <c:pt idx="84">
                        <c:v>82</c:v>
                      </c:pt>
                      <c:pt idx="85">
                        <c:v>-58</c:v>
                      </c:pt>
                      <c:pt idx="86">
                        <c:v>-103</c:v>
                      </c:pt>
                      <c:pt idx="87">
                        <c:v>765</c:v>
                      </c:pt>
                      <c:pt idx="88">
                        <c:v>-921</c:v>
                      </c:pt>
                      <c:pt idx="89">
                        <c:v>1000</c:v>
                      </c:pt>
                      <c:pt idx="90">
                        <c:v>-456</c:v>
                      </c:pt>
                      <c:pt idx="91">
                        <c:v>-101</c:v>
                      </c:pt>
                      <c:pt idx="92">
                        <c:v>346</c:v>
                      </c:pt>
                      <c:pt idx="93">
                        <c:v>55</c:v>
                      </c:pt>
                      <c:pt idx="94">
                        <c:v>-327</c:v>
                      </c:pt>
                      <c:pt idx="95">
                        <c:v>-575</c:v>
                      </c:pt>
                      <c:pt idx="96">
                        <c:v>314</c:v>
                      </c:pt>
                      <c:pt idx="97">
                        <c:v>501</c:v>
                      </c:pt>
                      <c:pt idx="98">
                        <c:v>482</c:v>
                      </c:pt>
                      <c:pt idx="99">
                        <c:v>-52</c:v>
                      </c:pt>
                      <c:pt idx="100">
                        <c:v>-34</c:v>
                      </c:pt>
                      <c:pt idx="101">
                        <c:v>143</c:v>
                      </c:pt>
                      <c:pt idx="102">
                        <c:v>-590</c:v>
                      </c:pt>
                      <c:pt idx="103">
                        <c:v>-318</c:v>
                      </c:pt>
                      <c:pt idx="104">
                        <c:v>507</c:v>
                      </c:pt>
                      <c:pt idx="105">
                        <c:v>-757</c:v>
                      </c:pt>
                      <c:pt idx="106">
                        <c:v>1057</c:v>
                      </c:pt>
                      <c:pt idx="107">
                        <c:v>541</c:v>
                      </c:pt>
                      <c:pt idx="108">
                        <c:v>-456</c:v>
                      </c:pt>
                      <c:pt idx="109">
                        <c:v>-121</c:v>
                      </c:pt>
                      <c:pt idx="110">
                        <c:v>-285</c:v>
                      </c:pt>
                      <c:pt idx="111">
                        <c:v>981</c:v>
                      </c:pt>
                      <c:pt idx="112">
                        <c:v>123</c:v>
                      </c:pt>
                      <c:pt idx="113">
                        <c:v>117</c:v>
                      </c:pt>
                      <c:pt idx="114">
                        <c:v>-155</c:v>
                      </c:pt>
                      <c:pt idx="115">
                        <c:v>-305</c:v>
                      </c:pt>
                      <c:pt idx="116">
                        <c:v>-969</c:v>
                      </c:pt>
                      <c:pt idx="117">
                        <c:v>-39</c:v>
                      </c:pt>
                      <c:pt idx="118">
                        <c:v>670</c:v>
                      </c:pt>
                      <c:pt idx="119">
                        <c:v>-65</c:v>
                      </c:pt>
                      <c:pt idx="120">
                        <c:v>2344</c:v>
                      </c:pt>
                      <c:pt idx="121">
                        <c:v>-2405</c:v>
                      </c:pt>
                      <c:pt idx="122">
                        <c:v>-434</c:v>
                      </c:pt>
                      <c:pt idx="123">
                        <c:v>-225</c:v>
                      </c:pt>
                      <c:pt idx="124">
                        <c:v>-494</c:v>
                      </c:pt>
                      <c:pt idx="125">
                        <c:v>1168</c:v>
                      </c:pt>
                      <c:pt idx="126">
                        <c:v>5795</c:v>
                      </c:pt>
                      <c:pt idx="127">
                        <c:v>-5078</c:v>
                      </c:pt>
                      <c:pt idx="128">
                        <c:v>-315</c:v>
                      </c:pt>
                      <c:pt idx="129">
                        <c:v>1212</c:v>
                      </c:pt>
                      <c:pt idx="130">
                        <c:v>-1882</c:v>
                      </c:pt>
                      <c:pt idx="131">
                        <c:v>-740</c:v>
                      </c:pt>
                      <c:pt idx="132">
                        <c:v>1044</c:v>
                      </c:pt>
                      <c:pt idx="133">
                        <c:v>1073</c:v>
                      </c:pt>
                      <c:pt idx="134">
                        <c:v>-688</c:v>
                      </c:pt>
                      <c:pt idx="135">
                        <c:v>2150</c:v>
                      </c:pt>
                      <c:pt idx="136">
                        <c:v>-2401</c:v>
                      </c:pt>
                      <c:pt idx="137">
                        <c:v>-247</c:v>
                      </c:pt>
                      <c:pt idx="138">
                        <c:v>-262</c:v>
                      </c:pt>
                      <c:pt idx="139">
                        <c:v>-12</c:v>
                      </c:pt>
                      <c:pt idx="140">
                        <c:v>805</c:v>
                      </c:pt>
                      <c:pt idx="141">
                        <c:v>-608</c:v>
                      </c:pt>
                      <c:pt idx="142">
                        <c:v>-144</c:v>
                      </c:pt>
                      <c:pt idx="143">
                        <c:v>-51</c:v>
                      </c:pt>
                      <c:pt idx="144">
                        <c:v>-550</c:v>
                      </c:pt>
                      <c:pt idx="145">
                        <c:v>-95</c:v>
                      </c:pt>
                      <c:pt idx="146">
                        <c:v>1161</c:v>
                      </c:pt>
                      <c:pt idx="147">
                        <c:v>-195</c:v>
                      </c:pt>
                      <c:pt idx="148">
                        <c:v>1013</c:v>
                      </c:pt>
                      <c:pt idx="149">
                        <c:v>-1246</c:v>
                      </c:pt>
                      <c:pt idx="150">
                        <c:v>573</c:v>
                      </c:pt>
                      <c:pt idx="151">
                        <c:v>-951</c:v>
                      </c:pt>
                      <c:pt idx="152">
                        <c:v>-1041</c:v>
                      </c:pt>
                      <c:pt idx="153">
                        <c:v>884</c:v>
                      </c:pt>
                      <c:pt idx="154">
                        <c:v>-875</c:v>
                      </c:pt>
                      <c:pt idx="155">
                        <c:v>128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1.3472814689114128</c:v>
                      </c:pt>
                      <c:pt idx="1">
                        <c:v>1.4164685017059462</c:v>
                      </c:pt>
                      <c:pt idx="2">
                        <c:v>1.4891745324294052</c:v>
                      </c:pt>
                      <c:pt idx="3">
                        <c:v>1.5655749400187304</c:v>
                      </c:pt>
                      <c:pt idx="4">
                        <c:v>1.6458534599188384</c:v>
                      </c:pt>
                      <c:pt idx="5">
                        <c:v>1.7302025408771835</c:v>
                      </c:pt>
                      <c:pt idx="6">
                        <c:v>1.8188237123678896</c:v>
                      </c:pt>
                      <c:pt idx="7">
                        <c:v>1.9119279624000736</c:v>
                      </c:pt>
                      <c:pt idx="8">
                        <c:v>2.0097361253740167</c:v>
                      </c:pt>
                      <c:pt idx="9">
                        <c:v>2.1124792795456573</c:v>
                      </c:pt>
                      <c:pt idx="10">
                        <c:v>2.220399153543525</c:v>
                      </c:pt>
                      <c:pt idx="11">
                        <c:v>2.3337485412512224</c:v>
                      </c:pt>
                      <c:pt idx="12">
                        <c:v>2.4527917242213584</c:v>
                      </c:pt>
                      <c:pt idx="13">
                        <c:v>2.577804900622072</c:v>
                      </c:pt>
                      <c:pt idx="14">
                        <c:v>2.7090766195329548</c:v>
                      </c:pt>
                      <c:pt idx="15">
                        <c:v>2.8469082192017856</c:v>
                      </c:pt>
                      <c:pt idx="16">
                        <c:v>2.9916142676447186</c:v>
                      </c:pt>
                      <c:pt idx="17">
                        <c:v>3.1435230037185957</c:v>
                      </c:pt>
                      <c:pt idx="18">
                        <c:v>3.3029767765123337</c:v>
                      </c:pt>
                      <c:pt idx="19">
                        <c:v>3.4703324805928664</c:v>
                      </c:pt>
                      <c:pt idx="20">
                        <c:v>3.6459619842968278</c:v>
                      </c:pt>
                      <c:pt idx="21">
                        <c:v>3.8302525478798901</c:v>
                      </c:pt>
                      <c:pt idx="22">
                        <c:v>4.0236072279182116</c:v>
                      </c:pt>
                      <c:pt idx="23">
                        <c:v>4.2264452638980297</c:v>
                      </c:pt>
                      <c:pt idx="24">
                        <c:v>4.4392024424269509</c:v>
                      </c:pt>
                      <c:pt idx="25">
                        <c:v>4.6623314339507758</c:v>
                      </c:pt>
                      <c:pt idx="26">
                        <c:v>4.8963020962594594</c:v>
                      </c:pt>
                      <c:pt idx="27">
                        <c:v>5.1416017384118113</c:v>
                      </c:pt>
                      <c:pt idx="28">
                        <c:v>5.3987353379976106</c:v>
                      </c:pt>
                      <c:pt idx="29">
                        <c:v>5.6682257038841684</c:v>
                      </c:pt>
                      <c:pt idx="30">
                        <c:v>5.95061357575978</c:v>
                      </c:pt>
                      <c:pt idx="31">
                        <c:v>6.246457650884861</c:v>
                      </c:pt>
                      <c:pt idx="32">
                        <c:v>6.5563345274910239</c:v>
                      </c:pt>
                      <c:pt idx="33">
                        <c:v>6.8808385532260994</c:v>
                      </c:pt>
                      <c:pt idx="34">
                        <c:v>7.2205815659270058</c:v>
                      </c:pt>
                      <c:pt idx="35">
                        <c:v>7.576192512811815</c:v>
                      </c:pt>
                      <c:pt idx="36">
                        <c:v>7.9483169329158159</c:v>
                      </c:pt>
                      <c:pt idx="37">
                        <c:v>8.3376162862552672</c:v>
                      </c:pt>
                      <c:pt idx="38">
                        <c:v>8.7447671117875121</c:v>
                      </c:pt>
                      <c:pt idx="39">
                        <c:v>9.1704599947510808</c:v>
                      </c:pt>
                      <c:pt idx="40">
                        <c:v>9.6153983224180948</c:v>
                      </c:pt>
                      <c:pt idx="41">
                        <c:v>10.080296805681844</c:v>
                      </c:pt>
                      <c:pt idx="42">
                        <c:v>10.565879742242208</c:v>
                      </c:pt>
                      <c:pt idx="43">
                        <c:v>11.072878995454516</c:v>
                      </c:pt>
                      <c:pt idx="44">
                        <c:v>11.602031661187246</c:v>
                      </c:pt>
                      <c:pt idx="45">
                        <c:v>12.154077393310533</c:v>
                      </c:pt>
                      <c:pt idx="46">
                        <c:v>12.729755356733781</c:v>
                      </c:pt>
                      <c:pt idx="47">
                        <c:v>13.329800775254826</c:v>
                      </c:pt>
                      <c:pt idx="48">
                        <c:v>13.954941039909343</c:v>
                      </c:pt>
                      <c:pt idx="49">
                        <c:v>14.60589134205669</c:v>
                      </c:pt>
                      <c:pt idx="50">
                        <c:v>15.283349794154768</c:v>
                      </c:pt>
                      <c:pt idx="51">
                        <c:v>15.987992000115572</c:v>
                      </c:pt>
                      <c:pt idx="52">
                        <c:v>16.720465036358128</c:v>
                      </c:pt>
                      <c:pt idx="53">
                        <c:v>17.481380804258208</c:v>
                      </c:pt>
                      <c:pt idx="54">
                        <c:v>18.271308714715904</c:v>
                      </c:pt>
                      <c:pt idx="55">
                        <c:v>19.090767666116069</c:v>
                      </c:pt>
                      <c:pt idx="56">
                        <c:v>19.940217278143063</c:v>
                      </c:pt>
                      <c:pt idx="57">
                        <c:v>20.820048345848001</c:v>
                      </c:pt>
                      <c:pt idx="58">
                        <c:v>21.730572481175344</c:v>
                      </c:pt>
                      <c:pt idx="59">
                        <c:v>22.672010912976045</c:v>
                      </c:pt>
                      <c:pt idx="60">
                        <c:v>23.644482421512127</c:v>
                      </c:pt>
                      <c:pt idx="61">
                        <c:v>24.647990389750962</c:v>
                      </c:pt>
                      <c:pt idx="62">
                        <c:v>25.682408961522171</c:v>
                      </c:pt>
                      <c:pt idx="63">
                        <c:v>26.747468306038183</c:v>
                      </c:pt>
                      <c:pt idx="64">
                        <c:v>27.842738999537421</c:v>
                      </c:pt>
                      <c:pt idx="65">
                        <c:v>28.967615548071834</c:v>
                      </c:pt>
                      <c:pt idx="66">
                        <c:v>30.121299090901331</c:v>
                      </c:pt>
                      <c:pt idx="67">
                        <c:v>31.302779341733014</c:v>
                      </c:pt>
                      <c:pt idx="68">
                        <c:v>32.510815845301664</c:v>
                      </c:pt>
                      <c:pt idx="69">
                        <c:v>33.743918649641408</c:v>
                      </c:pt>
                      <c:pt idx="70">
                        <c:v>35.000328519931195</c:v>
                      </c:pt>
                      <c:pt idx="71">
                        <c:v>36.27799684804264</c:v>
                      </c:pt>
                      <c:pt idx="72">
                        <c:v>37.574565442849909</c:v>
                      </c:pt>
                      <c:pt idx="73">
                        <c:v>38.887346419881197</c:v>
                      </c:pt>
                      <c:pt idx="74">
                        <c:v>40.213302444807226</c:v>
                      </c:pt>
                      <c:pt idx="75">
                        <c:v>41.549027623281759</c:v>
                      </c:pt>
                      <c:pt idx="76">
                        <c:v>42.890729369351298</c:v>
                      </c:pt>
                      <c:pt idx="77">
                        <c:v>44.234211625481585</c:v>
                      </c:pt>
                      <c:pt idx="78">
                        <c:v>45.574859848487201</c:v>
                      </c:pt>
                      <c:pt idx="79">
                        <c:v>46.907628216418452</c:v>
                      </c:pt>
                      <c:pt idx="80">
                        <c:v>48.227029550679383</c:v>
                      </c:pt>
                      <c:pt idx="81">
                        <c:v>49.527128484067873</c:v>
                      </c:pt>
                      <c:pt idx="82">
                        <c:v>50.801538437581328</c:v>
                      </c:pt>
                      <c:pt idx="83">
                        <c:v>52.043422995072369</c:v>
                      </c:pt>
                      <c:pt idx="84">
                        <c:v>53.245502283342461</c:v>
                      </c:pt>
                      <c:pt idx="85">
                        <c:v>54.400064974042429</c:v>
                      </c:pt>
                      <c:pt idx="86">
                        <c:v>55.498986520704406</c:v>
                      </c:pt>
                      <c:pt idx="87">
                        <c:v>56.533754227183437</c:v>
                      </c:pt>
                      <c:pt idx="88">
                        <c:v>57.495499710555826</c:v>
                      </c:pt>
                      <c:pt idx="89">
                        <c:v>58.375039269993266</c:v>
                      </c:pt>
                      <c:pt idx="90">
                        <c:v>59.162922601361664</c:v>
                      </c:pt>
                      <c:pt idx="91">
                        <c:v>59.849490203617208</c:v>
                      </c:pt>
                      <c:pt idx="92">
                        <c:v>60.424939706224315</c:v>
                      </c:pt>
                      <c:pt idx="93">
                        <c:v>60.879401206076309</c:v>
                      </c:pt>
                      <c:pt idx="94">
                        <c:v>61.203021537704814</c:v>
                      </c:pt>
                      <c:pt idx="95">
                        <c:v>61.386057212689195</c:v>
                      </c:pt>
                      <c:pt idx="96">
                        <c:v>61.41897555482926</c:v>
                      </c:pt>
                      <c:pt idx="97">
                        <c:v>61.292563329595339</c:v>
                      </c:pt>
                      <c:pt idx="98">
                        <c:v>60.998041923543362</c:v>
                      </c:pt>
                      <c:pt idx="99">
                        <c:v>60.527187876886899</c:v>
                      </c:pt>
                      <c:pt idx="100">
                        <c:v>59.872457316569943</c:v>
                      </c:pt>
                      <c:pt idx="101">
                        <c:v>59.02711258543075</c:v>
                      </c:pt>
                      <c:pt idx="102">
                        <c:v>57.985349123842902</c:v>
                      </c:pt>
                      <c:pt idx="103">
                        <c:v>56.742420442839567</c:v>
                      </c:pt>
                      <c:pt idx="104">
                        <c:v>55.294758841965944</c:v>
                      </c:pt>
                      <c:pt idx="105">
                        <c:v>53.640089380950279</c:v>
                      </c:pt>
                      <c:pt idx="106">
                        <c:v>51.777534521480341</c:v>
                      </c:pt>
                      <c:pt idx="107">
                        <c:v>49.70770682296169</c:v>
                      </c:pt>
                      <c:pt idx="108">
                        <c:v>47.432787111940385</c:v>
                      </c:pt>
                      <c:pt idx="109">
                        <c:v>44.956585654994271</c:v>
                      </c:pt>
                      <c:pt idx="110">
                        <c:v>42.284584053206892</c:v>
                      </c:pt>
                      <c:pt idx="111">
                        <c:v>39.423955844040826</c:v>
                      </c:pt>
                      <c:pt idx="112">
                        <c:v>36.383564141708163</c:v>
                      </c:pt>
                      <c:pt idx="113">
                        <c:v>33.173935064923924</c:v>
                      </c:pt>
                      <c:pt idx="114">
                        <c:v>29.807206182807921</c:v>
                      </c:pt>
                      <c:pt idx="115">
                        <c:v>26.297049744002368</c:v>
                      </c:pt>
                      <c:pt idx="116">
                        <c:v>22.658571026142592</c:v>
                      </c:pt>
                      <c:pt idx="117">
                        <c:v>18.908182735465786</c:v>
                      </c:pt>
                      <c:pt idx="118">
                        <c:v>15.063456980484222</c:v>
                      </c:pt>
                      <c:pt idx="119">
                        <c:v>11.142956919067371</c:v>
                      </c:pt>
                      <c:pt idx="120">
                        <c:v>7.1660507145285992</c:v>
                      </c:pt>
                      <c:pt idx="121">
                        <c:v>3.1527109136619647</c:v>
                      </c:pt>
                      <c:pt idx="122">
                        <c:v>-0.87669723993003768</c:v>
                      </c:pt>
                      <c:pt idx="123">
                        <c:v>-4.9016347359076615</c:v>
                      </c:pt>
                      <c:pt idx="124">
                        <c:v>-8.9016109459008561</c:v>
                      </c:pt>
                      <c:pt idx="125">
                        <c:v>-12.856404875223943</c:v>
                      </c:pt>
                      <c:pt idx="126">
                        <c:v>-16.746281427321136</c:v>
                      </c:pt>
                      <c:pt idx="127">
                        <c:v>-20.552198731219264</c:v>
                      </c:pt>
                      <c:pt idx="128">
                        <c:v>-24.256002832420652</c:v>
                      </c:pt>
                      <c:pt idx="129">
                        <c:v>-27.840606397543649</c:v>
                      </c:pt>
                      <c:pt idx="130">
                        <c:v>-31.290148518960475</c:v>
                      </c:pt>
                      <c:pt idx="131">
                        <c:v>-34.590133210992235</c:v>
                      </c:pt>
                      <c:pt idx="132">
                        <c:v>-37.727544744998376</c:v>
                      </c:pt>
                      <c:pt idx="133">
                        <c:v>-40.690938556780317</c:v>
                      </c:pt>
                      <c:pt idx="134">
                        <c:v>-43.470507055648433</c:v>
                      </c:pt>
                      <c:pt idx="135">
                        <c:v>-46.058120250447828</c:v>
                      </c:pt>
                      <c:pt idx="136">
                        <c:v>-48.447341665456072</c:v>
                      </c:pt>
                      <c:pt idx="137">
                        <c:v>-50.633420532198727</c:v>
                      </c:pt>
                      <c:pt idx="138">
                        <c:v>-52.613261698476322</c:v>
                      </c:pt>
                      <c:pt idx="139">
                        <c:v>-54.385375082982009</c:v>
                      </c:pt>
                      <c:pt idx="140">
                        <c:v>-55.949806815852511</c:v>
                      </c:pt>
                      <c:pt idx="141">
                        <c:v>-57.308054438703046</c:v>
                      </c:pt>
                      <c:pt idx="142">
                        <c:v>-58.462968691679727</c:v>
                      </c:pt>
                      <c:pt idx="143">
                        <c:v>-59.418644492241974</c:v>
                      </c:pt>
                      <c:pt idx="144">
                        <c:v>-60.180303715657857</c:v>
                      </c:pt>
                      <c:pt idx="145">
                        <c:v>-60.754172327468872</c:v>
                      </c:pt>
                      <c:pt idx="146">
                        <c:v>-61.147354301877257</c:v>
                      </c:pt>
                      <c:pt idx="147">
                        <c:v>-61.367704596533926</c:v>
                      </c:pt>
                      <c:pt idx="148">
                        <c:v>-61.423703253464588</c:v>
                      </c:pt>
                      <c:pt idx="149">
                        <c:v>-61.3243324678186</c:v>
                      </c:pt>
                      <c:pt idx="150">
                        <c:v>-61.078958220365671</c:v>
                      </c:pt>
                      <c:pt idx="151">
                        <c:v>-60.697217815145606</c:v>
                      </c:pt>
                      <c:pt idx="152">
                        <c:v>-60.188914408437853</c:v>
                      </c:pt>
                      <c:pt idx="153">
                        <c:v>-59.563919366220105</c:v>
                      </c:pt>
                      <c:pt idx="154">
                        <c:v>-58.832083050330475</c:v>
                      </c:pt>
                      <c:pt idx="155">
                        <c:v>-58.003154413219569</c:v>
                      </c:pt>
                      <c:pt idx="156">
                        <c:v>-57.086709580896596</c:v>
                      </c:pt>
                      <c:pt idx="157">
                        <c:v>-56.092089425728624</c:v>
                      </c:pt>
                      <c:pt idx="158">
                        <c:v>-55.028345976433826</c:v>
                      </c:pt>
                      <c:pt idx="159">
                        <c:v>-53.90419738230927</c:v>
                      </c:pt>
                      <c:pt idx="160">
                        <c:v>-52.72799104208832</c:v>
                      </c:pt>
                      <c:pt idx="161">
                        <c:v>-51.507674423858226</c:v>
                      </c:pt>
                      <c:pt idx="162">
                        <c:v>-50.250773039726376</c:v>
                      </c:pt>
                      <c:pt idx="163">
                        <c:v>-48.964374995606249</c:v>
                      </c:pt>
                      <c:pt idx="164">
                        <c:v>-47.655121510568762</c:v>
                      </c:pt>
                      <c:pt idx="165">
                        <c:v>-46.32920278951795</c:v>
                      </c:pt>
                      <c:pt idx="166">
                        <c:v>-44.992358635314915</c:v>
                      </c:pt>
                      <c:pt idx="167">
                        <c:v>-43.649883199736095</c:v>
                      </c:pt>
                      <c:pt idx="168">
                        <c:v>-42.306633294755173</c:v>
                      </c:pt>
                      <c:pt idx="169">
                        <c:v>-40.967039714667209</c:v>
                      </c:pt>
                      <c:pt idx="170">
                        <c:v>-39.635121053770263</c:v>
                      </c:pt>
                      <c:pt idx="171">
                        <c:v>-38.314499542124864</c:v>
                      </c:pt>
                      <c:pt idx="172">
                        <c:v>-37.008418461947855</c:v>
                      </c:pt>
                      <c:pt idx="173">
                        <c:v>-35.719760748290675</c:v>
                      </c:pt>
                      <c:pt idx="174">
                        <c:v>-34.451068418811296</c:v>
                      </c:pt>
                      <c:pt idx="175">
                        <c:v>-33.204562517867004</c:v>
                      </c:pt>
                      <c:pt idx="176">
                        <c:v>-31.982163299185945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bSIR'!$L$7</c15:sqref>
                        </c15:formulaRef>
                      </c:ext>
                    </c:extLst>
                    <c:strCache>
                      <c:ptCount val="1"/>
                      <c:pt idx="0">
                        <c:v>Italy (fit of selected region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1.3361189791669204</c:v>
                      </c:pt>
                      <c:pt idx="1">
                        <c:v>1.4043958950211433</c:v>
                      </c:pt>
                      <c:pt idx="2">
                        <c:v>1.4761439767200106</c:v>
                      </c:pt>
                      <c:pt idx="3">
                        <c:v>1.5515368600356823</c:v>
                      </c:pt>
                      <c:pt idx="4">
                        <c:v>1.6307565246554467</c:v>
                      </c:pt>
                      <c:pt idx="5">
                        <c:v>1.7139936565888494</c:v>
                      </c:pt>
                      <c:pt idx="6">
                        <c:v>1.8014480219445981</c:v>
                      </c:pt>
                      <c:pt idx="7">
                        <c:v>1.8933288518981535</c:v>
                      </c:pt>
                      <c:pt idx="8">
                        <c:v>1.9898552385842729</c:v>
                      </c:pt>
                      <c:pt idx="9">
                        <c:v>2.091256541550401</c:v>
                      </c:pt>
                      <c:pt idx="10">
                        <c:v>2.1977728042951803</c:v>
                      </c:pt>
                      <c:pt idx="11">
                        <c:v>2.309655180290235</c:v>
                      </c:pt>
                      <c:pt idx="12">
                        <c:v>2.4271663677412283</c:v>
                      </c:pt>
                      <c:pt idx="13">
                        <c:v>2.5505810521843801</c:v>
                      </c:pt>
                      <c:pt idx="14">
                        <c:v>2.6801863558354322</c:v>
                      </c:pt>
                      <c:pt idx="15">
                        <c:v>2.8162822924074957</c:v>
                      </c:pt>
                      <c:pt idx="16">
                        <c:v>2.9591822258903671</c:v>
                      </c:pt>
                      <c:pt idx="17">
                        <c:v>3.1092133315343706</c:v>
                      </c:pt>
                      <c:pt idx="18">
                        <c:v>3.2667170570045738</c:v>
                      </c:pt>
                      <c:pt idx="19">
                        <c:v>3.4320495813632834</c:v>
                      </c:pt>
                      <c:pt idx="20">
                        <c:v>3.6055822691979103</c:v>
                      </c:pt>
                      <c:pt idx="21">
                        <c:v>3.7877021168344172</c:v>
                      </c:pt>
                      <c:pt idx="22">
                        <c:v>3.9788121871606679</c:v>
                      </c:pt>
                      <c:pt idx="23">
                        <c:v>4.1793320291260843</c:v>
                      </c:pt>
                      <c:pt idx="24">
                        <c:v>4.389698077480519</c:v>
                      </c:pt>
                      <c:pt idx="25">
                        <c:v>4.6103640277629889</c:v>
                      </c:pt>
                      <c:pt idx="26">
                        <c:v>4.8418011809460477</c:v>
                      </c:pt>
                      <c:pt idx="27">
                        <c:v>5.0844987514808153</c:v>
                      </c:pt>
                      <c:pt idx="28">
                        <c:v>5.3389641317668959</c:v>
                      </c:pt>
                      <c:pt idx="29">
                        <c:v>5.6057231052872867</c:v>
                      </c:pt>
                      <c:pt idx="30">
                        <c:v>5.8853199997970806</c:v>
                      </c:pt>
                      <c:pt idx="31">
                        <c:v>6.1783177710326509</c:v>
                      </c:pt>
                      <c:pt idx="32">
                        <c:v>6.4852980064118508</c:v>
                      </c:pt>
                      <c:pt idx="33">
                        <c:v>6.8068608371226142</c:v>
                      </c:pt>
                      <c:pt idx="34">
                        <c:v>7.1436247458441757</c:v>
                      </c:pt>
                      <c:pt idx="35">
                        <c:v>7.4962262561102255</c:v>
                      </c:pt>
                      <c:pt idx="36">
                        <c:v>7.8653194880048947</c:v>
                      </c:pt>
                      <c:pt idx="37">
                        <c:v>8.2515755634806673</c:v>
                      </c:pt>
                      <c:pt idx="38">
                        <c:v>8.6556818431018456</c:v>
                      </c:pt>
                      <c:pt idx="39">
                        <c:v>9.0783409744508941</c:v>
                      </c:pt>
                      <c:pt idx="40">
                        <c:v>9.5202697307912185</c:v>
                      </c:pt>
                      <c:pt idx="41">
                        <c:v>9.9821976168643758</c:v>
                      </c:pt>
                      <c:pt idx="42">
                        <c:v>10.464865216920396</c:v>
                      </c:pt>
                      <c:pt idx="43">
                        <c:v>10.969022258248472</c:v>
                      </c:pt>
                      <c:pt idx="44">
                        <c:v>11.49542536160461</c:v>
                      </c:pt>
                      <c:pt idx="45">
                        <c:v>12.044835448042591</c:v>
                      </c:pt>
                      <c:pt idx="46">
                        <c:v>12.618014769766386</c:v>
                      </c:pt>
                      <c:pt idx="47">
                        <c:v>13.215723530763785</c:v>
                      </c:pt>
                      <c:pt idx="48">
                        <c:v>13.838716061185831</c:v>
                      </c:pt>
                      <c:pt idx="49">
                        <c:v>14.487736507745254</c:v>
                      </c:pt>
                      <c:pt idx="50">
                        <c:v>15.163514000865591</c:v>
                      </c:pt>
                      <c:pt idx="51">
                        <c:v>15.8667572579775</c:v>
                      </c:pt>
                      <c:pt idx="52">
                        <c:v>16.59814858129424</c:v>
                      </c:pt>
                      <c:pt idx="53">
                        <c:v>17.358337207677593</c:v>
                      </c:pt>
                      <c:pt idx="54">
                        <c:v>18.147931967915461</c:v>
                      </c:pt>
                      <c:pt idx="55">
                        <c:v>18.967493212967469</c:v>
                      </c:pt>
                      <c:pt idx="56">
                        <c:v>19.817523965604966</c:v>
                      </c:pt>
                      <c:pt idx="57">
                        <c:v>20.698460257497743</c:v>
                      </c:pt>
                      <c:pt idx="58">
                        <c:v>21.610660614315005</c:v>
                      </c:pt>
                      <c:pt idx="59">
                        <c:v>22.554394654961293</c:v>
                      </c:pt>
                      <c:pt idx="60">
                        <c:v>23.529830775818283</c:v>
                      </c:pt>
                      <c:pt idx="61">
                        <c:v>24.537022896982389</c:v>
                      </c:pt>
                      <c:pt idx="62">
                        <c:v>25.575896255161346</c:v>
                      </c:pt>
                      <c:pt idx="63">
                        <c:v>26.646232237307863</c:v>
                      </c:pt>
                      <c:pt idx="64">
                        <c:v>27.747652260428296</c:v>
                      </c:pt>
                      <c:pt idx="65">
                        <c:v>28.879600716503873</c:v>
                      </c:pt>
                      <c:pt idx="66">
                        <c:v>30.041327017304905</c:v>
                      </c:pt>
                      <c:pt idx="67">
                        <c:v>31.231866792246841</c:v>
                      </c:pt>
                      <c:pt idx="68">
                        <c:v>32.450022313512768</c:v>
                      </c:pt>
                      <c:pt idx="69">
                        <c:v>33.694342246590509</c:v>
                      </c:pt>
                      <c:pt idx="70">
                        <c:v>34.963100851260421</c:v>
                      </c:pt>
                      <c:pt idx="71">
                        <c:v>36.254276787988076</c:v>
                      </c:pt>
                      <c:pt idx="72">
                        <c:v>37.565531717621006</c:v>
                      </c:pt>
                      <c:pt idx="73">
                        <c:v>38.894188918191603</c:v>
                      </c:pt>
                      <c:pt idx="74">
                        <c:v>40.23721218131093</c:v>
                      </c:pt>
                      <c:pt idx="75">
                        <c:v>41.591185291819336</c:v>
                      </c:pt>
                      <c:pt idx="76">
                        <c:v>42.952292437616741</c:v>
                      </c:pt>
                      <c:pt idx="77">
                        <c:v>44.316299941352916</c:v>
                      </c:pt>
                      <c:pt idx="78">
                        <c:v>45.678539751171449</c:v>
                      </c:pt>
                      <c:pt idx="79">
                        <c:v>47.033895173025471</c:v>
                      </c:pt>
                      <c:pt idx="80">
                        <c:v>48.376789371072491</c:v>
                      </c:pt>
                      <c:pt idx="81">
                        <c:v>49.701177203943637</c:v>
                      </c:pt>
                      <c:pt idx="82">
                        <c:v>51.000541001674193</c:v>
                      </c:pt>
                      <c:pt idx="83">
                        <c:v>52.267890918961946</c:v>
                      </c:pt>
                      <c:pt idx="84">
                        <c:v>53.495770523163898</c:v>
                      </c:pt>
                      <c:pt idx="85">
                        <c:v>54.676268287828464</c:v>
                      </c:pt>
                      <c:pt idx="86">
                        <c:v>55.801035662228649</c:v>
                      </c:pt>
                      <c:pt idx="87">
                        <c:v>56.861312371845372</c:v>
                      </c:pt>
                      <c:pt idx="88">
                        <c:v>57.847959571558938</c:v>
                      </c:pt>
                      <c:pt idx="89">
                        <c:v>58.751501420015344</c:v>
                      </c:pt>
                      <c:pt idx="90">
                        <c:v>59.562175567985605</c:v>
                      </c:pt>
                      <c:pt idx="91">
                        <c:v>60.269992953576768</c:v>
                      </c:pt>
                      <c:pt idx="92">
                        <c:v>60.864807171365598</c:v>
                      </c:pt>
                      <c:pt idx="93">
                        <c:v>61.336393529996769</c:v>
                      </c:pt>
                      <c:pt idx="94">
                        <c:v>61.674537733358349</c:v>
                      </c:pt>
                      <c:pt idx="95">
                        <c:v>61.869133914889716</c:v>
                      </c:pt>
                      <c:pt idx="96">
                        <c:v>61.910291524739925</c:v>
                      </c:pt>
                      <c:pt idx="97">
                        <c:v>61.788450318440738</c:v>
                      </c:pt>
                      <c:pt idx="98">
                        <c:v>61.494502427874863</c:v>
                      </c:pt>
                      <c:pt idx="99">
                        <c:v>61.019920216370885</c:v>
                      </c:pt>
                      <c:pt idx="100">
                        <c:v>60.356888336885383</c:v>
                      </c:pt>
                      <c:pt idx="101">
                        <c:v>59.49843813390828</c:v>
                      </c:pt>
                      <c:pt idx="102">
                        <c:v>58.438582265571043</c:v>
                      </c:pt>
                      <c:pt idx="103">
                        <c:v>57.172447183018249</c:v>
                      </c:pt>
                      <c:pt idx="104">
                        <c:v>55.696400900578389</c:v>
                      </c:pt>
                      <c:pt idx="105">
                        <c:v>54.008173334006585</c:v>
                      </c:pt>
                      <c:pt idx="106">
                        <c:v>52.106966386116355</c:v>
                      </c:pt>
                      <c:pt idx="107">
                        <c:v>49.99355092966973</c:v>
                      </c:pt>
                      <c:pt idx="108">
                        <c:v>47.67034788519679</c:v>
                      </c:pt>
                      <c:pt idx="109">
                        <c:v>45.141490723148081</c:v>
                      </c:pt>
                      <c:pt idx="110">
                        <c:v>42.412866939503409</c:v>
                      </c:pt>
                      <c:pt idx="111">
                        <c:v>39.492136362574286</c:v>
                      </c:pt>
                      <c:pt idx="112">
                        <c:v>36.388724543624541</c:v>
                      </c:pt>
                      <c:pt idx="113">
                        <c:v>33.113789958678417</c:v>
                      </c:pt>
                      <c:pt idx="114">
                        <c:v>29.680164293220933</c:v>
                      </c:pt>
                      <c:pt idx="115">
                        <c:v>26.102265681447172</c:v>
                      </c:pt>
                      <c:pt idx="116">
                        <c:v>22.39598540994729</c:v>
                      </c:pt>
                      <c:pt idx="117">
                        <c:v>18.578549252128617</c:v>
                      </c:pt>
                      <c:pt idx="118">
                        <c:v>14.668355252175399</c:v>
                      </c:pt>
                      <c:pt idx="119">
                        <c:v>10.684790402798855</c:v>
                      </c:pt>
                      <c:pt idx="120">
                        <c:v>6.6480292363226843</c:v>
                      </c:pt>
                      <c:pt idx="121">
                        <c:v>2.5788178518136018</c:v>
                      </c:pt>
                      <c:pt idx="122">
                        <c:v>-1.5017526876974077</c:v>
                      </c:pt>
                      <c:pt idx="123">
                        <c:v>-5.5724793507748069</c:v>
                      </c:pt>
                      <c:pt idx="124">
                        <c:v>-9.6122821062061803</c:v>
                      </c:pt>
                      <c:pt idx="125">
                        <c:v>-13.600436390327998</c:v>
                      </c:pt>
                      <c:pt idx="126">
                        <c:v>-17.516798674129511</c:v>
                      </c:pt>
                      <c:pt idx="127">
                        <c:v>-21.342020933605674</c:v>
                      </c:pt>
                      <c:pt idx="128">
                        <c:v>-25.057750147814065</c:v>
                      </c:pt>
                      <c:pt idx="129">
                        <c:v>-28.646809375597865</c:v>
                      </c:pt>
                      <c:pt idx="130">
                        <c:v>-32.093357476901041</c:v>
                      </c:pt>
                      <c:pt idx="131">
                        <c:v>-35.383025127845698</c:v>
                      </c:pt>
                      <c:pt idx="132">
                        <c:v>-38.503025408059621</c:v>
                      </c:pt>
                      <c:pt idx="133">
                        <c:v>-41.442237890983222</c:v>
                      </c:pt>
                      <c:pt idx="134">
                        <c:v>-44.191265820102117</c:v>
                      </c:pt>
                      <c:pt idx="135">
                        <c:v>-46.74246658452094</c:v>
                      </c:pt>
                      <c:pt idx="136">
                        <c:v>-49.089956296440683</c:v>
                      </c:pt>
                      <c:pt idx="137">
                        <c:v>-51.229589804250708</c:v>
                      </c:pt>
                      <c:pt idx="138">
                        <c:v>-53.158917934832523</c:v>
                      </c:pt>
                      <c:pt idx="139">
                        <c:v>-54.877124137789473</c:v>
                      </c:pt>
                      <c:pt idx="140">
                        <c:v>-56.38494299698305</c:v>
                      </c:pt>
                      <c:pt idx="141">
                        <c:v>-57.684563279037441</c:v>
                      </c:pt>
                      <c:pt idx="142">
                        <c:v>-58.779518305878511</c:v>
                      </c:pt>
                      <c:pt idx="143">
                        <c:v>-59.674566473451684</c:v>
                      </c:pt>
                      <c:pt idx="144">
                        <c:v>-60.375564698571665</c:v>
                      </c:pt>
                      <c:pt idx="145">
                        <c:v>-60.889337469381132</c:v>
                      </c:pt>
                      <c:pt idx="146">
                        <c:v>-61.223544012458397</c:v>
                      </c:pt>
                      <c:pt idx="147">
                        <c:v>-61.386545882265807</c:v>
                      </c:pt>
                      <c:pt idx="148">
                        <c:v>-61.387277037639329</c:v>
                      </c:pt>
                      <c:pt idx="149">
                        <c:v>-61.235118206364959</c:v>
                      </c:pt>
                      <c:pt idx="150">
                        <c:v>-60.939777062882484</c:v>
                      </c:pt>
                      <c:pt idx="151">
                        <c:v>-60.511175465145037</c:v>
                      </c:pt>
                      <c:pt idx="152">
                        <c:v>-59.959344722783165</c:v>
                      </c:pt>
                      <c:pt idx="153">
                        <c:v>-59.294329606802521</c:v>
                      </c:pt>
                      <c:pt idx="154">
                        <c:v>-58.526101566535026</c:v>
                      </c:pt>
                      <c:pt idx="155">
                        <c:v>-57.664481396552532</c:v>
                      </c:pt>
                      <c:pt idx="156">
                        <c:v>-56.719071397544703</c:v>
                      </c:pt>
                      <c:pt idx="157">
                        <c:v>-55.699196902379988</c:v>
                      </c:pt>
                      <c:pt idx="158">
                        <c:v>-54.613856892294457</c:v>
                      </c:pt>
                      <c:pt idx="159">
                        <c:v>-53.471683308089737</c:v>
                      </c:pt>
                      <c:pt idx="160">
                        <c:v>-52.280908566347172</c:v>
                      </c:pt>
                      <c:pt idx="161">
                        <c:v>-51.049340719401023</c:v>
                      </c:pt>
                      <c:pt idx="162">
                        <c:v>-49.784345648174394</c:v>
                      </c:pt>
                      <c:pt idx="163">
                        <c:v>-48.492835646705728</c:v>
                      </c:pt>
                      <c:pt idx="164">
                        <c:v>-47.181263743884195</c:v>
                      </c:pt>
                      <c:pt idx="165">
                        <c:v>-45.855623109113125</c:v>
                      </c:pt>
                      <c:pt idx="166">
                        <c:v>-44.521450901933036</c:v>
                      </c:pt>
                      <c:pt idx="167">
                        <c:v>-43.183835948753085</c:v>
                      </c:pt>
                      <c:pt idx="168">
                        <c:v>-41.847429660621799</c:v>
                      </c:pt>
                      <c:pt idx="169">
                        <c:v>-40.516459642463417</c:v>
                      </c:pt>
                      <c:pt idx="170">
                        <c:v>-39.194745484667614</c:v>
                      </c:pt>
                      <c:pt idx="171">
                        <c:v>-37.885716270832475</c:v>
                      </c:pt>
                      <c:pt idx="172">
                        <c:v>-36.592429379517149</c:v>
                      </c:pt>
                      <c:pt idx="173">
                        <c:v>-35.317590201975698</c:v>
                      </c:pt>
                      <c:pt idx="174">
                        <c:v>-34.063572441129566</c:v>
                      </c:pt>
                      <c:pt idx="175">
                        <c:v>-32.832438698789637</c:v>
                      </c:pt>
                      <c:pt idx="176">
                        <c:v>-31.625961097827151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bSIR'!$AI$7</c15:sqref>
                        </c15:formulaRef>
                      </c:ext>
                    </c:extLst>
                    <c:strCache>
                      <c:ptCount val="1"/>
                      <c:pt idx="0">
                        <c:v>selected region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4</c:v>
                      </c:pt>
                      <c:pt idx="60" formatCode="General">
                        <c:v>-4</c:v>
                      </c:pt>
                      <c:pt idx="61" formatCode="General">
                        <c:v>0</c:v>
                      </c:pt>
                      <c:pt idx="62" formatCode="General">
                        <c:v>1</c:v>
                      </c:pt>
                      <c:pt idx="63" formatCode="General">
                        <c:v>-1</c:v>
                      </c:pt>
                      <c:pt idx="64" formatCode="General">
                        <c:v>2</c:v>
                      </c:pt>
                      <c:pt idx="65" formatCode="General">
                        <c:v>-1</c:v>
                      </c:pt>
                      <c:pt idx="66" formatCode="General">
                        <c:v>0</c:v>
                      </c:pt>
                      <c:pt idx="67" formatCode="General">
                        <c:v>1</c:v>
                      </c:pt>
                      <c:pt idx="68" formatCode="General">
                        <c:v>-1</c:v>
                      </c:pt>
                      <c:pt idx="69" formatCode="General">
                        <c:v>0</c:v>
                      </c:pt>
                      <c:pt idx="70" formatCode="General">
                        <c:v>-1</c:v>
                      </c:pt>
                      <c:pt idx="71" formatCode="General">
                        <c:v>18</c:v>
                      </c:pt>
                      <c:pt idx="72" formatCode="General">
                        <c:v>-8</c:v>
                      </c:pt>
                      <c:pt idx="73" formatCode="General">
                        <c:v>28</c:v>
                      </c:pt>
                      <c:pt idx="74" formatCode="General">
                        <c:v>-51</c:v>
                      </c:pt>
                      <c:pt idx="75" formatCode="General">
                        <c:v>39</c:v>
                      </c:pt>
                      <c:pt idx="76" formatCode="General">
                        <c:v>-1</c:v>
                      </c:pt>
                      <c:pt idx="77" formatCode="General">
                        <c:v>1</c:v>
                      </c:pt>
                      <c:pt idx="78" formatCode="General">
                        <c:v>7</c:v>
                      </c:pt>
                      <c:pt idx="79" formatCode="General">
                        <c:v>11</c:v>
                      </c:pt>
                      <c:pt idx="80" formatCode="General">
                        <c:v>13</c:v>
                      </c:pt>
                      <c:pt idx="81" formatCode="General">
                        <c:v>-20</c:v>
                      </c:pt>
                      <c:pt idx="82" formatCode="General">
                        <c:v>20</c:v>
                      </c:pt>
                      <c:pt idx="83" formatCode="General">
                        <c:v>-4</c:v>
                      </c:pt>
                      <c:pt idx="84" formatCode="General">
                        <c:v>2</c:v>
                      </c:pt>
                      <c:pt idx="85" formatCode="General">
                        <c:v>6</c:v>
                      </c:pt>
                      <c:pt idx="86" formatCode="General">
                        <c:v>35</c:v>
                      </c:pt>
                      <c:pt idx="87" formatCode="General">
                        <c:v>4</c:v>
                      </c:pt>
                      <c:pt idx="88" formatCode="General">
                        <c:v>-39</c:v>
                      </c:pt>
                      <c:pt idx="89" formatCode="General">
                        <c:v>-24</c:v>
                      </c:pt>
                      <c:pt idx="90" formatCode="General">
                        <c:v>37</c:v>
                      </c:pt>
                      <c:pt idx="91" formatCode="General">
                        <c:v>33</c:v>
                      </c:pt>
                      <c:pt idx="92" formatCode="General">
                        <c:v>0</c:v>
                      </c:pt>
                      <c:pt idx="93" formatCode="General">
                        <c:v>-10</c:v>
                      </c:pt>
                      <c:pt idx="94" formatCode="General">
                        <c:v>-7</c:v>
                      </c:pt>
                      <c:pt idx="95" formatCode="General">
                        <c:v>-43</c:v>
                      </c:pt>
                      <c:pt idx="96" formatCode="General">
                        <c:v>29</c:v>
                      </c:pt>
                      <c:pt idx="97" formatCode="General">
                        <c:v>37</c:v>
                      </c:pt>
                      <c:pt idx="98" formatCode="General">
                        <c:v>3</c:v>
                      </c:pt>
                      <c:pt idx="99" formatCode="General">
                        <c:v>-10</c:v>
                      </c:pt>
                      <c:pt idx="100" formatCode="General">
                        <c:v>17</c:v>
                      </c:pt>
                      <c:pt idx="101" formatCode="General">
                        <c:v>30</c:v>
                      </c:pt>
                      <c:pt idx="102" formatCode="General">
                        <c:v>-35</c:v>
                      </c:pt>
                      <c:pt idx="103" formatCode="General">
                        <c:v>-48</c:v>
                      </c:pt>
                      <c:pt idx="104" formatCode="General">
                        <c:v>41</c:v>
                      </c:pt>
                      <c:pt idx="105" formatCode="General">
                        <c:v>19</c:v>
                      </c:pt>
                      <c:pt idx="106" formatCode="General">
                        <c:v>0</c:v>
                      </c:pt>
                      <c:pt idx="107" formatCode="General">
                        <c:v>-3</c:v>
                      </c:pt>
                      <c:pt idx="108" formatCode="General">
                        <c:v>33</c:v>
                      </c:pt>
                      <c:pt idx="109" formatCode="General">
                        <c:v>-11</c:v>
                      </c:pt>
                      <c:pt idx="110" formatCode="General">
                        <c:v>-14</c:v>
                      </c:pt>
                      <c:pt idx="111" formatCode="General">
                        <c:v>-7</c:v>
                      </c:pt>
                      <c:pt idx="112" formatCode="General">
                        <c:v>13</c:v>
                      </c:pt>
                      <c:pt idx="113" formatCode="General">
                        <c:v>0</c:v>
                      </c:pt>
                      <c:pt idx="114" formatCode="General">
                        <c:v>12</c:v>
                      </c:pt>
                      <c:pt idx="115" formatCode="General">
                        <c:v>-21</c:v>
                      </c:pt>
                      <c:pt idx="116" formatCode="General">
                        <c:v>8</c:v>
                      </c:pt>
                      <c:pt idx="117" formatCode="General">
                        <c:v>-86</c:v>
                      </c:pt>
                      <c:pt idx="118" formatCode="General">
                        <c:v>85</c:v>
                      </c:pt>
                      <c:pt idx="119" formatCode="General">
                        <c:v>-27</c:v>
                      </c:pt>
                      <c:pt idx="120" formatCode="General">
                        <c:v>17</c:v>
                      </c:pt>
                      <c:pt idx="121" formatCode="General">
                        <c:v>37</c:v>
                      </c:pt>
                      <c:pt idx="122" formatCode="General">
                        <c:v>-60</c:v>
                      </c:pt>
                      <c:pt idx="123" formatCode="General">
                        <c:v>-12</c:v>
                      </c:pt>
                      <c:pt idx="124" formatCode="General">
                        <c:v>2</c:v>
                      </c:pt>
                      <c:pt idx="125" formatCode="General">
                        <c:v>48</c:v>
                      </c:pt>
                      <c:pt idx="126" formatCode="General">
                        <c:v>53</c:v>
                      </c:pt>
                      <c:pt idx="127" formatCode="General">
                        <c:v>-45</c:v>
                      </c:pt>
                      <c:pt idx="128" formatCode="General">
                        <c:v>-2</c:v>
                      </c:pt>
                      <c:pt idx="129" formatCode="General">
                        <c:v>59</c:v>
                      </c:pt>
                      <c:pt idx="130" formatCode="General">
                        <c:v>-77</c:v>
                      </c:pt>
                      <c:pt idx="131" formatCode="General">
                        <c:v>-32</c:v>
                      </c:pt>
                      <c:pt idx="132" formatCode="General">
                        <c:v>-4</c:v>
                      </c:pt>
                      <c:pt idx="133" formatCode="General">
                        <c:v>32</c:v>
                      </c:pt>
                      <c:pt idx="134" formatCode="General">
                        <c:v>-5</c:v>
                      </c:pt>
                      <c:pt idx="135" formatCode="General">
                        <c:v>-1</c:v>
                      </c:pt>
                      <c:pt idx="136" formatCode="General">
                        <c:v>-1</c:v>
                      </c:pt>
                      <c:pt idx="137" formatCode="General">
                        <c:v>4</c:v>
                      </c:pt>
                      <c:pt idx="138" formatCode="General">
                        <c:v>24</c:v>
                      </c:pt>
                      <c:pt idx="139" formatCode="General">
                        <c:v>-8</c:v>
                      </c:pt>
                      <c:pt idx="140" formatCode="General">
                        <c:v>-23</c:v>
                      </c:pt>
                      <c:pt idx="141" formatCode="General">
                        <c:v>40</c:v>
                      </c:pt>
                      <c:pt idx="142" formatCode="General">
                        <c:v>54</c:v>
                      </c:pt>
                      <c:pt idx="143" formatCode="General">
                        <c:v>0</c:v>
                      </c:pt>
                      <c:pt idx="144" formatCode="General">
                        <c:v>-49</c:v>
                      </c:pt>
                      <c:pt idx="145" formatCode="General">
                        <c:v>-78</c:v>
                      </c:pt>
                      <c:pt idx="146" formatCode="General">
                        <c:v>86</c:v>
                      </c:pt>
                      <c:pt idx="147" formatCode="General">
                        <c:v>37</c:v>
                      </c:pt>
                      <c:pt idx="148" formatCode="General">
                        <c:v>-68</c:v>
                      </c:pt>
                      <c:pt idx="149" formatCode="General">
                        <c:v>25</c:v>
                      </c:pt>
                      <c:pt idx="150" formatCode="General">
                        <c:v>80</c:v>
                      </c:pt>
                      <c:pt idx="151" formatCode="General">
                        <c:v>-121</c:v>
                      </c:pt>
                      <c:pt idx="152" formatCode="General">
                        <c:v>-10</c:v>
                      </c:pt>
                      <c:pt idx="153" formatCode="General">
                        <c:v>-34</c:v>
                      </c:pt>
                      <c:pt idx="154" formatCode="General">
                        <c:v>-31</c:v>
                      </c:pt>
                      <c:pt idx="155" formatCode="General">
                        <c:v>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bSIR'!$AW$7</c15:sqref>
                        </c15:formulaRef>
                      </c:ext>
                    </c:extLst>
                    <c:strCache>
                      <c:ptCount val="1"/>
                      <c:pt idx="0">
                        <c:v>sel. region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0.12399693280944413</c:v>
                      </c:pt>
                      <c:pt idx="1">
                        <c:v>0.12898154281243804</c:v>
                      </c:pt>
                      <c:pt idx="2">
                        <c:v>0.13416171587319026</c:v>
                      </c:pt>
                      <c:pt idx="3">
                        <c:v>0.13954472213991376</c:v>
                      </c:pt>
                      <c:pt idx="4">
                        <c:v>0.14513806804194634</c:v>
                      </c:pt>
                      <c:pt idx="5">
                        <c:v>0.15094950099949925</c:v>
                      </c:pt>
                      <c:pt idx="6">
                        <c:v>0.15698701393824852</c:v>
                      </c:pt>
                      <c:pt idx="7">
                        <c:v>0.16325884957196909</c:v>
                      </c:pt>
                      <c:pt idx="8">
                        <c:v>0.16977350441295641</c:v>
                      </c:pt>
                      <c:pt idx="9">
                        <c:v>0.17653973246627358</c:v>
                      </c:pt>
                      <c:pt idx="10">
                        <c:v>0.18356654855988683</c:v>
                      </c:pt>
                      <c:pt idx="11">
                        <c:v>0.19086323125851468</c:v>
                      </c:pt>
                      <c:pt idx="12">
                        <c:v>0.19843932530447927</c:v>
                      </c:pt>
                      <c:pt idx="13">
                        <c:v>0.20630464352401381</c:v>
                      </c:pt>
                      <c:pt idx="14">
                        <c:v>0.21446926813234524</c:v>
                      </c:pt>
                      <c:pt idx="15">
                        <c:v>0.22294355136538768</c:v>
                      </c:pt>
                      <c:pt idx="16">
                        <c:v>0.23173811536009425</c:v>
                      </c:pt>
                      <c:pt idx="17">
                        <c:v>0.24086385119935805</c:v>
                      </c:pt>
                      <c:pt idx="18">
                        <c:v>0.25033191703085594</c:v>
                      </c:pt>
                      <c:pt idx="19">
                        <c:v>0.26015373516237339</c:v>
                      </c:pt>
                      <c:pt idx="20">
                        <c:v>0.27034098802892087</c:v>
                      </c:pt>
                      <c:pt idx="21">
                        <c:v>0.28090561291936272</c:v>
                      </c:pt>
                      <c:pt idx="22">
                        <c:v>0.29185979534233059</c:v>
                      </c:pt>
                      <c:pt idx="23">
                        <c:v>0.30321596090286657</c:v>
                      </c:pt>
                      <c:pt idx="24">
                        <c:v>0.31498676555257538</c:v>
                      </c:pt>
                      <c:pt idx="25">
                        <c:v>0.32718508406704983</c:v>
                      </c:pt>
                      <c:pt idx="26">
                        <c:v>0.33982399659499707</c:v>
                      </c:pt>
                      <c:pt idx="27">
                        <c:v>0.35291677311384612</c:v>
                      </c:pt>
                      <c:pt idx="28">
                        <c:v>0.36647685561672899</c:v>
                      </c:pt>
                      <c:pt idx="29">
                        <c:v>0.38051783784556392</c:v>
                      </c:pt>
                      <c:pt idx="30">
                        <c:v>0.39505344237467388</c:v>
                      </c:pt>
                      <c:pt idx="31">
                        <c:v>0.4100974948389054</c:v>
                      </c:pt>
                      <c:pt idx="32">
                        <c:v>0.42566389508972308</c:v>
                      </c:pt>
                      <c:pt idx="33">
                        <c:v>0.44176658505228006</c:v>
                      </c:pt>
                      <c:pt idx="34">
                        <c:v>0.45841951304609768</c:v>
                      </c:pt>
                      <c:pt idx="35">
                        <c:v>0.47563659432187844</c:v>
                      </c:pt>
                      <c:pt idx="36">
                        <c:v>0.49343166755720963</c:v>
                      </c:pt>
                      <c:pt idx="37">
                        <c:v>0.51181844704465995</c:v>
                      </c:pt>
                      <c:pt idx="38">
                        <c:v>0.53081047029720252</c:v>
                      </c:pt>
                      <c:pt idx="39">
                        <c:v>0.55042104078817344</c:v>
                      </c:pt>
                      <c:pt idx="40">
                        <c:v>0.57066316553635876</c:v>
                      </c:pt>
                      <c:pt idx="41">
                        <c:v>0.59154948724147405</c:v>
                      </c:pt>
                      <c:pt idx="42">
                        <c:v>0.61309221067158215</c:v>
                      </c:pt>
                      <c:pt idx="43">
                        <c:v>0.63530302300214603</c:v>
                      </c:pt>
                      <c:pt idx="44">
                        <c:v>0.65819300780677858</c:v>
                      </c:pt>
                      <c:pt idx="45">
                        <c:v>0.68177255240267676</c:v>
                      </c:pt>
                      <c:pt idx="46">
                        <c:v>0.70605124825963483</c:v>
                      </c:pt>
                      <c:pt idx="47">
                        <c:v>0.73103778419081444</c:v>
                      </c:pt>
                      <c:pt idx="48">
                        <c:v>0.75673983205656636</c:v>
                      </c:pt>
                      <c:pt idx="49">
                        <c:v>0.78316392473012186</c:v>
                      </c:pt>
                      <c:pt idx="50">
                        <c:v>0.81031532609632584</c:v>
                      </c:pt>
                      <c:pt idx="51">
                        <c:v>0.8381978928824001</c:v>
                      </c:pt>
                      <c:pt idx="52">
                        <c:v>0.86681392815361913</c:v>
                      </c:pt>
                      <c:pt idx="53">
                        <c:v>0.89616402634730563</c:v>
                      </c:pt>
                      <c:pt idx="54">
                        <c:v>0.92624690976644586</c:v>
                      </c:pt>
                      <c:pt idx="55">
                        <c:v>0.95705925651007362</c:v>
                      </c:pt>
                      <c:pt idx="56">
                        <c:v>0.98859551988211758</c:v>
                      </c:pt>
                      <c:pt idx="57">
                        <c:v>1.0208477393943376</c:v>
                      </c:pt>
                      <c:pt idx="58">
                        <c:v>1.0538053435628669</c:v>
                      </c:pt>
                      <c:pt idx="59">
                        <c:v>1.087454944792573</c:v>
                      </c:pt>
                      <c:pt idx="60">
                        <c:v>1.1217801267493539</c:v>
                      </c:pt>
                      <c:pt idx="61">
                        <c:v>1.156761224738363</c:v>
                      </c:pt>
                      <c:pt idx="62">
                        <c:v>1.1923750997363616</c:v>
                      </c:pt>
                      <c:pt idx="63">
                        <c:v>1.2285949068694011</c:v>
                      </c:pt>
                      <c:pt idx="64">
                        <c:v>1.2653898592831299</c:v>
                      </c:pt>
                      <c:pt idx="65">
                        <c:v>1.3027249885222378</c:v>
                      </c:pt>
                      <c:pt idx="66">
                        <c:v>1.340560902718019</c:v>
                      </c:pt>
                      <c:pt idx="67">
                        <c:v>1.3788535440782046</c:v>
                      </c:pt>
                      <c:pt idx="68">
                        <c:v>1.4175539473809544</c:v>
                      </c:pt>
                      <c:pt idx="69">
                        <c:v>1.4566080013939351</c:v>
                      </c:pt>
                      <c:pt idx="70">
                        <c:v>1.4959562153690062</c:v>
                      </c:pt>
                      <c:pt idx="71">
                        <c:v>1.5355334930014384</c:v>
                      </c:pt>
                      <c:pt idx="72">
                        <c:v>1.5752689164878297</c:v>
                      </c:pt>
                      <c:pt idx="73">
                        <c:v>1.6150855435668041</c:v>
                      </c:pt>
                      <c:pt idx="74">
                        <c:v>1.6549002206779155</c:v>
                      </c:pt>
                      <c:pt idx="75">
                        <c:v>1.694623415623886</c:v>
                      </c:pt>
                      <c:pt idx="76">
                        <c:v>1.7341590733650307</c:v>
                      </c:pt>
                      <c:pt idx="77">
                        <c:v>1.773404498808131</c:v>
                      </c:pt>
                      <c:pt idx="78">
                        <c:v>1.8122502706697594</c:v>
                      </c:pt>
                      <c:pt idx="79">
                        <c:v>1.8505801906904304</c:v>
                      </c:pt>
                      <c:pt idx="80">
                        <c:v>1.8882712726444704</c:v>
                      </c:pt>
                      <c:pt idx="81">
                        <c:v>1.9251937757243405</c:v>
                      </c:pt>
                      <c:pt idx="82">
                        <c:v>1.9612112869696425</c:v>
                      </c:pt>
                      <c:pt idx="83">
                        <c:v>1.9961808574525937</c:v>
                      </c:pt>
                      <c:pt idx="84">
                        <c:v>2.029953196914732</c:v>
                      </c:pt>
                      <c:pt idx="85">
                        <c:v>2.0623729314659962</c:v>
                      </c:pt>
                      <c:pt idx="86">
                        <c:v>2.0932789287981786</c:v>
                      </c:pt>
                      <c:pt idx="87">
                        <c:v>2.1225046951220872</c:v>
                      </c:pt>
                      <c:pt idx="88">
                        <c:v>2.1498788477032531</c:v>
                      </c:pt>
                      <c:pt idx="89">
                        <c:v>2.1752256664374205</c:v>
                      </c:pt>
                      <c:pt idx="90">
                        <c:v>2.1983657273678623</c:v>
                      </c:pt>
                      <c:pt idx="91">
                        <c:v>2.2191166203962225</c:v>
                      </c:pt>
                      <c:pt idx="92">
                        <c:v>2.2372937526735841</c:v>
                      </c:pt>
                      <c:pt idx="93">
                        <c:v>2.2527112382765102</c:v>
                      </c:pt>
                      <c:pt idx="94">
                        <c:v>2.2651828737744402</c:v>
                      </c:pt>
                      <c:pt idx="95">
                        <c:v>2.2745231981825857</c:v>
                      </c:pt>
                      <c:pt idx="96">
                        <c:v>2.2805486345742243</c:v>
                      </c:pt>
                      <c:pt idx="97">
                        <c:v>2.2830787093068281</c:v>
                      </c:pt>
                      <c:pt idx="98">
                        <c:v>2.2819373434099313</c:v>
                      </c:pt>
                      <c:pt idx="99">
                        <c:v>2.2769542092051895</c:v>
                      </c:pt>
                      <c:pt idx="100">
                        <c:v>2.2679661437000584</c:v>
                      </c:pt>
                      <c:pt idx="101">
                        <c:v>2.2548186087393596</c:v>
                      </c:pt>
                      <c:pt idx="102">
                        <c:v>2.2373671863407689</c:v>
                      </c:pt>
                      <c:pt idx="103">
                        <c:v>2.2154790961110722</c:v>
                      </c:pt>
                      <c:pt idx="104">
                        <c:v>2.1890347201735105</c:v>
                      </c:pt>
                      <c:pt idx="105">
                        <c:v>2.1579291196683421</c:v>
                      </c:pt>
                      <c:pt idx="106">
                        <c:v>2.1220735256567553</c:v>
                      </c:pt>
                      <c:pt idx="107">
                        <c:v>2.0813967862009988</c:v>
                      </c:pt>
                      <c:pt idx="108">
                        <c:v>2.0358467505500037</c:v>
                      </c:pt>
                      <c:pt idx="109">
                        <c:v>1.9853915707674015</c:v>
                      </c:pt>
                      <c:pt idx="110">
                        <c:v>1.9300209008332105</c:v>
                      </c:pt>
                      <c:pt idx="111">
                        <c:v>1.8697469732636962</c:v>
                      </c:pt>
                      <c:pt idx="112">
                        <c:v>1.8046055336531153</c:v>
                      </c:pt>
                      <c:pt idx="113">
                        <c:v>1.7346566142675517</c:v>
                      </c:pt>
                      <c:pt idx="114">
                        <c:v>1.6599851289288092</c:v>
                      </c:pt>
                      <c:pt idx="115">
                        <c:v>1.5807012729211127</c:v>
                      </c:pt>
                      <c:pt idx="116">
                        <c:v>1.4969407135316095</c:v>
                      </c:pt>
                      <c:pt idx="117">
                        <c:v>1.4088645590840116</c:v>
                      </c:pt>
                      <c:pt idx="118">
                        <c:v>1.3166590969194907</c:v>
                      </c:pt>
                      <c:pt idx="119">
                        <c:v>1.220535293686043</c:v>
                      </c:pt>
                      <c:pt idx="120">
                        <c:v>1.1207280544727434</c:v>
                      </c:pt>
                      <c:pt idx="121">
                        <c:v>1.0174952407149762</c:v>
                      </c:pt>
                      <c:pt idx="122">
                        <c:v>0.91111645033853106</c:v>
                      </c:pt>
                      <c:pt idx="123">
                        <c:v>0.80189156723509103</c:v>
                      </c:pt>
                      <c:pt idx="124">
                        <c:v>0.69013909079410196</c:v>
                      </c:pt>
                      <c:pt idx="125">
                        <c:v>0.57619425977809036</c:v>
                      </c:pt>
                      <c:pt idx="126">
                        <c:v>0.46040698824020621</c:v>
                      </c:pt>
                      <c:pt idx="127">
                        <c:v>0.3431396343655958</c:v>
                      </c:pt>
                      <c:pt idx="128">
                        <c:v>0.22476462599658911</c:v>
                      </c:pt>
                      <c:pt idx="129">
                        <c:v>0.10566196910622178</c:v>
                      </c:pt>
                      <c:pt idx="130">
                        <c:v>-1.3783332446551055E-2</c:v>
                      </c:pt>
                      <c:pt idx="131">
                        <c:v>-0.13318391596475271</c:v>
                      </c:pt>
                      <c:pt idx="132">
                        <c:v>-0.25215272679452516</c:v>
                      </c:pt>
                      <c:pt idx="133">
                        <c:v>-0.3703056815685824</c:v>
                      </c:pt>
                      <c:pt idx="134">
                        <c:v>-0.48726429640662916</c:v>
                      </c:pt>
                      <c:pt idx="135">
                        <c:v>-0.60265824929780176</c:v>
                      </c:pt>
                      <c:pt idx="136">
                        <c:v>-0.71612784706934074</c:v>
                      </c:pt>
                      <c:pt idx="137">
                        <c:v>-0.82732636904391466</c:v>
                      </c:pt>
                      <c:pt idx="138">
                        <c:v>-0.9359222616623103</c:v>
                      </c:pt>
                      <c:pt idx="139">
                        <c:v>-1.0416011609448002</c:v>
                      </c:pt>
                      <c:pt idx="140">
                        <c:v>-1.1440677226195461</c:v>
                      </c:pt>
                      <c:pt idx="141">
                        <c:v>-1.2430472429888302</c:v>
                      </c:pt>
                      <c:pt idx="142">
                        <c:v>-1.3382870570574579</c:v>
                      </c:pt>
                      <c:pt idx="143">
                        <c:v>-1.4295577040329446</c:v>
                      </c:pt>
                      <c:pt idx="144">
                        <c:v>-1.5166538539447274</c:v>
                      </c:pt>
                      <c:pt idx="145">
                        <c:v>-1.5993949927415605</c:v>
                      </c:pt>
                      <c:pt idx="146">
                        <c:v>-1.6776258667389266</c:v>
                      </c:pt>
                      <c:pt idx="147">
                        <c:v>-1.7512166906337194</c:v>
                      </c:pt>
                      <c:pt idx="148">
                        <c:v>-1.8200631264211853</c:v>
                      </c:pt>
                      <c:pt idx="149">
                        <c:v>-1.8840860433878059</c:v>
                      </c:pt>
                      <c:pt idx="150">
                        <c:v>-1.9432310718712149</c:v>
                      </c:pt>
                      <c:pt idx="151">
                        <c:v>-1.9974679656429926</c:v>
                      </c:pt>
                      <c:pt idx="152">
                        <c:v>-2.0467897895607474</c:v>
                      </c:pt>
                      <c:pt idx="153">
                        <c:v>-2.0912119505413593</c:v>
                      </c:pt>
                      <c:pt idx="154">
                        <c:v>-2.130771090926225</c:v>
                      </c:pt>
                      <c:pt idx="155">
                        <c:v>-2.1655238639496068</c:v>
                      </c:pt>
                      <c:pt idx="156">
                        <c:v>-2.1955456112984346</c:v>
                      </c:pt>
                      <c:pt idx="157">
                        <c:v>-2.2209289626889523</c:v>
                      </c:pt>
                      <c:pt idx="158">
                        <c:v>-2.2417823770108503</c:v>
                      </c:pt>
                      <c:pt idx="159">
                        <c:v>-2.2582286439359711</c:v>
                      </c:pt>
                      <c:pt idx="160">
                        <c:v>-2.2704033639923016</c:v>
                      </c:pt>
                      <c:pt idx="161">
                        <c:v>-2.2784534240030463</c:v>
                      </c:pt>
                      <c:pt idx="162">
                        <c:v>-2.2825354835236418</c:v>
                      </c:pt>
                      <c:pt idx="163">
                        <c:v>-2.2828144865154885</c:v>
                      </c:pt>
                      <c:pt idx="164">
                        <c:v>-2.2794622110110252</c:v>
                      </c:pt>
                      <c:pt idx="165">
                        <c:v>-2.2726558679860789</c:v>
                      </c:pt>
                      <c:pt idx="166">
                        <c:v>-2.2625767590948227</c:v>
                      </c:pt>
                      <c:pt idx="167">
                        <c:v>-2.2494090013697452</c:v>
                      </c:pt>
                      <c:pt idx="168">
                        <c:v>-2.2333383254700161</c:v>
                      </c:pt>
                      <c:pt idx="169">
                        <c:v>-2.214550952598874</c:v>
                      </c:pt>
                      <c:pt idx="170">
                        <c:v>-2.1932325538229884</c:v>
                      </c:pt>
                      <c:pt idx="171">
                        <c:v>-2.1695672942292088</c:v>
                      </c:pt>
                      <c:pt idx="172">
                        <c:v>-2.143736963158084</c:v>
                      </c:pt>
                      <c:pt idx="173">
                        <c:v>-2.1159201906672385</c:v>
                      </c:pt>
                      <c:pt idx="174">
                        <c:v>-2.0862917494059601</c:v>
                      </c:pt>
                      <c:pt idx="175">
                        <c:v>-2.0550219402275287</c:v>
                      </c:pt>
                      <c:pt idx="176">
                        <c:v>-2.0222760591274218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removals</a:t>
                </a:r>
                <a:r>
                  <a:rPr lang="it-IT"/>
                  <a:t>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selected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bSIR'!$AI$7</c:f>
              <c:strCache>
                <c:ptCount val="1"/>
                <c:pt idx="0">
                  <c:v>selected region accel. data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bSIR'!$AI$8:$AI$184</c:f>
              <c:numCache>
                <c:formatCode>0</c:formatCode>
                <c:ptCount val="177"/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4</c:v>
                </c:pt>
                <c:pt idx="60" formatCode="General">
                  <c:v>-4</c:v>
                </c:pt>
                <c:pt idx="61" formatCode="General">
                  <c:v>0</c:v>
                </c:pt>
                <c:pt idx="62" formatCode="General">
                  <c:v>1</c:v>
                </c:pt>
                <c:pt idx="63" formatCode="General">
                  <c:v>-1</c:v>
                </c:pt>
                <c:pt idx="64" formatCode="General">
                  <c:v>2</c:v>
                </c:pt>
                <c:pt idx="65" formatCode="General">
                  <c:v>-1</c:v>
                </c:pt>
                <c:pt idx="66" formatCode="General">
                  <c:v>0</c:v>
                </c:pt>
                <c:pt idx="67" formatCode="General">
                  <c:v>1</c:v>
                </c:pt>
                <c:pt idx="68" formatCode="General">
                  <c:v>-1</c:v>
                </c:pt>
                <c:pt idx="69" formatCode="General">
                  <c:v>0</c:v>
                </c:pt>
                <c:pt idx="70" formatCode="General">
                  <c:v>-1</c:v>
                </c:pt>
                <c:pt idx="71" formatCode="General">
                  <c:v>18</c:v>
                </c:pt>
                <c:pt idx="72" formatCode="General">
                  <c:v>-8</c:v>
                </c:pt>
                <c:pt idx="73" formatCode="General">
                  <c:v>28</c:v>
                </c:pt>
                <c:pt idx="74" formatCode="General">
                  <c:v>-51</c:v>
                </c:pt>
                <c:pt idx="75" formatCode="General">
                  <c:v>39</c:v>
                </c:pt>
                <c:pt idx="76" formatCode="General">
                  <c:v>-1</c:v>
                </c:pt>
                <c:pt idx="77" formatCode="General">
                  <c:v>1</c:v>
                </c:pt>
                <c:pt idx="78" formatCode="General">
                  <c:v>7</c:v>
                </c:pt>
                <c:pt idx="79" formatCode="General">
                  <c:v>11</c:v>
                </c:pt>
                <c:pt idx="80" formatCode="General">
                  <c:v>13</c:v>
                </c:pt>
                <c:pt idx="81" formatCode="General">
                  <c:v>-20</c:v>
                </c:pt>
                <c:pt idx="82" formatCode="General">
                  <c:v>20</c:v>
                </c:pt>
                <c:pt idx="83" formatCode="General">
                  <c:v>-4</c:v>
                </c:pt>
                <c:pt idx="84" formatCode="General">
                  <c:v>2</c:v>
                </c:pt>
                <c:pt idx="85" formatCode="General">
                  <c:v>6</c:v>
                </c:pt>
                <c:pt idx="86" formatCode="General">
                  <c:v>35</c:v>
                </c:pt>
                <c:pt idx="87" formatCode="General">
                  <c:v>4</c:v>
                </c:pt>
                <c:pt idx="88" formatCode="General">
                  <c:v>-39</c:v>
                </c:pt>
                <c:pt idx="89" formatCode="General">
                  <c:v>-24</c:v>
                </c:pt>
                <c:pt idx="90" formatCode="General">
                  <c:v>37</c:v>
                </c:pt>
                <c:pt idx="91" formatCode="General">
                  <c:v>33</c:v>
                </c:pt>
                <c:pt idx="92" formatCode="General">
                  <c:v>0</c:v>
                </c:pt>
                <c:pt idx="93" formatCode="General">
                  <c:v>-10</c:v>
                </c:pt>
                <c:pt idx="94" formatCode="General">
                  <c:v>-7</c:v>
                </c:pt>
                <c:pt idx="95" formatCode="General">
                  <c:v>-43</c:v>
                </c:pt>
                <c:pt idx="96" formatCode="General">
                  <c:v>29</c:v>
                </c:pt>
                <c:pt idx="97" formatCode="General">
                  <c:v>37</c:v>
                </c:pt>
                <c:pt idx="98" formatCode="General">
                  <c:v>3</c:v>
                </c:pt>
                <c:pt idx="99" formatCode="General">
                  <c:v>-10</c:v>
                </c:pt>
                <c:pt idx="100" formatCode="General">
                  <c:v>17</c:v>
                </c:pt>
                <c:pt idx="101" formatCode="General">
                  <c:v>30</c:v>
                </c:pt>
                <c:pt idx="102" formatCode="General">
                  <c:v>-35</c:v>
                </c:pt>
                <c:pt idx="103" formatCode="General">
                  <c:v>-48</c:v>
                </c:pt>
                <c:pt idx="104" formatCode="General">
                  <c:v>41</c:v>
                </c:pt>
                <c:pt idx="105" formatCode="General">
                  <c:v>19</c:v>
                </c:pt>
                <c:pt idx="106" formatCode="General">
                  <c:v>0</c:v>
                </c:pt>
                <c:pt idx="107" formatCode="General">
                  <c:v>-3</c:v>
                </c:pt>
                <c:pt idx="108" formatCode="General">
                  <c:v>33</c:v>
                </c:pt>
                <c:pt idx="109" formatCode="General">
                  <c:v>-11</c:v>
                </c:pt>
                <c:pt idx="110" formatCode="General">
                  <c:v>-14</c:v>
                </c:pt>
                <c:pt idx="111" formatCode="General">
                  <c:v>-7</c:v>
                </c:pt>
                <c:pt idx="112" formatCode="General">
                  <c:v>13</c:v>
                </c:pt>
                <c:pt idx="113" formatCode="General">
                  <c:v>0</c:v>
                </c:pt>
                <c:pt idx="114" formatCode="General">
                  <c:v>12</c:v>
                </c:pt>
                <c:pt idx="115" formatCode="General">
                  <c:v>-21</c:v>
                </c:pt>
                <c:pt idx="116" formatCode="General">
                  <c:v>8</c:v>
                </c:pt>
                <c:pt idx="117" formatCode="General">
                  <c:v>-86</c:v>
                </c:pt>
                <c:pt idx="118" formatCode="General">
                  <c:v>85</c:v>
                </c:pt>
                <c:pt idx="119" formatCode="General">
                  <c:v>-27</c:v>
                </c:pt>
                <c:pt idx="120" formatCode="General">
                  <c:v>17</c:v>
                </c:pt>
                <c:pt idx="121" formatCode="General">
                  <c:v>37</c:v>
                </c:pt>
                <c:pt idx="122" formatCode="General">
                  <c:v>-60</c:v>
                </c:pt>
                <c:pt idx="123" formatCode="General">
                  <c:v>-12</c:v>
                </c:pt>
                <c:pt idx="124" formatCode="General">
                  <c:v>2</c:v>
                </c:pt>
                <c:pt idx="125" formatCode="General">
                  <c:v>48</c:v>
                </c:pt>
                <c:pt idx="126" formatCode="General">
                  <c:v>53</c:v>
                </c:pt>
                <c:pt idx="127" formatCode="General">
                  <c:v>-45</c:v>
                </c:pt>
                <c:pt idx="128" formatCode="General">
                  <c:v>-2</c:v>
                </c:pt>
                <c:pt idx="129" formatCode="General">
                  <c:v>59</c:v>
                </c:pt>
                <c:pt idx="130" formatCode="General">
                  <c:v>-77</c:v>
                </c:pt>
                <c:pt idx="131" formatCode="General">
                  <c:v>-32</c:v>
                </c:pt>
                <c:pt idx="132" formatCode="General">
                  <c:v>-4</c:v>
                </c:pt>
                <c:pt idx="133" formatCode="General">
                  <c:v>32</c:v>
                </c:pt>
                <c:pt idx="134" formatCode="General">
                  <c:v>-5</c:v>
                </c:pt>
                <c:pt idx="135" formatCode="General">
                  <c:v>-1</c:v>
                </c:pt>
                <c:pt idx="136" formatCode="General">
                  <c:v>-1</c:v>
                </c:pt>
                <c:pt idx="137" formatCode="General">
                  <c:v>4</c:v>
                </c:pt>
                <c:pt idx="138" formatCode="General">
                  <c:v>24</c:v>
                </c:pt>
                <c:pt idx="139" formatCode="General">
                  <c:v>-8</c:v>
                </c:pt>
                <c:pt idx="140" formatCode="General">
                  <c:v>-23</c:v>
                </c:pt>
                <c:pt idx="141" formatCode="General">
                  <c:v>40</c:v>
                </c:pt>
                <c:pt idx="142" formatCode="General">
                  <c:v>54</c:v>
                </c:pt>
                <c:pt idx="143" formatCode="General">
                  <c:v>0</c:v>
                </c:pt>
                <c:pt idx="144" formatCode="General">
                  <c:v>-49</c:v>
                </c:pt>
                <c:pt idx="145" formatCode="General">
                  <c:v>-78</c:v>
                </c:pt>
                <c:pt idx="146" formatCode="General">
                  <c:v>86</c:v>
                </c:pt>
                <c:pt idx="147" formatCode="General">
                  <c:v>37</c:v>
                </c:pt>
                <c:pt idx="148" formatCode="General">
                  <c:v>-68</c:v>
                </c:pt>
                <c:pt idx="149" formatCode="General">
                  <c:v>25</c:v>
                </c:pt>
                <c:pt idx="150" formatCode="General">
                  <c:v>80</c:v>
                </c:pt>
                <c:pt idx="151" formatCode="General">
                  <c:v>-121</c:v>
                </c:pt>
                <c:pt idx="152" formatCode="General">
                  <c:v>-10</c:v>
                </c:pt>
                <c:pt idx="153" formatCode="General">
                  <c:v>-34</c:v>
                </c:pt>
                <c:pt idx="154" formatCode="General">
                  <c:v>-31</c:v>
                </c:pt>
                <c:pt idx="155" formatCode="General">
                  <c:v>92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'New_removed_rate - bSIR'!$AW$7</c:f>
              <c:strCache>
                <c:ptCount val="1"/>
                <c:pt idx="0">
                  <c:v>sel. region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bSIR'!$AW$8:$AW$184</c:f>
              <c:numCache>
                <c:formatCode>General</c:formatCode>
                <c:ptCount val="177"/>
                <c:pt idx="0">
                  <c:v>0.12399693280944413</c:v>
                </c:pt>
                <c:pt idx="1">
                  <c:v>0.12898154281243804</c:v>
                </c:pt>
                <c:pt idx="2">
                  <c:v>0.13416171587319026</c:v>
                </c:pt>
                <c:pt idx="3">
                  <c:v>0.13954472213991376</c:v>
                </c:pt>
                <c:pt idx="4">
                  <c:v>0.14513806804194634</c:v>
                </c:pt>
                <c:pt idx="5">
                  <c:v>0.15094950099949925</c:v>
                </c:pt>
                <c:pt idx="6">
                  <c:v>0.15698701393824852</c:v>
                </c:pt>
                <c:pt idx="7">
                  <c:v>0.16325884957196909</c:v>
                </c:pt>
                <c:pt idx="8">
                  <c:v>0.16977350441295641</c:v>
                </c:pt>
                <c:pt idx="9">
                  <c:v>0.17653973246627358</c:v>
                </c:pt>
                <c:pt idx="10">
                  <c:v>0.18356654855988683</c:v>
                </c:pt>
                <c:pt idx="11">
                  <c:v>0.19086323125851468</c:v>
                </c:pt>
                <c:pt idx="12">
                  <c:v>0.19843932530447927</c:v>
                </c:pt>
                <c:pt idx="13">
                  <c:v>0.20630464352401381</c:v>
                </c:pt>
                <c:pt idx="14">
                  <c:v>0.21446926813234524</c:v>
                </c:pt>
                <c:pt idx="15">
                  <c:v>0.22294355136538768</c:v>
                </c:pt>
                <c:pt idx="16">
                  <c:v>0.23173811536009425</c:v>
                </c:pt>
                <c:pt idx="17">
                  <c:v>0.24086385119935805</c:v>
                </c:pt>
                <c:pt idx="18">
                  <c:v>0.25033191703085594</c:v>
                </c:pt>
                <c:pt idx="19">
                  <c:v>0.26015373516237339</c:v>
                </c:pt>
                <c:pt idx="20">
                  <c:v>0.27034098802892087</c:v>
                </c:pt>
                <c:pt idx="21">
                  <c:v>0.28090561291936272</c:v>
                </c:pt>
                <c:pt idx="22">
                  <c:v>0.29185979534233059</c:v>
                </c:pt>
                <c:pt idx="23">
                  <c:v>0.30321596090286657</c:v>
                </c:pt>
                <c:pt idx="24">
                  <c:v>0.31498676555257538</c:v>
                </c:pt>
                <c:pt idx="25">
                  <c:v>0.32718508406704983</c:v>
                </c:pt>
                <c:pt idx="26">
                  <c:v>0.33982399659499707</c:v>
                </c:pt>
                <c:pt idx="27">
                  <c:v>0.35291677311384612</c:v>
                </c:pt>
                <c:pt idx="28">
                  <c:v>0.36647685561672899</c:v>
                </c:pt>
                <c:pt idx="29">
                  <c:v>0.38051783784556392</c:v>
                </c:pt>
                <c:pt idx="30">
                  <c:v>0.39505344237467388</c:v>
                </c:pt>
                <c:pt idx="31">
                  <c:v>0.4100974948389054</c:v>
                </c:pt>
                <c:pt idx="32">
                  <c:v>0.42566389508972308</c:v>
                </c:pt>
                <c:pt idx="33">
                  <c:v>0.44176658505228006</c:v>
                </c:pt>
                <c:pt idx="34">
                  <c:v>0.45841951304609768</c:v>
                </c:pt>
                <c:pt idx="35">
                  <c:v>0.47563659432187844</c:v>
                </c:pt>
                <c:pt idx="36">
                  <c:v>0.49343166755720963</c:v>
                </c:pt>
                <c:pt idx="37">
                  <c:v>0.51181844704465995</c:v>
                </c:pt>
                <c:pt idx="38">
                  <c:v>0.53081047029720252</c:v>
                </c:pt>
                <c:pt idx="39">
                  <c:v>0.55042104078817344</c:v>
                </c:pt>
                <c:pt idx="40">
                  <c:v>0.57066316553635876</c:v>
                </c:pt>
                <c:pt idx="41">
                  <c:v>0.59154948724147405</c:v>
                </c:pt>
                <c:pt idx="42">
                  <c:v>0.61309221067158215</c:v>
                </c:pt>
                <c:pt idx="43">
                  <c:v>0.63530302300214603</c:v>
                </c:pt>
                <c:pt idx="44">
                  <c:v>0.65819300780677858</c:v>
                </c:pt>
                <c:pt idx="45">
                  <c:v>0.68177255240267676</c:v>
                </c:pt>
                <c:pt idx="46">
                  <c:v>0.70605124825963483</c:v>
                </c:pt>
                <c:pt idx="47">
                  <c:v>0.73103778419081444</c:v>
                </c:pt>
                <c:pt idx="48">
                  <c:v>0.75673983205656636</c:v>
                </c:pt>
                <c:pt idx="49">
                  <c:v>0.78316392473012186</c:v>
                </c:pt>
                <c:pt idx="50">
                  <c:v>0.81031532609632584</c:v>
                </c:pt>
                <c:pt idx="51">
                  <c:v>0.8381978928824001</c:v>
                </c:pt>
                <c:pt idx="52">
                  <c:v>0.86681392815361913</c:v>
                </c:pt>
                <c:pt idx="53">
                  <c:v>0.89616402634730563</c:v>
                </c:pt>
                <c:pt idx="54">
                  <c:v>0.92624690976644586</c:v>
                </c:pt>
                <c:pt idx="55">
                  <c:v>0.95705925651007362</c:v>
                </c:pt>
                <c:pt idx="56">
                  <c:v>0.98859551988211758</c:v>
                </c:pt>
                <c:pt idx="57">
                  <c:v>1.0208477393943376</c:v>
                </c:pt>
                <c:pt idx="58">
                  <c:v>1.0538053435628669</c:v>
                </c:pt>
                <c:pt idx="59">
                  <c:v>1.087454944792573</c:v>
                </c:pt>
                <c:pt idx="60">
                  <c:v>1.1217801267493539</c:v>
                </c:pt>
                <c:pt idx="61">
                  <c:v>1.156761224738363</c:v>
                </c:pt>
                <c:pt idx="62">
                  <c:v>1.1923750997363616</c:v>
                </c:pt>
                <c:pt idx="63">
                  <c:v>1.2285949068694011</c:v>
                </c:pt>
                <c:pt idx="64">
                  <c:v>1.2653898592831299</c:v>
                </c:pt>
                <c:pt idx="65">
                  <c:v>1.3027249885222378</c:v>
                </c:pt>
                <c:pt idx="66">
                  <c:v>1.340560902718019</c:v>
                </c:pt>
                <c:pt idx="67">
                  <c:v>1.3788535440782046</c:v>
                </c:pt>
                <c:pt idx="68">
                  <c:v>1.4175539473809544</c:v>
                </c:pt>
                <c:pt idx="69">
                  <c:v>1.4566080013939351</c:v>
                </c:pt>
                <c:pt idx="70">
                  <c:v>1.4959562153690062</c:v>
                </c:pt>
                <c:pt idx="71">
                  <c:v>1.5355334930014384</c:v>
                </c:pt>
                <c:pt idx="72">
                  <c:v>1.5752689164878297</c:v>
                </c:pt>
                <c:pt idx="73">
                  <c:v>1.6150855435668041</c:v>
                </c:pt>
                <c:pt idx="74">
                  <c:v>1.6549002206779155</c:v>
                </c:pt>
                <c:pt idx="75">
                  <c:v>1.694623415623886</c:v>
                </c:pt>
                <c:pt idx="76">
                  <c:v>1.7341590733650307</c:v>
                </c:pt>
                <c:pt idx="77">
                  <c:v>1.773404498808131</c:v>
                </c:pt>
                <c:pt idx="78">
                  <c:v>1.8122502706697594</c:v>
                </c:pt>
                <c:pt idx="79">
                  <c:v>1.8505801906904304</c:v>
                </c:pt>
                <c:pt idx="80">
                  <c:v>1.8882712726444704</c:v>
                </c:pt>
                <c:pt idx="81">
                  <c:v>1.9251937757243405</c:v>
                </c:pt>
                <c:pt idx="82">
                  <c:v>1.9612112869696425</c:v>
                </c:pt>
                <c:pt idx="83">
                  <c:v>1.9961808574525937</c:v>
                </c:pt>
                <c:pt idx="84">
                  <c:v>2.029953196914732</c:v>
                </c:pt>
                <c:pt idx="85">
                  <c:v>2.0623729314659962</c:v>
                </c:pt>
                <c:pt idx="86">
                  <c:v>2.0932789287981786</c:v>
                </c:pt>
                <c:pt idx="87">
                  <c:v>2.1225046951220872</c:v>
                </c:pt>
                <c:pt idx="88">
                  <c:v>2.1498788477032531</c:v>
                </c:pt>
                <c:pt idx="89">
                  <c:v>2.1752256664374205</c:v>
                </c:pt>
                <c:pt idx="90">
                  <c:v>2.1983657273678623</c:v>
                </c:pt>
                <c:pt idx="91">
                  <c:v>2.2191166203962225</c:v>
                </c:pt>
                <c:pt idx="92">
                  <c:v>2.2372937526735841</c:v>
                </c:pt>
                <c:pt idx="93">
                  <c:v>2.2527112382765102</c:v>
                </c:pt>
                <c:pt idx="94">
                  <c:v>2.2651828737744402</c:v>
                </c:pt>
                <c:pt idx="95">
                  <c:v>2.2745231981825857</c:v>
                </c:pt>
                <c:pt idx="96">
                  <c:v>2.2805486345742243</c:v>
                </c:pt>
                <c:pt idx="97">
                  <c:v>2.2830787093068281</c:v>
                </c:pt>
                <c:pt idx="98">
                  <c:v>2.2819373434099313</c:v>
                </c:pt>
                <c:pt idx="99">
                  <c:v>2.2769542092051895</c:v>
                </c:pt>
                <c:pt idx="100">
                  <c:v>2.2679661437000584</c:v>
                </c:pt>
                <c:pt idx="101">
                  <c:v>2.2548186087393596</c:v>
                </c:pt>
                <c:pt idx="102">
                  <c:v>2.2373671863407689</c:v>
                </c:pt>
                <c:pt idx="103">
                  <c:v>2.2154790961110722</c:v>
                </c:pt>
                <c:pt idx="104">
                  <c:v>2.1890347201735105</c:v>
                </c:pt>
                <c:pt idx="105">
                  <c:v>2.1579291196683421</c:v>
                </c:pt>
                <c:pt idx="106">
                  <c:v>2.1220735256567553</c:v>
                </c:pt>
                <c:pt idx="107">
                  <c:v>2.0813967862009988</c:v>
                </c:pt>
                <c:pt idx="108">
                  <c:v>2.0358467505500037</c:v>
                </c:pt>
                <c:pt idx="109">
                  <c:v>1.9853915707674015</c:v>
                </c:pt>
                <c:pt idx="110">
                  <c:v>1.9300209008332105</c:v>
                </c:pt>
                <c:pt idx="111">
                  <c:v>1.8697469732636962</c:v>
                </c:pt>
                <c:pt idx="112">
                  <c:v>1.8046055336531153</c:v>
                </c:pt>
                <c:pt idx="113">
                  <c:v>1.7346566142675517</c:v>
                </c:pt>
                <c:pt idx="114">
                  <c:v>1.6599851289288092</c:v>
                </c:pt>
                <c:pt idx="115">
                  <c:v>1.5807012729211127</c:v>
                </c:pt>
                <c:pt idx="116">
                  <c:v>1.4969407135316095</c:v>
                </c:pt>
                <c:pt idx="117">
                  <c:v>1.4088645590840116</c:v>
                </c:pt>
                <c:pt idx="118">
                  <c:v>1.3166590969194907</c:v>
                </c:pt>
                <c:pt idx="119">
                  <c:v>1.220535293686043</c:v>
                </c:pt>
                <c:pt idx="120">
                  <c:v>1.1207280544727434</c:v>
                </c:pt>
                <c:pt idx="121">
                  <c:v>1.0174952407149762</c:v>
                </c:pt>
                <c:pt idx="122">
                  <c:v>0.91111645033853106</c:v>
                </c:pt>
                <c:pt idx="123">
                  <c:v>0.80189156723509103</c:v>
                </c:pt>
                <c:pt idx="124">
                  <c:v>0.69013909079410196</c:v>
                </c:pt>
                <c:pt idx="125">
                  <c:v>0.57619425977809036</c:v>
                </c:pt>
                <c:pt idx="126">
                  <c:v>0.46040698824020621</c:v>
                </c:pt>
                <c:pt idx="127">
                  <c:v>0.3431396343655958</c:v>
                </c:pt>
                <c:pt idx="128">
                  <c:v>0.22476462599658911</c:v>
                </c:pt>
                <c:pt idx="129">
                  <c:v>0.10566196910622178</c:v>
                </c:pt>
                <c:pt idx="130">
                  <c:v>-1.3783332446551055E-2</c:v>
                </c:pt>
                <c:pt idx="131">
                  <c:v>-0.13318391596475271</c:v>
                </c:pt>
                <c:pt idx="132">
                  <c:v>-0.25215272679452516</c:v>
                </c:pt>
                <c:pt idx="133">
                  <c:v>-0.3703056815685824</c:v>
                </c:pt>
                <c:pt idx="134">
                  <c:v>-0.48726429640662916</c:v>
                </c:pt>
                <c:pt idx="135">
                  <c:v>-0.60265824929780176</c:v>
                </c:pt>
                <c:pt idx="136">
                  <c:v>-0.71612784706934074</c:v>
                </c:pt>
                <c:pt idx="137">
                  <c:v>-0.82732636904391466</c:v>
                </c:pt>
                <c:pt idx="138">
                  <c:v>-0.9359222616623103</c:v>
                </c:pt>
                <c:pt idx="139">
                  <c:v>-1.0416011609448002</c:v>
                </c:pt>
                <c:pt idx="140">
                  <c:v>-1.1440677226195461</c:v>
                </c:pt>
                <c:pt idx="141">
                  <c:v>-1.2430472429888302</c:v>
                </c:pt>
                <c:pt idx="142">
                  <c:v>-1.3382870570574579</c:v>
                </c:pt>
                <c:pt idx="143">
                  <c:v>-1.4295577040329446</c:v>
                </c:pt>
                <c:pt idx="144">
                  <c:v>-1.5166538539447274</c:v>
                </c:pt>
                <c:pt idx="145">
                  <c:v>-1.5993949927415605</c:v>
                </c:pt>
                <c:pt idx="146">
                  <c:v>-1.6776258667389266</c:v>
                </c:pt>
                <c:pt idx="147">
                  <c:v>-1.7512166906337194</c:v>
                </c:pt>
                <c:pt idx="148">
                  <c:v>-1.8200631264211853</c:v>
                </c:pt>
                <c:pt idx="149">
                  <c:v>-1.8840860433878059</c:v>
                </c:pt>
                <c:pt idx="150">
                  <c:v>-1.9432310718712149</c:v>
                </c:pt>
                <c:pt idx="151">
                  <c:v>-1.9974679656429926</c:v>
                </c:pt>
                <c:pt idx="152">
                  <c:v>-2.0467897895607474</c:v>
                </c:pt>
                <c:pt idx="153">
                  <c:v>-2.0912119505413593</c:v>
                </c:pt>
                <c:pt idx="154">
                  <c:v>-2.130771090926225</c:v>
                </c:pt>
                <c:pt idx="155">
                  <c:v>-2.1655238639496068</c:v>
                </c:pt>
                <c:pt idx="156">
                  <c:v>-2.1955456112984346</c:v>
                </c:pt>
                <c:pt idx="157">
                  <c:v>-2.2209289626889523</c:v>
                </c:pt>
                <c:pt idx="158">
                  <c:v>-2.2417823770108503</c:v>
                </c:pt>
                <c:pt idx="159">
                  <c:v>-2.2582286439359711</c:v>
                </c:pt>
                <c:pt idx="160">
                  <c:v>-2.2704033639923016</c:v>
                </c:pt>
                <c:pt idx="161">
                  <c:v>-2.2784534240030463</c:v>
                </c:pt>
                <c:pt idx="162">
                  <c:v>-2.2825354835236418</c:v>
                </c:pt>
                <c:pt idx="163">
                  <c:v>-2.2828144865154885</c:v>
                </c:pt>
                <c:pt idx="164">
                  <c:v>-2.2794622110110252</c:v>
                </c:pt>
                <c:pt idx="165">
                  <c:v>-2.2726558679860789</c:v>
                </c:pt>
                <c:pt idx="166">
                  <c:v>-2.2625767590948227</c:v>
                </c:pt>
                <c:pt idx="167">
                  <c:v>-2.2494090013697452</c:v>
                </c:pt>
                <c:pt idx="168">
                  <c:v>-2.2333383254700161</c:v>
                </c:pt>
                <c:pt idx="169">
                  <c:v>-2.214550952598874</c:v>
                </c:pt>
                <c:pt idx="170">
                  <c:v>-2.1932325538229884</c:v>
                </c:pt>
                <c:pt idx="171">
                  <c:v>-2.1695672942292088</c:v>
                </c:pt>
                <c:pt idx="172">
                  <c:v>-2.143736963158084</c:v>
                </c:pt>
                <c:pt idx="173">
                  <c:v>-2.1159201906672385</c:v>
                </c:pt>
                <c:pt idx="174">
                  <c:v>-2.0862917494059601</c:v>
                </c:pt>
                <c:pt idx="175">
                  <c:v>-2.0550219402275287</c:v>
                </c:pt>
                <c:pt idx="176">
                  <c:v>-2.0222760591274218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'New_removed_rate - bSIR'!$F$7</c15:sqref>
                        </c15:formulaRef>
                      </c:ext>
                    </c:extLst>
                    <c:strCache>
                      <c:ptCount val="1"/>
                      <c:pt idx="0">
                        <c:v>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-5</c:v>
                      </c:pt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7</c:v>
                      </c:pt>
                      <c:pt idx="60">
                        <c:v>26</c:v>
                      </c:pt>
                      <c:pt idx="61">
                        <c:v>46</c:v>
                      </c:pt>
                      <c:pt idx="62">
                        <c:v>-46</c:v>
                      </c:pt>
                      <c:pt idx="63">
                        <c:v>106</c:v>
                      </c:pt>
                      <c:pt idx="64">
                        <c:v>35</c:v>
                      </c:pt>
                      <c:pt idx="65">
                        <c:v>-21</c:v>
                      </c:pt>
                      <c:pt idx="66">
                        <c:v>-56</c:v>
                      </c:pt>
                      <c:pt idx="67">
                        <c:v>64</c:v>
                      </c:pt>
                      <c:pt idx="68">
                        <c:v>33</c:v>
                      </c:pt>
                      <c:pt idx="69">
                        <c:v>249</c:v>
                      </c:pt>
                      <c:pt idx="70">
                        <c:v>-211</c:v>
                      </c:pt>
                      <c:pt idx="71">
                        <c:v>165</c:v>
                      </c:pt>
                      <c:pt idx="72">
                        <c:v>29</c:v>
                      </c:pt>
                      <c:pt idx="73">
                        <c:v>271</c:v>
                      </c:pt>
                      <c:pt idx="74">
                        <c:v>35</c:v>
                      </c:pt>
                      <c:pt idx="75">
                        <c:v>26</c:v>
                      </c:pt>
                      <c:pt idx="76">
                        <c:v>-226</c:v>
                      </c:pt>
                      <c:pt idx="77">
                        <c:v>1022</c:v>
                      </c:pt>
                      <c:pt idx="78">
                        <c:v>-717</c:v>
                      </c:pt>
                      <c:pt idx="79">
                        <c:v>474</c:v>
                      </c:pt>
                      <c:pt idx="80">
                        <c:v>420</c:v>
                      </c:pt>
                      <c:pt idx="81">
                        <c:v>-133</c:v>
                      </c:pt>
                      <c:pt idx="82">
                        <c:v>-594</c:v>
                      </c:pt>
                      <c:pt idx="83">
                        <c:v>628</c:v>
                      </c:pt>
                      <c:pt idx="84">
                        <c:v>82</c:v>
                      </c:pt>
                      <c:pt idx="85">
                        <c:v>-58</c:v>
                      </c:pt>
                      <c:pt idx="86">
                        <c:v>-103</c:v>
                      </c:pt>
                      <c:pt idx="87">
                        <c:v>765</c:v>
                      </c:pt>
                      <c:pt idx="88">
                        <c:v>-921</c:v>
                      </c:pt>
                      <c:pt idx="89">
                        <c:v>1000</c:v>
                      </c:pt>
                      <c:pt idx="90">
                        <c:v>-456</c:v>
                      </c:pt>
                      <c:pt idx="91">
                        <c:v>-101</c:v>
                      </c:pt>
                      <c:pt idx="92">
                        <c:v>346</c:v>
                      </c:pt>
                      <c:pt idx="93">
                        <c:v>55</c:v>
                      </c:pt>
                      <c:pt idx="94">
                        <c:v>-327</c:v>
                      </c:pt>
                      <c:pt idx="95">
                        <c:v>-575</c:v>
                      </c:pt>
                      <c:pt idx="96">
                        <c:v>314</c:v>
                      </c:pt>
                      <c:pt idx="97">
                        <c:v>501</c:v>
                      </c:pt>
                      <c:pt idx="98">
                        <c:v>482</c:v>
                      </c:pt>
                      <c:pt idx="99">
                        <c:v>-52</c:v>
                      </c:pt>
                      <c:pt idx="100">
                        <c:v>-34</c:v>
                      </c:pt>
                      <c:pt idx="101">
                        <c:v>143</c:v>
                      </c:pt>
                      <c:pt idx="102">
                        <c:v>-590</c:v>
                      </c:pt>
                      <c:pt idx="103">
                        <c:v>-318</c:v>
                      </c:pt>
                      <c:pt idx="104">
                        <c:v>507</c:v>
                      </c:pt>
                      <c:pt idx="105">
                        <c:v>-757</c:v>
                      </c:pt>
                      <c:pt idx="106">
                        <c:v>1057</c:v>
                      </c:pt>
                      <c:pt idx="107">
                        <c:v>541</c:v>
                      </c:pt>
                      <c:pt idx="108">
                        <c:v>-456</c:v>
                      </c:pt>
                      <c:pt idx="109">
                        <c:v>-121</c:v>
                      </c:pt>
                      <c:pt idx="110">
                        <c:v>-285</c:v>
                      </c:pt>
                      <c:pt idx="111">
                        <c:v>981</c:v>
                      </c:pt>
                      <c:pt idx="112">
                        <c:v>123</c:v>
                      </c:pt>
                      <c:pt idx="113">
                        <c:v>117</c:v>
                      </c:pt>
                      <c:pt idx="114">
                        <c:v>-155</c:v>
                      </c:pt>
                      <c:pt idx="115">
                        <c:v>-305</c:v>
                      </c:pt>
                      <c:pt idx="116">
                        <c:v>-969</c:v>
                      </c:pt>
                      <c:pt idx="117">
                        <c:v>-39</c:v>
                      </c:pt>
                      <c:pt idx="118">
                        <c:v>670</c:v>
                      </c:pt>
                      <c:pt idx="119">
                        <c:v>-65</c:v>
                      </c:pt>
                      <c:pt idx="120">
                        <c:v>2344</c:v>
                      </c:pt>
                      <c:pt idx="121">
                        <c:v>-2405</c:v>
                      </c:pt>
                      <c:pt idx="122">
                        <c:v>-434</c:v>
                      </c:pt>
                      <c:pt idx="123">
                        <c:v>-225</c:v>
                      </c:pt>
                      <c:pt idx="124">
                        <c:v>-494</c:v>
                      </c:pt>
                      <c:pt idx="125">
                        <c:v>1168</c:v>
                      </c:pt>
                      <c:pt idx="126">
                        <c:v>5795</c:v>
                      </c:pt>
                      <c:pt idx="127">
                        <c:v>-5078</c:v>
                      </c:pt>
                      <c:pt idx="128">
                        <c:v>-315</c:v>
                      </c:pt>
                      <c:pt idx="129">
                        <c:v>1212</c:v>
                      </c:pt>
                      <c:pt idx="130">
                        <c:v>-1882</c:v>
                      </c:pt>
                      <c:pt idx="131">
                        <c:v>-740</c:v>
                      </c:pt>
                      <c:pt idx="132">
                        <c:v>1044</c:v>
                      </c:pt>
                      <c:pt idx="133">
                        <c:v>1073</c:v>
                      </c:pt>
                      <c:pt idx="134">
                        <c:v>-688</c:v>
                      </c:pt>
                      <c:pt idx="135">
                        <c:v>2150</c:v>
                      </c:pt>
                      <c:pt idx="136">
                        <c:v>-2401</c:v>
                      </c:pt>
                      <c:pt idx="137">
                        <c:v>-247</c:v>
                      </c:pt>
                      <c:pt idx="138">
                        <c:v>-262</c:v>
                      </c:pt>
                      <c:pt idx="139">
                        <c:v>-12</c:v>
                      </c:pt>
                      <c:pt idx="140">
                        <c:v>805</c:v>
                      </c:pt>
                      <c:pt idx="141">
                        <c:v>-608</c:v>
                      </c:pt>
                      <c:pt idx="142">
                        <c:v>-144</c:v>
                      </c:pt>
                      <c:pt idx="143">
                        <c:v>-51</c:v>
                      </c:pt>
                      <c:pt idx="144">
                        <c:v>-550</c:v>
                      </c:pt>
                      <c:pt idx="145">
                        <c:v>-95</c:v>
                      </c:pt>
                      <c:pt idx="146">
                        <c:v>1161</c:v>
                      </c:pt>
                      <c:pt idx="147">
                        <c:v>-195</c:v>
                      </c:pt>
                      <c:pt idx="148">
                        <c:v>1013</c:v>
                      </c:pt>
                      <c:pt idx="149">
                        <c:v>-1246</c:v>
                      </c:pt>
                      <c:pt idx="150">
                        <c:v>573</c:v>
                      </c:pt>
                      <c:pt idx="151">
                        <c:v>-951</c:v>
                      </c:pt>
                      <c:pt idx="152">
                        <c:v>-1041</c:v>
                      </c:pt>
                      <c:pt idx="153">
                        <c:v>884</c:v>
                      </c:pt>
                      <c:pt idx="154">
                        <c:v>-875</c:v>
                      </c:pt>
                      <c:pt idx="155">
                        <c:v>128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1.3472814689114128</c:v>
                      </c:pt>
                      <c:pt idx="1">
                        <c:v>1.4164685017059462</c:v>
                      </c:pt>
                      <c:pt idx="2">
                        <c:v>1.4891745324294052</c:v>
                      </c:pt>
                      <c:pt idx="3">
                        <c:v>1.5655749400187304</c:v>
                      </c:pt>
                      <c:pt idx="4">
                        <c:v>1.6458534599188384</c:v>
                      </c:pt>
                      <c:pt idx="5">
                        <c:v>1.7302025408771835</c:v>
                      </c:pt>
                      <c:pt idx="6">
                        <c:v>1.8188237123678896</c:v>
                      </c:pt>
                      <c:pt idx="7">
                        <c:v>1.9119279624000736</c:v>
                      </c:pt>
                      <c:pt idx="8">
                        <c:v>2.0097361253740167</c:v>
                      </c:pt>
                      <c:pt idx="9">
                        <c:v>2.1124792795456573</c:v>
                      </c:pt>
                      <c:pt idx="10">
                        <c:v>2.220399153543525</c:v>
                      </c:pt>
                      <c:pt idx="11">
                        <c:v>2.3337485412512224</c:v>
                      </c:pt>
                      <c:pt idx="12">
                        <c:v>2.4527917242213584</c:v>
                      </c:pt>
                      <c:pt idx="13">
                        <c:v>2.577804900622072</c:v>
                      </c:pt>
                      <c:pt idx="14">
                        <c:v>2.7090766195329548</c:v>
                      </c:pt>
                      <c:pt idx="15">
                        <c:v>2.8469082192017856</c:v>
                      </c:pt>
                      <c:pt idx="16">
                        <c:v>2.9916142676447186</c:v>
                      </c:pt>
                      <c:pt idx="17">
                        <c:v>3.1435230037185957</c:v>
                      </c:pt>
                      <c:pt idx="18">
                        <c:v>3.3029767765123337</c:v>
                      </c:pt>
                      <c:pt idx="19">
                        <c:v>3.4703324805928664</c:v>
                      </c:pt>
                      <c:pt idx="20">
                        <c:v>3.6459619842968278</c:v>
                      </c:pt>
                      <c:pt idx="21">
                        <c:v>3.8302525478798901</c:v>
                      </c:pt>
                      <c:pt idx="22">
                        <c:v>4.0236072279182116</c:v>
                      </c:pt>
                      <c:pt idx="23">
                        <c:v>4.2264452638980297</c:v>
                      </c:pt>
                      <c:pt idx="24">
                        <c:v>4.4392024424269509</c:v>
                      </c:pt>
                      <c:pt idx="25">
                        <c:v>4.6623314339507758</c:v>
                      </c:pt>
                      <c:pt idx="26">
                        <c:v>4.8963020962594594</c:v>
                      </c:pt>
                      <c:pt idx="27">
                        <c:v>5.1416017384118113</c:v>
                      </c:pt>
                      <c:pt idx="28">
                        <c:v>5.3987353379976106</c:v>
                      </c:pt>
                      <c:pt idx="29">
                        <c:v>5.6682257038841684</c:v>
                      </c:pt>
                      <c:pt idx="30">
                        <c:v>5.95061357575978</c:v>
                      </c:pt>
                      <c:pt idx="31">
                        <c:v>6.246457650884861</c:v>
                      </c:pt>
                      <c:pt idx="32">
                        <c:v>6.5563345274910239</c:v>
                      </c:pt>
                      <c:pt idx="33">
                        <c:v>6.8808385532260994</c:v>
                      </c:pt>
                      <c:pt idx="34">
                        <c:v>7.2205815659270058</c:v>
                      </c:pt>
                      <c:pt idx="35">
                        <c:v>7.576192512811815</c:v>
                      </c:pt>
                      <c:pt idx="36">
                        <c:v>7.9483169329158159</c:v>
                      </c:pt>
                      <c:pt idx="37">
                        <c:v>8.3376162862552672</c:v>
                      </c:pt>
                      <c:pt idx="38">
                        <c:v>8.7447671117875121</c:v>
                      </c:pt>
                      <c:pt idx="39">
                        <c:v>9.1704599947510808</c:v>
                      </c:pt>
                      <c:pt idx="40">
                        <c:v>9.6153983224180948</c:v>
                      </c:pt>
                      <c:pt idx="41">
                        <c:v>10.080296805681844</c:v>
                      </c:pt>
                      <c:pt idx="42">
                        <c:v>10.565879742242208</c:v>
                      </c:pt>
                      <c:pt idx="43">
                        <c:v>11.072878995454516</c:v>
                      </c:pt>
                      <c:pt idx="44">
                        <c:v>11.602031661187246</c:v>
                      </c:pt>
                      <c:pt idx="45">
                        <c:v>12.154077393310533</c:v>
                      </c:pt>
                      <c:pt idx="46">
                        <c:v>12.729755356733781</c:v>
                      </c:pt>
                      <c:pt idx="47">
                        <c:v>13.329800775254826</c:v>
                      </c:pt>
                      <c:pt idx="48">
                        <c:v>13.954941039909343</c:v>
                      </c:pt>
                      <c:pt idx="49">
                        <c:v>14.60589134205669</c:v>
                      </c:pt>
                      <c:pt idx="50">
                        <c:v>15.283349794154768</c:v>
                      </c:pt>
                      <c:pt idx="51">
                        <c:v>15.987992000115572</c:v>
                      </c:pt>
                      <c:pt idx="52">
                        <c:v>16.720465036358128</c:v>
                      </c:pt>
                      <c:pt idx="53">
                        <c:v>17.481380804258208</c:v>
                      </c:pt>
                      <c:pt idx="54">
                        <c:v>18.271308714715904</c:v>
                      </c:pt>
                      <c:pt idx="55">
                        <c:v>19.090767666116069</c:v>
                      </c:pt>
                      <c:pt idx="56">
                        <c:v>19.940217278143063</c:v>
                      </c:pt>
                      <c:pt idx="57">
                        <c:v>20.820048345848001</c:v>
                      </c:pt>
                      <c:pt idx="58">
                        <c:v>21.730572481175344</c:v>
                      </c:pt>
                      <c:pt idx="59">
                        <c:v>22.672010912976045</c:v>
                      </c:pt>
                      <c:pt idx="60">
                        <c:v>23.644482421512127</c:v>
                      </c:pt>
                      <c:pt idx="61">
                        <c:v>24.647990389750962</c:v>
                      </c:pt>
                      <c:pt idx="62">
                        <c:v>25.682408961522171</c:v>
                      </c:pt>
                      <c:pt idx="63">
                        <c:v>26.747468306038183</c:v>
                      </c:pt>
                      <c:pt idx="64">
                        <c:v>27.842738999537421</c:v>
                      </c:pt>
                      <c:pt idx="65">
                        <c:v>28.967615548071834</c:v>
                      </c:pt>
                      <c:pt idx="66">
                        <c:v>30.121299090901331</c:v>
                      </c:pt>
                      <c:pt idx="67">
                        <c:v>31.302779341733014</c:v>
                      </c:pt>
                      <c:pt idx="68">
                        <c:v>32.510815845301664</c:v>
                      </c:pt>
                      <c:pt idx="69">
                        <c:v>33.743918649641408</c:v>
                      </c:pt>
                      <c:pt idx="70">
                        <c:v>35.000328519931195</c:v>
                      </c:pt>
                      <c:pt idx="71">
                        <c:v>36.27799684804264</c:v>
                      </c:pt>
                      <c:pt idx="72">
                        <c:v>37.574565442849909</c:v>
                      </c:pt>
                      <c:pt idx="73">
                        <c:v>38.887346419881197</c:v>
                      </c:pt>
                      <c:pt idx="74">
                        <c:v>40.213302444807226</c:v>
                      </c:pt>
                      <c:pt idx="75">
                        <c:v>41.549027623281759</c:v>
                      </c:pt>
                      <c:pt idx="76">
                        <c:v>42.890729369351298</c:v>
                      </c:pt>
                      <c:pt idx="77">
                        <c:v>44.234211625481585</c:v>
                      </c:pt>
                      <c:pt idx="78">
                        <c:v>45.574859848487201</c:v>
                      </c:pt>
                      <c:pt idx="79">
                        <c:v>46.907628216418452</c:v>
                      </c:pt>
                      <c:pt idx="80">
                        <c:v>48.227029550679383</c:v>
                      </c:pt>
                      <c:pt idx="81">
                        <c:v>49.527128484067873</c:v>
                      </c:pt>
                      <c:pt idx="82">
                        <c:v>50.801538437581328</c:v>
                      </c:pt>
                      <c:pt idx="83">
                        <c:v>52.043422995072369</c:v>
                      </c:pt>
                      <c:pt idx="84">
                        <c:v>53.245502283342461</c:v>
                      </c:pt>
                      <c:pt idx="85">
                        <c:v>54.400064974042429</c:v>
                      </c:pt>
                      <c:pt idx="86">
                        <c:v>55.498986520704406</c:v>
                      </c:pt>
                      <c:pt idx="87">
                        <c:v>56.533754227183437</c:v>
                      </c:pt>
                      <c:pt idx="88">
                        <c:v>57.495499710555826</c:v>
                      </c:pt>
                      <c:pt idx="89">
                        <c:v>58.375039269993266</c:v>
                      </c:pt>
                      <c:pt idx="90">
                        <c:v>59.162922601361664</c:v>
                      </c:pt>
                      <c:pt idx="91">
                        <c:v>59.849490203617208</c:v>
                      </c:pt>
                      <c:pt idx="92">
                        <c:v>60.424939706224315</c:v>
                      </c:pt>
                      <c:pt idx="93">
                        <c:v>60.879401206076309</c:v>
                      </c:pt>
                      <c:pt idx="94">
                        <c:v>61.203021537704814</c:v>
                      </c:pt>
                      <c:pt idx="95">
                        <c:v>61.386057212689195</c:v>
                      </c:pt>
                      <c:pt idx="96">
                        <c:v>61.41897555482926</c:v>
                      </c:pt>
                      <c:pt idx="97">
                        <c:v>61.292563329595339</c:v>
                      </c:pt>
                      <c:pt idx="98">
                        <c:v>60.998041923543362</c:v>
                      </c:pt>
                      <c:pt idx="99">
                        <c:v>60.527187876886899</c:v>
                      </c:pt>
                      <c:pt idx="100">
                        <c:v>59.872457316569943</c:v>
                      </c:pt>
                      <c:pt idx="101">
                        <c:v>59.02711258543075</c:v>
                      </c:pt>
                      <c:pt idx="102">
                        <c:v>57.985349123842902</c:v>
                      </c:pt>
                      <c:pt idx="103">
                        <c:v>56.742420442839567</c:v>
                      </c:pt>
                      <c:pt idx="104">
                        <c:v>55.294758841965944</c:v>
                      </c:pt>
                      <c:pt idx="105">
                        <c:v>53.640089380950279</c:v>
                      </c:pt>
                      <c:pt idx="106">
                        <c:v>51.777534521480341</c:v>
                      </c:pt>
                      <c:pt idx="107">
                        <c:v>49.70770682296169</c:v>
                      </c:pt>
                      <c:pt idx="108">
                        <c:v>47.432787111940385</c:v>
                      </c:pt>
                      <c:pt idx="109">
                        <c:v>44.956585654994271</c:v>
                      </c:pt>
                      <c:pt idx="110">
                        <c:v>42.284584053206892</c:v>
                      </c:pt>
                      <c:pt idx="111">
                        <c:v>39.423955844040826</c:v>
                      </c:pt>
                      <c:pt idx="112">
                        <c:v>36.383564141708163</c:v>
                      </c:pt>
                      <c:pt idx="113">
                        <c:v>33.173935064923924</c:v>
                      </c:pt>
                      <c:pt idx="114">
                        <c:v>29.807206182807921</c:v>
                      </c:pt>
                      <c:pt idx="115">
                        <c:v>26.297049744002368</c:v>
                      </c:pt>
                      <c:pt idx="116">
                        <c:v>22.658571026142592</c:v>
                      </c:pt>
                      <c:pt idx="117">
                        <c:v>18.908182735465786</c:v>
                      </c:pt>
                      <c:pt idx="118">
                        <c:v>15.063456980484222</c:v>
                      </c:pt>
                      <c:pt idx="119">
                        <c:v>11.142956919067371</c:v>
                      </c:pt>
                      <c:pt idx="120">
                        <c:v>7.1660507145285992</c:v>
                      </c:pt>
                      <c:pt idx="121">
                        <c:v>3.1527109136619647</c:v>
                      </c:pt>
                      <c:pt idx="122">
                        <c:v>-0.87669723993003768</c:v>
                      </c:pt>
                      <c:pt idx="123">
                        <c:v>-4.9016347359076615</c:v>
                      </c:pt>
                      <c:pt idx="124">
                        <c:v>-8.9016109459008561</c:v>
                      </c:pt>
                      <c:pt idx="125">
                        <c:v>-12.856404875223943</c:v>
                      </c:pt>
                      <c:pt idx="126">
                        <c:v>-16.746281427321136</c:v>
                      </c:pt>
                      <c:pt idx="127">
                        <c:v>-20.552198731219264</c:v>
                      </c:pt>
                      <c:pt idx="128">
                        <c:v>-24.256002832420652</c:v>
                      </c:pt>
                      <c:pt idx="129">
                        <c:v>-27.840606397543649</c:v>
                      </c:pt>
                      <c:pt idx="130">
                        <c:v>-31.290148518960475</c:v>
                      </c:pt>
                      <c:pt idx="131">
                        <c:v>-34.590133210992235</c:v>
                      </c:pt>
                      <c:pt idx="132">
                        <c:v>-37.727544744998376</c:v>
                      </c:pt>
                      <c:pt idx="133">
                        <c:v>-40.690938556780317</c:v>
                      </c:pt>
                      <c:pt idx="134">
                        <c:v>-43.470507055648433</c:v>
                      </c:pt>
                      <c:pt idx="135">
                        <c:v>-46.058120250447828</c:v>
                      </c:pt>
                      <c:pt idx="136">
                        <c:v>-48.447341665456072</c:v>
                      </c:pt>
                      <c:pt idx="137">
                        <c:v>-50.633420532198727</c:v>
                      </c:pt>
                      <c:pt idx="138">
                        <c:v>-52.613261698476322</c:v>
                      </c:pt>
                      <c:pt idx="139">
                        <c:v>-54.385375082982009</c:v>
                      </c:pt>
                      <c:pt idx="140">
                        <c:v>-55.949806815852511</c:v>
                      </c:pt>
                      <c:pt idx="141">
                        <c:v>-57.308054438703046</c:v>
                      </c:pt>
                      <c:pt idx="142">
                        <c:v>-58.462968691679727</c:v>
                      </c:pt>
                      <c:pt idx="143">
                        <c:v>-59.418644492241974</c:v>
                      </c:pt>
                      <c:pt idx="144">
                        <c:v>-60.180303715657857</c:v>
                      </c:pt>
                      <c:pt idx="145">
                        <c:v>-60.754172327468872</c:v>
                      </c:pt>
                      <c:pt idx="146">
                        <c:v>-61.147354301877257</c:v>
                      </c:pt>
                      <c:pt idx="147">
                        <c:v>-61.367704596533926</c:v>
                      </c:pt>
                      <c:pt idx="148">
                        <c:v>-61.423703253464588</c:v>
                      </c:pt>
                      <c:pt idx="149">
                        <c:v>-61.3243324678186</c:v>
                      </c:pt>
                      <c:pt idx="150">
                        <c:v>-61.078958220365671</c:v>
                      </c:pt>
                      <c:pt idx="151">
                        <c:v>-60.697217815145606</c:v>
                      </c:pt>
                      <c:pt idx="152">
                        <c:v>-60.188914408437853</c:v>
                      </c:pt>
                      <c:pt idx="153">
                        <c:v>-59.563919366220105</c:v>
                      </c:pt>
                      <c:pt idx="154">
                        <c:v>-58.832083050330475</c:v>
                      </c:pt>
                      <c:pt idx="155">
                        <c:v>-58.003154413219569</c:v>
                      </c:pt>
                      <c:pt idx="156">
                        <c:v>-57.086709580896596</c:v>
                      </c:pt>
                      <c:pt idx="157">
                        <c:v>-56.092089425728624</c:v>
                      </c:pt>
                      <c:pt idx="158">
                        <c:v>-55.028345976433826</c:v>
                      </c:pt>
                      <c:pt idx="159">
                        <c:v>-53.90419738230927</c:v>
                      </c:pt>
                      <c:pt idx="160">
                        <c:v>-52.72799104208832</c:v>
                      </c:pt>
                      <c:pt idx="161">
                        <c:v>-51.507674423858226</c:v>
                      </c:pt>
                      <c:pt idx="162">
                        <c:v>-50.250773039726376</c:v>
                      </c:pt>
                      <c:pt idx="163">
                        <c:v>-48.964374995606249</c:v>
                      </c:pt>
                      <c:pt idx="164">
                        <c:v>-47.655121510568762</c:v>
                      </c:pt>
                      <c:pt idx="165">
                        <c:v>-46.32920278951795</c:v>
                      </c:pt>
                      <c:pt idx="166">
                        <c:v>-44.992358635314915</c:v>
                      </c:pt>
                      <c:pt idx="167">
                        <c:v>-43.649883199736095</c:v>
                      </c:pt>
                      <c:pt idx="168">
                        <c:v>-42.306633294755173</c:v>
                      </c:pt>
                      <c:pt idx="169">
                        <c:v>-40.967039714667209</c:v>
                      </c:pt>
                      <c:pt idx="170">
                        <c:v>-39.635121053770263</c:v>
                      </c:pt>
                      <c:pt idx="171">
                        <c:v>-38.314499542124864</c:v>
                      </c:pt>
                      <c:pt idx="172">
                        <c:v>-37.008418461947855</c:v>
                      </c:pt>
                      <c:pt idx="173">
                        <c:v>-35.719760748290675</c:v>
                      </c:pt>
                      <c:pt idx="174">
                        <c:v>-34.451068418811296</c:v>
                      </c:pt>
                      <c:pt idx="175">
                        <c:v>-33.204562517867004</c:v>
                      </c:pt>
                      <c:pt idx="176">
                        <c:v>-31.982163299185945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bSIR'!$L$7</c15:sqref>
                        </c15:formulaRef>
                      </c:ext>
                    </c:extLst>
                    <c:strCache>
                      <c:ptCount val="1"/>
                      <c:pt idx="0">
                        <c:v>Italy (fit of selected region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1.3361189791669204</c:v>
                      </c:pt>
                      <c:pt idx="1">
                        <c:v>1.4043958950211433</c:v>
                      </c:pt>
                      <c:pt idx="2">
                        <c:v>1.4761439767200106</c:v>
                      </c:pt>
                      <c:pt idx="3">
                        <c:v>1.5515368600356823</c:v>
                      </c:pt>
                      <c:pt idx="4">
                        <c:v>1.6307565246554467</c:v>
                      </c:pt>
                      <c:pt idx="5">
                        <c:v>1.7139936565888494</c:v>
                      </c:pt>
                      <c:pt idx="6">
                        <c:v>1.8014480219445981</c:v>
                      </c:pt>
                      <c:pt idx="7">
                        <c:v>1.8933288518981535</c:v>
                      </c:pt>
                      <c:pt idx="8">
                        <c:v>1.9898552385842729</c:v>
                      </c:pt>
                      <c:pt idx="9">
                        <c:v>2.091256541550401</c:v>
                      </c:pt>
                      <c:pt idx="10">
                        <c:v>2.1977728042951803</c:v>
                      </c:pt>
                      <c:pt idx="11">
                        <c:v>2.309655180290235</c:v>
                      </c:pt>
                      <c:pt idx="12">
                        <c:v>2.4271663677412283</c:v>
                      </c:pt>
                      <c:pt idx="13">
                        <c:v>2.5505810521843801</c:v>
                      </c:pt>
                      <c:pt idx="14">
                        <c:v>2.6801863558354322</c:v>
                      </c:pt>
                      <c:pt idx="15">
                        <c:v>2.8162822924074957</c:v>
                      </c:pt>
                      <c:pt idx="16">
                        <c:v>2.9591822258903671</c:v>
                      </c:pt>
                      <c:pt idx="17">
                        <c:v>3.1092133315343706</c:v>
                      </c:pt>
                      <c:pt idx="18">
                        <c:v>3.2667170570045738</c:v>
                      </c:pt>
                      <c:pt idx="19">
                        <c:v>3.4320495813632834</c:v>
                      </c:pt>
                      <c:pt idx="20">
                        <c:v>3.6055822691979103</c:v>
                      </c:pt>
                      <c:pt idx="21">
                        <c:v>3.7877021168344172</c:v>
                      </c:pt>
                      <c:pt idx="22">
                        <c:v>3.9788121871606679</c:v>
                      </c:pt>
                      <c:pt idx="23">
                        <c:v>4.1793320291260843</c:v>
                      </c:pt>
                      <c:pt idx="24">
                        <c:v>4.389698077480519</c:v>
                      </c:pt>
                      <c:pt idx="25">
                        <c:v>4.6103640277629889</c:v>
                      </c:pt>
                      <c:pt idx="26">
                        <c:v>4.8418011809460477</c:v>
                      </c:pt>
                      <c:pt idx="27">
                        <c:v>5.0844987514808153</c:v>
                      </c:pt>
                      <c:pt idx="28">
                        <c:v>5.3389641317668959</c:v>
                      </c:pt>
                      <c:pt idx="29">
                        <c:v>5.6057231052872867</c:v>
                      </c:pt>
                      <c:pt idx="30">
                        <c:v>5.8853199997970806</c:v>
                      </c:pt>
                      <c:pt idx="31">
                        <c:v>6.1783177710326509</c:v>
                      </c:pt>
                      <c:pt idx="32">
                        <c:v>6.4852980064118508</c:v>
                      </c:pt>
                      <c:pt idx="33">
                        <c:v>6.8068608371226142</c:v>
                      </c:pt>
                      <c:pt idx="34">
                        <c:v>7.1436247458441757</c:v>
                      </c:pt>
                      <c:pt idx="35">
                        <c:v>7.4962262561102255</c:v>
                      </c:pt>
                      <c:pt idx="36">
                        <c:v>7.8653194880048947</c:v>
                      </c:pt>
                      <c:pt idx="37">
                        <c:v>8.2515755634806673</c:v>
                      </c:pt>
                      <c:pt idx="38">
                        <c:v>8.6556818431018456</c:v>
                      </c:pt>
                      <c:pt idx="39">
                        <c:v>9.0783409744508941</c:v>
                      </c:pt>
                      <c:pt idx="40">
                        <c:v>9.5202697307912185</c:v>
                      </c:pt>
                      <c:pt idx="41">
                        <c:v>9.9821976168643758</c:v>
                      </c:pt>
                      <c:pt idx="42">
                        <c:v>10.464865216920396</c:v>
                      </c:pt>
                      <c:pt idx="43">
                        <c:v>10.969022258248472</c:v>
                      </c:pt>
                      <c:pt idx="44">
                        <c:v>11.49542536160461</c:v>
                      </c:pt>
                      <c:pt idx="45">
                        <c:v>12.044835448042591</c:v>
                      </c:pt>
                      <c:pt idx="46">
                        <c:v>12.618014769766386</c:v>
                      </c:pt>
                      <c:pt idx="47">
                        <c:v>13.215723530763785</c:v>
                      </c:pt>
                      <c:pt idx="48">
                        <c:v>13.838716061185831</c:v>
                      </c:pt>
                      <c:pt idx="49">
                        <c:v>14.487736507745254</c:v>
                      </c:pt>
                      <c:pt idx="50">
                        <c:v>15.163514000865591</c:v>
                      </c:pt>
                      <c:pt idx="51">
                        <c:v>15.8667572579775</c:v>
                      </c:pt>
                      <c:pt idx="52">
                        <c:v>16.59814858129424</c:v>
                      </c:pt>
                      <c:pt idx="53">
                        <c:v>17.358337207677593</c:v>
                      </c:pt>
                      <c:pt idx="54">
                        <c:v>18.147931967915461</c:v>
                      </c:pt>
                      <c:pt idx="55">
                        <c:v>18.967493212967469</c:v>
                      </c:pt>
                      <c:pt idx="56">
                        <c:v>19.817523965604966</c:v>
                      </c:pt>
                      <c:pt idx="57">
                        <c:v>20.698460257497743</c:v>
                      </c:pt>
                      <c:pt idx="58">
                        <c:v>21.610660614315005</c:v>
                      </c:pt>
                      <c:pt idx="59">
                        <c:v>22.554394654961293</c:v>
                      </c:pt>
                      <c:pt idx="60">
                        <c:v>23.529830775818283</c:v>
                      </c:pt>
                      <c:pt idx="61">
                        <c:v>24.537022896982389</c:v>
                      </c:pt>
                      <c:pt idx="62">
                        <c:v>25.575896255161346</c:v>
                      </c:pt>
                      <c:pt idx="63">
                        <c:v>26.646232237307863</c:v>
                      </c:pt>
                      <c:pt idx="64">
                        <c:v>27.747652260428296</c:v>
                      </c:pt>
                      <c:pt idx="65">
                        <c:v>28.879600716503873</c:v>
                      </c:pt>
                      <c:pt idx="66">
                        <c:v>30.041327017304905</c:v>
                      </c:pt>
                      <c:pt idx="67">
                        <c:v>31.231866792246841</c:v>
                      </c:pt>
                      <c:pt idx="68">
                        <c:v>32.450022313512768</c:v>
                      </c:pt>
                      <c:pt idx="69">
                        <c:v>33.694342246590509</c:v>
                      </c:pt>
                      <c:pt idx="70">
                        <c:v>34.963100851260421</c:v>
                      </c:pt>
                      <c:pt idx="71">
                        <c:v>36.254276787988076</c:v>
                      </c:pt>
                      <c:pt idx="72">
                        <c:v>37.565531717621006</c:v>
                      </c:pt>
                      <c:pt idx="73">
                        <c:v>38.894188918191603</c:v>
                      </c:pt>
                      <c:pt idx="74">
                        <c:v>40.23721218131093</c:v>
                      </c:pt>
                      <c:pt idx="75">
                        <c:v>41.591185291819336</c:v>
                      </c:pt>
                      <c:pt idx="76">
                        <c:v>42.952292437616741</c:v>
                      </c:pt>
                      <c:pt idx="77">
                        <c:v>44.316299941352916</c:v>
                      </c:pt>
                      <c:pt idx="78">
                        <c:v>45.678539751171449</c:v>
                      </c:pt>
                      <c:pt idx="79">
                        <c:v>47.033895173025471</c:v>
                      </c:pt>
                      <c:pt idx="80">
                        <c:v>48.376789371072491</c:v>
                      </c:pt>
                      <c:pt idx="81">
                        <c:v>49.701177203943637</c:v>
                      </c:pt>
                      <c:pt idx="82">
                        <c:v>51.000541001674193</c:v>
                      </c:pt>
                      <c:pt idx="83">
                        <c:v>52.267890918961946</c:v>
                      </c:pt>
                      <c:pt idx="84">
                        <c:v>53.495770523163898</c:v>
                      </c:pt>
                      <c:pt idx="85">
                        <c:v>54.676268287828464</c:v>
                      </c:pt>
                      <c:pt idx="86">
                        <c:v>55.801035662228649</c:v>
                      </c:pt>
                      <c:pt idx="87">
                        <c:v>56.861312371845372</c:v>
                      </c:pt>
                      <c:pt idx="88">
                        <c:v>57.847959571558938</c:v>
                      </c:pt>
                      <c:pt idx="89">
                        <c:v>58.751501420015344</c:v>
                      </c:pt>
                      <c:pt idx="90">
                        <c:v>59.562175567985605</c:v>
                      </c:pt>
                      <c:pt idx="91">
                        <c:v>60.269992953576768</c:v>
                      </c:pt>
                      <c:pt idx="92">
                        <c:v>60.864807171365598</c:v>
                      </c:pt>
                      <c:pt idx="93">
                        <c:v>61.336393529996769</c:v>
                      </c:pt>
                      <c:pt idx="94">
                        <c:v>61.674537733358349</c:v>
                      </c:pt>
                      <c:pt idx="95">
                        <c:v>61.869133914889716</c:v>
                      </c:pt>
                      <c:pt idx="96">
                        <c:v>61.910291524739925</c:v>
                      </c:pt>
                      <c:pt idx="97">
                        <c:v>61.788450318440738</c:v>
                      </c:pt>
                      <c:pt idx="98">
                        <c:v>61.494502427874863</c:v>
                      </c:pt>
                      <c:pt idx="99">
                        <c:v>61.019920216370885</c:v>
                      </c:pt>
                      <c:pt idx="100">
                        <c:v>60.356888336885383</c:v>
                      </c:pt>
                      <c:pt idx="101">
                        <c:v>59.49843813390828</c:v>
                      </c:pt>
                      <c:pt idx="102">
                        <c:v>58.438582265571043</c:v>
                      </c:pt>
                      <c:pt idx="103">
                        <c:v>57.172447183018249</c:v>
                      </c:pt>
                      <c:pt idx="104">
                        <c:v>55.696400900578389</c:v>
                      </c:pt>
                      <c:pt idx="105">
                        <c:v>54.008173334006585</c:v>
                      </c:pt>
                      <c:pt idx="106">
                        <c:v>52.106966386116355</c:v>
                      </c:pt>
                      <c:pt idx="107">
                        <c:v>49.99355092966973</c:v>
                      </c:pt>
                      <c:pt idx="108">
                        <c:v>47.67034788519679</c:v>
                      </c:pt>
                      <c:pt idx="109">
                        <c:v>45.141490723148081</c:v>
                      </c:pt>
                      <c:pt idx="110">
                        <c:v>42.412866939503409</c:v>
                      </c:pt>
                      <c:pt idx="111">
                        <c:v>39.492136362574286</c:v>
                      </c:pt>
                      <c:pt idx="112">
                        <c:v>36.388724543624541</c:v>
                      </c:pt>
                      <c:pt idx="113">
                        <c:v>33.113789958678417</c:v>
                      </c:pt>
                      <c:pt idx="114">
                        <c:v>29.680164293220933</c:v>
                      </c:pt>
                      <c:pt idx="115">
                        <c:v>26.102265681447172</c:v>
                      </c:pt>
                      <c:pt idx="116">
                        <c:v>22.39598540994729</c:v>
                      </c:pt>
                      <c:pt idx="117">
                        <c:v>18.578549252128617</c:v>
                      </c:pt>
                      <c:pt idx="118">
                        <c:v>14.668355252175399</c:v>
                      </c:pt>
                      <c:pt idx="119">
                        <c:v>10.684790402798855</c:v>
                      </c:pt>
                      <c:pt idx="120">
                        <c:v>6.6480292363226843</c:v>
                      </c:pt>
                      <c:pt idx="121">
                        <c:v>2.5788178518136018</c:v>
                      </c:pt>
                      <c:pt idx="122">
                        <c:v>-1.5017526876974077</c:v>
                      </c:pt>
                      <c:pt idx="123">
                        <c:v>-5.5724793507748069</c:v>
                      </c:pt>
                      <c:pt idx="124">
                        <c:v>-9.6122821062061803</c:v>
                      </c:pt>
                      <c:pt idx="125">
                        <c:v>-13.600436390327998</c:v>
                      </c:pt>
                      <c:pt idx="126">
                        <c:v>-17.516798674129511</c:v>
                      </c:pt>
                      <c:pt idx="127">
                        <c:v>-21.342020933605674</c:v>
                      </c:pt>
                      <c:pt idx="128">
                        <c:v>-25.057750147814065</c:v>
                      </c:pt>
                      <c:pt idx="129">
                        <c:v>-28.646809375597865</c:v>
                      </c:pt>
                      <c:pt idx="130">
                        <c:v>-32.093357476901041</c:v>
                      </c:pt>
                      <c:pt idx="131">
                        <c:v>-35.383025127845698</c:v>
                      </c:pt>
                      <c:pt idx="132">
                        <c:v>-38.503025408059621</c:v>
                      </c:pt>
                      <c:pt idx="133">
                        <c:v>-41.442237890983222</c:v>
                      </c:pt>
                      <c:pt idx="134">
                        <c:v>-44.191265820102117</c:v>
                      </c:pt>
                      <c:pt idx="135">
                        <c:v>-46.74246658452094</c:v>
                      </c:pt>
                      <c:pt idx="136">
                        <c:v>-49.089956296440683</c:v>
                      </c:pt>
                      <c:pt idx="137">
                        <c:v>-51.229589804250708</c:v>
                      </c:pt>
                      <c:pt idx="138">
                        <c:v>-53.158917934832523</c:v>
                      </c:pt>
                      <c:pt idx="139">
                        <c:v>-54.877124137789473</c:v>
                      </c:pt>
                      <c:pt idx="140">
                        <c:v>-56.38494299698305</c:v>
                      </c:pt>
                      <c:pt idx="141">
                        <c:v>-57.684563279037441</c:v>
                      </c:pt>
                      <c:pt idx="142">
                        <c:v>-58.779518305878511</c:v>
                      </c:pt>
                      <c:pt idx="143">
                        <c:v>-59.674566473451684</c:v>
                      </c:pt>
                      <c:pt idx="144">
                        <c:v>-60.375564698571665</c:v>
                      </c:pt>
                      <c:pt idx="145">
                        <c:v>-60.889337469381132</c:v>
                      </c:pt>
                      <c:pt idx="146">
                        <c:v>-61.223544012458397</c:v>
                      </c:pt>
                      <c:pt idx="147">
                        <c:v>-61.386545882265807</c:v>
                      </c:pt>
                      <c:pt idx="148">
                        <c:v>-61.387277037639329</c:v>
                      </c:pt>
                      <c:pt idx="149">
                        <c:v>-61.235118206364959</c:v>
                      </c:pt>
                      <c:pt idx="150">
                        <c:v>-60.939777062882484</c:v>
                      </c:pt>
                      <c:pt idx="151">
                        <c:v>-60.511175465145037</c:v>
                      </c:pt>
                      <c:pt idx="152">
                        <c:v>-59.959344722783165</c:v>
                      </c:pt>
                      <c:pt idx="153">
                        <c:v>-59.294329606802521</c:v>
                      </c:pt>
                      <c:pt idx="154">
                        <c:v>-58.526101566535026</c:v>
                      </c:pt>
                      <c:pt idx="155">
                        <c:v>-57.664481396552532</c:v>
                      </c:pt>
                      <c:pt idx="156">
                        <c:v>-56.719071397544703</c:v>
                      </c:pt>
                      <c:pt idx="157">
                        <c:v>-55.699196902379988</c:v>
                      </c:pt>
                      <c:pt idx="158">
                        <c:v>-54.613856892294457</c:v>
                      </c:pt>
                      <c:pt idx="159">
                        <c:v>-53.471683308089737</c:v>
                      </c:pt>
                      <c:pt idx="160">
                        <c:v>-52.280908566347172</c:v>
                      </c:pt>
                      <c:pt idx="161">
                        <c:v>-51.049340719401023</c:v>
                      </c:pt>
                      <c:pt idx="162">
                        <c:v>-49.784345648174394</c:v>
                      </c:pt>
                      <c:pt idx="163">
                        <c:v>-48.492835646705728</c:v>
                      </c:pt>
                      <c:pt idx="164">
                        <c:v>-47.181263743884195</c:v>
                      </c:pt>
                      <c:pt idx="165">
                        <c:v>-45.855623109113125</c:v>
                      </c:pt>
                      <c:pt idx="166">
                        <c:v>-44.521450901933036</c:v>
                      </c:pt>
                      <c:pt idx="167">
                        <c:v>-43.183835948753085</c:v>
                      </c:pt>
                      <c:pt idx="168">
                        <c:v>-41.847429660621799</c:v>
                      </c:pt>
                      <c:pt idx="169">
                        <c:v>-40.516459642463417</c:v>
                      </c:pt>
                      <c:pt idx="170">
                        <c:v>-39.194745484667614</c:v>
                      </c:pt>
                      <c:pt idx="171">
                        <c:v>-37.885716270832475</c:v>
                      </c:pt>
                      <c:pt idx="172">
                        <c:v>-36.592429379517149</c:v>
                      </c:pt>
                      <c:pt idx="173">
                        <c:v>-35.317590201975698</c:v>
                      </c:pt>
                      <c:pt idx="174">
                        <c:v>-34.063572441129566</c:v>
                      </c:pt>
                      <c:pt idx="175">
                        <c:v>-32.832438698789637</c:v>
                      </c:pt>
                      <c:pt idx="176">
                        <c:v>-31.625961097827151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3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-47</c:v>
                      </c:pt>
                      <c:pt idx="63">
                        <c:v>107</c:v>
                      </c:pt>
                      <c:pt idx="64">
                        <c:v>33</c:v>
                      </c:pt>
                      <c:pt idx="65">
                        <c:v>-20</c:v>
                      </c:pt>
                      <c:pt idx="66">
                        <c:v>-56</c:v>
                      </c:pt>
                      <c:pt idx="67">
                        <c:v>63</c:v>
                      </c:pt>
                      <c:pt idx="68">
                        <c:v>34</c:v>
                      </c:pt>
                      <c:pt idx="69">
                        <c:v>249</c:v>
                      </c:pt>
                      <c:pt idx="70">
                        <c:v>-210</c:v>
                      </c:pt>
                      <c:pt idx="71">
                        <c:v>147</c:v>
                      </c:pt>
                      <c:pt idx="72">
                        <c:v>37</c:v>
                      </c:pt>
                      <c:pt idx="73">
                        <c:v>243</c:v>
                      </c:pt>
                      <c:pt idx="74">
                        <c:v>86</c:v>
                      </c:pt>
                      <c:pt idx="75">
                        <c:v>-13</c:v>
                      </c:pt>
                      <c:pt idx="76">
                        <c:v>-225</c:v>
                      </c:pt>
                      <c:pt idx="77">
                        <c:v>1021</c:v>
                      </c:pt>
                      <c:pt idx="78">
                        <c:v>-724</c:v>
                      </c:pt>
                      <c:pt idx="79">
                        <c:v>463</c:v>
                      </c:pt>
                      <c:pt idx="80">
                        <c:v>407</c:v>
                      </c:pt>
                      <c:pt idx="81">
                        <c:v>-113</c:v>
                      </c:pt>
                      <c:pt idx="82">
                        <c:v>-614</c:v>
                      </c:pt>
                      <c:pt idx="83">
                        <c:v>632</c:v>
                      </c:pt>
                      <c:pt idx="84">
                        <c:v>80</c:v>
                      </c:pt>
                      <c:pt idx="85">
                        <c:v>-64</c:v>
                      </c:pt>
                      <c:pt idx="86">
                        <c:v>-138</c:v>
                      </c:pt>
                      <c:pt idx="87">
                        <c:v>761</c:v>
                      </c:pt>
                      <c:pt idx="88">
                        <c:v>-882</c:v>
                      </c:pt>
                      <c:pt idx="89">
                        <c:v>1024</c:v>
                      </c:pt>
                      <c:pt idx="90">
                        <c:v>-493</c:v>
                      </c:pt>
                      <c:pt idx="91">
                        <c:v>-134</c:v>
                      </c:pt>
                      <c:pt idx="92">
                        <c:v>346</c:v>
                      </c:pt>
                      <c:pt idx="93">
                        <c:v>65</c:v>
                      </c:pt>
                      <c:pt idx="94">
                        <c:v>-320</c:v>
                      </c:pt>
                      <c:pt idx="95">
                        <c:v>-532</c:v>
                      </c:pt>
                      <c:pt idx="96">
                        <c:v>285</c:v>
                      </c:pt>
                      <c:pt idx="97">
                        <c:v>464</c:v>
                      </c:pt>
                      <c:pt idx="98">
                        <c:v>479</c:v>
                      </c:pt>
                      <c:pt idx="99">
                        <c:v>-42</c:v>
                      </c:pt>
                      <c:pt idx="100">
                        <c:v>-51</c:v>
                      </c:pt>
                      <c:pt idx="101">
                        <c:v>113</c:v>
                      </c:pt>
                      <c:pt idx="102">
                        <c:v>-555</c:v>
                      </c:pt>
                      <c:pt idx="103">
                        <c:v>-270</c:v>
                      </c:pt>
                      <c:pt idx="104">
                        <c:v>466</c:v>
                      </c:pt>
                      <c:pt idx="105">
                        <c:v>-776</c:v>
                      </c:pt>
                      <c:pt idx="106">
                        <c:v>1057</c:v>
                      </c:pt>
                      <c:pt idx="107">
                        <c:v>544</c:v>
                      </c:pt>
                      <c:pt idx="108">
                        <c:v>-489</c:v>
                      </c:pt>
                      <c:pt idx="109">
                        <c:v>-110</c:v>
                      </c:pt>
                      <c:pt idx="110">
                        <c:v>-271</c:v>
                      </c:pt>
                      <c:pt idx="111">
                        <c:v>988</c:v>
                      </c:pt>
                      <c:pt idx="112">
                        <c:v>110</c:v>
                      </c:pt>
                      <c:pt idx="113">
                        <c:v>117</c:v>
                      </c:pt>
                      <c:pt idx="114">
                        <c:v>-167</c:v>
                      </c:pt>
                      <c:pt idx="115">
                        <c:v>-284</c:v>
                      </c:pt>
                      <c:pt idx="116">
                        <c:v>-977</c:v>
                      </c:pt>
                      <c:pt idx="117">
                        <c:v>47</c:v>
                      </c:pt>
                      <c:pt idx="118">
                        <c:v>585</c:v>
                      </c:pt>
                      <c:pt idx="119">
                        <c:v>-38</c:v>
                      </c:pt>
                      <c:pt idx="120">
                        <c:v>2327</c:v>
                      </c:pt>
                      <c:pt idx="121">
                        <c:v>-2442</c:v>
                      </c:pt>
                      <c:pt idx="122">
                        <c:v>-374</c:v>
                      </c:pt>
                      <c:pt idx="123">
                        <c:v>-213</c:v>
                      </c:pt>
                      <c:pt idx="124">
                        <c:v>-496</c:v>
                      </c:pt>
                      <c:pt idx="125">
                        <c:v>1120</c:v>
                      </c:pt>
                      <c:pt idx="126">
                        <c:v>5742</c:v>
                      </c:pt>
                      <c:pt idx="127">
                        <c:v>-5033</c:v>
                      </c:pt>
                      <c:pt idx="128">
                        <c:v>-313</c:v>
                      </c:pt>
                      <c:pt idx="129">
                        <c:v>1153</c:v>
                      </c:pt>
                      <c:pt idx="130">
                        <c:v>-1805</c:v>
                      </c:pt>
                      <c:pt idx="131">
                        <c:v>-708</c:v>
                      </c:pt>
                      <c:pt idx="132">
                        <c:v>1048</c:v>
                      </c:pt>
                      <c:pt idx="133">
                        <c:v>1041</c:v>
                      </c:pt>
                      <c:pt idx="134">
                        <c:v>-683</c:v>
                      </c:pt>
                      <c:pt idx="135">
                        <c:v>2151</c:v>
                      </c:pt>
                      <c:pt idx="136">
                        <c:v>-2400</c:v>
                      </c:pt>
                      <c:pt idx="137">
                        <c:v>-251</c:v>
                      </c:pt>
                      <c:pt idx="138">
                        <c:v>-286</c:v>
                      </c:pt>
                      <c:pt idx="139">
                        <c:v>-4</c:v>
                      </c:pt>
                      <c:pt idx="140">
                        <c:v>828</c:v>
                      </c:pt>
                      <c:pt idx="141">
                        <c:v>-648</c:v>
                      </c:pt>
                      <c:pt idx="142">
                        <c:v>-198</c:v>
                      </c:pt>
                      <c:pt idx="143">
                        <c:v>-51</c:v>
                      </c:pt>
                      <c:pt idx="144">
                        <c:v>-501</c:v>
                      </c:pt>
                      <c:pt idx="145">
                        <c:v>-17</c:v>
                      </c:pt>
                      <c:pt idx="146">
                        <c:v>1075</c:v>
                      </c:pt>
                      <c:pt idx="147">
                        <c:v>-232</c:v>
                      </c:pt>
                      <c:pt idx="148">
                        <c:v>1081</c:v>
                      </c:pt>
                      <c:pt idx="149">
                        <c:v>-1271</c:v>
                      </c:pt>
                      <c:pt idx="150">
                        <c:v>493</c:v>
                      </c:pt>
                      <c:pt idx="151">
                        <c:v>-830</c:v>
                      </c:pt>
                      <c:pt idx="152">
                        <c:v>-1031</c:v>
                      </c:pt>
                      <c:pt idx="153">
                        <c:v>918</c:v>
                      </c:pt>
                      <c:pt idx="154">
                        <c:v>-844</c:v>
                      </c:pt>
                      <c:pt idx="155">
                        <c:v>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1.2121220463574762</c:v>
                      </c:pt>
                      <c:pt idx="1">
                        <c:v>1.2754143522087051</c:v>
                      </c:pt>
                      <c:pt idx="2">
                        <c:v>1.3419822608468204</c:v>
                      </c:pt>
                      <c:pt idx="3">
                        <c:v>1.4119921378957685</c:v>
                      </c:pt>
                      <c:pt idx="4">
                        <c:v>1.4856184566135004</c:v>
                      </c:pt>
                      <c:pt idx="5">
                        <c:v>1.5630441555893502</c:v>
                      </c:pt>
                      <c:pt idx="6">
                        <c:v>1.6444610080063495</c:v>
                      </c:pt>
                      <c:pt idx="7">
                        <c:v>1.7300700023261844</c:v>
                      </c:pt>
                      <c:pt idx="8">
                        <c:v>1.8200817341713165</c:v>
                      </c:pt>
                      <c:pt idx="9">
                        <c:v>1.9147168090841273</c:v>
                      </c:pt>
                      <c:pt idx="10">
                        <c:v>2.0142062557352935</c:v>
                      </c:pt>
                      <c:pt idx="11">
                        <c:v>2.1187919490317202</c:v>
                      </c:pt>
                      <c:pt idx="12">
                        <c:v>2.2287270424367489</c:v>
                      </c:pt>
                      <c:pt idx="13">
                        <c:v>2.3442764086603662</c:v>
                      </c:pt>
                      <c:pt idx="14">
                        <c:v>2.4657170877030867</c:v>
                      </c:pt>
                      <c:pt idx="15">
                        <c:v>2.5933387410421083</c:v>
                      </c:pt>
                      <c:pt idx="16">
                        <c:v>2.7274441105302727</c:v>
                      </c:pt>
                      <c:pt idx="17">
                        <c:v>2.8683494803350125</c:v>
                      </c:pt>
                      <c:pt idx="18">
                        <c:v>3.016385139973718</c:v>
                      </c:pt>
                      <c:pt idx="19">
                        <c:v>3.1718958462009099</c:v>
                      </c:pt>
                      <c:pt idx="20">
                        <c:v>3.3352412811689893</c:v>
                      </c:pt>
                      <c:pt idx="21">
                        <c:v>3.5067965039150546</c:v>
                      </c:pt>
                      <c:pt idx="22">
                        <c:v>3.6869523918183371</c:v>
                      </c:pt>
                      <c:pt idx="23">
                        <c:v>3.8761160682232174</c:v>
                      </c:pt>
                      <c:pt idx="24">
                        <c:v>4.0747113119279437</c:v>
                      </c:pt>
                      <c:pt idx="25">
                        <c:v>4.2831789436959395</c:v>
                      </c:pt>
                      <c:pt idx="26">
                        <c:v>4.501977184351051</c:v>
                      </c:pt>
                      <c:pt idx="27">
                        <c:v>4.731581978366969</c:v>
                      </c:pt>
                      <c:pt idx="28">
                        <c:v>4.9724872761501668</c:v>
                      </c:pt>
                      <c:pt idx="29">
                        <c:v>5.2252052674417229</c:v>
                      </c:pt>
                      <c:pt idx="30">
                        <c:v>5.490266557422407</c:v>
                      </c:pt>
                      <c:pt idx="31">
                        <c:v>5.7682202761937456</c:v>
                      </c:pt>
                      <c:pt idx="32">
                        <c:v>6.0596341113221275</c:v>
                      </c:pt>
                      <c:pt idx="33">
                        <c:v>6.3650942520703344</c:v>
                      </c:pt>
                      <c:pt idx="34">
                        <c:v>6.6852052327980784</c:v>
                      </c:pt>
                      <c:pt idx="35">
                        <c:v>7.020589661788347</c:v>
                      </c:pt>
                      <c:pt idx="36">
                        <c:v>7.371887820447685</c:v>
                      </c:pt>
                      <c:pt idx="37">
                        <c:v>7.7397571164360075</c:v>
                      </c:pt>
                      <c:pt idx="38">
                        <c:v>8.1248713728046429</c:v>
                      </c:pt>
                      <c:pt idx="39">
                        <c:v>8.5279199336627212</c:v>
                      </c:pt>
                      <c:pt idx="40">
                        <c:v>8.9496065652548591</c:v>
                      </c:pt>
                      <c:pt idx="41">
                        <c:v>9.3906481296229014</c:v>
                      </c:pt>
                      <c:pt idx="42">
                        <c:v>9.8517730062488145</c:v>
                      </c:pt>
                      <c:pt idx="43">
                        <c:v>10.333719235246326</c:v>
                      </c:pt>
                      <c:pt idx="44">
                        <c:v>10.837232353797832</c:v>
                      </c:pt>
                      <c:pt idx="45">
                        <c:v>11.363062895639914</c:v>
                      </c:pt>
                      <c:pt idx="46">
                        <c:v>11.911963521506751</c:v>
                      </c:pt>
                      <c:pt idx="47">
                        <c:v>12.484685746572971</c:v>
                      </c:pt>
                      <c:pt idx="48">
                        <c:v>13.081976229129264</c:v>
                      </c:pt>
                      <c:pt idx="49">
                        <c:v>13.704572583015132</c:v>
                      </c:pt>
                      <c:pt idx="50">
                        <c:v>14.353198674769265</c:v>
                      </c:pt>
                      <c:pt idx="51">
                        <c:v>15.0285593650951</c:v>
                      </c:pt>
                      <c:pt idx="52">
                        <c:v>15.731334653140621</c:v>
                      </c:pt>
                      <c:pt idx="53">
                        <c:v>16.462173181330286</c:v>
                      </c:pt>
                      <c:pt idx="54">
                        <c:v>17.221685058149017</c:v>
                      </c:pt>
                      <c:pt idx="55">
                        <c:v>18.010433956457394</c:v>
                      </c:pt>
                      <c:pt idx="56">
                        <c:v>18.828928445722848</c:v>
                      </c:pt>
                      <c:pt idx="57">
                        <c:v>19.677612518103405</c:v>
                      </c:pt>
                      <c:pt idx="58">
                        <c:v>20.556855270752138</c:v>
                      </c:pt>
                      <c:pt idx="59">
                        <c:v>21.46693971016872</c:v>
                      </c:pt>
                      <c:pt idx="60">
                        <c:v>22.40805064906893</c:v>
                      </c:pt>
                      <c:pt idx="61">
                        <c:v>23.380261672244025</c:v>
                      </c:pt>
                      <c:pt idx="62">
                        <c:v>24.383521155424987</c:v>
                      </c:pt>
                      <c:pt idx="63">
                        <c:v>25.417637330438463</c:v>
                      </c:pt>
                      <c:pt idx="64">
                        <c:v>26.482262401145167</c:v>
                      </c:pt>
                      <c:pt idx="65">
                        <c:v>27.576875727981637</c:v>
                      </c:pt>
                      <c:pt idx="66">
                        <c:v>28.700766114586887</c:v>
                      </c:pt>
                      <c:pt idx="67">
                        <c:v>29.853013248168637</c:v>
                      </c:pt>
                      <c:pt idx="68">
                        <c:v>31.032468366131816</c:v>
                      </c:pt>
                      <c:pt idx="69">
                        <c:v>32.23773424519657</c:v>
                      </c:pt>
                      <c:pt idx="70">
                        <c:v>33.467144635891415</c:v>
                      </c:pt>
                      <c:pt idx="71">
                        <c:v>34.718743294986638</c:v>
                      </c:pt>
                      <c:pt idx="72">
                        <c:v>35.990262801133177</c:v>
                      </c:pt>
                      <c:pt idx="73">
                        <c:v>37.279103374624796</c:v>
                      </c:pt>
                      <c:pt idx="74">
                        <c:v>38.582311960633014</c:v>
                      </c:pt>
                      <c:pt idx="75">
                        <c:v>39.896561876195449</c:v>
                      </c:pt>
                      <c:pt idx="76">
                        <c:v>41.218133364251713</c:v>
                      </c:pt>
                      <c:pt idx="77">
                        <c:v>42.542895442544783</c:v>
                      </c:pt>
                      <c:pt idx="78">
                        <c:v>43.866289480501692</c:v>
                      </c:pt>
                      <c:pt idx="79">
                        <c:v>45.183314982335041</c:v>
                      </c:pt>
                      <c:pt idx="80">
                        <c:v>46.488518098428017</c:v>
                      </c:pt>
                      <c:pt idx="81">
                        <c:v>47.775983428219298</c:v>
                      </c:pt>
                      <c:pt idx="82">
                        <c:v>49.03932971470455</c:v>
                      </c:pt>
                      <c:pt idx="83">
                        <c:v>50.271710061509353</c:v>
                      </c:pt>
                      <c:pt idx="84">
                        <c:v>51.465817326249166</c:v>
                      </c:pt>
                      <c:pt idx="85">
                        <c:v>52.61389535636247</c:v>
                      </c:pt>
                      <c:pt idx="86">
                        <c:v>53.707756733430472</c:v>
                      </c:pt>
                      <c:pt idx="87">
                        <c:v>54.738807676723283</c:v>
                      </c:pt>
                      <c:pt idx="88">
                        <c:v>55.698080723855682</c:v>
                      </c:pt>
                      <c:pt idx="89">
                        <c:v>56.576275753577924</c:v>
                      </c:pt>
                      <c:pt idx="90">
                        <c:v>57.363809840617741</c:v>
                      </c:pt>
                      <c:pt idx="91">
                        <c:v>58.050876333180547</c:v>
                      </c:pt>
                      <c:pt idx="92">
                        <c:v>58.627513418692011</c:v>
                      </c:pt>
                      <c:pt idx="93">
                        <c:v>59.083682291720258</c:v>
                      </c:pt>
                      <c:pt idx="94">
                        <c:v>59.409354859583907</c:v>
                      </c:pt>
                      <c:pt idx="95">
                        <c:v>59.59461071670713</c:v>
                      </c:pt>
                      <c:pt idx="96">
                        <c:v>59.629742890165701</c:v>
                      </c:pt>
                      <c:pt idx="97">
                        <c:v>59.50537160913391</c:v>
                      </c:pt>
                      <c:pt idx="98">
                        <c:v>59.212565084464934</c:v>
                      </c:pt>
                      <c:pt idx="99">
                        <c:v>58.742966007165698</c:v>
                      </c:pt>
                      <c:pt idx="100">
                        <c:v>58.088922193185326</c:v>
                      </c:pt>
                      <c:pt idx="101">
                        <c:v>57.243619525168924</c:v>
                      </c:pt>
                      <c:pt idx="102">
                        <c:v>56.201215079230273</c:v>
                      </c:pt>
                      <c:pt idx="103">
                        <c:v>54.956968086907175</c:v>
                      </c:pt>
                      <c:pt idx="104">
                        <c:v>53.50736618040488</c:v>
                      </c:pt>
                      <c:pt idx="105">
                        <c:v>51.850244214338247</c:v>
                      </c:pt>
                      <c:pt idx="106">
                        <c:v>49.984892860459603</c:v>
                      </c:pt>
                      <c:pt idx="107">
                        <c:v>47.912154143468733</c:v>
                      </c:pt>
                      <c:pt idx="108">
                        <c:v>45.63450113464679</c:v>
                      </c:pt>
                      <c:pt idx="109">
                        <c:v>43.156099152380676</c:v>
                      </c:pt>
                      <c:pt idx="110">
                        <c:v>40.482846038670196</c:v>
                      </c:pt>
                      <c:pt idx="111">
                        <c:v>37.622389389310591</c:v>
                      </c:pt>
                      <c:pt idx="112">
                        <c:v>34.584119009971424</c:v>
                      </c:pt>
                      <c:pt idx="113">
                        <c:v>31.379133344410864</c:v>
                      </c:pt>
                      <c:pt idx="114">
                        <c:v>28.020179164292124</c:v>
                      </c:pt>
                      <c:pt idx="115">
                        <c:v>24.521564408526057</c:v>
                      </c:pt>
                      <c:pt idx="116">
                        <c:v>20.899044696415679</c:v>
                      </c:pt>
                      <c:pt idx="117">
                        <c:v>17.169684693044605</c:v>
                      </c:pt>
                      <c:pt idx="118">
                        <c:v>13.351696155255908</c:v>
                      </c:pt>
                      <c:pt idx="119">
                        <c:v>9.4642551091128126</c:v>
                      </c:pt>
                      <c:pt idx="120">
                        <c:v>5.5273011818499409</c:v>
                      </c:pt>
                      <c:pt idx="121">
                        <c:v>1.5613226110986254</c:v>
                      </c:pt>
                      <c:pt idx="122">
                        <c:v>-2.4128691380359388</c:v>
                      </c:pt>
                      <c:pt idx="123">
                        <c:v>-6.3743709180098982</c:v>
                      </c:pt>
                      <c:pt idx="124">
                        <c:v>-10.302421197000282</c:v>
                      </c:pt>
                      <c:pt idx="125">
                        <c:v>-14.176630650106087</c:v>
                      </c:pt>
                      <c:pt idx="126">
                        <c:v>-17.977205662369716</c:v>
                      </c:pt>
                      <c:pt idx="127">
                        <c:v>-21.68516056797127</c:v>
                      </c:pt>
                      <c:pt idx="128">
                        <c:v>-25.282514773810654</c:v>
                      </c:pt>
                      <c:pt idx="129">
                        <c:v>-28.752471344704087</c:v>
                      </c:pt>
                      <c:pt idx="130">
                        <c:v>-32.07957414445449</c:v>
                      </c:pt>
                      <c:pt idx="131">
                        <c:v>-35.249841211880948</c:v>
                      </c:pt>
                      <c:pt idx="132">
                        <c:v>-38.250872681265093</c:v>
                      </c:pt>
                      <c:pt idx="133">
                        <c:v>-41.071932209414641</c:v>
                      </c:pt>
                      <c:pt idx="134">
                        <c:v>-43.704001523695489</c:v>
                      </c:pt>
                      <c:pt idx="135">
                        <c:v>-46.139808335223137</c:v>
                      </c:pt>
                      <c:pt idx="136">
                        <c:v>-48.373828449371345</c:v>
                      </c:pt>
                      <c:pt idx="137">
                        <c:v>-50.402263435206791</c:v>
                      </c:pt>
                      <c:pt idx="138">
                        <c:v>-52.22299567317021</c:v>
                      </c:pt>
                      <c:pt idx="139">
                        <c:v>-53.835522976844672</c:v>
                      </c:pt>
                      <c:pt idx="140">
                        <c:v>-55.240875274363503</c:v>
                      </c:pt>
                      <c:pt idx="141">
                        <c:v>-56.441516036048611</c:v>
                      </c:pt>
                      <c:pt idx="142">
                        <c:v>-57.441231248821055</c:v>
                      </c:pt>
                      <c:pt idx="143">
                        <c:v>-58.245008769418739</c:v>
                      </c:pt>
                      <c:pt idx="144">
                        <c:v>-58.858910844626941</c:v>
                      </c:pt>
                      <c:pt idx="145">
                        <c:v>-59.289942476639574</c:v>
                      </c:pt>
                      <c:pt idx="146">
                        <c:v>-59.545918145719469</c:v>
                      </c:pt>
                      <c:pt idx="147">
                        <c:v>-59.635329191632088</c:v>
                      </c:pt>
                      <c:pt idx="148">
                        <c:v>-59.567213911218147</c:v>
                      </c:pt>
                      <c:pt idx="149">
                        <c:v>-59.351032162977155</c:v>
                      </c:pt>
                      <c:pt idx="150">
                        <c:v>-58.996545991011267</c:v>
                      </c:pt>
                      <c:pt idx="151">
                        <c:v>-58.513707499502047</c:v>
                      </c:pt>
                      <c:pt idx="152">
                        <c:v>-57.912554933222417</c:v>
                      </c:pt>
                      <c:pt idx="153">
                        <c:v>-57.203117656261163</c:v>
                      </c:pt>
                      <c:pt idx="154">
                        <c:v>-56.395330475608802</c:v>
                      </c:pt>
                      <c:pt idx="155">
                        <c:v>-55.498957532602923</c:v>
                      </c:pt>
                      <c:pt idx="156">
                        <c:v>-54.523525786246267</c:v>
                      </c:pt>
                      <c:pt idx="157">
                        <c:v>-53.478267939691037</c:v>
                      </c:pt>
                      <c:pt idx="158">
                        <c:v>-52.372074515283607</c:v>
                      </c:pt>
                      <c:pt idx="159">
                        <c:v>-51.213454664153765</c:v>
                      </c:pt>
                      <c:pt idx="160">
                        <c:v>-50.010505202354871</c:v>
                      </c:pt>
                      <c:pt idx="161">
                        <c:v>-48.770887295397976</c:v>
                      </c:pt>
                      <c:pt idx="162">
                        <c:v>-47.501810164650749</c:v>
                      </c:pt>
                      <c:pt idx="163">
                        <c:v>-46.210021160190237</c:v>
                      </c:pt>
                      <c:pt idx="164">
                        <c:v>-44.901801532873172</c:v>
                      </c:pt>
                      <c:pt idx="165">
                        <c:v>-43.582967241127044</c:v>
                      </c:pt>
                      <c:pt idx="166">
                        <c:v>-42.258874142838216</c:v>
                      </c:pt>
                      <c:pt idx="167">
                        <c:v>-40.934426947383344</c:v>
                      </c:pt>
                      <c:pt idx="168">
                        <c:v>-39.614091335151784</c:v>
                      </c:pt>
                      <c:pt idx="169">
                        <c:v>-38.30190868986454</c:v>
                      </c:pt>
                      <c:pt idx="170">
                        <c:v>-37.001512930844626</c:v>
                      </c:pt>
                      <c:pt idx="171">
                        <c:v>-35.716148976603264</c:v>
                      </c:pt>
                      <c:pt idx="172">
                        <c:v>-34.448692416359066</c:v>
                      </c:pt>
                      <c:pt idx="173">
                        <c:v>-33.201670011308458</c:v>
                      </c:pt>
                      <c:pt idx="174">
                        <c:v>-31.977280691723607</c:v>
                      </c:pt>
                      <c:pt idx="175">
                        <c:v>-30.777416758562111</c:v>
                      </c:pt>
                      <c:pt idx="176">
                        <c:v>-29.60368503869973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removals </a:t>
                </a:r>
                <a:r>
                  <a:rPr lang="it-IT"/>
                  <a:t>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basic SIR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'New_removed_rate - bSIR'!$P$62:$P$130</c:f>
              <c:numCache>
                <c:formatCode>0%</c:formatCode>
                <c:ptCount val="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1.9467765754898185</c:v>
                </c:pt>
                <c:pt idx="15">
                  <c:v>0.68036544620904194</c:v>
                </c:pt>
                <c:pt idx="16">
                  <c:v>0.41924144617310366</c:v>
                </c:pt>
                <c:pt idx="17">
                  <c:v>0.3065235039363261</c:v>
                </c:pt>
                <c:pt idx="18">
                  <c:v>0.24369832651372331</c:v>
                </c:pt>
                <c:pt idx="19">
                  <c:v>0.20364394011037162</c:v>
                </c:pt>
                <c:pt idx="20">
                  <c:v>0.17587842940540152</c:v>
                </c:pt>
                <c:pt idx="21">
                  <c:v>0.15549548685910147</c:v>
                </c:pt>
                <c:pt idx="22">
                  <c:v>0.13989219023496252</c:v>
                </c:pt>
                <c:pt idx="23">
                  <c:v>0.12755919126951326</c:v>
                </c:pt>
                <c:pt idx="24">
                  <c:v>0.11756093724555343</c:v>
                </c:pt>
                <c:pt idx="25">
                  <c:v>0.10928662032761773</c:v>
                </c:pt>
                <c:pt idx="26">
                  <c:v>0.10232048457431203</c:v>
                </c:pt>
                <c:pt idx="27">
                  <c:v>9.6369691255785705E-2</c:v>
                </c:pt>
                <c:pt idx="28">
                  <c:v>9.1221993271197635E-2</c:v>
                </c:pt>
                <c:pt idx="29">
                  <c:v>8.6719773538667361E-2</c:v>
                </c:pt>
                <c:pt idx="30">
                  <c:v>8.2743513342754801E-2</c:v>
                </c:pt>
                <c:pt idx="31">
                  <c:v>7.9200922911527874E-2</c:v>
                </c:pt>
                <c:pt idx="32">
                  <c:v>7.6019594056502507E-2</c:v>
                </c:pt>
                <c:pt idx="33">
                  <c:v>7.3141911841691665E-2</c:v>
                </c:pt>
                <c:pt idx="34">
                  <c:v>7.0521454665454286E-2</c:v>
                </c:pt>
                <c:pt idx="35">
                  <c:v>6.8120398615157812E-2</c:v>
                </c:pt>
                <c:pt idx="36">
                  <c:v>6.5907613939522339E-2</c:v>
                </c:pt>
                <c:pt idx="37">
                  <c:v>6.3857247656046931E-2</c:v>
                </c:pt>
                <c:pt idx="38">
                  <c:v>6.1947653511788221E-2</c:v>
                </c:pt>
                <c:pt idx="39">
                  <c:v>6.0160574016246054E-2</c:v>
                </c:pt>
                <c:pt idx="40">
                  <c:v>5.8480508002135195E-2</c:v>
                </c:pt>
                <c:pt idx="41">
                  <c:v>5.689421650813254E-2</c:v>
                </c:pt>
                <c:pt idx="42">
                  <c:v>5.5390333012849194E-2</c:v>
                </c:pt>
                <c:pt idx="43">
                  <c:v>5.3959053248836257E-2</c:v>
                </c:pt>
                <c:pt idx="44">
                  <c:v>5.2591886311774957E-2</c:v>
                </c:pt>
                <c:pt idx="45">
                  <c:v>5.1281453414012274E-2</c:v>
                </c:pt>
                <c:pt idx="46">
                  <c:v>5.0021323983004989E-2</c:v>
                </c:pt>
                <c:pt idx="47">
                  <c:v>4.8805881256792999E-2</c:v>
                </c:pt>
                <c:pt idx="48">
                  <c:v>4.7630211341145444E-2</c:v>
                </c:pt>
                <c:pt idx="49">
                  <c:v>4.6490011046572556E-2</c:v>
                </c:pt>
                <c:pt idx="50">
                  <c:v>4.5381510843795554E-2</c:v>
                </c:pt>
                <c:pt idx="51">
                  <c:v>4.4301410052467183E-2</c:v>
                </c:pt>
                <c:pt idx="52">
                  <c:v>4.3246821973482834E-2</c:v>
                </c:pt>
                <c:pt idx="53">
                  <c:v>4.2215227135974719E-2</c:v>
                </c:pt>
                <c:pt idx="54">
                  <c:v>4.1204433189440878E-2</c:v>
                </c:pt>
                <c:pt idx="55">
                  <c:v>4.0212540253965784E-2</c:v>
                </c:pt>
                <c:pt idx="56">
                  <c:v>3.9237910765317616E-2</c:v>
                </c:pt>
                <c:pt idx="57">
                  <c:v>3.8279143030414027E-2</c:v>
                </c:pt>
                <c:pt idx="58">
                  <c:v>3.7335047852421366E-2</c:v>
                </c:pt>
                <c:pt idx="59">
                  <c:v>3.6404627701282874E-2</c:v>
                </c:pt>
                <c:pt idx="60">
                  <c:v>3.5487058000605656E-2</c:v>
                </c:pt>
                <c:pt idx="61">
                  <c:v>3.4581670180029847E-2</c:v>
                </c:pt>
                <c:pt idx="62">
                  <c:v>3.3687936206875269E-2</c:v>
                </c:pt>
                <c:pt idx="63">
                  <c:v>3.2805454364632454E-2</c:v>
                </c:pt>
                <c:pt idx="64">
                  <c:v>3.1933936090763407E-2</c:v>
                </c:pt>
                <c:pt idx="65">
                  <c:v>3.1073193723867416E-2</c:v>
                </c:pt>
                <c:pt idx="66">
                  <c:v>3.0223129041766383E-2</c:v>
                </c:pt>
                <c:pt idx="67">
                  <c:v>2.9383722498423564E-2</c:v>
                </c:pt>
                <c:pt idx="68">
                  <c:v>2.855502308957749E-2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'New_removed_rate - bSIR'!$AO$7</c:f>
              <c:strCache>
                <c:ptCount val="1"/>
                <c:pt idx="0">
                  <c:v>sel. region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'New_removed_rate - bSIR'!$AO$63:$AO$130</c:f>
              <c:numCache>
                <c:formatCode>0%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1.5700664289485928</c:v>
                </c:pt>
                <c:pt idx="22">
                  <c:v>0.62454074604856269</c:v>
                </c:pt>
                <c:pt idx="23">
                  <c:v>0.3943521316767149</c:v>
                </c:pt>
                <c:pt idx="24">
                  <c:v>0.2905019682487513</c:v>
                </c:pt>
                <c:pt idx="25">
                  <c:v>0.23136438763292017</c:v>
                </c:pt>
                <c:pt idx="26">
                  <c:v>0.19316804324451736</c:v>
                </c:pt>
                <c:pt idx="27">
                  <c:v>0.16645402256939087</c:v>
                </c:pt>
                <c:pt idx="28">
                  <c:v>0.14671338262790676</c:v>
                </c:pt>
                <c:pt idx="29">
                  <c:v>0.13152375174017128</c:v>
                </c:pt>
                <c:pt idx="30">
                  <c:v>0.11946747967540225</c:v>
                </c:pt>
                <c:pt idx="31">
                  <c:v>0.10965965217947318</c:v>
                </c:pt>
                <c:pt idx="32">
                  <c:v>0.10151932374089646</c:v>
                </c:pt>
                <c:pt idx="33">
                  <c:v>9.4649312424747015E-2</c:v>
                </c:pt>
                <c:pt idx="34">
                  <c:v>8.8768857470954227E-2</c:v>
                </c:pt>
                <c:pt idx="35">
                  <c:v>8.3673869820333632E-2</c:v>
                </c:pt>
                <c:pt idx="36">
                  <c:v>7.9212428572397714E-2</c:v>
                </c:pt>
                <c:pt idx="37">
                  <c:v>7.5269111179308595E-2</c:v>
                </c:pt>
                <c:pt idx="38">
                  <c:v>7.1754652624756207E-2</c:v>
                </c:pt>
                <c:pt idx="39">
                  <c:v>6.8598932736670323E-2</c:v>
                </c:pt>
                <c:pt idx="40">
                  <c:v>6.5746105646140349E-2</c:v>
                </c:pt>
                <c:pt idx="41">
                  <c:v>6.3151145010450133E-2</c:v>
                </c:pt>
                <c:pt idx="42">
                  <c:v>6.0777347106310713E-2</c:v>
                </c:pt>
                <c:pt idx="43">
                  <c:v>5.8594495672884772E-2</c:v>
                </c:pt>
                <c:pt idx="44">
                  <c:v>5.6577492577902372E-2</c:v>
                </c:pt>
                <c:pt idx="45">
                  <c:v>5.470532198231827E-2</c:v>
                </c:pt>
                <c:pt idx="46">
                  <c:v>5.296025695888245E-2</c:v>
                </c:pt>
                <c:pt idx="47">
                  <c:v>5.1327244855818847E-2</c:v>
                </c:pt>
                <c:pt idx="48">
                  <c:v>4.9793426132793535E-2</c:v>
                </c:pt>
                <c:pt idx="49">
                  <c:v>4.8347754039629057E-2</c:v>
                </c:pt>
                <c:pt idx="50">
                  <c:v>4.6980691312920972E-2</c:v>
                </c:pt>
                <c:pt idx="51">
                  <c:v>4.5683966284513114E-2</c:v>
                </c:pt>
                <c:pt idx="52">
                  <c:v>4.4450375245897671E-2</c:v>
                </c:pt>
                <c:pt idx="53">
                  <c:v>4.3273621135869862E-2</c:v>
                </c:pt>
                <c:pt idx="54">
                  <c:v>4.214818097985535E-2</c:v>
                </c:pt>
                <c:pt idx="55">
                  <c:v>4.106919625713247E-2</c:v>
                </c:pt>
                <c:pt idx="56">
                  <c:v>4.0032381678768388E-2</c:v>
                </c:pt>
                <c:pt idx="57">
                  <c:v>3.9033948844895305E-2</c:v>
                </c:pt>
                <c:pt idx="58">
                  <c:v>3.807054200020437E-2</c:v>
                </c:pt>
                <c:pt idx="59">
                  <c:v>3.7139183682196632E-2</c:v>
                </c:pt>
                <c:pt idx="60">
                  <c:v>3.6237228501853944E-2</c:v>
                </c:pt>
                <c:pt idx="61">
                  <c:v>3.5362323643103051E-2</c:v>
                </c:pt>
                <c:pt idx="62">
                  <c:v>3.4512374939380454E-2</c:v>
                </c:pt>
                <c:pt idx="63">
                  <c:v>3.3685517600304034E-2</c:v>
                </c:pt>
                <c:pt idx="64">
                  <c:v>3.2880090832032693E-2</c:v>
                </c:pt>
                <c:pt idx="65">
                  <c:v>3.2094615731230264E-2</c:v>
                </c:pt>
                <c:pt idx="66">
                  <c:v>3.1327775942140604E-2</c:v>
                </c:pt>
                <c:pt idx="67">
                  <c:v>3.0578400654854374E-2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'New_removed_rate - bSIR'!$BJ$7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'New_removed_rate - bSIR'!$BJ$63:$BJ$130</c:f>
              <c:numCache>
                <c:formatCode>0%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8.5355211663198531</c:v>
                </c:pt>
                <c:pt idx="13">
                  <c:v>0.91766731111194044</c:v>
                </c:pt>
                <c:pt idx="14">
                  <c:v>0.49511633048833076</c:v>
                </c:pt>
                <c:pt idx="15">
                  <c:v>0.34368628395335071</c:v>
                </c:pt>
                <c:pt idx="16">
                  <c:v>0.26583217993522001</c:v>
                </c:pt>
                <c:pt idx="17">
                  <c:v>0.2184170891343683</c:v>
                </c:pt>
                <c:pt idx="18">
                  <c:v>0.18650959358689631</c:v>
                </c:pt>
                <c:pt idx="19">
                  <c:v>0.16356950286477653</c:v>
                </c:pt>
                <c:pt idx="20">
                  <c:v>0.14627923030160347</c:v>
                </c:pt>
                <c:pt idx="21">
                  <c:v>0.1327765236887993</c:v>
                </c:pt>
                <c:pt idx="22">
                  <c:v>0.12193524665454826</c:v>
                </c:pt>
                <c:pt idx="23">
                  <c:v>0.11303431651517371</c:v>
                </c:pt>
                <c:pt idx="24">
                  <c:v>0.10559056906684558</c:v>
                </c:pt>
                <c:pt idx="25">
                  <c:v>9.9268072481150008E-2</c:v>
                </c:pt>
                <c:pt idx="26">
                  <c:v>9.3825983864529103E-2</c:v>
                </c:pt>
                <c:pt idx="27">
                  <c:v>8.9087101715998068E-2</c:v>
                </c:pt>
                <c:pt idx="28">
                  <c:v>8.4918125863399821E-2</c:v>
                </c:pt>
                <c:pt idx="29">
                  <c:v>8.1216837274769485E-2</c:v>
                </c:pt>
                <c:pt idx="30">
                  <c:v>7.7903524167540358E-2</c:v>
                </c:pt>
                <c:pt idx="31">
                  <c:v>7.4915099636131008E-2</c:v>
                </c:pt>
                <c:pt idx="32">
                  <c:v>7.2200974296336554E-2</c:v>
                </c:pt>
                <c:pt idx="33">
                  <c:v>6.9720102219842456E-2</c:v>
                </c:pt>
                <c:pt idx="34">
                  <c:v>6.7438828841959841E-2</c:v>
                </c:pt>
                <c:pt idx="35">
                  <c:v>6.532929801880169E-2</c:v>
                </c:pt>
                <c:pt idx="36">
                  <c:v>6.3368255952237065E-2</c:v>
                </c:pt>
                <c:pt idx="37">
                  <c:v>6.1536141382747635E-2</c:v>
                </c:pt>
                <c:pt idx="38">
                  <c:v>5.9816385321971421E-2</c:v>
                </c:pt>
                <c:pt idx="39">
                  <c:v>5.8194866226025099E-2</c:v>
                </c:pt>
                <c:pt idx="40">
                  <c:v>5.6659481896036173E-2</c:v>
                </c:pt>
                <c:pt idx="41">
                  <c:v>5.5199810021579976E-2</c:v>
                </c:pt>
                <c:pt idx="42">
                  <c:v>5.3806836735143984E-2</c:v>
                </c:pt>
                <c:pt idx="43">
                  <c:v>5.247273784234778E-2</c:v>
                </c:pt>
                <c:pt idx="44">
                  <c:v>5.1190701204762573E-2</c:v>
                </c:pt>
                <c:pt idx="45">
                  <c:v>4.9954781528179608E-2</c:v>
                </c:pt>
                <c:pt idx="46">
                  <c:v>4.8759780852905943E-2</c:v>
                </c:pt>
                <c:pt idx="47">
                  <c:v>4.7601149562794792E-2</c:v>
                </c:pt>
                <c:pt idx="48">
                  <c:v>4.6474903871390312E-2</c:v>
                </c:pt>
                <c:pt idx="49">
                  <c:v>4.5377556608915161E-2</c:v>
                </c:pt>
                <c:pt idx="50">
                  <c:v>4.4306058795530422E-2</c:v>
                </c:pt>
                <c:pt idx="51">
                  <c:v>4.3257749996581316E-2</c:v>
                </c:pt>
                <c:pt idx="52">
                  <c:v>4.2230315852323688E-2</c:v>
                </c:pt>
                <c:pt idx="53">
                  <c:v>4.1221751485662476E-2</c:v>
                </c:pt>
                <c:pt idx="54">
                  <c:v>4.0230329737218497E-2</c:v>
                </c:pt>
                <c:pt idx="55">
                  <c:v>3.9254573372819034E-2</c:v>
                </c:pt>
                <c:pt idx="56">
                  <c:v>3.8293230565696806E-2</c:v>
                </c:pt>
                <c:pt idx="57">
                  <c:v>3.7345253082886408E-2</c:v>
                </c:pt>
                <c:pt idx="58">
                  <c:v>3.6409776709039915E-2</c:v>
                </c:pt>
                <c:pt idx="59">
                  <c:v>3.5486103526104665E-2</c:v>
                </c:pt>
                <c:pt idx="60">
                  <c:v>3.4573685737800293E-2</c:v>
                </c:pt>
                <c:pt idx="61">
                  <c:v>3.3672110786497997E-2</c:v>
                </c:pt>
                <c:pt idx="62">
                  <c:v>3.2781087559171411E-2</c:v>
                </c:pt>
                <c:pt idx="63">
                  <c:v>3.190043352026458E-2</c:v>
                </c:pt>
                <c:pt idx="64">
                  <c:v>3.1030062643936693E-2</c:v>
                </c:pt>
                <c:pt idx="65">
                  <c:v>3.0169974047216091E-2</c:v>
                </c:pt>
                <c:pt idx="66">
                  <c:v>2.9320241249930934E-2</c:v>
                </c:pt>
                <c:pt idx="67">
                  <c:v>2.8481002007512614E-2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'New_removed_rate - bSIR'!$I$7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bSIR'!$I$62:$I$101</c:f>
              <c:numCache>
                <c:formatCode>General</c:formatCode>
                <c:ptCount val="40"/>
                <c:pt idx="0">
                  <c:v>13.480394693650979</c:v>
                </c:pt>
                <c:pt idx="1">
                  <c:v>12.480394693650979</c:v>
                </c:pt>
                <c:pt idx="2">
                  <c:v>11.480394693650979</c:v>
                </c:pt>
                <c:pt idx="3">
                  <c:v>10.480394693650979</c:v>
                </c:pt>
                <c:pt idx="4">
                  <c:v>9.4803946936509789</c:v>
                </c:pt>
                <c:pt idx="5">
                  <c:v>8.4803946936509789</c:v>
                </c:pt>
                <c:pt idx="6">
                  <c:v>7.4803946936509789</c:v>
                </c:pt>
                <c:pt idx="7">
                  <c:v>6.4803946936509789</c:v>
                </c:pt>
                <c:pt idx="8">
                  <c:v>5.4803946936509789</c:v>
                </c:pt>
                <c:pt idx="9">
                  <c:v>4.4803946936509789</c:v>
                </c:pt>
                <c:pt idx="10">
                  <c:v>3.4803946936509789</c:v>
                </c:pt>
                <c:pt idx="11">
                  <c:v>2.4803946936509789</c:v>
                </c:pt>
                <c:pt idx="12">
                  <c:v>1.4803946936509789</c:v>
                </c:pt>
                <c:pt idx="13">
                  <c:v>0.48039469365097887</c:v>
                </c:pt>
                <c:pt idx="14">
                  <c:v>0.50792440218786372</c:v>
                </c:pt>
                <c:pt idx="15">
                  <c:v>1.42442187260463</c:v>
                </c:pt>
                <c:pt idx="16">
                  <c:v>2.269750841513912</c:v>
                </c:pt>
                <c:pt idx="17">
                  <c:v>3.0531833639574542</c:v>
                </c:pt>
                <c:pt idx="18">
                  <c:v>3.7825196744855258</c:v>
                </c:pt>
                <c:pt idx="19">
                  <c:v>4.4643963246832321</c:v>
                </c:pt>
                <c:pt idx="20">
                  <c:v>5.1045189491994449</c:v>
                </c:pt>
                <c:pt idx="21">
                  <c:v>5.7078408994836405</c:v>
                </c:pt>
                <c:pt idx="22">
                  <c:v>6.2787023325932267</c:v>
                </c:pt>
                <c:pt idx="23">
                  <c:v>6.8209399726883042</c:v>
                </c:pt>
                <c:pt idx="24">
                  <c:v>7.3379748309951154</c:v>
                </c:pt>
                <c:pt idx="25">
                  <c:v>7.8328831653144171</c:v>
                </c:pt>
                <c:pt idx="26">
                  <c:v>8.3084545658968771</c:v>
                </c:pt>
                <c:pt idx="27">
                  <c:v>8.7672400699572286</c:v>
                </c:pt>
                <c:pt idx="28">
                  <c:v>9.2115925024413556</c:v>
                </c:pt>
                <c:pt idx="29">
                  <c:v>9.6437007304250173</c:v>
                </c:pt>
                <c:pt idx="30">
                  <c:v>10.065619145507032</c:v>
                </c:pt>
                <c:pt idx="31">
                  <c:v>10.479293413944891</c:v>
                </c:pt>
                <c:pt idx="32">
                  <c:v>10.886583331394647</c:v>
                </c:pt>
                <c:pt idx="33">
                  <c:v>11.289283469479031</c:v>
                </c:pt>
                <c:pt idx="34">
                  <c:v>11.689142192147827</c:v>
                </c:pt>
                <c:pt idx="35">
                  <c:v>12.087879541985053</c:v>
                </c:pt>
                <c:pt idx="36">
                  <c:v>12.487204444168327</c:v>
                </c:pt>
                <c:pt idx="37">
                  <c:v>12.888831644721698</c:v>
                </c:pt>
                <c:pt idx="38">
                  <c:v>13.294498787735812</c:v>
                </c:pt>
                <c:pt idx="39">
                  <c:v>13.705984042479145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'New_removed_rate - bSIR'!$AL$7</c:f>
              <c:strCache>
                <c:ptCount val="1"/>
                <c:pt idx="0">
                  <c:v>sel. region d.t.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'New_removed_rate - bSIR'!$C$62:$C$99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'New_removed_rate - bSIR'!$AL$62:$AL$99</c:f>
              <c:numCache>
                <c:formatCode>General</c:formatCode>
                <c:ptCount val="38"/>
                <c:pt idx="0">
                  <c:v>21.356483051343162</c:v>
                </c:pt>
                <c:pt idx="1">
                  <c:v>20.356483051343162</c:v>
                </c:pt>
                <c:pt idx="2">
                  <c:v>19.356483051343162</c:v>
                </c:pt>
                <c:pt idx="3">
                  <c:v>18.356483051343162</c:v>
                </c:pt>
                <c:pt idx="4">
                  <c:v>17.356483051343162</c:v>
                </c:pt>
                <c:pt idx="5">
                  <c:v>16.356483051343162</c:v>
                </c:pt>
                <c:pt idx="6">
                  <c:v>15.356483051343162</c:v>
                </c:pt>
                <c:pt idx="7">
                  <c:v>14.356483051343162</c:v>
                </c:pt>
                <c:pt idx="8">
                  <c:v>13.356483051343162</c:v>
                </c:pt>
                <c:pt idx="9">
                  <c:v>12.356483051343162</c:v>
                </c:pt>
                <c:pt idx="10">
                  <c:v>11.356483051343162</c:v>
                </c:pt>
                <c:pt idx="11">
                  <c:v>10.356483051343162</c:v>
                </c:pt>
                <c:pt idx="12">
                  <c:v>9.3564830513431616</c:v>
                </c:pt>
                <c:pt idx="13">
                  <c:v>8.3564830513431616</c:v>
                </c:pt>
                <c:pt idx="14">
                  <c:v>7.3564830513431616</c:v>
                </c:pt>
                <c:pt idx="15">
                  <c:v>6.3564830513431616</c:v>
                </c:pt>
                <c:pt idx="16">
                  <c:v>5.3564830513431616</c:v>
                </c:pt>
                <c:pt idx="17">
                  <c:v>4.3564830513431616</c:v>
                </c:pt>
                <c:pt idx="18">
                  <c:v>3.3564830513431616</c:v>
                </c:pt>
                <c:pt idx="19">
                  <c:v>2.3564830513431616</c:v>
                </c:pt>
                <c:pt idx="20">
                  <c:v>1.3564830513431616</c:v>
                </c:pt>
                <c:pt idx="21">
                  <c:v>0.35648305134316161</c:v>
                </c:pt>
                <c:pt idx="22">
                  <c:v>0.63051706047913036</c:v>
                </c:pt>
                <c:pt idx="23">
                  <c:v>1.562020032859619</c:v>
                </c:pt>
                <c:pt idx="24">
                  <c:v>2.4406151629877639</c:v>
                </c:pt>
                <c:pt idx="25">
                  <c:v>3.2721578085132608</c:v>
                </c:pt>
                <c:pt idx="26">
                  <c:v>4.061773149807415</c:v>
                </c:pt>
                <c:pt idx="27">
                  <c:v>4.8139829896578306</c:v>
                </c:pt>
                <c:pt idx="28">
                  <c:v>5.5328071668059309</c:v>
                </c:pt>
                <c:pt idx="29">
                  <c:v>6.2218455524623462</c:v>
                </c:pt>
                <c:pt idx="30">
                  <c:v>6.8843450362428715</c:v>
                </c:pt>
                <c:pt idx="31">
                  <c:v>7.5232547979506847</c:v>
                </c:pt>
                <c:pt idx="32">
                  <c:v>8.1412723622438428</c:v>
                </c:pt>
                <c:pt idx="33">
                  <c:v>8.7408823503401543</c:v>
                </c:pt>
                <c:pt idx="34">
                  <c:v>9.3243894131403628</c:v>
                </c:pt>
                <c:pt idx="35">
                  <c:v>9.8939465101618858</c:v>
                </c:pt>
                <c:pt idx="36">
                  <c:v>10.451579458445707</c:v>
                </c:pt>
                <c:pt idx="37">
                  <c:v>10.999208494082861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'New_removed_rate - bSIR'!$BG$7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bSIR'!$BG$62:$BG$101</c:f>
              <c:numCache>
                <c:formatCode>General</c:formatCode>
                <c:ptCount val="40"/>
                <c:pt idx="0">
                  <c:v>12.882529907638357</c:v>
                </c:pt>
                <c:pt idx="1">
                  <c:v>11.882529907638357</c:v>
                </c:pt>
                <c:pt idx="2">
                  <c:v>10.882529907638357</c:v>
                </c:pt>
                <c:pt idx="3">
                  <c:v>9.8825299076383573</c:v>
                </c:pt>
                <c:pt idx="4">
                  <c:v>8.8825299076383573</c:v>
                </c:pt>
                <c:pt idx="5">
                  <c:v>7.8825299076383573</c:v>
                </c:pt>
                <c:pt idx="6">
                  <c:v>6.8825299076383573</c:v>
                </c:pt>
                <c:pt idx="7">
                  <c:v>5.8825299076383573</c:v>
                </c:pt>
                <c:pt idx="8">
                  <c:v>4.8825299076383573</c:v>
                </c:pt>
                <c:pt idx="9">
                  <c:v>3.8825299076383573</c:v>
                </c:pt>
                <c:pt idx="10">
                  <c:v>2.8825299076383573</c:v>
                </c:pt>
                <c:pt idx="11">
                  <c:v>1.8825299076383573</c:v>
                </c:pt>
                <c:pt idx="12">
                  <c:v>0.88252990763835726</c:v>
                </c:pt>
                <c:pt idx="13">
                  <c:v>0.11684719400344393</c:v>
                </c:pt>
                <c:pt idx="14">
                  <c:v>1.063855271434591</c:v>
                </c:pt>
                <c:pt idx="15">
                  <c:v>1.9339285991683326</c:v>
                </c:pt>
                <c:pt idx="16">
                  <c:v>2.737360208371971</c:v>
                </c:pt>
                <c:pt idx="17">
                  <c:v>3.4827404545299654</c:v>
                </c:pt>
                <c:pt idx="18">
                  <c:v>4.177325153557792</c:v>
                </c:pt>
                <c:pt idx="19">
                  <c:v>4.8273105619364376</c:v>
                </c:pt>
                <c:pt idx="20">
                  <c:v>5.4380422725338278</c:v>
                </c:pt>
                <c:pt idx="21">
                  <c:v>6.0141763599260933</c:v>
                </c:pt>
                <c:pt idx="22">
                  <c:v>6.5598054555096645</c:v>
                </c:pt>
                <c:pt idx="23">
                  <c:v>7.0785586907617279</c:v>
                </c:pt>
                <c:pt idx="24">
                  <c:v>7.5736819194365239</c:v>
                </c:pt>
                <c:pt idx="25">
                  <c:v>8.048102890757157</c:v>
                </c:pt>
                <c:pt idx="26">
                  <c:v>8.5044848298672804</c:v>
                </c:pt>
                <c:pt idx="27">
                  <c:v>8.945271019181579</c:v>
                </c:pt>
                <c:pt idx="28">
                  <c:v>9.3727223543508948</c:v>
                </c:pt>
                <c:pt idx="29">
                  <c:v>9.7889493981697449</c:v>
                </c:pt>
                <c:pt idx="30">
                  <c:v>10.19594012570121</c:v>
                </c:pt>
                <c:pt idx="31">
                  <c:v>10.595584310636038</c:v>
                </c:pt>
                <c:pt idx="32">
                  <c:v>10.989695323328256</c:v>
                </c:pt>
                <c:pt idx="33">
                  <c:v>11.380029979021089</c:v>
                </c:pt>
                <c:pt idx="34">
                  <c:v>11.768306979332998</c:v>
                </c:pt>
                <c:pt idx="35">
                  <c:v>12.156224423430153</c:v>
                </c:pt>
                <c:pt idx="36">
                  <c:v>12.545476822296557</c:v>
                </c:pt>
                <c:pt idx="37">
                  <c:v>12.937772026892823</c:v>
                </c:pt>
                <c:pt idx="38">
                  <c:v>13.334848477101225</c:v>
                </c:pt>
                <c:pt idx="39">
                  <c:v>13.738493192899391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'New_removed_rate - bSIR'!$B$6</c:f>
              <c:strCache>
                <c:ptCount val="1"/>
                <c:pt idx="0">
                  <c:v>5-Jun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157</c:v>
                </c:pt>
                <c:pt idx="1">
                  <c:v>157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basic SIR</a:t>
            </a:r>
            <a:r>
              <a:rPr lang="it-IT" sz="1800" b="0" i="0" baseline="0">
                <a:effectLst/>
              </a:rPr>
              <a:t>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bSIR'!$C$62:$C$145</c:f>
              <c:numCache>
                <c:formatCode>General</c:formatCode>
                <c:ptCount val="84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</c:numCache>
            </c:numRef>
          </c:xVal>
          <c:yVal>
            <c:numRef>
              <c:f>'New_removed_rate - bSIR'!$P$62:$P$145</c:f>
              <c:numCache>
                <c:formatCode>0%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1.9467765754898185</c:v>
                </c:pt>
                <c:pt idx="15">
                  <c:v>0.68036544620904194</c:v>
                </c:pt>
                <c:pt idx="16">
                  <c:v>0.41924144617310366</c:v>
                </c:pt>
                <c:pt idx="17">
                  <c:v>0.3065235039363261</c:v>
                </c:pt>
                <c:pt idx="18">
                  <c:v>0.24369832651372331</c:v>
                </c:pt>
                <c:pt idx="19">
                  <c:v>0.20364394011037162</c:v>
                </c:pt>
                <c:pt idx="20">
                  <c:v>0.17587842940540152</c:v>
                </c:pt>
                <c:pt idx="21">
                  <c:v>0.15549548685910147</c:v>
                </c:pt>
                <c:pt idx="22">
                  <c:v>0.13989219023496252</c:v>
                </c:pt>
                <c:pt idx="23">
                  <c:v>0.12755919126951326</c:v>
                </c:pt>
                <c:pt idx="24">
                  <c:v>0.11756093724555343</c:v>
                </c:pt>
                <c:pt idx="25">
                  <c:v>0.10928662032761773</c:v>
                </c:pt>
                <c:pt idx="26">
                  <c:v>0.10232048457431203</c:v>
                </c:pt>
                <c:pt idx="27">
                  <c:v>9.6369691255785705E-2</c:v>
                </c:pt>
                <c:pt idx="28">
                  <c:v>9.1221993271197635E-2</c:v>
                </c:pt>
                <c:pt idx="29">
                  <c:v>8.6719773538667361E-2</c:v>
                </c:pt>
                <c:pt idx="30">
                  <c:v>8.2743513342754801E-2</c:v>
                </c:pt>
                <c:pt idx="31">
                  <c:v>7.9200922911527874E-2</c:v>
                </c:pt>
                <c:pt idx="32">
                  <c:v>7.6019594056502507E-2</c:v>
                </c:pt>
                <c:pt idx="33">
                  <c:v>7.3141911841691665E-2</c:v>
                </c:pt>
                <c:pt idx="34">
                  <c:v>7.0521454665454286E-2</c:v>
                </c:pt>
                <c:pt idx="35">
                  <c:v>6.8120398615157812E-2</c:v>
                </c:pt>
                <c:pt idx="36">
                  <c:v>6.5907613939522339E-2</c:v>
                </c:pt>
                <c:pt idx="37">
                  <c:v>6.3857247656046931E-2</c:v>
                </c:pt>
                <c:pt idx="38">
                  <c:v>6.1947653511788221E-2</c:v>
                </c:pt>
                <c:pt idx="39">
                  <c:v>6.0160574016246054E-2</c:v>
                </c:pt>
                <c:pt idx="40">
                  <c:v>5.8480508002135195E-2</c:v>
                </c:pt>
                <c:pt idx="41">
                  <c:v>5.689421650813254E-2</c:v>
                </c:pt>
                <c:pt idx="42">
                  <c:v>5.5390333012849194E-2</c:v>
                </c:pt>
                <c:pt idx="43">
                  <c:v>5.3959053248836257E-2</c:v>
                </c:pt>
                <c:pt idx="44">
                  <c:v>5.2591886311774957E-2</c:v>
                </c:pt>
                <c:pt idx="45">
                  <c:v>5.1281453414012274E-2</c:v>
                </c:pt>
                <c:pt idx="46">
                  <c:v>5.0021323983004989E-2</c:v>
                </c:pt>
                <c:pt idx="47">
                  <c:v>4.8805881256792999E-2</c:v>
                </c:pt>
                <c:pt idx="48">
                  <c:v>4.7630211341145444E-2</c:v>
                </c:pt>
                <c:pt idx="49">
                  <c:v>4.6490011046572556E-2</c:v>
                </c:pt>
                <c:pt idx="50">
                  <c:v>4.5381510843795554E-2</c:v>
                </c:pt>
                <c:pt idx="51">
                  <c:v>4.4301410052467183E-2</c:v>
                </c:pt>
                <c:pt idx="52">
                  <c:v>4.3246821973482834E-2</c:v>
                </c:pt>
                <c:pt idx="53">
                  <c:v>4.2215227135974719E-2</c:v>
                </c:pt>
                <c:pt idx="54">
                  <c:v>4.1204433189440878E-2</c:v>
                </c:pt>
                <c:pt idx="55">
                  <c:v>4.0212540253965784E-2</c:v>
                </c:pt>
                <c:pt idx="56">
                  <c:v>3.9237910765317616E-2</c:v>
                </c:pt>
                <c:pt idx="57">
                  <c:v>3.8279143030414027E-2</c:v>
                </c:pt>
                <c:pt idx="58">
                  <c:v>3.7335047852421366E-2</c:v>
                </c:pt>
                <c:pt idx="59">
                  <c:v>3.6404627701282874E-2</c:v>
                </c:pt>
                <c:pt idx="60">
                  <c:v>3.5487058000605656E-2</c:v>
                </c:pt>
                <c:pt idx="61">
                  <c:v>3.4581670180029847E-2</c:v>
                </c:pt>
                <c:pt idx="62">
                  <c:v>3.3687936206875269E-2</c:v>
                </c:pt>
                <c:pt idx="63">
                  <c:v>3.2805454364632454E-2</c:v>
                </c:pt>
                <c:pt idx="64">
                  <c:v>3.1933936090763407E-2</c:v>
                </c:pt>
                <c:pt idx="65">
                  <c:v>3.1073193723867416E-2</c:v>
                </c:pt>
                <c:pt idx="66">
                  <c:v>3.0223129041766383E-2</c:v>
                </c:pt>
                <c:pt idx="67">
                  <c:v>2.9383722498423564E-2</c:v>
                </c:pt>
                <c:pt idx="68">
                  <c:v>2.855502308957749E-2</c:v>
                </c:pt>
                <c:pt idx="69">
                  <c:v>2.7737138795148469E-2</c:v>
                </c:pt>
                <c:pt idx="70">
                  <c:v>2.6930227561339157E-2</c:v>
                </c:pt>
                <c:pt idx="71">
                  <c:v>2.6134488797307599E-2</c:v>
                </c:pt>
                <c:pt idx="72">
                  <c:v>2.5350155370677651E-2</c:v>
                </c:pt>
                <c:pt idx="73">
                  <c:v>2.4577486093267271E-2</c:v>
                </c:pt>
                <c:pt idx="74">
                  <c:v>2.3816758693526854E-2</c:v>
                </c:pt>
                <c:pt idx="75">
                  <c:v>2.3068263275533626E-2</c:v>
                </c:pt>
                <c:pt idx="76">
                  <c:v>2.2332296266217241E-2</c:v>
                </c:pt>
                <c:pt idx="77">
                  <c:v>2.1609154853017287E-2</c:v>
                </c:pt>
                <c:pt idx="78">
                  <c:v>2.0899131913608111E-2</c:v>
                </c:pt>
                <c:pt idx="79">
                  <c:v>2.0202511437874795E-2</c:v>
                </c:pt>
                <c:pt idx="80">
                  <c:v>1.95195644401812E-2</c:v>
                </c:pt>
                <c:pt idx="81">
                  <c:v>1.8850545357321065E-2</c:v>
                </c:pt>
                <c:pt idx="82">
                  <c:v>1.8195688924559049E-2</c:v>
                </c:pt>
                <c:pt idx="83">
                  <c:v>1.7555207519007632E-2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'New_removed_rate - bSIR'!$AO$7</c:f>
              <c:strCache>
                <c:ptCount val="1"/>
                <c:pt idx="0">
                  <c:v>sel. region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bSIR'!$C$63:$C$145</c:f>
              <c:numCache>
                <c:formatCode>General</c:formatCode>
                <c:ptCount val="83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</c:numCache>
            </c:numRef>
          </c:xVal>
          <c:yVal>
            <c:numRef>
              <c:f>'New_removed_rate - bSIR'!$AO$63:$AO$145</c:f>
              <c:numCache>
                <c:formatCode>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1.5700664289485928</c:v>
                </c:pt>
                <c:pt idx="22">
                  <c:v>0.62454074604856269</c:v>
                </c:pt>
                <c:pt idx="23">
                  <c:v>0.3943521316767149</c:v>
                </c:pt>
                <c:pt idx="24">
                  <c:v>0.2905019682487513</c:v>
                </c:pt>
                <c:pt idx="25">
                  <c:v>0.23136438763292017</c:v>
                </c:pt>
                <c:pt idx="26">
                  <c:v>0.19316804324451736</c:v>
                </c:pt>
                <c:pt idx="27">
                  <c:v>0.16645402256939087</c:v>
                </c:pt>
                <c:pt idx="28">
                  <c:v>0.14671338262790676</c:v>
                </c:pt>
                <c:pt idx="29">
                  <c:v>0.13152375174017128</c:v>
                </c:pt>
                <c:pt idx="30">
                  <c:v>0.11946747967540225</c:v>
                </c:pt>
                <c:pt idx="31">
                  <c:v>0.10965965217947318</c:v>
                </c:pt>
                <c:pt idx="32">
                  <c:v>0.10151932374089646</c:v>
                </c:pt>
                <c:pt idx="33">
                  <c:v>9.4649312424747015E-2</c:v>
                </c:pt>
                <c:pt idx="34">
                  <c:v>8.8768857470954227E-2</c:v>
                </c:pt>
                <c:pt idx="35">
                  <c:v>8.3673869820333632E-2</c:v>
                </c:pt>
                <c:pt idx="36">
                  <c:v>7.9212428572397714E-2</c:v>
                </c:pt>
                <c:pt idx="37">
                  <c:v>7.5269111179308595E-2</c:v>
                </c:pt>
                <c:pt idx="38">
                  <c:v>7.1754652624756207E-2</c:v>
                </c:pt>
                <c:pt idx="39">
                  <c:v>6.8598932736670323E-2</c:v>
                </c:pt>
                <c:pt idx="40">
                  <c:v>6.5746105646140349E-2</c:v>
                </c:pt>
                <c:pt idx="41">
                  <c:v>6.3151145010450133E-2</c:v>
                </c:pt>
                <c:pt idx="42">
                  <c:v>6.0777347106310713E-2</c:v>
                </c:pt>
                <c:pt idx="43">
                  <c:v>5.8594495672884772E-2</c:v>
                </c:pt>
                <c:pt idx="44">
                  <c:v>5.6577492577902372E-2</c:v>
                </c:pt>
                <c:pt idx="45">
                  <c:v>5.470532198231827E-2</c:v>
                </c:pt>
                <c:pt idx="46">
                  <c:v>5.296025695888245E-2</c:v>
                </c:pt>
                <c:pt idx="47">
                  <c:v>5.1327244855818847E-2</c:v>
                </c:pt>
                <c:pt idx="48">
                  <c:v>4.9793426132793535E-2</c:v>
                </c:pt>
                <c:pt idx="49">
                  <c:v>4.8347754039629057E-2</c:v>
                </c:pt>
                <c:pt idx="50">
                  <c:v>4.6980691312920972E-2</c:v>
                </c:pt>
                <c:pt idx="51">
                  <c:v>4.5683966284513114E-2</c:v>
                </c:pt>
                <c:pt idx="52">
                  <c:v>4.4450375245897671E-2</c:v>
                </c:pt>
                <c:pt idx="53">
                  <c:v>4.3273621135869862E-2</c:v>
                </c:pt>
                <c:pt idx="54">
                  <c:v>4.214818097985535E-2</c:v>
                </c:pt>
                <c:pt idx="55">
                  <c:v>4.106919625713247E-2</c:v>
                </c:pt>
                <c:pt idx="56">
                  <c:v>4.0032381678768388E-2</c:v>
                </c:pt>
                <c:pt idx="57">
                  <c:v>3.9033948844895305E-2</c:v>
                </c:pt>
                <c:pt idx="58">
                  <c:v>3.807054200020437E-2</c:v>
                </c:pt>
                <c:pt idx="59">
                  <c:v>3.7139183682196632E-2</c:v>
                </c:pt>
                <c:pt idx="60">
                  <c:v>3.6237228501853944E-2</c:v>
                </c:pt>
                <c:pt idx="61">
                  <c:v>3.5362323643103051E-2</c:v>
                </c:pt>
                <c:pt idx="62">
                  <c:v>3.4512374939380454E-2</c:v>
                </c:pt>
                <c:pt idx="63">
                  <c:v>3.3685517600304034E-2</c:v>
                </c:pt>
                <c:pt idx="64">
                  <c:v>3.2880090832032693E-2</c:v>
                </c:pt>
                <c:pt idx="65">
                  <c:v>3.2094615731230264E-2</c:v>
                </c:pt>
                <c:pt idx="66">
                  <c:v>3.1327775942140604E-2</c:v>
                </c:pt>
                <c:pt idx="67">
                  <c:v>3.0578400654854374E-2</c:v>
                </c:pt>
                <c:pt idx="68">
                  <c:v>2.9845449594805666E-2</c:v>
                </c:pt>
                <c:pt idx="69">
                  <c:v>2.9127999712281361E-2</c:v>
                </c:pt>
                <c:pt idx="70">
                  <c:v>2.8425233328908721E-2</c:v>
                </c:pt>
                <c:pt idx="71">
                  <c:v>2.7736427537772002E-2</c:v>
                </c:pt>
                <c:pt idx="72">
                  <c:v>2.7060944686630711E-2</c:v>
                </c:pt>
                <c:pt idx="73">
                  <c:v>2.6398223800951925E-2</c:v>
                </c:pt>
                <c:pt idx="74">
                  <c:v>2.5747772826151694E-2</c:v>
                </c:pt>
                <c:pt idx="75">
                  <c:v>2.5109161587378814E-2</c:v>
                </c:pt>
                <c:pt idx="76">
                  <c:v>2.4482015381024597E-2</c:v>
                </c:pt>
                <c:pt idx="77">
                  <c:v>2.3866009125429667E-2</c:v>
                </c:pt>
                <c:pt idx="78">
                  <c:v>2.326086200941254E-2</c:v>
                </c:pt>
                <c:pt idx="79">
                  <c:v>2.2666332586610841E-2</c:v>
                </c:pt>
                <c:pt idx="80">
                  <c:v>2.2082214271491814E-2</c:v>
                </c:pt>
                <c:pt idx="81">
                  <c:v>2.1508331199487613E-2</c:v>
                </c:pt>
                <c:pt idx="82">
                  <c:v>2.0944534419238253E-2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'New_removed_rate - bSIR'!$BJ$7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bSIR'!$C$63:$C$145</c:f>
              <c:numCache>
                <c:formatCode>General</c:formatCode>
                <c:ptCount val="83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</c:numCache>
            </c:numRef>
          </c:xVal>
          <c:yVal>
            <c:numRef>
              <c:f>'New_removed_rate - bSIR'!$BJ$63:$BJ$145</c:f>
              <c:numCache>
                <c:formatCode>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8.5355211663198531</c:v>
                </c:pt>
                <c:pt idx="13">
                  <c:v>0.91766731111194044</c:v>
                </c:pt>
                <c:pt idx="14">
                  <c:v>0.49511633048833076</c:v>
                </c:pt>
                <c:pt idx="15">
                  <c:v>0.34368628395335071</c:v>
                </c:pt>
                <c:pt idx="16">
                  <c:v>0.26583217993522001</c:v>
                </c:pt>
                <c:pt idx="17">
                  <c:v>0.2184170891343683</c:v>
                </c:pt>
                <c:pt idx="18">
                  <c:v>0.18650959358689631</c:v>
                </c:pt>
                <c:pt idx="19">
                  <c:v>0.16356950286477653</c:v>
                </c:pt>
                <c:pt idx="20">
                  <c:v>0.14627923030160347</c:v>
                </c:pt>
                <c:pt idx="21">
                  <c:v>0.1327765236887993</c:v>
                </c:pt>
                <c:pt idx="22">
                  <c:v>0.12193524665454826</c:v>
                </c:pt>
                <c:pt idx="23">
                  <c:v>0.11303431651517371</c:v>
                </c:pt>
                <c:pt idx="24">
                  <c:v>0.10559056906684558</c:v>
                </c:pt>
                <c:pt idx="25">
                  <c:v>9.9268072481150008E-2</c:v>
                </c:pt>
                <c:pt idx="26">
                  <c:v>9.3825983864529103E-2</c:v>
                </c:pt>
                <c:pt idx="27">
                  <c:v>8.9087101715998068E-2</c:v>
                </c:pt>
                <c:pt idx="28">
                  <c:v>8.4918125863399821E-2</c:v>
                </c:pt>
                <c:pt idx="29">
                  <c:v>8.1216837274769485E-2</c:v>
                </c:pt>
                <c:pt idx="30">
                  <c:v>7.7903524167540358E-2</c:v>
                </c:pt>
                <c:pt idx="31">
                  <c:v>7.4915099636131008E-2</c:v>
                </c:pt>
                <c:pt idx="32">
                  <c:v>7.2200974296336554E-2</c:v>
                </c:pt>
                <c:pt idx="33">
                  <c:v>6.9720102219842456E-2</c:v>
                </c:pt>
                <c:pt idx="34">
                  <c:v>6.7438828841959841E-2</c:v>
                </c:pt>
                <c:pt idx="35">
                  <c:v>6.532929801880169E-2</c:v>
                </c:pt>
                <c:pt idx="36">
                  <c:v>6.3368255952237065E-2</c:v>
                </c:pt>
                <c:pt idx="37">
                  <c:v>6.1536141382747635E-2</c:v>
                </c:pt>
                <c:pt idx="38">
                  <c:v>5.9816385321971421E-2</c:v>
                </c:pt>
                <c:pt idx="39">
                  <c:v>5.8194866226025099E-2</c:v>
                </c:pt>
                <c:pt idx="40">
                  <c:v>5.6659481896036173E-2</c:v>
                </c:pt>
                <c:pt idx="41">
                  <c:v>5.5199810021579976E-2</c:v>
                </c:pt>
                <c:pt idx="42">
                  <c:v>5.3806836735143984E-2</c:v>
                </c:pt>
                <c:pt idx="43">
                  <c:v>5.247273784234778E-2</c:v>
                </c:pt>
                <c:pt idx="44">
                  <c:v>5.1190701204762573E-2</c:v>
                </c:pt>
                <c:pt idx="45">
                  <c:v>4.9954781528179608E-2</c:v>
                </c:pt>
                <c:pt idx="46">
                  <c:v>4.8759780852905943E-2</c:v>
                </c:pt>
                <c:pt idx="47">
                  <c:v>4.7601149562794792E-2</c:v>
                </c:pt>
                <c:pt idx="48">
                  <c:v>4.6474903871390312E-2</c:v>
                </c:pt>
                <c:pt idx="49">
                  <c:v>4.5377556608915161E-2</c:v>
                </c:pt>
                <c:pt idx="50">
                  <c:v>4.4306058795530422E-2</c:v>
                </c:pt>
                <c:pt idx="51">
                  <c:v>4.3257749996581316E-2</c:v>
                </c:pt>
                <c:pt idx="52">
                  <c:v>4.2230315852323688E-2</c:v>
                </c:pt>
                <c:pt idx="53">
                  <c:v>4.1221751485662476E-2</c:v>
                </c:pt>
                <c:pt idx="54">
                  <c:v>4.0230329737218497E-2</c:v>
                </c:pt>
                <c:pt idx="55">
                  <c:v>3.9254573372819034E-2</c:v>
                </c:pt>
                <c:pt idx="56">
                  <c:v>3.8293230565696806E-2</c:v>
                </c:pt>
                <c:pt idx="57">
                  <c:v>3.7345253082886408E-2</c:v>
                </c:pt>
                <c:pt idx="58">
                  <c:v>3.6409776709039915E-2</c:v>
                </c:pt>
                <c:pt idx="59">
                  <c:v>3.5486103526104665E-2</c:v>
                </c:pt>
                <c:pt idx="60">
                  <c:v>3.4573685737800293E-2</c:v>
                </c:pt>
                <c:pt idx="61">
                  <c:v>3.3672110786497997E-2</c:v>
                </c:pt>
                <c:pt idx="62">
                  <c:v>3.2781087559171411E-2</c:v>
                </c:pt>
                <c:pt idx="63">
                  <c:v>3.190043352026458E-2</c:v>
                </c:pt>
                <c:pt idx="64">
                  <c:v>3.1030062643936693E-2</c:v>
                </c:pt>
                <c:pt idx="65">
                  <c:v>3.0169974047216091E-2</c:v>
                </c:pt>
                <c:pt idx="66">
                  <c:v>2.9320241249930934E-2</c:v>
                </c:pt>
                <c:pt idx="67">
                  <c:v>2.8481002007512614E-2</c:v>
                </c:pt>
                <c:pt idx="68">
                  <c:v>2.765244867939565E-2</c:v>
                </c:pt>
                <c:pt idx="69">
                  <c:v>2.6834819109181215E-2</c:v>
                </c:pt>
                <c:pt idx="70">
                  <c:v>2.60283880033409E-2</c:v>
                </c:pt>
                <c:pt idx="71">
                  <c:v>2.5233458803319328E-2</c:v>
                </c:pt>
                <c:pt idx="72">
                  <c:v>2.4450356051724055E-2</c:v>
                </c:pt>
                <c:pt idx="73">
                  <c:v>2.3679418257127067E-2</c:v>
                </c:pt>
                <c:pt idx="74">
                  <c:v>2.2920991264089141E-2</c:v>
                </c:pt>
                <c:pt idx="75">
                  <c:v>2.2175422135592902E-2</c:v>
                </c:pt>
                <c:pt idx="76">
                  <c:v>2.1443053554366497E-2</c:v>
                </c:pt>
                <c:pt idx="77">
                  <c:v>2.0724218747821897E-2</c:v>
                </c:pt>
                <c:pt idx="78">
                  <c:v>2.0019236938741469E-2</c:v>
                </c:pt>
                <c:pt idx="79">
                  <c:v>1.9328409320633653E-2</c:v>
                </c:pt>
                <c:pt idx="80">
                  <c:v>1.8652015553043841E-2</c:v>
                </c:pt>
                <c:pt idx="81">
                  <c:v>1.7990310768235814E-2</c:v>
                </c:pt>
                <c:pt idx="82">
                  <c:v>1.7343523076720532E-2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'New_removed_rate - bSIR'!$I$7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bSIR'!$I$62:$I$101</c:f>
              <c:numCache>
                <c:formatCode>General</c:formatCode>
                <c:ptCount val="40"/>
                <c:pt idx="0">
                  <c:v>13.480394693650979</c:v>
                </c:pt>
                <c:pt idx="1">
                  <c:v>12.480394693650979</c:v>
                </c:pt>
                <c:pt idx="2">
                  <c:v>11.480394693650979</c:v>
                </c:pt>
                <c:pt idx="3">
                  <c:v>10.480394693650979</c:v>
                </c:pt>
                <c:pt idx="4">
                  <c:v>9.4803946936509789</c:v>
                </c:pt>
                <c:pt idx="5">
                  <c:v>8.4803946936509789</c:v>
                </c:pt>
                <c:pt idx="6">
                  <c:v>7.4803946936509789</c:v>
                </c:pt>
                <c:pt idx="7">
                  <c:v>6.4803946936509789</c:v>
                </c:pt>
                <c:pt idx="8">
                  <c:v>5.4803946936509789</c:v>
                </c:pt>
                <c:pt idx="9">
                  <c:v>4.4803946936509789</c:v>
                </c:pt>
                <c:pt idx="10">
                  <c:v>3.4803946936509789</c:v>
                </c:pt>
                <c:pt idx="11">
                  <c:v>2.4803946936509789</c:v>
                </c:pt>
                <c:pt idx="12">
                  <c:v>1.4803946936509789</c:v>
                </c:pt>
                <c:pt idx="13">
                  <c:v>0.48039469365097887</c:v>
                </c:pt>
                <c:pt idx="14">
                  <c:v>0.50792440218786372</c:v>
                </c:pt>
                <c:pt idx="15">
                  <c:v>1.42442187260463</c:v>
                </c:pt>
                <c:pt idx="16">
                  <c:v>2.269750841513912</c:v>
                </c:pt>
                <c:pt idx="17">
                  <c:v>3.0531833639574542</c:v>
                </c:pt>
                <c:pt idx="18">
                  <c:v>3.7825196744855258</c:v>
                </c:pt>
                <c:pt idx="19">
                  <c:v>4.4643963246832321</c:v>
                </c:pt>
                <c:pt idx="20">
                  <c:v>5.1045189491994449</c:v>
                </c:pt>
                <c:pt idx="21">
                  <c:v>5.7078408994836405</c:v>
                </c:pt>
                <c:pt idx="22">
                  <c:v>6.2787023325932267</c:v>
                </c:pt>
                <c:pt idx="23">
                  <c:v>6.8209399726883042</c:v>
                </c:pt>
                <c:pt idx="24">
                  <c:v>7.3379748309951154</c:v>
                </c:pt>
                <c:pt idx="25">
                  <c:v>7.8328831653144171</c:v>
                </c:pt>
                <c:pt idx="26">
                  <c:v>8.3084545658968771</c:v>
                </c:pt>
                <c:pt idx="27">
                  <c:v>8.7672400699572286</c:v>
                </c:pt>
                <c:pt idx="28">
                  <c:v>9.2115925024413556</c:v>
                </c:pt>
                <c:pt idx="29">
                  <c:v>9.6437007304250173</c:v>
                </c:pt>
                <c:pt idx="30">
                  <c:v>10.065619145507032</c:v>
                </c:pt>
                <c:pt idx="31">
                  <c:v>10.479293413944891</c:v>
                </c:pt>
                <c:pt idx="32">
                  <c:v>10.886583331394647</c:v>
                </c:pt>
                <c:pt idx="33">
                  <c:v>11.289283469479031</c:v>
                </c:pt>
                <c:pt idx="34">
                  <c:v>11.689142192147827</c:v>
                </c:pt>
                <c:pt idx="35">
                  <c:v>12.087879541985053</c:v>
                </c:pt>
                <c:pt idx="36">
                  <c:v>12.487204444168327</c:v>
                </c:pt>
                <c:pt idx="37">
                  <c:v>12.888831644721698</c:v>
                </c:pt>
                <c:pt idx="38">
                  <c:v>13.294498787735812</c:v>
                </c:pt>
                <c:pt idx="39">
                  <c:v>13.705984042479145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'New_removed_rate - bSIR'!$AL$7</c:f>
              <c:strCache>
                <c:ptCount val="1"/>
                <c:pt idx="0">
                  <c:v>sel. region d.t.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'New_removed_rate - bSIR'!$C$62:$C$99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'New_removed_rate - bSIR'!$AL$62:$AL$99</c:f>
              <c:numCache>
                <c:formatCode>General</c:formatCode>
                <c:ptCount val="38"/>
                <c:pt idx="0">
                  <c:v>21.356483051343162</c:v>
                </c:pt>
                <c:pt idx="1">
                  <c:v>20.356483051343162</c:v>
                </c:pt>
                <c:pt idx="2">
                  <c:v>19.356483051343162</c:v>
                </c:pt>
                <c:pt idx="3">
                  <c:v>18.356483051343162</c:v>
                </c:pt>
                <c:pt idx="4">
                  <c:v>17.356483051343162</c:v>
                </c:pt>
                <c:pt idx="5">
                  <c:v>16.356483051343162</c:v>
                </c:pt>
                <c:pt idx="6">
                  <c:v>15.356483051343162</c:v>
                </c:pt>
                <c:pt idx="7">
                  <c:v>14.356483051343162</c:v>
                </c:pt>
                <c:pt idx="8">
                  <c:v>13.356483051343162</c:v>
                </c:pt>
                <c:pt idx="9">
                  <c:v>12.356483051343162</c:v>
                </c:pt>
                <c:pt idx="10">
                  <c:v>11.356483051343162</c:v>
                </c:pt>
                <c:pt idx="11">
                  <c:v>10.356483051343162</c:v>
                </c:pt>
                <c:pt idx="12">
                  <c:v>9.3564830513431616</c:v>
                </c:pt>
                <c:pt idx="13">
                  <c:v>8.3564830513431616</c:v>
                </c:pt>
                <c:pt idx="14">
                  <c:v>7.3564830513431616</c:v>
                </c:pt>
                <c:pt idx="15">
                  <c:v>6.3564830513431616</c:v>
                </c:pt>
                <c:pt idx="16">
                  <c:v>5.3564830513431616</c:v>
                </c:pt>
                <c:pt idx="17">
                  <c:v>4.3564830513431616</c:v>
                </c:pt>
                <c:pt idx="18">
                  <c:v>3.3564830513431616</c:v>
                </c:pt>
                <c:pt idx="19">
                  <c:v>2.3564830513431616</c:v>
                </c:pt>
                <c:pt idx="20">
                  <c:v>1.3564830513431616</c:v>
                </c:pt>
                <c:pt idx="21">
                  <c:v>0.35648305134316161</c:v>
                </c:pt>
                <c:pt idx="22">
                  <c:v>0.63051706047913036</c:v>
                </c:pt>
                <c:pt idx="23">
                  <c:v>1.562020032859619</c:v>
                </c:pt>
                <c:pt idx="24">
                  <c:v>2.4406151629877639</c:v>
                </c:pt>
                <c:pt idx="25">
                  <c:v>3.2721578085132608</c:v>
                </c:pt>
                <c:pt idx="26">
                  <c:v>4.061773149807415</c:v>
                </c:pt>
                <c:pt idx="27">
                  <c:v>4.8139829896578306</c:v>
                </c:pt>
                <c:pt idx="28">
                  <c:v>5.5328071668059309</c:v>
                </c:pt>
                <c:pt idx="29">
                  <c:v>6.2218455524623462</c:v>
                </c:pt>
                <c:pt idx="30">
                  <c:v>6.8843450362428715</c:v>
                </c:pt>
                <c:pt idx="31">
                  <c:v>7.5232547979506847</c:v>
                </c:pt>
                <c:pt idx="32">
                  <c:v>8.1412723622438428</c:v>
                </c:pt>
                <c:pt idx="33">
                  <c:v>8.7408823503401543</c:v>
                </c:pt>
                <c:pt idx="34">
                  <c:v>9.3243894131403628</c:v>
                </c:pt>
                <c:pt idx="35">
                  <c:v>9.8939465101618858</c:v>
                </c:pt>
                <c:pt idx="36">
                  <c:v>10.451579458445707</c:v>
                </c:pt>
                <c:pt idx="37">
                  <c:v>10.999208494082861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'New_removed_rate - bSIR'!$BG$7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bSIR'!$BG$62:$BG$101</c:f>
              <c:numCache>
                <c:formatCode>General</c:formatCode>
                <c:ptCount val="40"/>
                <c:pt idx="0">
                  <c:v>12.882529907638357</c:v>
                </c:pt>
                <c:pt idx="1">
                  <c:v>11.882529907638357</c:v>
                </c:pt>
                <c:pt idx="2">
                  <c:v>10.882529907638357</c:v>
                </c:pt>
                <c:pt idx="3">
                  <c:v>9.8825299076383573</c:v>
                </c:pt>
                <c:pt idx="4">
                  <c:v>8.8825299076383573</c:v>
                </c:pt>
                <c:pt idx="5">
                  <c:v>7.8825299076383573</c:v>
                </c:pt>
                <c:pt idx="6">
                  <c:v>6.8825299076383573</c:v>
                </c:pt>
                <c:pt idx="7">
                  <c:v>5.8825299076383573</c:v>
                </c:pt>
                <c:pt idx="8">
                  <c:v>4.8825299076383573</c:v>
                </c:pt>
                <c:pt idx="9">
                  <c:v>3.8825299076383573</c:v>
                </c:pt>
                <c:pt idx="10">
                  <c:v>2.8825299076383573</c:v>
                </c:pt>
                <c:pt idx="11">
                  <c:v>1.8825299076383573</c:v>
                </c:pt>
                <c:pt idx="12">
                  <c:v>0.88252990763835726</c:v>
                </c:pt>
                <c:pt idx="13">
                  <c:v>0.11684719400344393</c:v>
                </c:pt>
                <c:pt idx="14">
                  <c:v>1.063855271434591</c:v>
                </c:pt>
                <c:pt idx="15">
                  <c:v>1.9339285991683326</c:v>
                </c:pt>
                <c:pt idx="16">
                  <c:v>2.737360208371971</c:v>
                </c:pt>
                <c:pt idx="17">
                  <c:v>3.4827404545299654</c:v>
                </c:pt>
                <c:pt idx="18">
                  <c:v>4.177325153557792</c:v>
                </c:pt>
                <c:pt idx="19">
                  <c:v>4.8273105619364376</c:v>
                </c:pt>
                <c:pt idx="20">
                  <c:v>5.4380422725338278</c:v>
                </c:pt>
                <c:pt idx="21">
                  <c:v>6.0141763599260933</c:v>
                </c:pt>
                <c:pt idx="22">
                  <c:v>6.5598054555096645</c:v>
                </c:pt>
                <c:pt idx="23">
                  <c:v>7.0785586907617279</c:v>
                </c:pt>
                <c:pt idx="24">
                  <c:v>7.5736819194365239</c:v>
                </c:pt>
                <c:pt idx="25">
                  <c:v>8.048102890757157</c:v>
                </c:pt>
                <c:pt idx="26">
                  <c:v>8.5044848298672804</c:v>
                </c:pt>
                <c:pt idx="27">
                  <c:v>8.945271019181579</c:v>
                </c:pt>
                <c:pt idx="28">
                  <c:v>9.3727223543508948</c:v>
                </c:pt>
                <c:pt idx="29">
                  <c:v>9.7889493981697449</c:v>
                </c:pt>
                <c:pt idx="30">
                  <c:v>10.19594012570121</c:v>
                </c:pt>
                <c:pt idx="31">
                  <c:v>10.595584310636038</c:v>
                </c:pt>
                <c:pt idx="32">
                  <c:v>10.989695323328256</c:v>
                </c:pt>
                <c:pt idx="33">
                  <c:v>11.380029979021089</c:v>
                </c:pt>
                <c:pt idx="34">
                  <c:v>11.768306979332998</c:v>
                </c:pt>
                <c:pt idx="35">
                  <c:v>12.156224423430153</c:v>
                </c:pt>
                <c:pt idx="36">
                  <c:v>12.545476822296557</c:v>
                </c:pt>
                <c:pt idx="37">
                  <c:v>12.937772026892823</c:v>
                </c:pt>
                <c:pt idx="38">
                  <c:v>13.334848477101225</c:v>
                </c:pt>
                <c:pt idx="39">
                  <c:v>13.738493192899391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'New_removed_rate - bSIR'!$B$6</c:f>
              <c:strCache>
                <c:ptCount val="1"/>
                <c:pt idx="0">
                  <c:v>5-Jun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157</c:v>
                </c:pt>
                <c:pt idx="1">
                  <c:v>157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halving time - basic SIR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bSIR'!$X$62:$X$184</c:f>
              <c:numCache>
                <c:formatCode>General</c:formatCode>
                <c:ptCount val="123"/>
                <c:pt idx="0">
                  <c:v>149.93552598023632</c:v>
                </c:pt>
                <c:pt idx="1">
                  <c:v>147.96947452605065</c:v>
                </c:pt>
                <c:pt idx="2">
                  <c:v>146.00521042722931</c:v>
                </c:pt>
                <c:pt idx="3">
                  <c:v>144.04282917448654</c:v>
                </c:pt>
                <c:pt idx="4">
                  <c:v>142.08243149083302</c:v>
                </c:pt>
                <c:pt idx="5">
                  <c:v>140.12412362930235</c:v>
                </c:pt>
                <c:pt idx="6">
                  <c:v>138.16801768832045</c:v>
                </c:pt>
                <c:pt idx="7">
                  <c:v>136.21423194576238</c:v>
                </c:pt>
                <c:pt idx="8">
                  <c:v>134.26289121279268</c:v>
                </c:pt>
                <c:pt idx="9">
                  <c:v>132.31412720863275</c:v>
                </c:pt>
                <c:pt idx="10">
                  <c:v>130.36807895744857</c:v>
                </c:pt>
                <c:pt idx="11">
                  <c:v>128.42489320859428</c:v>
                </c:pt>
                <c:pt idx="12">
                  <c:v>126.48472488148872</c:v>
                </c:pt>
                <c:pt idx="13">
                  <c:v>124.54773753643535</c:v>
                </c:pt>
                <c:pt idx="14">
                  <c:v>122.61410387272171</c:v>
                </c:pt>
                <c:pt idx="15">
                  <c:v>120.68400625534917</c:v>
                </c:pt>
                <c:pt idx="16">
                  <c:v>118.75763727174457</c:v>
                </c:pt>
                <c:pt idx="17">
                  <c:v>116.83520031978843</c:v>
                </c:pt>
                <c:pt idx="18">
                  <c:v>114.91691022845548</c:v>
                </c:pt>
                <c:pt idx="19">
                  <c:v>113.00299391229642</c:v>
                </c:pt>
                <c:pt idx="20">
                  <c:v>111.09369106089002</c:v>
                </c:pt>
                <c:pt idx="21">
                  <c:v>109.18925486425437</c:v>
                </c:pt>
                <c:pt idx="22">
                  <c:v>107.28995277501502</c:v>
                </c:pt>
                <c:pt idx="23">
                  <c:v>105.39606730787931</c:v>
                </c:pt>
                <c:pt idx="24">
                  <c:v>103.50789687664557</c:v>
                </c:pt>
                <c:pt idx="25">
                  <c:v>101.62575666857299</c:v>
                </c:pt>
                <c:pt idx="26">
                  <c:v>99.74997955543509</c:v>
                </c:pt>
                <c:pt idx="27">
                  <c:v>97.880917039962753</c:v>
                </c:pt>
                <c:pt idx="28">
                  <c:v>96.018940235630296</c:v>
                </c:pt>
                <c:pt idx="29">
                  <c:v>94.164440876831137</c:v>
                </c:pt>
                <c:pt idx="30">
                  <c:v>92.317832355404249</c:v>
                </c:pt>
                <c:pt idx="31">
                  <c:v>90.479550778184631</c:v>
                </c:pt>
                <c:pt idx="32">
                  <c:v>88.65005603873422</c:v>
                </c:pt>
                <c:pt idx="33">
                  <c:v>86.829832894637761</c:v>
                </c:pt>
                <c:pt idx="34">
                  <c:v>85.019392039694836</c:v>
                </c:pt>
                <c:pt idx="35">
                  <c:v>83.219271157978781</c:v>
                </c:pt>
                <c:pt idx="36">
                  <c:v>81.430035944046637</c:v>
                </c:pt>
                <c:pt idx="37">
                  <c:v>79.652281070552021</c:v>
                </c:pt>
                <c:pt idx="38">
                  <c:v>77.886631081134595</c:v>
                </c:pt>
                <c:pt idx="39">
                  <c:v>76.133741182735392</c:v>
                </c:pt>
                <c:pt idx="40">
                  <c:v>74.394297907446827</c:v>
                </c:pt>
                <c:pt idx="41">
                  <c:v>72.669019609694175</c:v>
                </c:pt>
                <c:pt idx="42">
                  <c:v>70.95865676004037</c:v>
                </c:pt>
                <c:pt idx="43">
                  <c:v>69.263991992324151</c:v>
                </c:pt>
                <c:pt idx="44">
                  <c:v>67.585839856341323</c:v>
                </c:pt>
                <c:pt idx="45">
                  <c:v>65.925046224072318</c:v>
                </c:pt>
                <c:pt idx="46">
                  <c:v>64.282487293819287</c:v>
                </c:pt>
                <c:pt idx="47">
                  <c:v>62.659068133871898</c:v>
                </c:pt>
                <c:pt idx="48">
                  <c:v>61.055720705873838</c:v>
                </c:pt>
                <c:pt idx="49">
                  <c:v>59.473401308366235</c:v>
                </c:pt>
                <c:pt idx="50">
                  <c:v>57.913087383541779</c:v>
                </c:pt>
                <c:pt idx="51">
                  <c:v>56.375773635585688</c:v>
                </c:pt>
                <c:pt idx="52">
                  <c:v>54.862467417626164</c:v>
                </c:pt>
                <c:pt idx="53">
                  <c:v>53.374183356737348</c:v>
                </c:pt>
                <c:pt idx="54">
                  <c:v>51.911937202992092</c:v>
                </c:pt>
                <c:pt idx="55">
                  <c:v>50.476738909429855</c:v>
                </c:pt>
                <c:pt idx="56">
                  <c:v>49.06958497491145</c:v>
                </c:pt>
                <c:pt idx="57">
                  <c:v>47.691450110778788</c:v>
                </c:pt>
                <c:pt idx="58">
                  <c:v>46.343278324224912</c:v>
                </c:pt>
                <c:pt idx="59">
                  <c:v>45.02597354508481</c:v>
                </c:pt>
                <c:pt idx="60">
                  <c:v>43.740389956711198</c:v>
                </c:pt>
                <c:pt idx="61">
                  <c:v>42.48732222365193</c:v>
                </c:pt>
                <c:pt idx="62">
                  <c:v>41.267495836653097</c:v>
                </c:pt>
                <c:pt idx="63">
                  <c:v>40.081557816620773</c:v>
                </c:pt>
                <c:pt idx="64">
                  <c:v>38.930068031228402</c:v>
                </c:pt>
                <c:pt idx="65">
                  <c:v>37.813491378864342</c:v>
                </c:pt>
                <c:pt idx="66">
                  <c:v>36.73219108320562</c:v>
                </c:pt>
                <c:pt idx="67">
                  <c:v>35.686423317358262</c:v>
                </c:pt>
                <c:pt idx="68">
                  <c:v>34.676333339725247</c:v>
                </c:pt>
                <c:pt idx="69">
                  <c:v>33.701953276103239</c:v>
                </c:pt>
                <c:pt idx="70">
                  <c:v>32.763201626537835</c:v>
                </c:pt>
                <c:pt idx="71">
                  <c:v>31.859884514527536</c:v>
                </c:pt>
                <c:pt idx="72">
                  <c:v>30.991698634108147</c:v>
                </c:pt>
                <c:pt idx="73">
                  <c:v>30.158235791119168</c:v>
                </c:pt>
                <c:pt idx="74">
                  <c:v>29.358988882225532</c:v>
                </c:pt>
                <c:pt idx="75">
                  <c:v>28.593359112083178</c:v>
                </c:pt>
                <c:pt idx="76">
                  <c:v>27.860664217535501</c:v>
                </c:pt>
                <c:pt idx="77">
                  <c:v>27.160147449011248</c:v>
                </c:pt>
                <c:pt idx="78">
                  <c:v>26.490987053404965</c:v>
                </c:pt>
                <c:pt idx="79">
                  <c:v>25.85230600874452</c:v>
                </c:pt>
                <c:pt idx="80">
                  <c:v>25.243181777215213</c:v>
                </c:pt>
                <c:pt idx="81">
                  <c:v>24.662655867433926</c:v>
                </c:pt>
                <c:pt idx="82">
                  <c:v>24.109743026819473</c:v>
                </c:pt>
                <c:pt idx="83">
                  <c:v>23.583439918059725</c:v>
                </c:pt>
                <c:pt idx="84">
                  <c:v>23.082733167795581</c:v>
                </c:pt>
                <c:pt idx="85">
                  <c:v>22.606606708836068</c:v>
                </c:pt>
                <c:pt idx="86">
                  <c:v>22.154048368008347</c:v>
                </c:pt>
                <c:pt idx="87">
                  <c:v>21.724055679094633</c:v>
                </c:pt>
                <c:pt idx="88">
                  <c:v>21.315640923601137</c:v>
                </c:pt>
                <c:pt idx="89">
                  <c:v>20.927835421086201</c:v>
                </c:pt>
                <c:pt idx="90">
                  <c:v>20.559693105497942</c:v>
                </c:pt>
                <c:pt idx="91">
                  <c:v>20.210293434697576</c:v>
                </c:pt>
                <c:pt idx="92">
                  <c:v>19.878743687492644</c:v>
                </c:pt>
                <c:pt idx="93">
                  <c:v>19.564180706568848</c:v>
                </c:pt>
                <c:pt idx="94">
                  <c:v>19.265772147224183</c:v>
                </c:pt>
                <c:pt idx="95">
                  <c:v>18.982717291290101</c:v>
                </c:pt>
                <c:pt idx="96">
                  <c:v>18.714247483561735</c:v>
                </c:pt>
                <c:pt idx="97">
                  <c:v>18.459626244880297</c:v>
                </c:pt>
                <c:pt idx="98">
                  <c:v>18.218149112085769</c:v>
                </c:pt>
                <c:pt idx="99">
                  <c:v>17.989143250695946</c:v>
                </c:pt>
                <c:pt idx="100">
                  <c:v>17.771966881607938</c:v>
                </c:pt>
                <c:pt idx="101">
                  <c:v>17.56600855855325</c:v>
                </c:pt>
                <c:pt idx="102">
                  <c:v>17.370686328605444</c:v>
                </c:pt>
                <c:pt idx="103">
                  <c:v>17.185446803836811</c:v>
                </c:pt>
                <c:pt idx="104">
                  <c:v>17.009764168314291</c:v>
                </c:pt>
                <c:pt idx="105">
                  <c:v>16.843139141047871</c:v>
                </c:pt>
                <c:pt idx="106">
                  <c:v>16.685097912278565</c:v>
                </c:pt>
                <c:pt idx="107">
                  <c:v>16.535191067611123</c:v>
                </c:pt>
                <c:pt idx="108">
                  <c:v>16.392992511955313</c:v>
                </c:pt>
                <c:pt idx="109">
                  <c:v>16.258098403014927</c:v>
                </c:pt>
                <c:pt idx="110">
                  <c:v>16.130126102136231</c:v>
                </c:pt>
                <c:pt idx="111">
                  <c:v>16.008713148669699</c:v>
                </c:pt>
                <c:pt idx="112">
                  <c:v>15.893516262585365</c:v>
                </c:pt>
                <c:pt idx="113">
                  <c:v>15.784210378884566</c:v>
                </c:pt>
                <c:pt idx="114">
                  <c:v>15.680487716347102</c:v>
                </c:pt>
                <c:pt idx="115">
                  <c:v>15.582056882314674</c:v>
                </c:pt>
                <c:pt idx="116">
                  <c:v>15.488642014521048</c:v>
                </c:pt>
                <c:pt idx="117">
                  <c:v>15.399981960414465</c:v>
                </c:pt>
                <c:pt idx="118">
                  <c:v>15.315829493959768</c:v>
                </c:pt>
                <c:pt idx="119">
                  <c:v>15.235950569542396</c:v>
                </c:pt>
                <c:pt idx="120">
                  <c:v>15.160123612309562</c:v>
                </c:pt>
                <c:pt idx="121">
                  <c:v>15.088138844060353</c:v>
                </c:pt>
                <c:pt idx="122">
                  <c:v>15.019797643629985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'New_removed_rate - bSIR'!$AV$7</c:f>
              <c:strCache>
                <c:ptCount val="1"/>
                <c:pt idx="0">
                  <c:v>sel. region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bSIR'!$AV$63:$AV$184</c:f>
              <c:numCache>
                <c:formatCode>General</c:formatCode>
                <c:ptCount val="122"/>
                <c:pt idx="0">
                  <c:v>168.2034720602793</c:v>
                </c:pt>
                <c:pt idx="1">
                  <c:v>166.25460470644731</c:v>
                </c:pt>
                <c:pt idx="2">
                  <c:v>164.30788710962685</c:v>
                </c:pt>
                <c:pt idx="3">
                  <c:v>162.36341137921383</c:v>
                </c:pt>
                <c:pt idx="4">
                  <c:v>160.42127368896928</c:v>
                </c:pt>
                <c:pt idx="5">
                  <c:v>158.48157446269704</c:v>
                </c:pt>
                <c:pt idx="6">
                  <c:v>156.54441856848425</c:v>
                </c:pt>
                <c:pt idx="7">
                  <c:v>154.60991552185109</c:v>
                </c:pt>
                <c:pt idx="8">
                  <c:v>152.67817969815789</c:v>
                </c:pt>
                <c:pt idx="9">
                  <c:v>150.74933055461719</c:v>
                </c:pt>
                <c:pt idx="10">
                  <c:v>148.82349286225707</c:v>
                </c:pt>
                <c:pt idx="11">
                  <c:v>146.9007969481747</c:v>
                </c:pt>
                <c:pt idx="12">
                  <c:v>144.98137894840923</c:v>
                </c:pt>
                <c:pt idx="13">
                  <c:v>143.06538107174785</c:v>
                </c:pt>
                <c:pt idx="14">
                  <c:v>141.15295187475914</c:v>
                </c:pt>
                <c:pt idx="15">
                  <c:v>139.24424654831978</c:v>
                </c:pt>
                <c:pt idx="16">
                  <c:v>137.33942721586544</c:v>
                </c:pt>
                <c:pt idx="17">
                  <c:v>135.43866324355474</c:v>
                </c:pt>
                <c:pt idx="18">
                  <c:v>133.54213156247897</c:v>
                </c:pt>
                <c:pt idx="19">
                  <c:v>131.65001700298694</c:v>
                </c:pt>
                <c:pt idx="20">
                  <c:v>129.76251264111244</c:v>
                </c:pt>
                <c:pt idx="21">
                  <c:v>127.87982015700001</c:v>
                </c:pt>
                <c:pt idx="22">
                  <c:v>126.00215020511077</c:v>
                </c:pt>
                <c:pt idx="23">
                  <c:v>124.12972279585892</c:v>
                </c:pt>
                <c:pt idx="24">
                  <c:v>122.26276768817529</c:v>
                </c:pt>
                <c:pt idx="25">
                  <c:v>120.40152479231567</c:v>
                </c:pt>
                <c:pt idx="26">
                  <c:v>118.54624458202338</c:v>
                </c:pt>
                <c:pt idx="27">
                  <c:v>116.69718851491868</c:v>
                </c:pt>
                <c:pt idx="28">
                  <c:v>114.85462945971372</c:v>
                </c:pt>
                <c:pt idx="29">
                  <c:v>113.01885212854232</c:v>
                </c:pt>
                <c:pt idx="30">
                  <c:v>111.19015351234094</c:v>
                </c:pt>
                <c:pt idx="31">
                  <c:v>109.36884331682204</c:v>
                </c:pt>
                <c:pt idx="32">
                  <c:v>107.55524439613455</c:v>
                </c:pt>
                <c:pt idx="33">
                  <c:v>105.74969318081155</c:v>
                </c:pt>
                <c:pt idx="34">
                  <c:v>103.95254009605432</c:v>
                </c:pt>
                <c:pt idx="35">
                  <c:v>102.16414996579603</c:v>
                </c:pt>
                <c:pt idx="36">
                  <c:v>100.38490239732472</c:v>
                </c:pt>
                <c:pt idx="37">
                  <c:v>98.615192140524684</c:v>
                </c:pt>
                <c:pt idx="38">
                  <c:v>96.855429415018421</c:v>
                </c:pt>
                <c:pt idx="39">
                  <c:v>95.106040197663404</c:v>
                </c:pt>
                <c:pt idx="40">
                  <c:v>93.367466461982104</c:v>
                </c:pt>
                <c:pt idx="41">
                  <c:v>91.640166360192651</c:v>
                </c:pt>
                <c:pt idx="42">
                  <c:v>89.924614337570503</c:v>
                </c:pt>
                <c:pt idx="43">
                  <c:v>88.221301167928274</c:v>
                </c:pt>
                <c:pt idx="44">
                  <c:v>86.530733898070011</c:v>
                </c:pt>
                <c:pt idx="45">
                  <c:v>84.853435688189123</c:v>
                </c:pt>
                <c:pt idx="46">
                  <c:v>83.189945534364867</c:v>
                </c:pt>
                <c:pt idx="47">
                  <c:v>81.540817858613735</c:v>
                </c:pt>
                <c:pt idx="48">
                  <c:v>79.906621951413882</c:v>
                </c:pt>
                <c:pt idx="49">
                  <c:v>78.28794125129734</c:v>
                </c:pt>
                <c:pt idx="50">
                  <c:v>76.685372446053805</c:v>
                </c:pt>
                <c:pt idx="51">
                  <c:v>75.09952438037908</c:v>
                </c:pt>
                <c:pt idx="52">
                  <c:v>73.531016755494576</c:v>
                </c:pt>
                <c:pt idx="53">
                  <c:v>71.980478607436481</c:v>
                </c:pt>
                <c:pt idx="54">
                  <c:v>70.448546552428638</c:v>
                </c:pt>
                <c:pt idx="55">
                  <c:v>68.935862790078886</c:v>
                </c:pt>
                <c:pt idx="56">
                  <c:v>67.443072858122108</c:v>
                </c:pt>
                <c:pt idx="57">
                  <c:v>65.970823136117659</c:v>
                </c:pt>
                <c:pt idx="58">
                  <c:v>64.519758099904323</c:v>
                </c:pt>
                <c:pt idx="59">
                  <c:v>63.090517333712242</c:v>
                </c:pt>
                <c:pt idx="60">
                  <c:v>61.683732312580887</c:v>
                </c:pt>
                <c:pt idx="61">
                  <c:v>60.300022974044296</c:v>
                </c:pt>
                <c:pt idx="62">
                  <c:v>58.939994104792447</c:v>
                </c:pt>
                <c:pt idx="63">
                  <c:v>57.604231575016797</c:v>
                </c:pt>
                <c:pt idx="64">
                  <c:v>56.293298460177837</c:v>
                </c:pt>
                <c:pt idx="65">
                  <c:v>55.007731096726289</c:v>
                </c:pt>
                <c:pt idx="66">
                  <c:v>53.748035124566215</c:v>
                </c:pt>
                <c:pt idx="67">
                  <c:v>52.514681574450279</c:v>
                </c:pt>
                <c:pt idx="68">
                  <c:v>51.308103062717251</c:v>
                </c:pt>
                <c:pt idx="69">
                  <c:v>50.128690158515354</c:v>
                </c:pt>
                <c:pt idx="70">
                  <c:v>48.97678798962248</c:v>
                </c:pt>
                <c:pt idx="71">
                  <c:v>47.852693151973597</c:v>
                </c:pt>
                <c:pt idx="72">
                  <c:v>46.756650984897533</c:v>
                </c:pt>
                <c:pt idx="73">
                  <c:v>45.688853268820466</c:v>
                </c:pt>
                <c:pt idx="74">
                  <c:v>44.649436394888895</c:v>
                </c:pt>
                <c:pt idx="75">
                  <c:v>43.638480046785887</c:v>
                </c:pt>
                <c:pt idx="76">
                  <c:v>42.656006424264802</c:v>
                </c:pt>
                <c:pt idx="77">
                  <c:v>41.701980025992043</c:v>
                </c:pt>
                <c:pt idx="78">
                  <c:v>40.776307996645457</c:v>
                </c:pt>
                <c:pt idx="79">
                  <c:v>39.878841030367667</c:v>
                </c:pt>
                <c:pt idx="80">
                  <c:v>39.009374810148216</c:v>
                </c:pt>
                <c:pt idx="81">
                  <c:v>38.167651951010228</c:v>
                </c:pt>
                <c:pt idx="82">
                  <c:v>37.353364404457849</c:v>
                </c:pt>
                <c:pt idx="83">
                  <c:v>36.566156272872007</c:v>
                </c:pt>
                <c:pt idx="84">
                  <c:v>35.805626975699127</c:v>
                </c:pt>
                <c:pt idx="85">
                  <c:v>35.07133470452348</c:v>
                </c:pt>
                <c:pt idx="86">
                  <c:v>34.362800101499531</c:v>
                </c:pt>
                <c:pt idx="87">
                  <c:v>33.679510095086044</c:v>
                </c:pt>
                <c:pt idx="88">
                  <c:v>33.02092182842371</c:v>
                </c:pt>
                <c:pt idx="89">
                  <c:v>32.38646661879703</c:v>
                </c:pt>
                <c:pt idx="90">
                  <c:v>31.775553891144128</c:v>
                </c:pt>
                <c:pt idx="91">
                  <c:v>31.187575034205224</c:v>
                </c:pt>
                <c:pt idx="92">
                  <c:v>30.621907134309325</c:v>
                </c:pt>
                <c:pt idx="93">
                  <c:v>30.077916548672803</c:v>
                </c:pt>
                <c:pt idx="94">
                  <c:v>29.554962287127182</c:v>
                </c:pt>
                <c:pt idx="95">
                  <c:v>29.052399178154829</c:v>
                </c:pt>
                <c:pt idx="96">
                  <c:v>28.569580801770726</c:v>
                </c:pt>
                <c:pt idx="97">
                  <c:v>28.105862177982004</c:v>
                </c:pt>
                <c:pt idx="98">
                  <c:v>27.660602205161695</c:v>
                </c:pt>
                <c:pt idx="99">
                  <c:v>27.233165847611076</c:v>
                </c:pt>
                <c:pt idx="100">
                  <c:v>26.822926075815502</c:v>
                </c:pt>
                <c:pt idx="101">
                  <c:v>26.429265566419971</c:v>
                </c:pt>
                <c:pt idx="102">
                  <c:v>26.051578171778203</c:v>
                </c:pt>
                <c:pt idx="103">
                  <c:v>25.689270171108831</c:v>
                </c:pt>
                <c:pt idx="104">
                  <c:v>25.34176131687606</c:v>
                </c:pt>
                <c:pt idx="105">
                  <c:v>25.008485691068429</c:v>
                </c:pt>
                <c:pt idx="106">
                  <c:v>24.688892386642749</c:v>
                </c:pt>
                <c:pt idx="107">
                  <c:v>24.382446029605575</c:v>
                </c:pt>
                <c:pt idx="108">
                  <c:v>24.088627157084062</c:v>
                </c:pt>
                <c:pt idx="109">
                  <c:v>23.806932466361971</c:v>
                </c:pt>
                <c:pt idx="110">
                  <c:v>23.53687494927496</c:v>
                </c:pt>
                <c:pt idx="111">
                  <c:v>23.27798392563119</c:v>
                </c:pt>
                <c:pt idx="112">
                  <c:v>23.029804988489232</c:v>
                </c:pt>
                <c:pt idx="113">
                  <c:v>22.791899873223784</c:v>
                </c:pt>
                <c:pt idx="114">
                  <c:v>22.56384626137617</c:v>
                </c:pt>
                <c:pt idx="115">
                  <c:v>22.345237529340224</c:v>
                </c:pt>
                <c:pt idx="116">
                  <c:v>22.135682451004826</c:v>
                </c:pt>
                <c:pt idx="117">
                  <c:v>21.934804862567447</c:v>
                </c:pt>
                <c:pt idx="118">
                  <c:v>21.742243296870413</c:v>
                </c:pt>
                <c:pt idx="119">
                  <c:v>21.557650593792673</c:v>
                </c:pt>
                <c:pt idx="120">
                  <c:v>21.38069349246733</c:v>
                </c:pt>
                <c:pt idx="121">
                  <c:v>21.211052210386782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'New_removed_rate - bSIR'!$BQ$7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bSIR'!$BQ$63:$BQ$184</c:f>
              <c:numCache>
                <c:formatCode>General</c:formatCode>
                <c:ptCount val="122"/>
                <c:pt idx="0">
                  <c:v>146.94496968997549</c:v>
                </c:pt>
                <c:pt idx="1">
                  <c:v>144.97953916079229</c:v>
                </c:pt>
                <c:pt idx="2">
                  <c:v>143.01595854526556</c:v>
                </c:pt>
                <c:pt idx="3">
                  <c:v>141.05432832006318</c:v>
                </c:pt>
                <c:pt idx="4">
                  <c:v>139.09475456051689</c:v>
                </c:pt>
                <c:pt idx="5">
                  <c:v>137.13734926463104</c:v>
                </c:pt>
                <c:pt idx="6">
                  <c:v>135.18223069660303</c:v>
                </c:pt>
                <c:pt idx="7">
                  <c:v>133.22952375102574</c:v>
                </c:pt>
                <c:pt idx="8">
                  <c:v>131.27936033899721</c:v>
                </c:pt>
                <c:pt idx="9">
                  <c:v>129.33187979741732</c:v>
                </c:pt>
                <c:pt idx="10">
                  <c:v>127.38722932280349</c:v>
                </c:pt>
                <c:pt idx="11">
                  <c:v>125.44556443100319</c:v>
                </c:pt>
                <c:pt idx="12">
                  <c:v>123.50704944422513</c:v>
                </c:pt>
                <c:pt idx="13">
                  <c:v>121.57185800684258</c:v>
                </c:pt>
                <c:pt idx="14">
                  <c:v>119.64017363144639</c:v>
                </c:pt>
                <c:pt idx="15">
                  <c:v>117.71219027663329</c:v>
                </c:pt>
                <c:pt idx="16">
                  <c:v>115.78811295800639</c:v>
                </c:pt>
                <c:pt idx="17">
                  <c:v>113.86815839383245</c:v>
                </c:pt>
                <c:pt idx="18">
                  <c:v>111.95255568674102</c:v>
                </c:pt>
                <c:pt idx="19">
                  <c:v>110.04154704275463</c:v>
                </c:pt>
                <c:pt idx="20">
                  <c:v>108.13538852880245</c:v>
                </c:pt>
                <c:pt idx="21">
                  <c:v>106.23435086967935</c:v>
                </c:pt>
                <c:pt idx="22">
                  <c:v>104.33872028516048</c:v>
                </c:pt>
                <c:pt idx="23">
                  <c:v>102.44879936765385</c:v>
                </c:pt>
                <c:pt idx="24">
                  <c:v>100.56490800035691</c:v>
                </c:pt>
                <c:pt idx="25">
                  <c:v>98.687384315359679</c:v>
                </c:pt>
                <c:pt idx="26">
                  <c:v>96.816585690490584</c:v>
                </c:pt>
                <c:pt idx="27">
                  <c:v>94.952889782907846</c:v>
                </c:pt>
                <c:pt idx="28">
                  <c:v>93.096695596477574</c:v>
                </c:pt>
                <c:pt idx="29">
                  <c:v>91.248424578823531</c:v>
                </c:pt>
                <c:pt idx="30">
                  <c:v>89.408521742554441</c:v>
                </c:pt>
                <c:pt idx="31">
                  <c:v>87.577456803544166</c:v>
                </c:pt>
                <c:pt idx="32">
                  <c:v>85.75572532722677</c:v>
                </c:pt>
                <c:pt idx="33">
                  <c:v>83.943849871641746</c:v>
                </c:pt>
                <c:pt idx="34">
                  <c:v>82.142381113397079</c:v>
                </c:pt>
                <c:pt idx="35">
                  <c:v>80.351898939781989</c:v>
                </c:pt>
                <c:pt idx="36">
                  <c:v>78.573013486938905</c:v>
                </c:pt>
                <c:pt idx="37">
                  <c:v>76.806366100287192</c:v>
                </c:pt>
                <c:pt idx="38">
                  <c:v>75.052630189283477</c:v>
                </c:pt>
                <c:pt idx="39">
                  <c:v>73.31251194413106</c:v>
                </c:pt>
                <c:pt idx="40">
                  <c:v>71.586750877265885</c:v>
                </c:pt>
                <c:pt idx="41">
                  <c:v>69.876120147435344</c:v>
                </c:pt>
                <c:pt idx="42">
                  <c:v>68.181426619076689</c:v>
                </c:pt>
                <c:pt idx="43">
                  <c:v>66.503510604677771</c:v>
                </c:pt>
                <c:pt idx="44">
                  <c:v>64.843245233101584</c:v>
                </c:pt>
                <c:pt idx="45">
                  <c:v>63.201535382791732</c:v>
                </c:pt>
                <c:pt idx="46">
                  <c:v>61.579316115727224</c:v>
                </c:pt>
                <c:pt idx="47">
                  <c:v>59.977550546423942</c:v>
                </c:pt>
                <c:pt idx="48">
                  <c:v>58.397227080707367</c:v>
                </c:pt>
                <c:pt idx="49">
                  <c:v>56.839355961992524</c:v>
                </c:pt>
                <c:pt idx="50">
                  <c:v>55.304965069006812</c:v>
                </c:pt>
                <c:pt idx="51">
                  <c:v>53.795094918878888</c:v>
                </c:pt>
                <c:pt idx="52">
                  <c:v>52.31079284382335</c:v>
                </c:pt>
                <c:pt idx="53">
                  <c:v>50.853106328670549</c:v>
                </c:pt>
                <c:pt idx="54">
                  <c:v>49.423075520401397</c:v>
                </c:pt>
                <c:pt idx="55">
                  <c:v>48.02172494951725</c:v>
                </c:pt>
                <c:pt idx="56">
                  <c:v>46.650054535979237</c:v>
                </c:pt>
                <c:pt idx="57">
                  <c:v>45.309029988593124</c:v>
                </c:pt>
                <c:pt idx="58">
                  <c:v>43.999572744596321</c:v>
                </c:pt>
                <c:pt idx="59">
                  <c:v>42.722549633807617</c:v>
                </c:pt>
                <c:pt idx="60">
                  <c:v>41.478762486590185</c:v>
                </c:pt>
                <c:pt idx="61">
                  <c:v>40.268937934310728</c:v>
                </c:pt>
                <c:pt idx="62">
                  <c:v>39.09371767213257</c:v>
                </c:pt>
                <c:pt idx="63">
                  <c:v>37.953649464233109</c:v>
                </c:pt>
                <c:pt idx="64">
                  <c:v>36.849179168760145</c:v>
                </c:pt>
                <c:pt idx="65">
                  <c:v>35.780644042726252</c:v>
                </c:pt>
                <c:pt idx="66">
                  <c:v>34.748267555330713</c:v>
                </c:pt>
                <c:pt idx="67">
                  <c:v>33.752155892860699</c:v>
                </c:pt>
                <c:pt idx="68">
                  <c:v>32.792296281555878</c:v>
                </c:pt>
                <c:pt idx="69">
                  <c:v>31.868557189919258</c:v>
                </c:pt>
                <c:pt idx="70">
                  <c:v>30.980690403029541</c:v>
                </c:pt>
                <c:pt idx="71">
                  <c:v>30.12833489297077</c:v>
                </c:pt>
                <c:pt idx="72">
                  <c:v>29.311022346015363</c:v>
                </c:pt>
                <c:pt idx="73">
                  <c:v>28.528184152634253</c:v>
                </c:pt>
                <c:pt idx="74">
                  <c:v>27.779159623847832</c:v>
                </c:pt>
                <c:pt idx="75">
                  <c:v>27.063205168812019</c:v>
                </c:pt>
                <c:pt idx="76">
                  <c:v>26.379504154551924</c:v>
                </c:pt>
                <c:pt idx="77">
                  <c:v>25.727177168915887</c:v>
                </c:pt>
                <c:pt idx="78">
                  <c:v>25.105292420612344</c:v>
                </c:pt>
                <c:pt idx="79">
                  <c:v>24.512876033354331</c:v>
                </c:pt>
                <c:pt idx="80">
                  <c:v>23.948922021976884</c:v>
                </c:pt>
                <c:pt idx="81">
                  <c:v>23.412401774087186</c:v>
                </c:pt>
                <c:pt idx="82">
                  <c:v>22.902272898664293</c:v>
                </c:pt>
                <c:pt idx="83">
                  <c:v>22.417487340684559</c:v>
                </c:pt>
                <c:pt idx="84">
                  <c:v>21.956998696406032</c:v>
                </c:pt>
                <c:pt idx="85">
                  <c:v>21.519768696008811</c:v>
                </c:pt>
                <c:pt idx="86">
                  <c:v>21.104772847967183</c:v>
                </c:pt>
                <c:pt idx="87">
                  <c:v>20.711005262391495</c:v>
                </c:pt>
                <c:pt idx="88">
                  <c:v>20.337482688562758</c:v>
                </c:pt>
                <c:pt idx="89">
                  <c:v>19.983247815224843</c:v>
                </c:pt>
                <c:pt idx="90">
                  <c:v>19.647371891326543</c:v>
                </c:pt>
                <c:pt idx="91">
                  <c:v>19.32895673037136</c:v>
                </c:pt>
                <c:pt idx="92">
                  <c:v>19.027136163937911</c:v>
                </c:pt>
                <c:pt idx="93">
                  <c:v>18.741077009887789</c:v>
                </c:pt>
                <c:pt idx="94">
                  <c:v>18.469979618845201</c:v>
                </c:pt>
                <c:pt idx="95">
                  <c:v>18.213078059232586</c:v>
                </c:pt>
                <c:pt idx="96">
                  <c:v>17.969639996913855</c:v>
                </c:pt>
                <c:pt idx="97">
                  <c:v>17.738966320704563</c:v>
                </c:pt>
                <c:pt idx="98">
                  <c:v>17.520390559946506</c:v>
                </c:pt>
                <c:pt idx="99">
                  <c:v>17.313278135242967</c:v>
                </c:pt>
                <c:pt idx="100">
                  <c:v>17.117025478479022</c:v>
                </c:pt>
                <c:pt idx="101">
                  <c:v>16.931059053526852</c:v>
                </c:pt>
                <c:pt idx="102">
                  <c:v>16.754834304639317</c:v>
                </c:pt>
                <c:pt idx="103">
                  <c:v>16.587834555508451</c:v>
                </c:pt>
                <c:pt idx="104">
                  <c:v>16.429569878334831</c:v>
                </c:pt>
                <c:pt idx="105">
                  <c:v>16.27957594901352</c:v>
                </c:pt>
                <c:pt idx="106">
                  <c:v>16.137412901689842</c:v>
                </c:pt>
                <c:pt idx="107">
                  <c:v>16.002664193443096</c:v>
                </c:pt>
                <c:pt idx="108">
                  <c:v>15.874935487701833</c:v>
                </c:pt>
                <c:pt idx="109">
                  <c:v>15.753853563142314</c:v>
                </c:pt>
                <c:pt idx="110">
                  <c:v>15.639065253249171</c:v>
                </c:pt>
                <c:pt idx="111">
                  <c:v>15.530236420387041</c:v>
                </c:pt>
                <c:pt idx="112">
                  <c:v>15.42705096712092</c:v>
                </c:pt>
                <c:pt idx="113">
                  <c:v>15.329209886598505</c:v>
                </c:pt>
                <c:pt idx="114">
                  <c:v>15.236430353048931</c:v>
                </c:pt>
                <c:pt idx="115">
                  <c:v>15.14844485283254</c:v>
                </c:pt>
                <c:pt idx="116">
                  <c:v>15.065000355978512</c:v>
                </c:pt>
                <c:pt idx="117">
                  <c:v>14.985857527750923</c:v>
                </c:pt>
                <c:pt idx="118">
                  <c:v>14.910789979472682</c:v>
                </c:pt>
                <c:pt idx="119">
                  <c:v>14.839583557599838</c:v>
                </c:pt>
                <c:pt idx="120">
                  <c:v>14.772035669860941</c:v>
                </c:pt>
                <c:pt idx="121">
                  <c:v>14.70795464714783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'New_removed_rate - bSIR'!$B$6</c:f>
              <c:strCache>
                <c:ptCount val="1"/>
                <c:pt idx="0">
                  <c:v>5-Jun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157</c:v>
                </c:pt>
                <c:pt idx="1">
                  <c:v>157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halving time - basic SIR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bSIR'!$X$62:$X$184</c:f>
              <c:numCache>
                <c:formatCode>General</c:formatCode>
                <c:ptCount val="123"/>
                <c:pt idx="0">
                  <c:v>149.93552598023632</c:v>
                </c:pt>
                <c:pt idx="1">
                  <c:v>147.96947452605065</c:v>
                </c:pt>
                <c:pt idx="2">
                  <c:v>146.00521042722931</c:v>
                </c:pt>
                <c:pt idx="3">
                  <c:v>144.04282917448654</c:v>
                </c:pt>
                <c:pt idx="4">
                  <c:v>142.08243149083302</c:v>
                </c:pt>
                <c:pt idx="5">
                  <c:v>140.12412362930235</c:v>
                </c:pt>
                <c:pt idx="6">
                  <c:v>138.16801768832045</c:v>
                </c:pt>
                <c:pt idx="7">
                  <c:v>136.21423194576238</c:v>
                </c:pt>
                <c:pt idx="8">
                  <c:v>134.26289121279268</c:v>
                </c:pt>
                <c:pt idx="9">
                  <c:v>132.31412720863275</c:v>
                </c:pt>
                <c:pt idx="10">
                  <c:v>130.36807895744857</c:v>
                </c:pt>
                <c:pt idx="11">
                  <c:v>128.42489320859428</c:v>
                </c:pt>
                <c:pt idx="12">
                  <c:v>126.48472488148872</c:v>
                </c:pt>
                <c:pt idx="13">
                  <c:v>124.54773753643535</c:v>
                </c:pt>
                <c:pt idx="14">
                  <c:v>122.61410387272171</c:v>
                </c:pt>
                <c:pt idx="15">
                  <c:v>120.68400625534917</c:v>
                </c:pt>
                <c:pt idx="16">
                  <c:v>118.75763727174457</c:v>
                </c:pt>
                <c:pt idx="17">
                  <c:v>116.83520031978843</c:v>
                </c:pt>
                <c:pt idx="18">
                  <c:v>114.91691022845548</c:v>
                </c:pt>
                <c:pt idx="19">
                  <c:v>113.00299391229642</c:v>
                </c:pt>
                <c:pt idx="20">
                  <c:v>111.09369106089002</c:v>
                </c:pt>
                <c:pt idx="21">
                  <c:v>109.18925486425437</c:v>
                </c:pt>
                <c:pt idx="22">
                  <c:v>107.28995277501502</c:v>
                </c:pt>
                <c:pt idx="23">
                  <c:v>105.39606730787931</c:v>
                </c:pt>
                <c:pt idx="24">
                  <c:v>103.50789687664557</c:v>
                </c:pt>
                <c:pt idx="25">
                  <c:v>101.62575666857299</c:v>
                </c:pt>
                <c:pt idx="26">
                  <c:v>99.74997955543509</c:v>
                </c:pt>
                <c:pt idx="27">
                  <c:v>97.880917039962753</c:v>
                </c:pt>
                <c:pt idx="28">
                  <c:v>96.018940235630296</c:v>
                </c:pt>
                <c:pt idx="29">
                  <c:v>94.164440876831137</c:v>
                </c:pt>
                <c:pt idx="30">
                  <c:v>92.317832355404249</c:v>
                </c:pt>
                <c:pt idx="31">
                  <c:v>90.479550778184631</c:v>
                </c:pt>
                <c:pt idx="32">
                  <c:v>88.65005603873422</c:v>
                </c:pt>
                <c:pt idx="33">
                  <c:v>86.829832894637761</c:v>
                </c:pt>
                <c:pt idx="34">
                  <c:v>85.019392039694836</c:v>
                </c:pt>
                <c:pt idx="35">
                  <c:v>83.219271157978781</c:v>
                </c:pt>
                <c:pt idx="36">
                  <c:v>81.430035944046637</c:v>
                </c:pt>
                <c:pt idx="37">
                  <c:v>79.652281070552021</c:v>
                </c:pt>
                <c:pt idx="38">
                  <c:v>77.886631081134595</c:v>
                </c:pt>
                <c:pt idx="39">
                  <c:v>76.133741182735392</c:v>
                </c:pt>
                <c:pt idx="40">
                  <c:v>74.394297907446827</c:v>
                </c:pt>
                <c:pt idx="41">
                  <c:v>72.669019609694175</c:v>
                </c:pt>
                <c:pt idx="42">
                  <c:v>70.95865676004037</c:v>
                </c:pt>
                <c:pt idx="43">
                  <c:v>69.263991992324151</c:v>
                </c:pt>
                <c:pt idx="44">
                  <c:v>67.585839856341323</c:v>
                </c:pt>
                <c:pt idx="45">
                  <c:v>65.925046224072318</c:v>
                </c:pt>
                <c:pt idx="46">
                  <c:v>64.282487293819287</c:v>
                </c:pt>
                <c:pt idx="47">
                  <c:v>62.659068133871898</c:v>
                </c:pt>
                <c:pt idx="48">
                  <c:v>61.055720705873838</c:v>
                </c:pt>
                <c:pt idx="49">
                  <c:v>59.473401308366235</c:v>
                </c:pt>
                <c:pt idx="50">
                  <c:v>57.913087383541779</c:v>
                </c:pt>
                <c:pt idx="51">
                  <c:v>56.375773635585688</c:v>
                </c:pt>
                <c:pt idx="52">
                  <c:v>54.862467417626164</c:v>
                </c:pt>
                <c:pt idx="53">
                  <c:v>53.374183356737348</c:v>
                </c:pt>
                <c:pt idx="54">
                  <c:v>51.911937202992092</c:v>
                </c:pt>
                <c:pt idx="55">
                  <c:v>50.476738909429855</c:v>
                </c:pt>
                <c:pt idx="56">
                  <c:v>49.06958497491145</c:v>
                </c:pt>
                <c:pt idx="57">
                  <c:v>47.691450110778788</c:v>
                </c:pt>
                <c:pt idx="58">
                  <c:v>46.343278324224912</c:v>
                </c:pt>
                <c:pt idx="59">
                  <c:v>45.02597354508481</c:v>
                </c:pt>
                <c:pt idx="60">
                  <c:v>43.740389956711198</c:v>
                </c:pt>
                <c:pt idx="61">
                  <c:v>42.48732222365193</c:v>
                </c:pt>
                <c:pt idx="62">
                  <c:v>41.267495836653097</c:v>
                </c:pt>
                <c:pt idx="63">
                  <c:v>40.081557816620773</c:v>
                </c:pt>
                <c:pt idx="64">
                  <c:v>38.930068031228402</c:v>
                </c:pt>
                <c:pt idx="65">
                  <c:v>37.813491378864342</c:v>
                </c:pt>
                <c:pt idx="66">
                  <c:v>36.73219108320562</c:v>
                </c:pt>
                <c:pt idx="67">
                  <c:v>35.686423317358262</c:v>
                </c:pt>
                <c:pt idx="68">
                  <c:v>34.676333339725247</c:v>
                </c:pt>
                <c:pt idx="69">
                  <c:v>33.701953276103239</c:v>
                </c:pt>
                <c:pt idx="70">
                  <c:v>32.763201626537835</c:v>
                </c:pt>
                <c:pt idx="71">
                  <c:v>31.859884514527536</c:v>
                </c:pt>
                <c:pt idx="72">
                  <c:v>30.991698634108147</c:v>
                </c:pt>
                <c:pt idx="73">
                  <c:v>30.158235791119168</c:v>
                </c:pt>
                <c:pt idx="74">
                  <c:v>29.358988882225532</c:v>
                </c:pt>
                <c:pt idx="75">
                  <c:v>28.593359112083178</c:v>
                </c:pt>
                <c:pt idx="76">
                  <c:v>27.860664217535501</c:v>
                </c:pt>
                <c:pt idx="77">
                  <c:v>27.160147449011248</c:v>
                </c:pt>
                <c:pt idx="78">
                  <c:v>26.490987053404965</c:v>
                </c:pt>
                <c:pt idx="79">
                  <c:v>25.85230600874452</c:v>
                </c:pt>
                <c:pt idx="80">
                  <c:v>25.243181777215213</c:v>
                </c:pt>
                <c:pt idx="81">
                  <c:v>24.662655867433926</c:v>
                </c:pt>
                <c:pt idx="82">
                  <c:v>24.109743026819473</c:v>
                </c:pt>
                <c:pt idx="83">
                  <c:v>23.583439918059725</c:v>
                </c:pt>
                <c:pt idx="84">
                  <c:v>23.082733167795581</c:v>
                </c:pt>
                <c:pt idx="85">
                  <c:v>22.606606708836068</c:v>
                </c:pt>
                <c:pt idx="86">
                  <c:v>22.154048368008347</c:v>
                </c:pt>
                <c:pt idx="87">
                  <c:v>21.724055679094633</c:v>
                </c:pt>
                <c:pt idx="88">
                  <c:v>21.315640923601137</c:v>
                </c:pt>
                <c:pt idx="89">
                  <c:v>20.927835421086201</c:v>
                </c:pt>
                <c:pt idx="90">
                  <c:v>20.559693105497942</c:v>
                </c:pt>
                <c:pt idx="91">
                  <c:v>20.210293434697576</c:v>
                </c:pt>
                <c:pt idx="92">
                  <c:v>19.878743687492644</c:v>
                </c:pt>
                <c:pt idx="93">
                  <c:v>19.564180706568848</c:v>
                </c:pt>
                <c:pt idx="94">
                  <c:v>19.265772147224183</c:v>
                </c:pt>
                <c:pt idx="95">
                  <c:v>18.982717291290101</c:v>
                </c:pt>
                <c:pt idx="96">
                  <c:v>18.714247483561735</c:v>
                </c:pt>
                <c:pt idx="97">
                  <c:v>18.459626244880297</c:v>
                </c:pt>
                <c:pt idx="98">
                  <c:v>18.218149112085769</c:v>
                </c:pt>
                <c:pt idx="99">
                  <c:v>17.989143250695946</c:v>
                </c:pt>
                <c:pt idx="100">
                  <c:v>17.771966881607938</c:v>
                </c:pt>
                <c:pt idx="101">
                  <c:v>17.56600855855325</c:v>
                </c:pt>
                <c:pt idx="102">
                  <c:v>17.370686328605444</c:v>
                </c:pt>
                <c:pt idx="103">
                  <c:v>17.185446803836811</c:v>
                </c:pt>
                <c:pt idx="104">
                  <c:v>17.009764168314291</c:v>
                </c:pt>
                <c:pt idx="105">
                  <c:v>16.843139141047871</c:v>
                </c:pt>
                <c:pt idx="106">
                  <c:v>16.685097912278565</c:v>
                </c:pt>
                <c:pt idx="107">
                  <c:v>16.535191067611123</c:v>
                </c:pt>
                <c:pt idx="108">
                  <c:v>16.392992511955313</c:v>
                </c:pt>
                <c:pt idx="109">
                  <c:v>16.258098403014927</c:v>
                </c:pt>
                <c:pt idx="110">
                  <c:v>16.130126102136231</c:v>
                </c:pt>
                <c:pt idx="111">
                  <c:v>16.008713148669699</c:v>
                </c:pt>
                <c:pt idx="112">
                  <c:v>15.893516262585365</c:v>
                </c:pt>
                <c:pt idx="113">
                  <c:v>15.784210378884566</c:v>
                </c:pt>
                <c:pt idx="114">
                  <c:v>15.680487716347102</c:v>
                </c:pt>
                <c:pt idx="115">
                  <c:v>15.582056882314674</c:v>
                </c:pt>
                <c:pt idx="116">
                  <c:v>15.488642014521048</c:v>
                </c:pt>
                <c:pt idx="117">
                  <c:v>15.399981960414465</c:v>
                </c:pt>
                <c:pt idx="118">
                  <c:v>15.315829493959768</c:v>
                </c:pt>
                <c:pt idx="119">
                  <c:v>15.235950569542396</c:v>
                </c:pt>
                <c:pt idx="120">
                  <c:v>15.160123612309562</c:v>
                </c:pt>
                <c:pt idx="121">
                  <c:v>15.088138844060353</c:v>
                </c:pt>
                <c:pt idx="122">
                  <c:v>15.019797643629985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'New_removed_rate - bSIR'!$AV$7</c:f>
              <c:strCache>
                <c:ptCount val="1"/>
                <c:pt idx="0">
                  <c:v>sel. region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bSIR'!$AV$63:$AV$184</c:f>
              <c:numCache>
                <c:formatCode>General</c:formatCode>
                <c:ptCount val="122"/>
                <c:pt idx="0">
                  <c:v>168.2034720602793</c:v>
                </c:pt>
                <c:pt idx="1">
                  <c:v>166.25460470644731</c:v>
                </c:pt>
                <c:pt idx="2">
                  <c:v>164.30788710962685</c:v>
                </c:pt>
                <c:pt idx="3">
                  <c:v>162.36341137921383</c:v>
                </c:pt>
                <c:pt idx="4">
                  <c:v>160.42127368896928</c:v>
                </c:pt>
                <c:pt idx="5">
                  <c:v>158.48157446269704</c:v>
                </c:pt>
                <c:pt idx="6">
                  <c:v>156.54441856848425</c:v>
                </c:pt>
                <c:pt idx="7">
                  <c:v>154.60991552185109</c:v>
                </c:pt>
                <c:pt idx="8">
                  <c:v>152.67817969815789</c:v>
                </c:pt>
                <c:pt idx="9">
                  <c:v>150.74933055461719</c:v>
                </c:pt>
                <c:pt idx="10">
                  <c:v>148.82349286225707</c:v>
                </c:pt>
                <c:pt idx="11">
                  <c:v>146.9007969481747</c:v>
                </c:pt>
                <c:pt idx="12">
                  <c:v>144.98137894840923</c:v>
                </c:pt>
                <c:pt idx="13">
                  <c:v>143.06538107174785</c:v>
                </c:pt>
                <c:pt idx="14">
                  <c:v>141.15295187475914</c:v>
                </c:pt>
                <c:pt idx="15">
                  <c:v>139.24424654831978</c:v>
                </c:pt>
                <c:pt idx="16">
                  <c:v>137.33942721586544</c:v>
                </c:pt>
                <c:pt idx="17">
                  <c:v>135.43866324355474</c:v>
                </c:pt>
                <c:pt idx="18">
                  <c:v>133.54213156247897</c:v>
                </c:pt>
                <c:pt idx="19">
                  <c:v>131.65001700298694</c:v>
                </c:pt>
                <c:pt idx="20">
                  <c:v>129.76251264111244</c:v>
                </c:pt>
                <c:pt idx="21">
                  <c:v>127.87982015700001</c:v>
                </c:pt>
                <c:pt idx="22">
                  <c:v>126.00215020511077</c:v>
                </c:pt>
                <c:pt idx="23">
                  <c:v>124.12972279585892</c:v>
                </c:pt>
                <c:pt idx="24">
                  <c:v>122.26276768817529</c:v>
                </c:pt>
                <c:pt idx="25">
                  <c:v>120.40152479231567</c:v>
                </c:pt>
                <c:pt idx="26">
                  <c:v>118.54624458202338</c:v>
                </c:pt>
                <c:pt idx="27">
                  <c:v>116.69718851491868</c:v>
                </c:pt>
                <c:pt idx="28">
                  <c:v>114.85462945971372</c:v>
                </c:pt>
                <c:pt idx="29">
                  <c:v>113.01885212854232</c:v>
                </c:pt>
                <c:pt idx="30">
                  <c:v>111.19015351234094</c:v>
                </c:pt>
                <c:pt idx="31">
                  <c:v>109.36884331682204</c:v>
                </c:pt>
                <c:pt idx="32">
                  <c:v>107.55524439613455</c:v>
                </c:pt>
                <c:pt idx="33">
                  <c:v>105.74969318081155</c:v>
                </c:pt>
                <c:pt idx="34">
                  <c:v>103.95254009605432</c:v>
                </c:pt>
                <c:pt idx="35">
                  <c:v>102.16414996579603</c:v>
                </c:pt>
                <c:pt idx="36">
                  <c:v>100.38490239732472</c:v>
                </c:pt>
                <c:pt idx="37">
                  <c:v>98.615192140524684</c:v>
                </c:pt>
                <c:pt idx="38">
                  <c:v>96.855429415018421</c:v>
                </c:pt>
                <c:pt idx="39">
                  <c:v>95.106040197663404</c:v>
                </c:pt>
                <c:pt idx="40">
                  <c:v>93.367466461982104</c:v>
                </c:pt>
                <c:pt idx="41">
                  <c:v>91.640166360192651</c:v>
                </c:pt>
                <c:pt idx="42">
                  <c:v>89.924614337570503</c:v>
                </c:pt>
                <c:pt idx="43">
                  <c:v>88.221301167928274</c:v>
                </c:pt>
                <c:pt idx="44">
                  <c:v>86.530733898070011</c:v>
                </c:pt>
                <c:pt idx="45">
                  <c:v>84.853435688189123</c:v>
                </c:pt>
                <c:pt idx="46">
                  <c:v>83.189945534364867</c:v>
                </c:pt>
                <c:pt idx="47">
                  <c:v>81.540817858613735</c:v>
                </c:pt>
                <c:pt idx="48">
                  <c:v>79.906621951413882</c:v>
                </c:pt>
                <c:pt idx="49">
                  <c:v>78.28794125129734</c:v>
                </c:pt>
                <c:pt idx="50">
                  <c:v>76.685372446053805</c:v>
                </c:pt>
                <c:pt idx="51">
                  <c:v>75.09952438037908</c:v>
                </c:pt>
                <c:pt idx="52">
                  <c:v>73.531016755494576</c:v>
                </c:pt>
                <c:pt idx="53">
                  <c:v>71.980478607436481</c:v>
                </c:pt>
                <c:pt idx="54">
                  <c:v>70.448546552428638</c:v>
                </c:pt>
                <c:pt idx="55">
                  <c:v>68.935862790078886</c:v>
                </c:pt>
                <c:pt idx="56">
                  <c:v>67.443072858122108</c:v>
                </c:pt>
                <c:pt idx="57">
                  <c:v>65.970823136117659</c:v>
                </c:pt>
                <c:pt idx="58">
                  <c:v>64.519758099904323</c:v>
                </c:pt>
                <c:pt idx="59">
                  <c:v>63.090517333712242</c:v>
                </c:pt>
                <c:pt idx="60">
                  <c:v>61.683732312580887</c:v>
                </c:pt>
                <c:pt idx="61">
                  <c:v>60.300022974044296</c:v>
                </c:pt>
                <c:pt idx="62">
                  <c:v>58.939994104792447</c:v>
                </c:pt>
                <c:pt idx="63">
                  <c:v>57.604231575016797</c:v>
                </c:pt>
                <c:pt idx="64">
                  <c:v>56.293298460177837</c:v>
                </c:pt>
                <c:pt idx="65">
                  <c:v>55.007731096726289</c:v>
                </c:pt>
                <c:pt idx="66">
                  <c:v>53.748035124566215</c:v>
                </c:pt>
                <c:pt idx="67">
                  <c:v>52.514681574450279</c:v>
                </c:pt>
                <c:pt idx="68">
                  <c:v>51.308103062717251</c:v>
                </c:pt>
                <c:pt idx="69">
                  <c:v>50.128690158515354</c:v>
                </c:pt>
                <c:pt idx="70">
                  <c:v>48.97678798962248</c:v>
                </c:pt>
                <c:pt idx="71">
                  <c:v>47.852693151973597</c:v>
                </c:pt>
                <c:pt idx="72">
                  <c:v>46.756650984897533</c:v>
                </c:pt>
                <c:pt idx="73">
                  <c:v>45.688853268820466</c:v>
                </c:pt>
                <c:pt idx="74">
                  <c:v>44.649436394888895</c:v>
                </c:pt>
                <c:pt idx="75">
                  <c:v>43.638480046785887</c:v>
                </c:pt>
                <c:pt idx="76">
                  <c:v>42.656006424264802</c:v>
                </c:pt>
                <c:pt idx="77">
                  <c:v>41.701980025992043</c:v>
                </c:pt>
                <c:pt idx="78">
                  <c:v>40.776307996645457</c:v>
                </c:pt>
                <c:pt idx="79">
                  <c:v>39.878841030367667</c:v>
                </c:pt>
                <c:pt idx="80">
                  <c:v>39.009374810148216</c:v>
                </c:pt>
                <c:pt idx="81">
                  <c:v>38.167651951010228</c:v>
                </c:pt>
                <c:pt idx="82">
                  <c:v>37.353364404457849</c:v>
                </c:pt>
                <c:pt idx="83">
                  <c:v>36.566156272872007</c:v>
                </c:pt>
                <c:pt idx="84">
                  <c:v>35.805626975699127</c:v>
                </c:pt>
                <c:pt idx="85">
                  <c:v>35.07133470452348</c:v>
                </c:pt>
                <c:pt idx="86">
                  <c:v>34.362800101499531</c:v>
                </c:pt>
                <c:pt idx="87">
                  <c:v>33.679510095086044</c:v>
                </c:pt>
                <c:pt idx="88">
                  <c:v>33.02092182842371</c:v>
                </c:pt>
                <c:pt idx="89">
                  <c:v>32.38646661879703</c:v>
                </c:pt>
                <c:pt idx="90">
                  <c:v>31.775553891144128</c:v>
                </c:pt>
                <c:pt idx="91">
                  <c:v>31.187575034205224</c:v>
                </c:pt>
                <c:pt idx="92">
                  <c:v>30.621907134309325</c:v>
                </c:pt>
                <c:pt idx="93">
                  <c:v>30.077916548672803</c:v>
                </c:pt>
                <c:pt idx="94">
                  <c:v>29.554962287127182</c:v>
                </c:pt>
                <c:pt idx="95">
                  <c:v>29.052399178154829</c:v>
                </c:pt>
                <c:pt idx="96">
                  <c:v>28.569580801770726</c:v>
                </c:pt>
                <c:pt idx="97">
                  <c:v>28.105862177982004</c:v>
                </c:pt>
                <c:pt idx="98">
                  <c:v>27.660602205161695</c:v>
                </c:pt>
                <c:pt idx="99">
                  <c:v>27.233165847611076</c:v>
                </c:pt>
                <c:pt idx="100">
                  <c:v>26.822926075815502</c:v>
                </c:pt>
                <c:pt idx="101">
                  <c:v>26.429265566419971</c:v>
                </c:pt>
                <c:pt idx="102">
                  <c:v>26.051578171778203</c:v>
                </c:pt>
                <c:pt idx="103">
                  <c:v>25.689270171108831</c:v>
                </c:pt>
                <c:pt idx="104">
                  <c:v>25.34176131687606</c:v>
                </c:pt>
                <c:pt idx="105">
                  <c:v>25.008485691068429</c:v>
                </c:pt>
                <c:pt idx="106">
                  <c:v>24.688892386642749</c:v>
                </c:pt>
                <c:pt idx="107">
                  <c:v>24.382446029605575</c:v>
                </c:pt>
                <c:pt idx="108">
                  <c:v>24.088627157084062</c:v>
                </c:pt>
                <c:pt idx="109">
                  <c:v>23.806932466361971</c:v>
                </c:pt>
                <c:pt idx="110">
                  <c:v>23.53687494927496</c:v>
                </c:pt>
                <c:pt idx="111">
                  <c:v>23.27798392563119</c:v>
                </c:pt>
                <c:pt idx="112">
                  <c:v>23.029804988489232</c:v>
                </c:pt>
                <c:pt idx="113">
                  <c:v>22.791899873223784</c:v>
                </c:pt>
                <c:pt idx="114">
                  <c:v>22.56384626137617</c:v>
                </c:pt>
                <c:pt idx="115">
                  <c:v>22.345237529340224</c:v>
                </c:pt>
                <c:pt idx="116">
                  <c:v>22.135682451004826</c:v>
                </c:pt>
                <c:pt idx="117">
                  <c:v>21.934804862567447</c:v>
                </c:pt>
                <c:pt idx="118">
                  <c:v>21.742243296870413</c:v>
                </c:pt>
                <c:pt idx="119">
                  <c:v>21.557650593792673</c:v>
                </c:pt>
                <c:pt idx="120">
                  <c:v>21.38069349246733</c:v>
                </c:pt>
                <c:pt idx="121">
                  <c:v>21.211052210386782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'New_removed_rate - bSIR'!$BQ$7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bSIR'!$BQ$63:$BQ$184</c:f>
              <c:numCache>
                <c:formatCode>General</c:formatCode>
                <c:ptCount val="122"/>
                <c:pt idx="0">
                  <c:v>146.94496968997549</c:v>
                </c:pt>
                <c:pt idx="1">
                  <c:v>144.97953916079229</c:v>
                </c:pt>
                <c:pt idx="2">
                  <c:v>143.01595854526556</c:v>
                </c:pt>
                <c:pt idx="3">
                  <c:v>141.05432832006318</c:v>
                </c:pt>
                <c:pt idx="4">
                  <c:v>139.09475456051689</c:v>
                </c:pt>
                <c:pt idx="5">
                  <c:v>137.13734926463104</c:v>
                </c:pt>
                <c:pt idx="6">
                  <c:v>135.18223069660303</c:v>
                </c:pt>
                <c:pt idx="7">
                  <c:v>133.22952375102574</c:v>
                </c:pt>
                <c:pt idx="8">
                  <c:v>131.27936033899721</c:v>
                </c:pt>
                <c:pt idx="9">
                  <c:v>129.33187979741732</c:v>
                </c:pt>
                <c:pt idx="10">
                  <c:v>127.38722932280349</c:v>
                </c:pt>
                <c:pt idx="11">
                  <c:v>125.44556443100319</c:v>
                </c:pt>
                <c:pt idx="12">
                  <c:v>123.50704944422513</c:v>
                </c:pt>
                <c:pt idx="13">
                  <c:v>121.57185800684258</c:v>
                </c:pt>
                <c:pt idx="14">
                  <c:v>119.64017363144639</c:v>
                </c:pt>
                <c:pt idx="15">
                  <c:v>117.71219027663329</c:v>
                </c:pt>
                <c:pt idx="16">
                  <c:v>115.78811295800639</c:v>
                </c:pt>
                <c:pt idx="17">
                  <c:v>113.86815839383245</c:v>
                </c:pt>
                <c:pt idx="18">
                  <c:v>111.95255568674102</c:v>
                </c:pt>
                <c:pt idx="19">
                  <c:v>110.04154704275463</c:v>
                </c:pt>
                <c:pt idx="20">
                  <c:v>108.13538852880245</c:v>
                </c:pt>
                <c:pt idx="21">
                  <c:v>106.23435086967935</c:v>
                </c:pt>
                <c:pt idx="22">
                  <c:v>104.33872028516048</c:v>
                </c:pt>
                <c:pt idx="23">
                  <c:v>102.44879936765385</c:v>
                </c:pt>
                <c:pt idx="24">
                  <c:v>100.56490800035691</c:v>
                </c:pt>
                <c:pt idx="25">
                  <c:v>98.687384315359679</c:v>
                </c:pt>
                <c:pt idx="26">
                  <c:v>96.816585690490584</c:v>
                </c:pt>
                <c:pt idx="27">
                  <c:v>94.952889782907846</c:v>
                </c:pt>
                <c:pt idx="28">
                  <c:v>93.096695596477574</c:v>
                </c:pt>
                <c:pt idx="29">
                  <c:v>91.248424578823531</c:v>
                </c:pt>
                <c:pt idx="30">
                  <c:v>89.408521742554441</c:v>
                </c:pt>
                <c:pt idx="31">
                  <c:v>87.577456803544166</c:v>
                </c:pt>
                <c:pt idx="32">
                  <c:v>85.75572532722677</c:v>
                </c:pt>
                <c:pt idx="33">
                  <c:v>83.943849871641746</c:v>
                </c:pt>
                <c:pt idx="34">
                  <c:v>82.142381113397079</c:v>
                </c:pt>
                <c:pt idx="35">
                  <c:v>80.351898939781989</c:v>
                </c:pt>
                <c:pt idx="36">
                  <c:v>78.573013486938905</c:v>
                </c:pt>
                <c:pt idx="37">
                  <c:v>76.806366100287192</c:v>
                </c:pt>
                <c:pt idx="38">
                  <c:v>75.052630189283477</c:v>
                </c:pt>
                <c:pt idx="39">
                  <c:v>73.31251194413106</c:v>
                </c:pt>
                <c:pt idx="40">
                  <c:v>71.586750877265885</c:v>
                </c:pt>
                <c:pt idx="41">
                  <c:v>69.876120147435344</c:v>
                </c:pt>
                <c:pt idx="42">
                  <c:v>68.181426619076689</c:v>
                </c:pt>
                <c:pt idx="43">
                  <c:v>66.503510604677771</c:v>
                </c:pt>
                <c:pt idx="44">
                  <c:v>64.843245233101584</c:v>
                </c:pt>
                <c:pt idx="45">
                  <c:v>63.201535382791732</c:v>
                </c:pt>
                <c:pt idx="46">
                  <c:v>61.579316115727224</c:v>
                </c:pt>
                <c:pt idx="47">
                  <c:v>59.977550546423942</c:v>
                </c:pt>
                <c:pt idx="48">
                  <c:v>58.397227080707367</c:v>
                </c:pt>
                <c:pt idx="49">
                  <c:v>56.839355961992524</c:v>
                </c:pt>
                <c:pt idx="50">
                  <c:v>55.304965069006812</c:v>
                </c:pt>
                <c:pt idx="51">
                  <c:v>53.795094918878888</c:v>
                </c:pt>
                <c:pt idx="52">
                  <c:v>52.31079284382335</c:v>
                </c:pt>
                <c:pt idx="53">
                  <c:v>50.853106328670549</c:v>
                </c:pt>
                <c:pt idx="54">
                  <c:v>49.423075520401397</c:v>
                </c:pt>
                <c:pt idx="55">
                  <c:v>48.02172494951725</c:v>
                </c:pt>
                <c:pt idx="56">
                  <c:v>46.650054535979237</c:v>
                </c:pt>
                <c:pt idx="57">
                  <c:v>45.309029988593124</c:v>
                </c:pt>
                <c:pt idx="58">
                  <c:v>43.999572744596321</c:v>
                </c:pt>
                <c:pt idx="59">
                  <c:v>42.722549633807617</c:v>
                </c:pt>
                <c:pt idx="60">
                  <c:v>41.478762486590185</c:v>
                </c:pt>
                <c:pt idx="61">
                  <c:v>40.268937934310728</c:v>
                </c:pt>
                <c:pt idx="62">
                  <c:v>39.09371767213257</c:v>
                </c:pt>
                <c:pt idx="63">
                  <c:v>37.953649464233109</c:v>
                </c:pt>
                <c:pt idx="64">
                  <c:v>36.849179168760145</c:v>
                </c:pt>
                <c:pt idx="65">
                  <c:v>35.780644042726252</c:v>
                </c:pt>
                <c:pt idx="66">
                  <c:v>34.748267555330713</c:v>
                </c:pt>
                <c:pt idx="67">
                  <c:v>33.752155892860699</c:v>
                </c:pt>
                <c:pt idx="68">
                  <c:v>32.792296281555878</c:v>
                </c:pt>
                <c:pt idx="69">
                  <c:v>31.868557189919258</c:v>
                </c:pt>
                <c:pt idx="70">
                  <c:v>30.980690403029541</c:v>
                </c:pt>
                <c:pt idx="71">
                  <c:v>30.12833489297077</c:v>
                </c:pt>
                <c:pt idx="72">
                  <c:v>29.311022346015363</c:v>
                </c:pt>
                <c:pt idx="73">
                  <c:v>28.528184152634253</c:v>
                </c:pt>
                <c:pt idx="74">
                  <c:v>27.779159623847832</c:v>
                </c:pt>
                <c:pt idx="75">
                  <c:v>27.063205168812019</c:v>
                </c:pt>
                <c:pt idx="76">
                  <c:v>26.379504154551924</c:v>
                </c:pt>
                <c:pt idx="77">
                  <c:v>25.727177168915887</c:v>
                </c:pt>
                <c:pt idx="78">
                  <c:v>25.105292420612344</c:v>
                </c:pt>
                <c:pt idx="79">
                  <c:v>24.512876033354331</c:v>
                </c:pt>
                <c:pt idx="80">
                  <c:v>23.948922021976884</c:v>
                </c:pt>
                <c:pt idx="81">
                  <c:v>23.412401774087186</c:v>
                </c:pt>
                <c:pt idx="82">
                  <c:v>22.902272898664293</c:v>
                </c:pt>
                <c:pt idx="83">
                  <c:v>22.417487340684559</c:v>
                </c:pt>
                <c:pt idx="84">
                  <c:v>21.956998696406032</c:v>
                </c:pt>
                <c:pt idx="85">
                  <c:v>21.519768696008811</c:v>
                </c:pt>
                <c:pt idx="86">
                  <c:v>21.104772847967183</c:v>
                </c:pt>
                <c:pt idx="87">
                  <c:v>20.711005262391495</c:v>
                </c:pt>
                <c:pt idx="88">
                  <c:v>20.337482688562758</c:v>
                </c:pt>
                <c:pt idx="89">
                  <c:v>19.983247815224843</c:v>
                </c:pt>
                <c:pt idx="90">
                  <c:v>19.647371891326543</c:v>
                </c:pt>
                <c:pt idx="91">
                  <c:v>19.32895673037136</c:v>
                </c:pt>
                <c:pt idx="92">
                  <c:v>19.027136163937911</c:v>
                </c:pt>
                <c:pt idx="93">
                  <c:v>18.741077009887789</c:v>
                </c:pt>
                <c:pt idx="94">
                  <c:v>18.469979618845201</c:v>
                </c:pt>
                <c:pt idx="95">
                  <c:v>18.213078059232586</c:v>
                </c:pt>
                <c:pt idx="96">
                  <c:v>17.969639996913855</c:v>
                </c:pt>
                <c:pt idx="97">
                  <c:v>17.738966320704563</c:v>
                </c:pt>
                <c:pt idx="98">
                  <c:v>17.520390559946506</c:v>
                </c:pt>
                <c:pt idx="99">
                  <c:v>17.313278135242967</c:v>
                </c:pt>
                <c:pt idx="100">
                  <c:v>17.117025478479022</c:v>
                </c:pt>
                <c:pt idx="101">
                  <c:v>16.931059053526852</c:v>
                </c:pt>
                <c:pt idx="102">
                  <c:v>16.754834304639317</c:v>
                </c:pt>
                <c:pt idx="103">
                  <c:v>16.587834555508451</c:v>
                </c:pt>
                <c:pt idx="104">
                  <c:v>16.429569878334831</c:v>
                </c:pt>
                <c:pt idx="105">
                  <c:v>16.27957594901352</c:v>
                </c:pt>
                <c:pt idx="106">
                  <c:v>16.137412901689842</c:v>
                </c:pt>
                <c:pt idx="107">
                  <c:v>16.002664193443096</c:v>
                </c:pt>
                <c:pt idx="108">
                  <c:v>15.874935487701833</c:v>
                </c:pt>
                <c:pt idx="109">
                  <c:v>15.753853563142314</c:v>
                </c:pt>
                <c:pt idx="110">
                  <c:v>15.639065253249171</c:v>
                </c:pt>
                <c:pt idx="111">
                  <c:v>15.530236420387041</c:v>
                </c:pt>
                <c:pt idx="112">
                  <c:v>15.42705096712092</c:v>
                </c:pt>
                <c:pt idx="113">
                  <c:v>15.329209886598505</c:v>
                </c:pt>
                <c:pt idx="114">
                  <c:v>15.236430353048931</c:v>
                </c:pt>
                <c:pt idx="115">
                  <c:v>15.14844485283254</c:v>
                </c:pt>
                <c:pt idx="116">
                  <c:v>15.065000355978512</c:v>
                </c:pt>
                <c:pt idx="117">
                  <c:v>14.985857527750923</c:v>
                </c:pt>
                <c:pt idx="118">
                  <c:v>14.910789979472682</c:v>
                </c:pt>
                <c:pt idx="119">
                  <c:v>14.839583557599838</c:v>
                </c:pt>
                <c:pt idx="120">
                  <c:v>14.772035669860941</c:v>
                </c:pt>
                <c:pt idx="121">
                  <c:v>14.70795464714783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'New_removed_rate - bSIR'!$B$6</c:f>
              <c:strCache>
                <c:ptCount val="1"/>
                <c:pt idx="0">
                  <c:v>5-Jun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157</c:v>
                </c:pt>
                <c:pt idx="1">
                  <c:v>157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Halving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Italy - kinetics of the outbreak - basic SIR</a:t>
            </a:r>
          </a:p>
          <a:p>
            <a:pPr>
              <a:defRPr/>
            </a:pPr>
            <a:r>
              <a:rPr lang="it-IT"/>
              <a:t>Doubling and halving times, removal growth ratio, removal acceleration (daily variation of new removals per day) normalized to their fitted values at the date of Italy mandatory lockdown (mar-11)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bSIR'!$J$7</c:f>
              <c:strCache>
                <c:ptCount val="1"/>
                <c:pt idx="0">
                  <c:v>Italy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bSIR'!$C$62:$C$94</c:f>
              <c:numCache>
                <c:formatCode>General</c:formatCode>
                <c:ptCount val="3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</c:numCache>
            </c:numRef>
          </c:xVal>
          <c:yVal>
            <c:numRef>
              <c:f>'New_removed_rate - bSIR'!$J$62:$J$94</c:f>
              <c:numCache>
                <c:formatCode>General</c:formatCode>
                <c:ptCount val="33"/>
                <c:pt idx="0">
                  <c:v>5.9391517549387167</c:v>
                </c:pt>
                <c:pt idx="1">
                  <c:v>5.4985747622089747</c:v>
                </c:pt>
                <c:pt idx="2">
                  <c:v>5.0579977694792326</c:v>
                </c:pt>
                <c:pt idx="3">
                  <c:v>4.6174207767494915</c:v>
                </c:pt>
                <c:pt idx="4">
                  <c:v>4.1768437840197494</c:v>
                </c:pt>
                <c:pt idx="5">
                  <c:v>3.7362667912900078</c:v>
                </c:pt>
                <c:pt idx="6">
                  <c:v>3.2956897985602658</c:v>
                </c:pt>
                <c:pt idx="7">
                  <c:v>2.8551128058305242</c:v>
                </c:pt>
                <c:pt idx="8">
                  <c:v>2.4145358131007826</c:v>
                </c:pt>
                <c:pt idx="9">
                  <c:v>1.9739588203710408</c:v>
                </c:pt>
                <c:pt idx="10">
                  <c:v>1.5333818276412989</c:v>
                </c:pt>
                <c:pt idx="11">
                  <c:v>1.0928048349115573</c:v>
                </c:pt>
                <c:pt idx="12">
                  <c:v>0.65222784218181551</c:v>
                </c:pt>
                <c:pt idx="13">
                  <c:v>0.21165084945207382</c:v>
                </c:pt>
                <c:pt idx="14">
                  <c:v>0.22377980564998085</c:v>
                </c:pt>
                <c:pt idx="15">
                  <c:v>0.6275675050106152</c:v>
                </c:pt>
                <c:pt idx="16">
                  <c:v>1</c:v>
                </c:pt>
                <c:pt idx="17">
                  <c:v>1.3451623447448517</c:v>
                </c:pt>
                <c:pt idx="18">
                  <c:v>1.6664911431259146</c:v>
                </c:pt>
                <c:pt idx="19">
                  <c:v>1.9669103070826501</c:v>
                </c:pt>
                <c:pt idx="20">
                  <c:v>2.2489336079702729</c:v>
                </c:pt>
                <c:pt idx="21">
                  <c:v>2.5147433784743263</c:v>
                </c:pt>
                <c:pt idx="22">
                  <c:v>2.7662517919391383</c:v>
                </c:pt>
                <c:pt idx="23">
                  <c:v>3.0051492207570996</c:v>
                </c:pt>
                <c:pt idx="24">
                  <c:v>3.2329428837663627</c:v>
                </c:pt>
                <c:pt idx="25">
                  <c:v>3.4509881093776462</c:v>
                </c:pt>
                <c:pt idx="26">
                  <c:v>3.6605139268745379</c:v>
                </c:pt>
                <c:pt idx="27">
                  <c:v>3.8626442645614465</c:v>
                </c:pt>
                <c:pt idx="28">
                  <c:v>4.0584157229774487</c:v>
                </c:pt>
                <c:pt idx="29">
                  <c:v>4.2487926665962679</c:v>
                </c:pt>
                <c:pt idx="30">
                  <c:v>4.4346802130904006</c:v>
                </c:pt>
                <c:pt idx="31">
                  <c:v>4.6169355782484285</c:v>
                </c:pt>
                <c:pt idx="32">
                  <c:v>4.7963781452475871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'New_removed_rate - bSIR'!$W$7</c:f>
              <c:strCache>
                <c:ptCount val="1"/>
                <c:pt idx="0">
                  <c:v>Italy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bSIR'!$W$62:$W$184</c:f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'New_removed_rate - bSIR'!$Y$7</c:f>
              <c:strCache>
                <c:ptCount val="1"/>
                <c:pt idx="0">
                  <c:v>Italy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bSIR'!$Y$62:$Y$184</c:f>
              <c:numCache>
                <c:formatCode>General</c:formatCode>
                <c:ptCount val="123"/>
                <c:pt idx="0">
                  <c:v>1.2625337571944921</c:v>
                </c:pt>
                <c:pt idx="1">
                  <c:v>1.2459785991486403</c:v>
                </c:pt>
                <c:pt idx="2">
                  <c:v>1.2294384915484304</c:v>
                </c:pt>
                <c:pt idx="3">
                  <c:v>1.2129142384744795</c:v>
                </c:pt>
                <c:pt idx="4">
                  <c:v>1.1964066880660147</c:v>
                </c:pt>
                <c:pt idx="5">
                  <c:v>1.1799167350278819</c:v>
                </c:pt>
                <c:pt idx="6">
                  <c:v>1.1634453232861184</c:v>
                </c:pt>
                <c:pt idx="7">
                  <c:v>1.1469934488008813</c:v>
                </c:pt>
                <c:pt idx="8">
                  <c:v>1.1305621625459636</c:v>
                </c:pt>
                <c:pt idx="9">
                  <c:v>1.1141525736645286</c:v>
                </c:pt>
                <c:pt idx="10">
                  <c:v>1.0977658528111052</c:v>
                </c:pt>
                <c:pt idx="11">
                  <c:v>1.0814032356902556</c:v>
                </c:pt>
                <c:pt idx="12">
                  <c:v>1.0650660268026619</c:v>
                </c:pt>
                <c:pt idx="13">
                  <c:v>1.0487556034096712</c:v>
                </c:pt>
                <c:pt idx="14">
                  <c:v>1.0324734197275469</c:v>
                </c:pt>
                <c:pt idx="15">
                  <c:v>1.016221011362803</c:v>
                </c:pt>
                <c:pt idx="16">
                  <c:v>1</c:v>
                </c:pt>
                <c:pt idx="17">
                  <c:v>0.9838120983532439</c:v>
                </c:pt>
                <c:pt idx="18">
                  <c:v>0.96765911539229577</c:v>
                </c:pt>
                <c:pt idx="19">
                  <c:v>0.95154296185364307</c:v>
                </c:pt>
                <c:pt idx="20">
                  <c:v>0.9354656560460386</c:v>
                </c:pt>
                <c:pt idx="21">
                  <c:v>0.91942932995883409</c:v>
                </c:pt>
                <c:pt idx="22">
                  <c:v>0.90343623567982523</c:v>
                </c:pt>
                <c:pt idx="23">
                  <c:v>0.88748875212723422</c:v>
                </c:pt>
                <c:pt idx="24">
                  <c:v>0.87158939209775532</c:v>
                </c:pt>
                <c:pt idx="25">
                  <c:v>0.85574080962919519</c:v>
                </c:pt>
                <c:pt idx="26">
                  <c:v>0.83994580767200999</c:v>
                </c:pt>
                <c:pt idx="27">
                  <c:v>0.82420734605883816</c:v>
                </c:pt>
                <c:pt idx="28">
                  <c:v>0.8085285497548006</c:v>
                </c:pt>
                <c:pt idx="29">
                  <c:v>0.79291271736369606</c:v>
                </c:pt>
                <c:pt idx="30">
                  <c:v>0.77736332985608314</c:v>
                </c:pt>
                <c:pt idx="31">
                  <c:v>0.76188405947439641</c:v>
                </c:pt>
                <c:pt idx="32">
                  <c:v>0.74647877875746771</c:v>
                </c:pt>
                <c:pt idx="33">
                  <c:v>0.73115156961190875</c:v>
                </c:pt>
                <c:pt idx="34">
                  <c:v>0.71590673234051527</c:v>
                </c:pt>
                <c:pt idx="35">
                  <c:v>0.700748794517982</c:v>
                </c:pt>
                <c:pt idx="36">
                  <c:v>0.68568251958159232</c:v>
                </c:pt>
                <c:pt idx="37">
                  <c:v>0.67071291497901253</c:v>
                </c:pt>
                <c:pt idx="38">
                  <c:v>0.65584523968687769</c:v>
                </c:pt>
                <c:pt idx="39">
                  <c:v>0.64108501088249192</c:v>
                </c:pt>
                <c:pt idx="40">
                  <c:v>0.62643800951694328</c:v>
                </c:pt>
                <c:pt idx="41">
                  <c:v>0.61191028450162643</c:v>
                </c:pt>
                <c:pt idx="42">
                  <c:v>0.59750815518222855</c:v>
                </c:pt>
                <c:pt idx="43">
                  <c:v>0.58323821173565737</c:v>
                </c:pt>
                <c:pt idx="44">
                  <c:v>0.56910731308749007</c:v>
                </c:pt>
                <c:pt idx="45">
                  <c:v>0.55512258191210706</c:v>
                </c:pt>
                <c:pt idx="46">
                  <c:v>0.54129139624701605</c:v>
                </c:pt>
                <c:pt idx="47">
                  <c:v>0.52762137722977476</c:v>
                </c:pt>
                <c:pt idx="48">
                  <c:v>0.51412037245372622</c:v>
                </c:pt>
                <c:pt idx="49">
                  <c:v>0.50079643444132793</c:v>
                </c:pt>
                <c:pt idx="50">
                  <c:v>0.48765779375538959</c:v>
                </c:pt>
                <c:pt idx="51">
                  <c:v>0.47471282631351996</c:v>
                </c:pt>
                <c:pt idx="52">
                  <c:v>0.46197001454389264</c:v>
                </c:pt>
                <c:pt idx="53">
                  <c:v>0.44943790212502321</c:v>
                </c:pt>
                <c:pt idx="54">
                  <c:v>0.43712504219165066</c:v>
                </c:pt>
                <c:pt idx="55">
                  <c:v>0.42503993906452986</c:v>
                </c:pt>
                <c:pt idx="56">
                  <c:v>0.4131909837733555</c:v>
                </c:pt>
                <c:pt idx="57">
                  <c:v>0.40158638388577794</c:v>
                </c:pt>
                <c:pt idx="58">
                  <c:v>0.39023408842482205</c:v>
                </c:pt>
                <c:pt idx="59">
                  <c:v>0.37914170894167515</c:v>
                </c:pt>
                <c:pt idx="60">
                  <c:v>0.36831643809671966</c:v>
                </c:pt>
                <c:pt idx="61">
                  <c:v>0.35776496737158253</c:v>
                </c:pt>
                <c:pt idx="62">
                  <c:v>0.34749340576912668</c:v>
                </c:pt>
                <c:pt idx="63">
                  <c:v>0.33750720153605807</c:v>
                </c:pt>
                <c:pt idx="64">
                  <c:v>0.32781106904432195</c:v>
                </c:pt>
                <c:pt idx="65">
                  <c:v>0.31840892297594675</c:v>
                </c:pt>
                <c:pt idx="66">
                  <c:v>0.30930382185992794</c:v>
                </c:pt>
                <c:pt idx="67">
                  <c:v>0.30049792280474208</c:v>
                </c:pt>
                <c:pt idx="68">
                  <c:v>0.2919924489603804</c:v>
                </c:pt>
                <c:pt idx="69">
                  <c:v>0.28378767084246953</c:v>
                </c:pt>
                <c:pt idx="70">
                  <c:v>0.27588290217974071</c:v>
                </c:pt>
                <c:pt idx="71">
                  <c:v>0.26827651043296569</c:v>
                </c:pt>
                <c:pt idx="72">
                  <c:v>0.26096594161091358</c:v>
                </c:pt>
                <c:pt idx="73">
                  <c:v>0.25394775851013474</c:v>
                </c:pt>
                <c:pt idx="74">
                  <c:v>0.24721769106137964</c:v>
                </c:pt>
                <c:pt idx="75">
                  <c:v>0.24077069710182131</c:v>
                </c:pt>
                <c:pt idx="76">
                  <c:v>0.23460103162699292</c:v>
                </c:pt>
                <c:pt idx="77">
                  <c:v>0.22870232241874797</c:v>
                </c:pt>
                <c:pt idx="78">
                  <c:v>0.22306764989596031</c:v>
                </c:pt>
                <c:pt idx="79">
                  <c:v>0.21768962908539974</c:v>
                </c:pt>
                <c:pt idx="80">
                  <c:v>0.21256049174717961</c:v>
                </c:pt>
                <c:pt idx="81">
                  <c:v>0.2076721668939922</c:v>
                </c:pt>
                <c:pt idx="82">
                  <c:v>0.20301635819556496</c:v>
                </c:pt>
                <c:pt idx="83">
                  <c:v>0.19858461703894825</c:v>
                </c:pt>
                <c:pt idx="84">
                  <c:v>0.1943684103025477</c:v>
                </c:pt>
                <c:pt idx="85">
                  <c:v>0.1903591821813278</c:v>
                </c:pt>
                <c:pt idx="86">
                  <c:v>0.18654840965987585</c:v>
                </c:pt>
                <c:pt idx="87">
                  <c:v>0.18292765146030177</c:v>
                </c:pt>
                <c:pt idx="88">
                  <c:v>0.17948859048808866</c:v>
                </c:pt>
                <c:pt idx="89">
                  <c:v>0.17622306995884854</c:v>
                </c:pt>
                <c:pt idx="90">
                  <c:v>0.1731231235129129</c:v>
                </c:pt>
                <c:pt idx="91">
                  <c:v>0.17018099971500622</c:v>
                </c:pt>
                <c:pt idx="92">
                  <c:v>0.16738918139643974</c:v>
                </c:pt>
                <c:pt idx="93">
                  <c:v>0.16474040033148807</c:v>
                </c:pt>
                <c:pt idx="94">
                  <c:v>0.16222764775236898</c:v>
                </c:pt>
                <c:pt idx="95">
                  <c:v>0.1598441812028755</c:v>
                </c:pt>
                <c:pt idx="96">
                  <c:v>0.15758352821334148</c:v>
                </c:pt>
                <c:pt idx="97">
                  <c:v>0.15543948725285314</c:v>
                </c:pt>
                <c:pt idx="98">
                  <c:v>0.15340612638156892</c:v>
                </c:pt>
                <c:pt idx="99">
                  <c:v>0.15147777998927919</c:v>
                </c:pt>
                <c:pt idx="100">
                  <c:v>0.14964904396793971</c:v>
                </c:pt>
                <c:pt idx="101">
                  <c:v>0.14791476962747427</c:v>
                </c:pt>
                <c:pt idx="102">
                  <c:v>0.14627005662682013</c:v>
                </c:pt>
                <c:pt idx="103">
                  <c:v>0.14471024515680272</c:v>
                </c:pt>
                <c:pt idx="104">
                  <c:v>0.14323090757853382</c:v>
                </c:pt>
                <c:pt idx="105">
                  <c:v>0.14182783969090701</c:v>
                </c:pt>
                <c:pt idx="106">
                  <c:v>0.14049705177359881</c:v>
                </c:pt>
                <c:pt idx="107">
                  <c:v>0.13923475952771638</c:v>
                </c:pt>
                <c:pt idx="108">
                  <c:v>0.13803737501483299</c:v>
                </c:pt>
                <c:pt idx="109">
                  <c:v>0.13690149767642049</c:v>
                </c:pt>
                <c:pt idx="110">
                  <c:v>0.13582390549945703</c:v>
                </c:pt>
                <c:pt idx="111">
                  <c:v>0.1348015463800287</c:v>
                </c:pt>
                <c:pt idx="112">
                  <c:v>0.13383152972484097</c:v>
                </c:pt>
                <c:pt idx="113">
                  <c:v>0.13291111832047223</c:v>
                </c:pt>
                <c:pt idx="114">
                  <c:v>0.13203772049174883</c:v>
                </c:pt>
                <c:pt idx="115">
                  <c:v>0.13120888256356408</c:v>
                </c:pt>
                <c:pt idx="116">
                  <c:v>0.13042228163464975</c:v>
                </c:pt>
                <c:pt idx="117">
                  <c:v>0.12967571866705122</c:v>
                </c:pt>
                <c:pt idx="118">
                  <c:v>0.12896711189120119</c:v>
                </c:pt>
                <c:pt idx="119">
                  <c:v>0.12829449052340999</c:v>
                </c:pt>
                <c:pt idx="120">
                  <c:v>0.12765598879017556</c:v>
                </c:pt>
                <c:pt idx="121">
                  <c:v>0.12704984025183363</c:v>
                </c:pt>
                <c:pt idx="122">
                  <c:v>0.12647437241666623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'New_removed_rate - bSIR'!$AA$7</c:f>
              <c:strCache>
                <c:ptCount val="1"/>
                <c:pt idx="0">
                  <c:v>Italy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bSIR'!$AA$62:$AA$184</c:f>
              <c:numCache>
                <c:formatCode>General</c:formatCode>
                <c:ptCount val="123"/>
                <c:pt idx="0">
                  <c:v>0.52203249190393086</c:v>
                </c:pt>
                <c:pt idx="1">
                  <c:v>0.54544538504102014</c:v>
                </c:pt>
                <c:pt idx="2">
                  <c:v>0.56971514615321284</c:v>
                </c:pt>
                <c:pt idx="3">
                  <c:v>0.59485294070859562</c:v>
                </c:pt>
                <c:pt idx="4">
                  <c:v>0.62086767182201474</c:v>
                </c:pt>
                <c:pt idx="5">
                  <c:v>0.6477656602584545</c:v>
                </c:pt>
                <c:pt idx="6">
                  <c:v>0.67555029970783276</c:v>
                </c:pt>
                <c:pt idx="7">
                  <c:v>0.70422168682545316</c:v>
                </c:pt>
                <c:pt idx="8">
                  <c:v>0.73377622575448498</c:v>
                </c:pt>
                <c:pt idx="9">
                  <c:v>0.76420620711621723</c:v>
                </c:pt>
                <c:pt idx="10">
                  <c:v>0.79549936177548075</c:v>
                </c:pt>
                <c:pt idx="11">
                  <c:v>0.8276383900675679</c:v>
                </c:pt>
                <c:pt idx="12">
                  <c:v>0.86060046761414066</c:v>
                </c:pt>
                <c:pt idx="13">
                  <c:v>0.89435672936348054</c:v>
                </c:pt>
                <c:pt idx="14">
                  <c:v>0.92887173406924284</c:v>
                </c:pt>
                <c:pt idx="15">
                  <c:v>0.96410291207483056</c:v>
                </c:pt>
                <c:pt idx="16">
                  <c:v>1</c:v>
                </c:pt>
                <c:pt idx="17">
                  <c:v>1.0365044667333299</c:v>
                </c:pt>
                <c:pt idx="18">
                  <c:v>1.0735489360179233</c:v>
                </c:pt>
                <c:pt idx="19">
                  <c:v>1.1110566118754146</c:v>
                </c:pt>
                <c:pt idx="20">
                  <c:v>1.1489407141395105</c:v>
                </c:pt>
                <c:pt idx="21">
                  <c:v>1.1871039324565584</c:v>
                </c:pt>
                <c:pt idx="22">
                  <c:v>1.2254379082449713</c:v>
                </c:pt>
                <c:pt idx="23">
                  <c:v>1.2638227552719137</c:v>
                </c:pt>
                <c:pt idx="24">
                  <c:v>1.3021266306838881</c:v>
                </c:pt>
                <c:pt idx="25">
                  <c:v>1.3402053694926479</c:v>
                </c:pt>
                <c:pt idx="26">
                  <c:v>1.3779021966384157</c:v>
                </c:pt>
                <c:pt idx="27">
                  <c:v>1.4150475317928597</c:v>
                </c:pt>
                <c:pt idx="28">
                  <c:v>1.4514589029829255</c:v>
                </c:pt>
                <c:pt idx="29">
                  <c:v>1.4869409858663429</c:v>
                </c:pt>
                <c:pt idx="30">
                  <c:v>1.521285786018306</c:v>
                </c:pt>
                <c:pt idx="31">
                  <c:v>1.5542729818396965</c:v>
                </c:pt>
                <c:pt idx="32">
                  <c:v>1.5856704456102491</c:v>
                </c:pt>
                <c:pt idx="33">
                  <c:v>1.6152349597230173</c:v>
                </c:pt>
                <c:pt idx="34">
                  <c:v>1.6427131441870493</c:v>
                </c:pt>
                <c:pt idx="35">
                  <c:v>1.6678426100129651</c:v>
                </c:pt>
                <c:pt idx="36">
                  <c:v>1.6903533510455739</c:v>
                </c:pt>
                <c:pt idx="37">
                  <c:v>1.7099693841312225</c:v>
                </c:pt>
                <c:pt idx="38">
                  <c:v>1.7264106441690936</c:v>
                </c:pt>
                <c:pt idx="39">
                  <c:v>1.7393951365744491</c:v>
                </c:pt>
                <c:pt idx="40">
                  <c:v>1.7486413449762994</c:v>
                </c:pt>
                <c:pt idx="41">
                  <c:v>1.7538708866041772</c:v>
                </c:pt>
                <c:pt idx="42">
                  <c:v>1.754811401837379</c:v>
                </c:pt>
                <c:pt idx="43">
                  <c:v>1.7511996578744065</c:v>
                </c:pt>
                <c:pt idx="44">
                  <c:v>1.7427848395425083</c:v>
                </c:pt>
                <c:pt idx="45">
                  <c:v>1.7293319930531295</c:v>
                </c:pt>
                <c:pt idx="46">
                  <c:v>1.7106255811991917</c:v>
                </c:pt>
                <c:pt idx="47">
                  <c:v>1.6864731012972443</c:v>
                </c:pt>
                <c:pt idx="48">
                  <c:v>1.6567087103431819</c:v>
                </c:pt>
                <c:pt idx="49">
                  <c:v>1.6211967956394231</c:v>
                </c:pt>
                <c:pt idx="50">
                  <c:v>1.5798354238440344</c:v>
                </c:pt>
                <c:pt idx="51">
                  <c:v>1.5325595972736237</c:v>
                </c:pt>
                <c:pt idx="52">
                  <c:v>1.4793442436403201</c:v>
                </c:pt>
                <c:pt idx="53">
                  <c:v>1.4202068644771511</c:v>
                </c:pt>
                <c:pt idx="54">
                  <c:v>1.3552097685291564</c:v>
                </c:pt>
                <c:pt idx="55">
                  <c:v>1.2844618195338771</c:v>
                </c:pt>
                <c:pt idx="56">
                  <c:v>1.2081196331950892</c:v>
                </c:pt>
                <c:pt idx="57">
                  <c:v>1.1263881658022314</c:v>
                </c:pt>
                <c:pt idx="58">
                  <c:v>1.0395206468130513</c:v>
                </c:pt>
                <c:pt idx="59">
                  <c:v>0.9478178196536865</c:v>
                </c:pt>
                <c:pt idx="60">
                  <c:v>0.8516264687582572</c:v>
                </c:pt>
                <c:pt idx="61">
                  <c:v>0.75133722613567244</c:v>
                </c:pt>
                <c:pt idx="62">
                  <c:v>0.64738166709605316</c:v>
                </c:pt>
                <c:pt idx="63">
                  <c:v>0.54022872170180869</c:v>
                </c:pt>
                <c:pt idx="64">
                  <c:v>0.43038044548371096</c:v>
                </c:pt>
                <c:pt idx="65">
                  <c:v>0.31836720940267554</c:v>
                </c:pt>
                <c:pt idx="66">
                  <c:v>0.20474238435927364</c:v>
                </c:pt>
                <c:pt idx="67">
                  <c:v>9.0076609191443169E-2</c:v>
                </c:pt>
                <c:pt idx="68">
                  <c:v>-2.5048257459377731E-2</c:v>
                </c:pt>
                <c:pt idx="69">
                  <c:v>-0.14004539223442972</c:v>
                </c:pt>
                <c:pt idx="70">
                  <c:v>-0.25432935410396984</c:v>
                </c:pt>
                <c:pt idx="71">
                  <c:v>-0.36732240578549907</c:v>
                </c:pt>
                <c:pt idx="72">
                  <c:v>-0.47846069266992292</c:v>
                </c:pt>
                <c:pt idx="73">
                  <c:v>-0.58720016640745709</c:v>
                </c:pt>
                <c:pt idx="74">
                  <c:v>-0.6930221474523558</c:v>
                </c:pt>
                <c:pt idx="75">
                  <c:v>-0.79543843086185917</c:v>
                </c:pt>
                <c:pt idx="76">
                  <c:v>-0.89399585210013299</c:v>
                </c:pt>
                <c:pt idx="77">
                  <c:v>-0.98828024403527037</c:v>
                </c:pt>
                <c:pt idx="78">
                  <c:v>-1.0779197321966321</c:v>
                </c:pt>
                <c:pt idx="79">
                  <c:v>-1.1625873321048561</c:v>
                </c:pt>
                <c:pt idx="80">
                  <c:v>-1.2420028295132668</c:v>
                </c:pt>
                <c:pt idx="81">
                  <c:v>-1.3159339411405722</c:v>
                </c:pt>
                <c:pt idx="82">
                  <c:v>-1.3841967694065322</c:v>
                </c:pt>
                <c:pt idx="83">
                  <c:v>-1.4466555793430669</c:v>
                </c:pt>
                <c:pt idx="84">
                  <c:v>-1.5032219388602399</c:v>
                </c:pt>
                <c:pt idx="85">
                  <c:v>-1.5538532746060327</c:v>
                </c:pt>
                <c:pt idx="86">
                  <c:v>-1.5985509045719808</c:v>
                </c:pt>
                <c:pt idx="87">
                  <c:v>-1.6373576152597697</c:v>
                </c:pt>
                <c:pt idx="88">
                  <c:v>-1.6703548556233567</c:v>
                </c:pt>
                <c:pt idx="89">
                  <c:v>-1.697659622206277</c:v>
                </c:pt>
                <c:pt idx="90">
                  <c:v>-1.7194211100443739</c:v>
                </c:pt>
                <c:pt idx="91">
                  <c:v>-1.735817202197744</c:v>
                </c:pt>
                <c:pt idx="92">
                  <c:v>-1.7470508674527567</c:v>
                </c:pt>
                <c:pt idx="93">
                  <c:v>-1.7533465310643479</c:v>
                </c:pt>
                <c:pt idx="94">
                  <c:v>-1.7549464776733854</c:v>
                </c:pt>
                <c:pt idx="95">
                  <c:v>-1.7521073390181754</c:v>
                </c:pt>
                <c:pt idx="96">
                  <c:v>-1.74509671203754</c:v>
                </c:pt>
                <c:pt idx="97">
                  <c:v>-1.7341899456909706</c:v>
                </c:pt>
                <c:pt idx="98">
                  <c:v>-1.7196671275288982</c:v>
                </c:pt>
                <c:pt idx="99">
                  <c:v>-1.7018102939319839</c:v>
                </c:pt>
                <c:pt idx="100">
                  <c:v>-1.6809008811682471</c:v>
                </c:pt>
                <c:pt idx="101">
                  <c:v>-1.6572174281218317</c:v>
                </c:pt>
                <c:pt idx="102">
                  <c:v>-1.6310335358249037</c:v>
                </c:pt>
                <c:pt idx="103">
                  <c:v>-1.6026160838400865</c:v>
                </c:pt>
                <c:pt idx="104">
                  <c:v>-1.5722236991317819</c:v>
                </c:pt>
                <c:pt idx="105">
                  <c:v>-1.5401054693418985</c:v>
                </c:pt>
                <c:pt idx="106">
                  <c:v>-1.5064998893385237</c:v>
                </c:pt>
                <c:pt idx="107">
                  <c:v>-1.4716340275071076</c:v>
                </c:pt>
                <c:pt idx="108">
                  <c:v>-1.4357228964611204</c:v>
                </c:pt>
                <c:pt idx="109">
                  <c:v>-1.398969011611509</c:v>
                </c:pt>
                <c:pt idx="110">
                  <c:v>-1.3615621202935624</c:v>
                </c:pt>
                <c:pt idx="111">
                  <c:v>-1.3236790838444685</c:v>
                </c:pt>
                <c:pt idx="112">
                  <c:v>-1.2854838950924041</c:v>
                </c:pt>
                <c:pt idx="113">
                  <c:v>-1.2471278140969262</c:v>
                </c:pt>
                <c:pt idx="114">
                  <c:v>-1.2087496056119402</c:v>
                </c:pt>
                <c:pt idx="115">
                  <c:v>-1.1704758625719249</c:v>
                </c:pt>
                <c:pt idx="116">
                  <c:v>-1.1324214008791305</c:v>
                </c:pt>
                <c:pt idx="117">
                  <c:v>-1.0946897118496013</c:v>
                </c:pt>
                <c:pt idx="118">
                  <c:v>-1.0573734598197597</c:v>
                </c:pt>
                <c:pt idx="119">
                  <c:v>-1.0205550135893666</c:v>
                </c:pt>
                <c:pt idx="120">
                  <c:v>-0.98430700155265349</c:v>
                </c:pt>
                <c:pt idx="121">
                  <c:v>-0.9486928815241954</c:v>
                </c:pt>
                <c:pt idx="122">
                  <c:v>-0.91376751738125739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'New_removed_rate - bSIR'!$B$6</c:f>
              <c:strCache>
                <c:ptCount val="1"/>
                <c:pt idx="0">
                  <c:v>5-Jun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  <a:headEnd type="stealth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157</c:v>
                </c:pt>
                <c:pt idx="1">
                  <c:v>157</c:v>
                </c:pt>
              </c:numCache>
            </c:numRef>
          </c:xVal>
          <c:yVal>
            <c:numRef>
              <c:f>('New_removed_rate - bSIR'!$D$6,'New_removed_rate - bSIR'!$I$6)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'New_removed_rate - bSIR'!$B$78</c:f>
              <c:strCache>
                <c:ptCount val="1"/>
                <c:pt idx="0">
                  <c:v>11-Mar</c:v>
                </c:pt>
              </c:strCache>
            </c:strRef>
          </c:tx>
          <c:spPr>
            <a:ln w="25400" cap="rnd" cmpd="sng">
              <a:solidFill>
                <a:srgbClr val="C00000"/>
              </a:solidFill>
              <a:prstDash val="dash"/>
              <a:round/>
              <a:headEnd type="stealth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('New_removed_rate - bSIR'!$C$78,'New_removed_rate - bSIR'!$C$78)</c:f>
              <c:numCache>
                <c:formatCode>General</c:formatCode>
                <c:ptCount val="2"/>
                <c:pt idx="0">
                  <c:v>71</c:v>
                </c:pt>
                <c:pt idx="1">
                  <c:v>71</c:v>
                </c:pt>
              </c:numCache>
            </c:numRef>
          </c:xVal>
          <c:yVal>
            <c:numRef>
              <c:f>('New_removed_rate - bSIR'!$D$6,'New_removed_rate - bSIR'!$I$6)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their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84245</xdr:colOff>
      <xdr:row>6</xdr:row>
      <xdr:rowOff>86433</xdr:rowOff>
    </xdr:from>
    <xdr:to>
      <xdr:col>41</xdr:col>
      <xdr:colOff>63737</xdr:colOff>
      <xdr:row>34</xdr:row>
      <xdr:rowOff>35978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7015502" y="1534233"/>
          <a:ext cx="8481235" cy="5566574"/>
          <a:chOff x="11774348" y="-22039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774348" y="-22039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2843868" y="2234691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2686670" y="914816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298376" y="311843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4592436" y="1314390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𝐾</m:t>
                    </m:r>
                    <m:f>
                      <m:f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it-IT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tanh</m:t>
                            </m:r>
                          </m:fName>
                          <m:e>
                            <m:d>
                              <m:d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𝜓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</m:e>
                            </m:d>
                          </m:e>
                        </m:func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num>
                      <m:den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den>
                    </m:f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 tanh⁡(𝜓𝑡−𝜑)+𝑡𝑎𝑛ℎ𝜑)/(1+𝑡𝑎𝑛ℎ𝜑)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31</xdr:col>
      <xdr:colOff>120934</xdr:colOff>
      <xdr:row>60</xdr:row>
      <xdr:rowOff>65314</xdr:rowOff>
    </xdr:from>
    <xdr:to>
      <xdr:col>37</xdr:col>
      <xdr:colOff>315686</xdr:colOff>
      <xdr:row>83</xdr:row>
      <xdr:rowOff>163284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280060</xdr:colOff>
      <xdr:row>32</xdr:row>
      <xdr:rowOff>61356</xdr:rowOff>
    </xdr:from>
    <xdr:to>
      <xdr:col>35</xdr:col>
      <xdr:colOff>117763</xdr:colOff>
      <xdr:row>34</xdr:row>
      <xdr:rowOff>6926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988660" y="6756070"/>
          <a:ext cx="686789" cy="315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  <xdr:twoCellAnchor>
    <xdr:from>
      <xdr:col>31</xdr:col>
      <xdr:colOff>152401</xdr:colOff>
      <xdr:row>35</xdr:row>
      <xdr:rowOff>65313</xdr:rowOff>
    </xdr:from>
    <xdr:to>
      <xdr:col>37</xdr:col>
      <xdr:colOff>337458</xdr:colOff>
      <xdr:row>59</xdr:row>
      <xdr:rowOff>65314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B27AF182-0F72-42BC-B542-5B61D75665DC}"/>
            </a:ext>
          </a:extLst>
        </xdr:cNvPr>
        <xdr:cNvGrpSpPr/>
      </xdr:nvGrpSpPr>
      <xdr:grpSpPr>
        <a:xfrm>
          <a:off x="28313744" y="7315199"/>
          <a:ext cx="5279571" cy="4517572"/>
          <a:chOff x="28313744" y="7315199"/>
          <a:chExt cx="5279571" cy="45175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408FB116-EE2C-4EE3-97C5-32192A7FCB0E}"/>
              </a:ext>
            </a:extLst>
          </xdr:cNvPr>
          <xdr:cNvGraphicFramePr/>
        </xdr:nvGraphicFramePr>
        <xdr:xfrm>
          <a:off x="28313744" y="7315199"/>
          <a:ext cx="5279571" cy="45175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AD$52">
        <xdr:nvSpPr>
          <xdr:cNvPr id="3" name="CasellaDiTesto 2">
            <a:extLst>
              <a:ext uri="{FF2B5EF4-FFF2-40B4-BE49-F238E27FC236}">
                <a16:creationId xmlns:a16="http://schemas.microsoft.com/office/drawing/2014/main" id="{BA8BFB33-4B8C-4181-B7E0-E21DBD8FCC91}"/>
              </a:ext>
            </a:extLst>
          </xdr:cNvPr>
          <xdr:cNvSpPr txBox="1"/>
        </xdr:nvSpPr>
        <xdr:spPr>
          <a:xfrm>
            <a:off x="32580944" y="9252856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F2652D0-B534-4849-91E7-761848BEA310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0.41186</cdr:x>
      <cdr:y>0.89386</cdr:y>
    </cdr:from>
    <cdr:to>
      <cdr:x>0.49078</cdr:x>
      <cdr:y>0.94049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1967740" y="2985518"/>
          <a:ext cx="377051" cy="15574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  <cdr:relSizeAnchor xmlns:cdr="http://schemas.openxmlformats.org/drawingml/2006/chartDrawing">
    <cdr:from>
      <cdr:x>0.48797</cdr:x>
      <cdr:y>0.93012</cdr:y>
    </cdr:from>
    <cdr:to>
      <cdr:x>0.61806</cdr:x>
      <cdr:y>1</cdr:y>
    </cdr:to>
    <cdr:sp macro="" textlink="">
      <cdr:nvSpPr>
        <cdr:cNvPr id="3" name="CasellaDiTesto 20">
          <a:extLst xmlns:a="http://schemas.openxmlformats.org/drawingml/2006/main">
            <a:ext uri="{FF2B5EF4-FFF2-40B4-BE49-F238E27FC236}">
              <a16:creationId xmlns:a16="http://schemas.microsoft.com/office/drawing/2014/main" id="{C1427DA8-6C0C-4B18-A7C3-E0E8B18B4071}"/>
            </a:ext>
          </a:extLst>
        </cdr:cNvPr>
        <cdr:cNvSpPr txBox="1"/>
      </cdr:nvSpPr>
      <cdr:spPr>
        <a:xfrm xmlns:a="http://schemas.openxmlformats.org/drawingml/2006/main">
          <a:off x="2576286" y="4212773"/>
          <a:ext cx="686789" cy="3156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𝐶𝑑𝑓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f>
                      <m:f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it-IT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tanh</m:t>
                            </m:r>
                          </m:fName>
                          <m:e>
                            <m:d>
                              <m:d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𝜓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</m:e>
                            </m:d>
                          </m:e>
                        </m:func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num>
                      <m:den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den>
                    </m:f>
                  </m:oMath>
                </m:oMathPara>
              </a14:m>
              <a:endParaRPr lang="it-IT" sz="1400">
                <a:effectLst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𝐶𝑑𝑓=𝐾 ( tanh⁡(𝜓𝑡−𝜑)+𝑡𝑎𝑛ℎ𝜑)/(1+𝑡𝑎𝑛ℎ𝜑)</a:t>
              </a:r>
              <a:endParaRPr lang="it-IT" sz="1400">
                <a:effectLst/>
              </a:endParaRPr>
            </a:p>
          </xdr:txBody>
        </xdr:sp>
      </mc:Fallback>
    </mc:AlternateContent>
    <xdr:clientData/>
  </xdr:one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𝑘</m:t>
                    </m:r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𝑠𝑒𝑐h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𝜓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𝑃𝑑𝑓=𝑘〖𝑠𝑒𝑐ℎ〗^2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(𝜓𝑡−𝜑)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25904</xdr:colOff>
      <xdr:row>88</xdr:row>
      <xdr:rowOff>126260</xdr:rowOff>
    </xdr:from>
    <xdr:to>
      <xdr:col>48</xdr:col>
      <xdr:colOff>186047</xdr:colOff>
      <xdr:row>113</xdr:row>
      <xdr:rowOff>10886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312659</xdr:colOff>
      <xdr:row>88</xdr:row>
      <xdr:rowOff>123001</xdr:rowOff>
    </xdr:from>
    <xdr:to>
      <xdr:col>57</xdr:col>
      <xdr:colOff>217715</xdr:colOff>
      <xdr:row>113</xdr:row>
      <xdr:rowOff>10886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354572</xdr:colOff>
      <xdr:row>88</xdr:row>
      <xdr:rowOff>135751</xdr:rowOff>
    </xdr:from>
    <xdr:to>
      <xdr:col>67</xdr:col>
      <xdr:colOff>171202</xdr:colOff>
      <xdr:row>113</xdr:row>
      <xdr:rowOff>21773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25263</xdr:colOff>
      <xdr:row>62</xdr:row>
      <xdr:rowOff>66499</xdr:rowOff>
    </xdr:from>
    <xdr:to>
      <xdr:col>48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52437008" y="12203081"/>
          <a:ext cx="6181573" cy="4574773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48</xdr:col>
      <xdr:colOff>163286</xdr:colOff>
      <xdr:row>6</xdr:row>
      <xdr:rowOff>27764</xdr:rowOff>
    </xdr:from>
    <xdr:to>
      <xdr:col>56</xdr:col>
      <xdr:colOff>522514</xdr:colOff>
      <xdr:row>26</xdr:row>
      <xdr:rowOff>83128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58296959" y="1482491"/>
          <a:ext cx="5374573" cy="4114746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677842" y="6769734"/>
            <a:ext cx="793354" cy="3586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59</xdr:col>
      <xdr:colOff>243515</xdr:colOff>
      <xdr:row>61</xdr:row>
      <xdr:rowOff>158107</xdr:rowOff>
    </xdr:from>
    <xdr:to>
      <xdr:col>69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65262897" y="12114580"/>
          <a:ext cx="6448230" cy="4607857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49</xdr:col>
      <xdr:colOff>61774</xdr:colOff>
      <xdr:row>61</xdr:row>
      <xdr:rowOff>113117</xdr:rowOff>
    </xdr:from>
    <xdr:to>
      <xdr:col>59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8805047" y="12069590"/>
          <a:ext cx="6352880" cy="4528156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58</xdr:col>
      <xdr:colOff>92325</xdr:colOff>
      <xdr:row>27</xdr:row>
      <xdr:rowOff>190994</xdr:rowOff>
    </xdr:from>
    <xdr:to>
      <xdr:col>68</xdr:col>
      <xdr:colOff>72241</xdr:colOff>
      <xdr:row>48</xdr:row>
      <xdr:rowOff>103910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64502107" y="5899067"/>
          <a:ext cx="6075916" cy="3792188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70</xdr:col>
      <xdr:colOff>97972</xdr:colOff>
      <xdr:row>61</xdr:row>
      <xdr:rowOff>174171</xdr:rowOff>
    </xdr:from>
    <xdr:to>
      <xdr:col>80</xdr:col>
      <xdr:colOff>346364</xdr:colOff>
      <xdr:row>87</xdr:row>
      <xdr:rowOff>88074</xdr:rowOff>
    </xdr:to>
    <xdr:grpSp>
      <xdr:nvGrpSpPr>
        <xdr:cNvPr id="24" name="Gruppo 23">
          <a:extLst>
            <a:ext uri="{FF2B5EF4-FFF2-40B4-BE49-F238E27FC236}">
              <a16:creationId xmlns:a16="http://schemas.microsoft.com/office/drawing/2014/main" id="{BFBE208D-52F9-4AAB-85F7-C0512BB98D6D}"/>
            </a:ext>
          </a:extLst>
        </xdr:cNvPr>
        <xdr:cNvGrpSpPr/>
      </xdr:nvGrpSpPr>
      <xdr:grpSpPr>
        <a:xfrm>
          <a:off x="71822954" y="12130644"/>
          <a:ext cx="6344392" cy="4596739"/>
          <a:chOff x="71834829" y="12333514"/>
          <a:chExt cx="6344392" cy="4725389"/>
        </a:xfrm>
      </xdr:grpSpPr>
      <xdr:graphicFrame macro="">
        <xdr:nvGraphicFramePr>
          <xdr:cNvPr id="20" name="Grafico 19">
            <a:extLst>
              <a:ext uri="{FF2B5EF4-FFF2-40B4-BE49-F238E27FC236}">
                <a16:creationId xmlns:a16="http://schemas.microsoft.com/office/drawing/2014/main" id="{BA06B07B-4246-4AE7-9C73-F7F0486044C4}"/>
              </a:ext>
            </a:extLst>
          </xdr:cNvPr>
          <xdr:cNvGraphicFramePr>
            <a:graphicFrameLocks/>
          </xdr:cNvGraphicFramePr>
        </xdr:nvGraphicFramePr>
        <xdr:xfrm>
          <a:off x="71834829" y="12333514"/>
          <a:ext cx="6344392" cy="4725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3" name="CasellaDiTesto 32">
            <a:extLst>
              <a:ext uri="{FF2B5EF4-FFF2-40B4-BE49-F238E27FC236}">
                <a16:creationId xmlns:a16="http://schemas.microsoft.com/office/drawing/2014/main" id="{0AEA9B35-D2AB-467F-8D8B-0E095F351D30}"/>
              </a:ext>
            </a:extLst>
          </xdr:cNvPr>
          <xdr:cNvSpPr txBox="1"/>
        </xdr:nvSpPr>
        <xdr:spPr>
          <a:xfrm>
            <a:off x="74806628" y="16685821"/>
            <a:ext cx="595746" cy="268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58</xdr:col>
      <xdr:colOff>74221</xdr:colOff>
      <xdr:row>6</xdr:row>
      <xdr:rowOff>16823</xdr:rowOff>
    </xdr:from>
    <xdr:to>
      <xdr:col>66</xdr:col>
      <xdr:colOff>576943</xdr:colOff>
      <xdr:row>26</xdr:row>
      <xdr:rowOff>87085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64484003" y="1471550"/>
          <a:ext cx="5379522" cy="4129644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676616" y="5129459"/>
            <a:ext cx="874332" cy="386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68</xdr:col>
      <xdr:colOff>217715</xdr:colOff>
      <xdr:row>28</xdr:row>
      <xdr:rowOff>1</xdr:rowOff>
    </xdr:from>
    <xdr:to>
      <xdr:col>78</xdr:col>
      <xdr:colOff>197631</xdr:colOff>
      <xdr:row>48</xdr:row>
      <xdr:rowOff>114797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70723497" y="5902037"/>
          <a:ext cx="6075916" cy="3800105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46</xdr:col>
      <xdr:colOff>16066</xdr:colOff>
      <xdr:row>33</xdr:row>
      <xdr:rowOff>67590</xdr:rowOff>
    </xdr:from>
    <xdr:to>
      <xdr:col>55</xdr:col>
      <xdr:colOff>562100</xdr:colOff>
      <xdr:row>57</xdr:row>
      <xdr:rowOff>144483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83CDD66F-C880-439C-90BE-045CDBE4CE75}"/>
            </a:ext>
          </a:extLst>
        </xdr:cNvPr>
        <xdr:cNvGrpSpPr/>
      </xdr:nvGrpSpPr>
      <xdr:grpSpPr>
        <a:xfrm>
          <a:off x="56307084" y="6884026"/>
          <a:ext cx="6794434" cy="4496493"/>
          <a:chOff x="56316980" y="6969133"/>
          <a:chExt cx="6794434" cy="4594464"/>
        </a:xfrm>
      </xdr:grpSpPr>
      <xdr:grpSp>
        <xdr:nvGrpSpPr>
          <xdr:cNvPr id="7" name="Gruppo 6">
            <a:extLst>
              <a:ext uri="{FF2B5EF4-FFF2-40B4-BE49-F238E27FC236}">
                <a16:creationId xmlns:a16="http://schemas.microsoft.com/office/drawing/2014/main" id="{1377B26B-43A2-4D86-A7F5-6D05E3D9B1B5}"/>
              </a:ext>
            </a:extLst>
          </xdr:cNvPr>
          <xdr:cNvGrpSpPr/>
        </xdr:nvGrpSpPr>
        <xdr:grpSpPr>
          <a:xfrm>
            <a:off x="56316980" y="6969133"/>
            <a:ext cx="6794434" cy="4594464"/>
            <a:chOff x="49127460" y="8634290"/>
            <a:chExt cx="6794434" cy="4488872"/>
          </a:xfrm>
        </xdr:grpSpPr>
        <xdr:graphicFrame macro="">
          <xdr:nvGraphicFramePr>
            <xdr:cNvPr id="15" name="Grafico 14">
              <a:extLst>
                <a:ext uri="{FF2B5EF4-FFF2-40B4-BE49-F238E27FC236}">
                  <a16:creationId xmlns:a16="http://schemas.microsoft.com/office/drawing/2014/main" id="{E0CCC212-3C18-4678-8FDC-D975EEA29A88}"/>
                </a:ext>
              </a:extLst>
            </xdr:cNvPr>
            <xdr:cNvGraphicFramePr>
              <a:graphicFrameLocks/>
            </xdr:cNvGraphicFramePr>
          </xdr:nvGraphicFramePr>
          <xdr:xfrm>
            <a:off x="49127460" y="8634290"/>
            <a:ext cx="6794434" cy="448887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  <xdr:sp macro="" textlink="$B$8">
          <xdr:nvSpPr>
            <xdr:cNvPr id="34" name="CasellaDiTesto 33">
              <a:extLst>
                <a:ext uri="{FF2B5EF4-FFF2-40B4-BE49-F238E27FC236}">
                  <a16:creationId xmlns:a16="http://schemas.microsoft.com/office/drawing/2014/main" id="{BB8A9304-746F-41F0-A147-1B3D922596B6}"/>
                </a:ext>
              </a:extLst>
            </xdr:cNvPr>
            <xdr:cNvSpPr txBox="1"/>
          </xdr:nvSpPr>
          <xdr:spPr>
            <a:xfrm>
              <a:off x="52424786" y="12654019"/>
              <a:ext cx="595746" cy="2632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A042946-A852-47D0-A468-DBF120FFA9F2}" type="TxLink">
                <a:rPr lang="en-US" sz="1100" b="0" i="0" u="none" strike="noStrike">
                  <a:ln>
                    <a:noFill/>
                  </a:ln>
                  <a:solidFill>
                    <a:srgbClr val="9C5700"/>
                  </a:solidFill>
                  <a:latin typeface="Calibri"/>
                  <a:cs typeface="Calibri"/>
                </a:rPr>
                <a:pPr/>
                <a:t>01-gen</a:t>
              </a:fld>
              <a:endParaRPr lang="it-IT" sz="1100">
                <a:ln>
                  <a:noFill/>
                </a:ln>
              </a:endParaRPr>
            </a:p>
          </xdr:txBody>
        </xdr:sp>
      </xdr:grpSp>
      <xdr:sp macro="" textlink="Cumul_removed_bSIR!$AD$52">
        <xdr:nvSpPr>
          <xdr:cNvPr id="40" name="CasellaDiTesto 39">
            <a:extLst>
              <a:ext uri="{FF2B5EF4-FFF2-40B4-BE49-F238E27FC236}">
                <a16:creationId xmlns:a16="http://schemas.microsoft.com/office/drawing/2014/main" id="{FCE1FEBE-31BB-4C36-AE5B-F28E94AB7959}"/>
              </a:ext>
            </a:extLst>
          </xdr:cNvPr>
          <xdr:cNvSpPr txBox="1"/>
        </xdr:nvSpPr>
        <xdr:spPr>
          <a:xfrm>
            <a:off x="61656686" y="7979229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0FADCF-C35D-461F-85EE-8EFF41035337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32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67</xdr:col>
      <xdr:colOff>70262</xdr:colOff>
      <xdr:row>6</xdr:row>
      <xdr:rowOff>21771</xdr:rowOff>
    </xdr:from>
    <xdr:to>
      <xdr:col>76</xdr:col>
      <xdr:colOff>576943</xdr:colOff>
      <xdr:row>26</xdr:row>
      <xdr:rowOff>97971</xdr:rowOff>
    </xdr:to>
    <xdr:grpSp>
      <xdr:nvGrpSpPr>
        <xdr:cNvPr id="22" name="Gruppo 21">
          <a:extLst>
            <a:ext uri="{FF2B5EF4-FFF2-40B4-BE49-F238E27FC236}">
              <a16:creationId xmlns:a16="http://schemas.microsoft.com/office/drawing/2014/main" id="{D42F20A2-24A6-4D10-8509-DA715FE85DD4}"/>
            </a:ext>
          </a:extLst>
        </xdr:cNvPr>
        <xdr:cNvGrpSpPr/>
      </xdr:nvGrpSpPr>
      <xdr:grpSpPr>
        <a:xfrm>
          <a:off x="69966444" y="1476498"/>
          <a:ext cx="5993081" cy="4135582"/>
          <a:chOff x="69978319" y="1469571"/>
          <a:chExt cx="5993081" cy="4201886"/>
        </a:xfrm>
      </xdr:grpSpPr>
      <xdr:grpSp>
        <xdr:nvGrpSpPr>
          <xdr:cNvPr id="37" name="Gruppo 36">
            <a:extLst>
              <a:ext uri="{FF2B5EF4-FFF2-40B4-BE49-F238E27FC236}">
                <a16:creationId xmlns:a16="http://schemas.microsoft.com/office/drawing/2014/main" id="{38D9F5B2-6824-48C8-9EAE-414F2DB71AED}"/>
              </a:ext>
            </a:extLst>
          </xdr:cNvPr>
          <xdr:cNvGrpSpPr/>
        </xdr:nvGrpSpPr>
        <xdr:grpSpPr>
          <a:xfrm>
            <a:off x="69978319" y="1469571"/>
            <a:ext cx="5993081" cy="4201886"/>
            <a:chOff x="48609894" y="6677891"/>
            <a:chExt cx="6794434" cy="4488872"/>
          </a:xfrm>
        </xdr:grpSpPr>
        <xdr:graphicFrame macro="">
          <xdr:nvGraphicFramePr>
            <xdr:cNvPr id="38" name="Grafico 37">
              <a:extLst>
                <a:ext uri="{FF2B5EF4-FFF2-40B4-BE49-F238E27FC236}">
                  <a16:creationId xmlns:a16="http://schemas.microsoft.com/office/drawing/2014/main" id="{3C4BCE83-FB93-492A-9F40-ECCC162EB01E}"/>
                </a:ext>
              </a:extLst>
            </xdr:cNvPr>
            <xdr:cNvGraphicFramePr>
              <a:graphicFrameLocks/>
            </xdr:cNvGraphicFramePr>
          </xdr:nvGraphicFramePr>
          <xdr:xfrm>
            <a:off x="48609894" y="6677891"/>
            <a:ext cx="6794434" cy="448887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sp macro="" textlink="$B$8">
          <xdr:nvSpPr>
            <xdr:cNvPr id="39" name="CasellaDiTesto 38">
              <a:extLst>
                <a:ext uri="{FF2B5EF4-FFF2-40B4-BE49-F238E27FC236}">
                  <a16:creationId xmlns:a16="http://schemas.microsoft.com/office/drawing/2014/main" id="{8D40946E-570E-4B6E-A464-D16F28E4E5B1}"/>
                </a:ext>
              </a:extLst>
            </xdr:cNvPr>
            <xdr:cNvSpPr txBox="1"/>
          </xdr:nvSpPr>
          <xdr:spPr>
            <a:xfrm>
              <a:off x="52536442" y="10723417"/>
              <a:ext cx="868598" cy="2689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A042946-A852-47D0-A468-DBF120FFA9F2}" type="TxLink">
                <a:rPr lang="en-US" sz="1100" b="0" i="0" u="none" strike="noStrike">
                  <a:ln>
                    <a:noFill/>
                  </a:ln>
                  <a:solidFill>
                    <a:srgbClr val="9C5700"/>
                  </a:solidFill>
                  <a:latin typeface="Calibri"/>
                  <a:cs typeface="Calibri"/>
                </a:rPr>
                <a:pPr/>
                <a:t>01-gen</a:t>
              </a:fld>
              <a:endParaRPr lang="it-IT" sz="1100">
                <a:ln>
                  <a:noFill/>
                </a:ln>
              </a:endParaRPr>
            </a:p>
          </xdr:txBody>
        </xdr:sp>
      </xdr:grpSp>
      <xdr:sp macro="" textlink="Cumul_removed_bSIR!$AD$52">
        <xdr:nvSpPr>
          <xdr:cNvPr id="44" name="CasellaDiTesto 43">
            <a:extLst>
              <a:ext uri="{FF2B5EF4-FFF2-40B4-BE49-F238E27FC236}">
                <a16:creationId xmlns:a16="http://schemas.microsoft.com/office/drawing/2014/main" id="{5CC42541-0E6B-4295-AAC5-5E7E1B688A4C}"/>
              </a:ext>
            </a:extLst>
          </xdr:cNvPr>
          <xdr:cNvSpPr txBox="1"/>
        </xdr:nvSpPr>
        <xdr:spPr>
          <a:xfrm>
            <a:off x="74289061" y="2100942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0FADCF-C35D-461F-85EE-8EFF41035337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32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57</xdr:col>
      <xdr:colOff>116203</xdr:colOff>
      <xdr:row>69</xdr:row>
      <xdr:rowOff>145775</xdr:rowOff>
    </xdr:from>
    <xdr:to>
      <xdr:col>58</xdr:col>
      <xdr:colOff>399231</xdr:colOff>
      <xdr:row>71</xdr:row>
      <xdr:rowOff>113118</xdr:rowOff>
    </xdr:to>
    <xdr:sp macro="" textlink="Cumul_removed_bSIR!$AD$52">
      <xdr:nvSpPr>
        <xdr:cNvPr id="45" name="CasellaDiTesto 44">
          <a:extLst>
            <a:ext uri="{FF2B5EF4-FFF2-40B4-BE49-F238E27FC236}">
              <a16:creationId xmlns:a16="http://schemas.microsoft.com/office/drawing/2014/main" id="{67457D69-8F12-469F-9F69-EE03D1C45F3E}"/>
            </a:ext>
          </a:extLst>
        </xdr:cNvPr>
        <xdr:cNvSpPr txBox="1"/>
      </xdr:nvSpPr>
      <xdr:spPr>
        <a:xfrm>
          <a:off x="63884717" y="13785575"/>
          <a:ext cx="936171" cy="337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0.79615</cdr:x>
      <cdr:y>0.26927</cdr:y>
    </cdr:from>
    <cdr:to>
      <cdr:x>0.96535</cdr:x>
      <cdr:y>0.34402</cdr:y>
    </cdr:to>
    <cdr:sp macro="" textlink="">
      <cdr:nvSpPr>
        <cdr:cNvPr id="2" name="CasellaDiTesto 44">
          <a:extLst xmlns:a="http://schemas.openxmlformats.org/drawingml/2006/main">
            <a:ext uri="{FF2B5EF4-FFF2-40B4-BE49-F238E27FC236}">
              <a16:creationId xmlns:a16="http://schemas.microsoft.com/office/drawing/2014/main" id="{67457D69-8F12-469F-9F69-EE03D1C45F3E}"/>
            </a:ext>
          </a:extLst>
        </cdr:cNvPr>
        <cdr:cNvSpPr txBox="1"/>
      </cdr:nvSpPr>
      <cdr:spPr>
        <a:xfrm xmlns:a="http://schemas.openxmlformats.org/drawingml/2006/main">
          <a:off x="4405086" y="1215572"/>
          <a:ext cx="936171" cy="33745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=−2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𝜓</m:t>
                    </m:r>
                    <m:r>
                      <m:rPr>
                        <m:sty m:val="p"/>
                      </m:rPr>
                      <a:rPr lang="it-IT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tanh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⁡(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𝜑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)∙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𝑦^′=𝜂(𝑡)𝑃𝑑𝑓=−2𝜓tanh⁡(𝜓𝑡−𝜑)∙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8209711" y="2021830"/>
          <a:ext cx="9693903" cy="9405993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78</xdr:col>
      <xdr:colOff>213360</xdr:colOff>
      <xdr:row>112</xdr:row>
      <xdr:rowOff>0</xdr:rowOff>
    </xdr:from>
    <xdr:to>
      <xdr:col>95</xdr:col>
      <xdr:colOff>548640</xdr:colOff>
      <xdr:row>163</xdr:row>
      <xdr:rowOff>736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68401474" y="21619029"/>
          <a:ext cx="10850880" cy="9438650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8967888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73</xdr:col>
      <xdr:colOff>624840</xdr:colOff>
      <xdr:row>58</xdr:row>
      <xdr:rowOff>8708</xdr:rowOff>
    </xdr:from>
    <xdr:to>
      <xdr:col>94</xdr:col>
      <xdr:colOff>152400</xdr:colOff>
      <xdr:row>108</xdr:row>
      <xdr:rowOff>129187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66755554" y="11591108"/>
          <a:ext cx="11490960" cy="9416879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77</xdr:col>
      <xdr:colOff>548640</xdr:colOff>
      <xdr:row>166</xdr:row>
      <xdr:rowOff>58880</xdr:rowOff>
    </xdr:from>
    <xdr:to>
      <xdr:col>96</xdr:col>
      <xdr:colOff>548640</xdr:colOff>
      <xdr:row>208</xdr:row>
      <xdr:rowOff>129540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97</xdr:col>
      <xdr:colOff>289560</xdr:colOff>
      <xdr:row>130</xdr:row>
      <xdr:rowOff>137160</xdr:rowOff>
    </xdr:from>
    <xdr:to>
      <xdr:col>114</xdr:col>
      <xdr:colOff>235528</xdr:colOff>
      <xdr:row>169</xdr:row>
      <xdr:rowOff>8315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97</xdr:col>
      <xdr:colOff>533400</xdr:colOff>
      <xdr:row>95</xdr:row>
      <xdr:rowOff>118653</xdr:rowOff>
    </xdr:from>
    <xdr:to>
      <xdr:col>110</xdr:col>
      <xdr:colOff>555172</xdr:colOff>
      <xdr:row>128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16295</xdr:colOff>
      <xdr:row>57</xdr:row>
      <xdr:rowOff>5283</xdr:rowOff>
    </xdr:from>
    <xdr:to>
      <xdr:col>109</xdr:col>
      <xdr:colOff>20650</xdr:colOff>
      <xdr:row>92</xdr:row>
      <xdr:rowOff>5284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0.45787</cdr:x>
      <cdr:y>0.95993</cdr:y>
    </cdr:from>
    <cdr:to>
      <cdr:x>0.54498</cdr:x>
      <cdr:y>0.99458</cdr:y>
    </cdr:to>
    <cdr:sp macro="" textlink="">
      <cdr:nvSpPr>
        <cdr:cNvPr id="2" name="CasellaDiTesto 4">
          <a:extLst xmlns:a="http://schemas.openxmlformats.org/drawingml/2006/main">
            <a:ext uri="{FF2B5EF4-FFF2-40B4-BE49-F238E27FC236}">
              <a16:creationId xmlns:a16="http://schemas.microsoft.com/office/drawing/2014/main" id="{1A0EFA68-397F-40D6-9CF4-DEC61FC1CC85}"/>
            </a:ext>
          </a:extLst>
        </cdr:cNvPr>
        <cdr:cNvSpPr txBox="1"/>
      </cdr:nvSpPr>
      <cdr:spPr>
        <a:xfrm xmlns:a="http://schemas.openxmlformats.org/drawingml/2006/main">
          <a:off x="4515223" y="8755529"/>
          <a:ext cx="858982" cy="316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066C2CB5-EDD9-4959-A92C-1D08B76F0C24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1-Jan</a:t>
          </a:fld>
          <a:endParaRPr lang="it-IT" sz="1100"/>
        </a:p>
      </cdr:txBody>
    </cdr:sp>
  </cdr:relSizeAnchor>
  <cdr:relSizeAnchor xmlns:cdr="http://schemas.openxmlformats.org/drawingml/2006/chartDrawing">
    <cdr:from>
      <cdr:x>0.8515</cdr:x>
      <cdr:y>0.20804</cdr:y>
    </cdr:from>
    <cdr:to>
      <cdr:x>0.94643</cdr:x>
      <cdr:y>0.24425</cdr:y>
    </cdr:to>
    <cdr:sp macro="" textlink="">
      <cdr:nvSpPr>
        <cdr:cNvPr id="3" name="CasellaDiTesto 39">
          <a:extLst xmlns:a="http://schemas.openxmlformats.org/drawingml/2006/main">
            <a:ext uri="{FF2B5EF4-FFF2-40B4-BE49-F238E27FC236}">
              <a16:creationId xmlns:a16="http://schemas.microsoft.com/office/drawing/2014/main" id="{FCE1FEBE-31BB-4C36-AE5B-F28E94AB7959}"/>
            </a:ext>
          </a:extLst>
        </cdr:cNvPr>
        <cdr:cNvSpPr txBox="1"/>
      </cdr:nvSpPr>
      <cdr:spPr>
        <a:xfrm xmlns:a="http://schemas.openxmlformats.org/drawingml/2006/main">
          <a:off x="8396941" y="1897530"/>
          <a:ext cx="936171" cy="33026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0.28842</cdr:x>
      <cdr:y>0.68364</cdr:y>
    </cdr:from>
    <cdr:to>
      <cdr:x>0.36817</cdr:x>
      <cdr:y>0.72691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3384550" y="551815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0.3357</cdr:x>
      <cdr:y>0.57841</cdr:y>
    </cdr:from>
    <cdr:to>
      <cdr:x>0.42647</cdr:x>
      <cdr:y>0.62625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109ACD86-9341-4846-BF0C-87B1C5F88725}"/>
            </a:ext>
          </a:extLst>
        </cdr:cNvPr>
        <cdr:cNvSpPr txBox="1"/>
      </cdr:nvSpPr>
      <cdr:spPr>
        <a:xfrm xmlns:a="http://schemas.openxmlformats.org/drawingml/2006/main">
          <a:off x="3460750" y="422275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0.179</cdr:x>
      <cdr:y>0.63397</cdr:y>
    </cdr:from>
    <cdr:to>
      <cdr:x>0.29676</cdr:x>
      <cdr:y>0.68967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1422400" y="397510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0.73103</cdr:x>
      <cdr:y>0.65905</cdr:y>
    </cdr:from>
    <cdr:to>
      <cdr:x>0.84062</cdr:x>
      <cdr:y>0.71143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6242050" y="439420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87.112968634261" createdVersion="6" refreshedVersion="6" minRefreshableVersion="3" recordCount="2143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6-04T17:00:00" count="103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d v="2020-04-27T17:00:00"/>
        <d v="2020-04-28T17:00:00"/>
        <d v="2020-04-29T17:00:00"/>
        <d v="2020-04-30T17:00:00"/>
        <d v="2020-05-01T17:00:00"/>
        <d v="2020-05-02T17:00:00"/>
        <d v="2020-05-03T17:00:00"/>
        <d v="2020-05-04T17:00:00"/>
        <d v="2020-05-05T17:00:00"/>
        <d v="2020-05-06T17:00:00"/>
        <d v="2020-05-07T17:00:00"/>
        <d v="2020-05-08T17:00:00"/>
        <d v="2020-05-09T17:00:00"/>
        <d v="2020-05-10T17:00:00"/>
        <d v="2020-05-11T17:00:00"/>
        <d v="2020-05-12T17:00:00"/>
        <d v="2020-05-13T17:00:00"/>
        <d v="2020-05-14T17:00:00"/>
        <d v="2020-05-15T17:00:00"/>
        <d v="2020-05-16T17:00:00"/>
        <d v="2020-05-17T17:00:00"/>
        <d v="2020-05-18T17:00:00"/>
        <d v="2020-05-19T17:00:00"/>
        <d v="2020-05-20T17:00:00"/>
        <d v="2020-05-21T17:00:00"/>
        <d v="2020-05-22T17:00:00"/>
        <d v="2020-05-23T17:00:00"/>
        <d v="2020-05-24T17:00:00"/>
        <d v="2020-05-25T17:00:00"/>
        <d v="2020-05-26T17:00:00"/>
        <d v="2020-05-27T17:00:00"/>
        <d v="2020-05-28T17:00:00"/>
        <d v="2020-05-29T17:00:00"/>
        <d v="2020-05-30T17:00:00"/>
        <d v="2020-05-31T17:00:00"/>
        <d v="2020-06-01T17:00:00"/>
        <d v="2020-06-02T17:00:00"/>
        <d v="2020-06-03T17:00:00"/>
        <d v="2020-06-04T17:00:00"/>
        <m/>
      </sharedItems>
      <fieldGroup par="17" base="0">
        <rangePr groupBy="days" startDate="2020-02-24T18:00:00" endDate="2020-06-04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4/06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2" count="23">
        <n v="13"/>
        <n v="17"/>
        <n v="21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22"/>
        <n v="10"/>
        <n v="2"/>
        <n v="5"/>
        <m/>
        <n v="4" u="1"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30382"/>
    </cacheField>
    <cacheField name="totale_positivi" numFmtId="0">
      <sharedItems containsString="0" containsBlank="1" containsNumber="1" containsInteger="1" minValue="0" maxValue="37307"/>
    </cacheField>
    <cacheField name="variazione_totale_positivi" numFmtId="0">
      <sharedItems containsString="0" containsBlank="1" containsNumber="1" containsInteger="1" minValue="-533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53101"/>
    </cacheField>
    <cacheField name="deceduti" numFmtId="0">
      <sharedItems containsString="0" containsBlank="1" containsNumber="1" containsInteger="1" minValue="0" maxValue="16201"/>
    </cacheField>
    <cacheField name="totale_casi" numFmtId="0">
      <sharedItems containsString="0" containsBlank="1" containsNumber="1" containsInteger="1" minValue="0" maxValue="89526"/>
    </cacheField>
    <cacheField name="tamponi" numFmtId="0">
      <sharedItems containsString="0" containsBlank="1" containsNumber="1" containsInteger="1" minValue="0" maxValue="780887"/>
    </cacheField>
    <cacheField name="Mesi" numFmtId="0" databaseField="0">
      <fieldGroup base="0">
        <rangePr groupBy="months" startDate="2020-02-24T18:00:00" endDate="2020-06-04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4/0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3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17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8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9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20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17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9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20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17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9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20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17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9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20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17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8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9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20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17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8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9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20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17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8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9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20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17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8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9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20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17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8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9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20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17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8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9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20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17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8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9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20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17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8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9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20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17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8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9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20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17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8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9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20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17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8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9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20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17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8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9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20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17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8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9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20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17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8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9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20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17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8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9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20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17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8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9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20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17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8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9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20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17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8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9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20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17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8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9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20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17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8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9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20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17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8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9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20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17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8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9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20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17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8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9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20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17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8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9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20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17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8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9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20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17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8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9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20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17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8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9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20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17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8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9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20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17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8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9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20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17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8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9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20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17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8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9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20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17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8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9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20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17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8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9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20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17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8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9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20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17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8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9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20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17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8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9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20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17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8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9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20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17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8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9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20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17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8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9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20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17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8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9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20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17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8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9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20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17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8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9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20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17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8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9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20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17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8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9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20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17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8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9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20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17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8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9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20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17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8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9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20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17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8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9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20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17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8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9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20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17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8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9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20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17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8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9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20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17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8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9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20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17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8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9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20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17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8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9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20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17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8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9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20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17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8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9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20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17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8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9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20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17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8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9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20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17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8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9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20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s v="ITA"/>
    <x v="0"/>
    <x v="0"/>
    <n v="4235122196"/>
    <n v="1339843823"/>
    <n v="328"/>
    <n v="23"/>
    <n v="351"/>
    <n v="1679"/>
    <n v="2030"/>
    <n v="-38"/>
    <n v="15"/>
    <n v="545"/>
    <n v="299"/>
    <n v="2874"/>
    <n v="34176"/>
  </r>
  <r>
    <x v="63"/>
    <s v="ITA"/>
    <x v="1"/>
    <x v="1"/>
    <n v="4063947052"/>
    <n v="1580514834"/>
    <n v="57"/>
    <n v="7"/>
    <n v="64"/>
    <n v="153"/>
    <n v="217"/>
    <n v="-2"/>
    <n v="0"/>
    <n v="124"/>
    <n v="25"/>
    <n v="366"/>
    <n v="10364"/>
  </r>
  <r>
    <x v="63"/>
    <s v="ITA"/>
    <x v="2"/>
    <x v="2"/>
    <n v="4649933453"/>
    <n v="1135662422"/>
    <n v="150"/>
    <n v="16"/>
    <n v="166"/>
    <n v="774"/>
    <n v="940"/>
    <n v="-54"/>
    <n v="15"/>
    <n v="1286"/>
    <n v="270"/>
    <n v="2496"/>
    <n v="38640"/>
  </r>
  <r>
    <x v="63"/>
    <s v="ITA"/>
    <x v="3"/>
    <x v="3"/>
    <n v="3890597598"/>
    <n v="1659440194"/>
    <n v="114"/>
    <n v="6"/>
    <n v="120"/>
    <n v="662"/>
    <n v="782"/>
    <n v="-15"/>
    <n v="7"/>
    <n v="231"/>
    <n v="83"/>
    <n v="1096"/>
    <n v="31787"/>
  </r>
  <r>
    <x v="63"/>
    <s v="ITA"/>
    <x v="4"/>
    <x v="4"/>
    <n v="4083956555"/>
    <n v="1425084984"/>
    <n v="541"/>
    <n v="37"/>
    <n v="578"/>
    <n v="2299"/>
    <n v="2877"/>
    <n v="-47"/>
    <n v="18"/>
    <n v="1120"/>
    <n v="352"/>
    <n v="4349"/>
    <n v="68727"/>
  </r>
  <r>
    <x v="63"/>
    <s v="ITA"/>
    <x v="5"/>
    <x v="5"/>
    <n v="4449436681"/>
    <n v="113417208"/>
    <n v="2640"/>
    <n v="247"/>
    <n v="2887"/>
    <n v="9338"/>
    <n v="12225"/>
    <n v="-116"/>
    <n v="212"/>
    <n v="9006"/>
    <n v="3431"/>
    <n v="24662"/>
    <n v="164979"/>
  </r>
  <r>
    <x v="63"/>
    <s v="ITA"/>
    <x v="6"/>
    <x v="6"/>
    <n v="456494354"/>
    <n v="1376813649"/>
    <n v="130"/>
    <n v="13"/>
    <n v="143"/>
    <n v="1115"/>
    <n v="1258"/>
    <n v="10"/>
    <n v="60"/>
    <n v="1448"/>
    <n v="271"/>
    <n v="2977"/>
    <n v="60940"/>
  </r>
  <r>
    <x v="63"/>
    <s v="ITA"/>
    <x v="7"/>
    <x v="7"/>
    <n v="4189277044"/>
    <n v="1248366722"/>
    <n v="1464"/>
    <n v="143"/>
    <n v="1607"/>
    <n v="2955"/>
    <n v="4562"/>
    <n v="-11"/>
    <n v="83"/>
    <n v="1433"/>
    <n v="397"/>
    <n v="6392"/>
    <n v="124769"/>
  </r>
  <r>
    <x v="63"/>
    <s v="ITA"/>
    <x v="8"/>
    <x v="8"/>
    <n v="4441149315"/>
    <n v="89326992"/>
    <n v="754"/>
    <n v="83"/>
    <n v="837"/>
    <n v="2743"/>
    <n v="3580"/>
    <n v="100"/>
    <n v="154"/>
    <n v="2934"/>
    <n v="1128"/>
    <n v="7642"/>
    <n v="44039"/>
  </r>
  <r>
    <x v="63"/>
    <s v="ITA"/>
    <x v="9"/>
    <x v="9"/>
    <n v="4546679409"/>
    <n v="9190347404"/>
    <n v="7525"/>
    <n v="680"/>
    <n v="8205"/>
    <n v="27236"/>
    <n v="35441"/>
    <n v="275"/>
    <n v="590"/>
    <n v="24589"/>
    <n v="13449"/>
    <n v="73479"/>
    <n v="342850"/>
  </r>
  <r>
    <x v="63"/>
    <s v="ITA"/>
    <x v="10"/>
    <x v="10"/>
    <n v="4361675973"/>
    <n v="135188753"/>
    <n v="667"/>
    <n v="58"/>
    <n v="725"/>
    <n v="2585"/>
    <n v="3310"/>
    <n v="2"/>
    <n v="16"/>
    <n v="1933"/>
    <n v="884"/>
    <n v="6127"/>
    <n v="52765"/>
  </r>
  <r>
    <x v="63"/>
    <s v="ITA"/>
    <x v="11"/>
    <x v="11"/>
    <n v="4155774754"/>
    <n v="1465916051"/>
    <n v="20"/>
    <n v="1"/>
    <n v="21"/>
    <n v="179"/>
    <n v="200"/>
    <n v="0"/>
    <n v="0"/>
    <n v="75"/>
    <n v="21"/>
    <n v="296"/>
    <n v="5656"/>
  </r>
  <r>
    <x v="63"/>
    <s v="ITA"/>
    <x v="12"/>
    <x v="12"/>
    <n v="450732745"/>
    <n v="7680687483"/>
    <n v="2830"/>
    <n v="214"/>
    <n v="3044"/>
    <n v="12464"/>
    <n v="15508"/>
    <n v="-11"/>
    <n v="278"/>
    <n v="6712"/>
    <n v="2878"/>
    <n v="25098"/>
    <n v="139348"/>
  </r>
  <r>
    <x v="63"/>
    <s v="ITA"/>
    <x v="13"/>
    <x v="13"/>
    <n v="4112559576"/>
    <n v="1686736689"/>
    <n v="449"/>
    <n v="51"/>
    <n v="500"/>
    <n v="2412"/>
    <n v="2912"/>
    <n v="-25"/>
    <n v="10"/>
    <n v="641"/>
    <n v="405"/>
    <n v="3958"/>
    <n v="56976"/>
  </r>
  <r>
    <x v="63"/>
    <s v="ITA"/>
    <x v="14"/>
    <x v="14"/>
    <n v="3921531192"/>
    <n v="9110616306"/>
    <n v="97"/>
    <n v="19"/>
    <n v="116"/>
    <n v="660"/>
    <n v="776"/>
    <n v="-7"/>
    <n v="3"/>
    <n v="398"/>
    <n v="109"/>
    <n v="1283"/>
    <n v="21395"/>
  </r>
  <r>
    <x v="63"/>
    <s v="ITA"/>
    <x v="15"/>
    <x v="15"/>
    <n v="3811569725"/>
    <n v="133623567"/>
    <n v="440"/>
    <n v="35"/>
    <n v="475"/>
    <n v="1648"/>
    <n v="2123"/>
    <n v="16"/>
    <n v="30"/>
    <n v="731"/>
    <n v="231"/>
    <n v="3085"/>
    <n v="70650"/>
  </r>
  <r>
    <x v="63"/>
    <s v="ITA"/>
    <x v="16"/>
    <x v="16"/>
    <n v="4376923077"/>
    <n v="1125588885"/>
    <n v="671"/>
    <n v="154"/>
    <n v="825"/>
    <n v="5158"/>
    <n v="5983"/>
    <n v="-86"/>
    <n v="32"/>
    <n v="2401"/>
    <n v="795"/>
    <n v="9179"/>
    <n v="129048"/>
  </r>
  <r>
    <x v="63"/>
    <s v="ITA"/>
    <x v="17"/>
    <x v="17"/>
    <n v="4606893511"/>
    <n v="1112123097"/>
    <n v="201"/>
    <n v="23"/>
    <n v="224"/>
    <n v="1483"/>
    <n v="1707"/>
    <n v="25"/>
    <n v="101"/>
    <n v="1881"/>
    <n v="407"/>
    <n v="3995"/>
    <n v="33152"/>
  </r>
  <r>
    <x v="63"/>
    <s v="ITA"/>
    <x v="18"/>
    <x v="18"/>
    <n v="4310675841"/>
    <n v="1238824698"/>
    <n v="90"/>
    <n v="16"/>
    <n v="106"/>
    <n v="181"/>
    <n v="287"/>
    <n v="-9"/>
    <n v="2"/>
    <n v="1018"/>
    <n v="65"/>
    <n v="1370"/>
    <n v="32823"/>
  </r>
  <r>
    <x v="63"/>
    <s v="ITA"/>
    <x v="19"/>
    <x v="19"/>
    <n v="4573750286"/>
    <n v="7320149366"/>
    <n v="86"/>
    <n v="7"/>
    <n v="93"/>
    <n v="142"/>
    <n v="235"/>
    <n v="-19"/>
    <n v="5"/>
    <n v="743"/>
    <n v="133"/>
    <n v="1111"/>
    <n v="6551"/>
  </r>
  <r>
    <x v="63"/>
    <s v="ITA"/>
    <x v="20"/>
    <x v="20"/>
    <n v="4543490485"/>
    <n v="1233845213"/>
    <n v="1099"/>
    <n v="123"/>
    <n v="1222"/>
    <n v="7638"/>
    <n v="8860"/>
    <n v="-278"/>
    <n v="108"/>
    <n v="7375"/>
    <n v="1344"/>
    <n v="17579"/>
    <n v="320027"/>
  </r>
  <r>
    <x v="64"/>
    <s v="ITA"/>
    <x v="0"/>
    <x v="0"/>
    <n v="4235122196"/>
    <n v="1339843823"/>
    <n v="312"/>
    <n v="21"/>
    <n v="333"/>
    <n v="1657"/>
    <n v="1990"/>
    <n v="-40"/>
    <n v="25"/>
    <n v="599"/>
    <n v="310"/>
    <n v="2899"/>
    <n v="35356"/>
  </r>
  <r>
    <x v="64"/>
    <s v="ITA"/>
    <x v="1"/>
    <x v="1"/>
    <n v="4063947052"/>
    <n v="1580514834"/>
    <n v="56"/>
    <n v="7"/>
    <n v="63"/>
    <n v="142"/>
    <n v="205"/>
    <n v="-12"/>
    <n v="0"/>
    <n v="136"/>
    <n v="25"/>
    <n v="366"/>
    <n v="10889"/>
  </r>
  <r>
    <x v="64"/>
    <s v="ITA"/>
    <x v="2"/>
    <x v="2"/>
    <n v="4649933453"/>
    <n v="1135662422"/>
    <n v="136"/>
    <n v="15"/>
    <n v="151"/>
    <n v="759"/>
    <n v="910"/>
    <n v="-30"/>
    <n v="2"/>
    <n v="1316"/>
    <n v="272"/>
    <n v="2498"/>
    <n v="39130"/>
  </r>
  <r>
    <x v="64"/>
    <s v="ITA"/>
    <x v="3"/>
    <x v="3"/>
    <n v="3890597598"/>
    <n v="1659440194"/>
    <n v="113"/>
    <n v="6"/>
    <n v="119"/>
    <n v="645"/>
    <n v="764"/>
    <n v="-18"/>
    <n v="1"/>
    <n v="248"/>
    <n v="85"/>
    <n v="1097"/>
    <n v="33755"/>
  </r>
  <r>
    <x v="64"/>
    <s v="ITA"/>
    <x v="4"/>
    <x v="4"/>
    <n v="4083956555"/>
    <n v="1425084984"/>
    <n v="544"/>
    <n v="33"/>
    <n v="577"/>
    <n v="2225"/>
    <n v="2802"/>
    <n v="-75"/>
    <n v="31"/>
    <n v="1220"/>
    <n v="358"/>
    <n v="4380"/>
    <n v="70566"/>
  </r>
  <r>
    <x v="64"/>
    <s v="ITA"/>
    <x v="5"/>
    <x v="5"/>
    <n v="4449436681"/>
    <n v="113417208"/>
    <n v="2574"/>
    <n v="228"/>
    <n v="2802"/>
    <n v="9201"/>
    <n v="12003"/>
    <n v="-222"/>
    <n v="252"/>
    <n v="9439"/>
    <n v="3472"/>
    <n v="24914"/>
    <n v="172589"/>
  </r>
  <r>
    <x v="64"/>
    <s v="ITA"/>
    <x v="6"/>
    <x v="6"/>
    <n v="456494354"/>
    <n v="1376813649"/>
    <n v="136"/>
    <n v="13"/>
    <n v="149"/>
    <n v="1090"/>
    <n v="1239"/>
    <n v="-19"/>
    <n v="18"/>
    <n v="1478"/>
    <n v="278"/>
    <n v="2995"/>
    <n v="64151"/>
  </r>
  <r>
    <x v="64"/>
    <s v="ITA"/>
    <x v="7"/>
    <x v="7"/>
    <n v="4189277044"/>
    <n v="1248366722"/>
    <n v="1468"/>
    <n v="132"/>
    <n v="1600"/>
    <n v="2962"/>
    <n v="4562"/>
    <n v="0"/>
    <n v="75"/>
    <n v="1491"/>
    <n v="414"/>
    <n v="6467"/>
    <n v="128664"/>
  </r>
  <r>
    <x v="64"/>
    <s v="ITA"/>
    <x v="8"/>
    <x v="8"/>
    <n v="4441149315"/>
    <n v="89326992"/>
    <n v="718"/>
    <n v="81"/>
    <n v="799"/>
    <n v="2772"/>
    <n v="3571"/>
    <n v="-9"/>
    <n v="130"/>
    <n v="3060"/>
    <n v="1141"/>
    <n v="7772"/>
    <n v="45719"/>
  </r>
  <r>
    <x v="64"/>
    <s v="ITA"/>
    <x v="9"/>
    <x v="9"/>
    <n v="4546679409"/>
    <n v="9190347404"/>
    <n v="7280"/>
    <n v="655"/>
    <n v="7935"/>
    <n v="27809"/>
    <n v="35744"/>
    <n v="303"/>
    <n v="869"/>
    <n v="25029"/>
    <n v="13575"/>
    <n v="74348"/>
    <n v="351423"/>
  </r>
  <r>
    <x v="64"/>
    <s v="ITA"/>
    <x v="10"/>
    <x v="10"/>
    <n v="4361675973"/>
    <n v="135188753"/>
    <n v="666"/>
    <n v="58"/>
    <n v="724"/>
    <n v="2610"/>
    <n v="3334"/>
    <n v="24"/>
    <n v="48"/>
    <n v="1948"/>
    <n v="893"/>
    <n v="6175"/>
    <n v="54313"/>
  </r>
  <r>
    <x v="64"/>
    <s v="ITA"/>
    <x v="11"/>
    <x v="11"/>
    <n v="4155774754"/>
    <n v="1465916051"/>
    <n v="18"/>
    <n v="1"/>
    <n v="19"/>
    <n v="176"/>
    <n v="195"/>
    <n v="-5"/>
    <n v="1"/>
    <n v="81"/>
    <n v="21"/>
    <n v="297"/>
    <n v="5776"/>
  </r>
  <r>
    <x v="64"/>
    <s v="ITA"/>
    <x v="12"/>
    <x v="12"/>
    <n v="450732745"/>
    <n v="7680687483"/>
    <n v="2701"/>
    <n v="202"/>
    <n v="2903"/>
    <n v="12603"/>
    <n v="15506"/>
    <n v="-2"/>
    <n v="352"/>
    <n v="7008"/>
    <n v="2936"/>
    <n v="25450"/>
    <n v="144531"/>
  </r>
  <r>
    <x v="64"/>
    <s v="ITA"/>
    <x v="13"/>
    <x v="13"/>
    <n v="4112559576"/>
    <n v="1686736689"/>
    <n v="448"/>
    <n v="51"/>
    <n v="499"/>
    <n v="2420"/>
    <n v="2919"/>
    <n v="7"/>
    <n v="22"/>
    <n v="654"/>
    <n v="407"/>
    <n v="3980"/>
    <n v="58496"/>
  </r>
  <r>
    <x v="64"/>
    <s v="ITA"/>
    <x v="14"/>
    <x v="14"/>
    <n v="3921531192"/>
    <n v="9110616306"/>
    <n v="96"/>
    <n v="18"/>
    <n v="114"/>
    <n v="658"/>
    <n v="772"/>
    <n v="-4"/>
    <n v="2"/>
    <n v="404"/>
    <n v="109"/>
    <n v="1285"/>
    <n v="22116"/>
  </r>
  <r>
    <x v="64"/>
    <s v="ITA"/>
    <x v="15"/>
    <x v="15"/>
    <n v="3811569725"/>
    <n v="133623567"/>
    <n v="428"/>
    <n v="34"/>
    <n v="462"/>
    <n v="1681"/>
    <n v="2143"/>
    <n v="20"/>
    <n v="35"/>
    <n v="745"/>
    <n v="232"/>
    <n v="3120"/>
    <n v="73008"/>
  </r>
  <r>
    <x v="64"/>
    <s v="ITA"/>
    <x v="16"/>
    <x v="16"/>
    <n v="4376923077"/>
    <n v="1125588885"/>
    <n v="619"/>
    <n v="144"/>
    <n v="763"/>
    <n v="5133"/>
    <n v="5896"/>
    <n v="-87"/>
    <n v="52"/>
    <n v="2524"/>
    <n v="811"/>
    <n v="9231"/>
    <n v="133617"/>
  </r>
  <r>
    <x v="64"/>
    <s v="ITA"/>
    <x v="17"/>
    <x v="17"/>
    <n v="4606893511"/>
    <n v="1112123097"/>
    <n v="182"/>
    <n v="22"/>
    <n v="204"/>
    <n v="1361"/>
    <n v="1565"/>
    <n v="-142"/>
    <n v="30"/>
    <n v="2048"/>
    <n v="412"/>
    <n v="4025"/>
    <n v="33839"/>
  </r>
  <r>
    <x v="64"/>
    <s v="ITA"/>
    <x v="18"/>
    <x v="18"/>
    <n v="4310675841"/>
    <n v="1238824698"/>
    <n v="80"/>
    <n v="17"/>
    <n v="97"/>
    <n v="178"/>
    <n v="275"/>
    <n v="-12"/>
    <n v="9"/>
    <n v="1039"/>
    <n v="65"/>
    <n v="1379"/>
    <n v="33881"/>
  </r>
  <r>
    <x v="64"/>
    <s v="ITA"/>
    <x v="19"/>
    <x v="19"/>
    <n v="4573750286"/>
    <n v="7320149366"/>
    <n v="81"/>
    <n v="5"/>
    <n v="86"/>
    <n v="123"/>
    <n v="209"/>
    <n v="-26"/>
    <n v="8"/>
    <n v="775"/>
    <n v="135"/>
    <n v="1119"/>
    <n v="6897"/>
  </r>
  <r>
    <x v="64"/>
    <s v="ITA"/>
    <x v="20"/>
    <x v="20"/>
    <n v="4543490485"/>
    <n v="1233845213"/>
    <n v="1067"/>
    <n v="120"/>
    <n v="1187"/>
    <n v="7414"/>
    <n v="8601"/>
    <n v="-259"/>
    <n v="129"/>
    <n v="7699"/>
    <n v="1408"/>
    <n v="17708"/>
    <n v="328218"/>
  </r>
  <r>
    <x v="65"/>
    <s v="ITA"/>
    <x v="0"/>
    <x v="0"/>
    <n v="4235122196"/>
    <n v="1339843823"/>
    <n v="309"/>
    <n v="19"/>
    <n v="328"/>
    <n v="1648"/>
    <n v="1976"/>
    <n v="-14"/>
    <n v="24"/>
    <n v="632"/>
    <n v="315"/>
    <n v="2923"/>
    <n v="36614"/>
  </r>
  <r>
    <x v="65"/>
    <s v="ITA"/>
    <x v="1"/>
    <x v="1"/>
    <n v="4063947052"/>
    <n v="1580514834"/>
    <n v="51"/>
    <n v="4"/>
    <n v="55"/>
    <n v="139"/>
    <n v="194"/>
    <n v="-11"/>
    <n v="0"/>
    <n v="147"/>
    <n v="25"/>
    <n v="366"/>
    <n v="11331"/>
  </r>
  <r>
    <x v="65"/>
    <s v="ITA"/>
    <x v="2"/>
    <x v="2"/>
    <n v="4649933453"/>
    <n v="1135662422"/>
    <n v="119"/>
    <n v="14"/>
    <n v="133"/>
    <n v="712"/>
    <n v="845"/>
    <n v="-65"/>
    <n v="9"/>
    <n v="1388"/>
    <n v="274"/>
    <n v="2507"/>
    <n v="40218"/>
  </r>
  <r>
    <x v="65"/>
    <s v="ITA"/>
    <x v="3"/>
    <x v="3"/>
    <n v="3890597598"/>
    <n v="1659440194"/>
    <n v="107"/>
    <n v="6"/>
    <n v="113"/>
    <n v="640"/>
    <n v="753"/>
    <n v="-11"/>
    <n v="5"/>
    <n v="263"/>
    <n v="86"/>
    <n v="1102"/>
    <n v="34914"/>
  </r>
  <r>
    <x v="65"/>
    <s v="ITA"/>
    <x v="4"/>
    <x v="4"/>
    <n v="4083956555"/>
    <n v="1425084984"/>
    <n v="518"/>
    <n v="31"/>
    <n v="549"/>
    <n v="2233"/>
    <n v="2782"/>
    <n v="-20"/>
    <n v="30"/>
    <n v="1269"/>
    <n v="359"/>
    <n v="4410"/>
    <n v="73094"/>
  </r>
  <r>
    <x v="65"/>
    <s v="ITA"/>
    <x v="5"/>
    <x v="5"/>
    <n v="4449436681"/>
    <n v="113417208"/>
    <n v="2527"/>
    <n v="226"/>
    <n v="2753"/>
    <n v="9109"/>
    <n v="11862"/>
    <n v="-141"/>
    <n v="263"/>
    <n v="9803"/>
    <n v="3512"/>
    <n v="25177"/>
    <n v="176865"/>
  </r>
  <r>
    <x v="65"/>
    <s v="ITA"/>
    <x v="6"/>
    <x v="6"/>
    <n v="456494354"/>
    <n v="1376813649"/>
    <n v="134"/>
    <n v="12"/>
    <n v="146"/>
    <n v="1081"/>
    <n v="1227"/>
    <n v="-12"/>
    <n v="15"/>
    <n v="1498"/>
    <n v="285"/>
    <n v="3010"/>
    <n v="66769"/>
  </r>
  <r>
    <x v="65"/>
    <s v="ITA"/>
    <x v="7"/>
    <x v="7"/>
    <n v="4189277044"/>
    <n v="1248366722"/>
    <n v="1445"/>
    <n v="130"/>
    <n v="1575"/>
    <n v="2960"/>
    <n v="4535"/>
    <n v="-27"/>
    <n v="78"/>
    <n v="1579"/>
    <n v="431"/>
    <n v="6545"/>
    <n v="133503"/>
  </r>
  <r>
    <x v="65"/>
    <s v="ITA"/>
    <x v="8"/>
    <x v="8"/>
    <n v="4441149315"/>
    <n v="89326992"/>
    <n v="697"/>
    <n v="70"/>
    <n v="767"/>
    <n v="2809"/>
    <n v="3576"/>
    <n v="5"/>
    <n v="117"/>
    <n v="3161"/>
    <n v="1152"/>
    <n v="7889"/>
    <n v="47220"/>
  </r>
  <r>
    <x v="65"/>
    <s v="ITA"/>
    <x v="9"/>
    <x v="9"/>
    <n v="4546679409"/>
    <n v="9190347404"/>
    <n v="7120"/>
    <n v="634"/>
    <n v="7754"/>
    <n v="28368"/>
    <n v="36122"/>
    <n v="378"/>
    <n v="786"/>
    <n v="25333"/>
    <n v="13679"/>
    <n v="75134"/>
    <n v="365895"/>
  </r>
  <r>
    <x v="65"/>
    <s v="ITA"/>
    <x v="10"/>
    <x v="10"/>
    <n v="4361675973"/>
    <n v="135188753"/>
    <n v="640"/>
    <n v="52"/>
    <n v="692"/>
    <n v="2655"/>
    <n v="3347"/>
    <n v="13"/>
    <n v="35"/>
    <n v="1964"/>
    <n v="899"/>
    <n v="6210"/>
    <n v="55905"/>
  </r>
  <r>
    <x v="65"/>
    <s v="ITA"/>
    <x v="11"/>
    <x v="11"/>
    <n v="4155774754"/>
    <n v="1465916051"/>
    <n v="17"/>
    <n v="1"/>
    <n v="18"/>
    <n v="175"/>
    <n v="193"/>
    <n v="-2"/>
    <n v="0"/>
    <n v="83"/>
    <n v="21"/>
    <n v="297"/>
    <n v="5910"/>
  </r>
  <r>
    <x v="65"/>
    <s v="ITA"/>
    <x v="12"/>
    <x v="12"/>
    <n v="450732745"/>
    <n v="7680687483"/>
    <n v="2637"/>
    <n v="202"/>
    <n v="2839"/>
    <n v="12682"/>
    <n v="15521"/>
    <n v="15"/>
    <n v="411"/>
    <n v="7337"/>
    <n v="3003"/>
    <n v="25861"/>
    <n v="151266"/>
  </r>
  <r>
    <x v="65"/>
    <s v="ITA"/>
    <x v="13"/>
    <x v="13"/>
    <n v="4112559576"/>
    <n v="1686736689"/>
    <n v="449"/>
    <n v="47"/>
    <n v="496"/>
    <n v="2431"/>
    <n v="2927"/>
    <n v="8"/>
    <n v="49"/>
    <n v="692"/>
    <n v="410"/>
    <n v="4029"/>
    <n v="60334"/>
  </r>
  <r>
    <x v="65"/>
    <s v="ITA"/>
    <x v="14"/>
    <x v="14"/>
    <n v="3921531192"/>
    <n v="9110616306"/>
    <n v="87"/>
    <n v="17"/>
    <n v="104"/>
    <n v="657"/>
    <n v="761"/>
    <n v="-11"/>
    <n v="5"/>
    <n v="413"/>
    <n v="116"/>
    <n v="1290"/>
    <n v="23299"/>
  </r>
  <r>
    <x v="65"/>
    <s v="ITA"/>
    <x v="15"/>
    <x v="15"/>
    <n v="3811569725"/>
    <n v="133623567"/>
    <n v="415"/>
    <n v="34"/>
    <n v="449"/>
    <n v="1696"/>
    <n v="2145"/>
    <n v="2"/>
    <n v="20"/>
    <n v="763"/>
    <n v="232"/>
    <n v="3140"/>
    <n v="75360"/>
  </r>
  <r>
    <x v="65"/>
    <s v="ITA"/>
    <x v="16"/>
    <x v="16"/>
    <n v="4376923077"/>
    <n v="1125588885"/>
    <n v="576"/>
    <n v="139"/>
    <n v="715"/>
    <n v="4948"/>
    <n v="5663"/>
    <n v="-233"/>
    <n v="61"/>
    <n v="2802"/>
    <n v="827"/>
    <n v="9292"/>
    <n v="137482"/>
  </r>
  <r>
    <x v="65"/>
    <s v="ITA"/>
    <x v="17"/>
    <x v="17"/>
    <n v="4606893511"/>
    <n v="1112123097"/>
    <n v="165"/>
    <n v="22"/>
    <n v="187"/>
    <n v="1276"/>
    <n v="1463"/>
    <n v="-102"/>
    <n v="44"/>
    <n v="2190"/>
    <n v="416"/>
    <n v="4069"/>
    <n v="35008"/>
  </r>
  <r>
    <x v="65"/>
    <s v="ITA"/>
    <x v="18"/>
    <x v="18"/>
    <n v="4310675841"/>
    <n v="1238824698"/>
    <n v="77"/>
    <n v="16"/>
    <n v="93"/>
    <n v="168"/>
    <n v="261"/>
    <n v="-14"/>
    <n v="12"/>
    <n v="1064"/>
    <n v="66"/>
    <n v="1391"/>
    <n v="34937"/>
  </r>
  <r>
    <x v="65"/>
    <s v="ITA"/>
    <x v="19"/>
    <x v="19"/>
    <n v="4573750286"/>
    <n v="7320149366"/>
    <n v="78"/>
    <n v="5"/>
    <n v="83"/>
    <n v="52"/>
    <n v="135"/>
    <n v="-74"/>
    <n v="5"/>
    <n v="852"/>
    <n v="137"/>
    <n v="1124"/>
    <n v="7181"/>
  </r>
  <r>
    <x v="65"/>
    <s v="ITA"/>
    <x v="20"/>
    <x v="20"/>
    <n v="4543490485"/>
    <n v="1233845213"/>
    <n v="1042"/>
    <n v="114"/>
    <n v="1156"/>
    <n v="7213"/>
    <n v="8369"/>
    <n v="-232"/>
    <n v="117"/>
    <n v="8019"/>
    <n v="1437"/>
    <n v="17825"/>
    <n v="337656"/>
  </r>
  <r>
    <x v="66"/>
    <s v="ITA"/>
    <x v="0"/>
    <x v="0"/>
    <n v="4235122196"/>
    <n v="1339843823"/>
    <n v="306"/>
    <n v="16"/>
    <n v="322"/>
    <n v="1593"/>
    <n v="1915"/>
    <n v="-61"/>
    <n v="7"/>
    <n v="695"/>
    <n v="320"/>
    <n v="2930"/>
    <n v="37996"/>
  </r>
  <r>
    <x v="66"/>
    <s v="ITA"/>
    <x v="1"/>
    <x v="1"/>
    <n v="4063947052"/>
    <n v="1580514834"/>
    <n v="49"/>
    <n v="4"/>
    <n v="53"/>
    <n v="139"/>
    <n v="192"/>
    <n v="-2"/>
    <n v="1"/>
    <n v="150"/>
    <n v="25"/>
    <n v="367"/>
    <n v="12774"/>
  </r>
  <r>
    <x v="66"/>
    <s v="ITA"/>
    <x v="2"/>
    <x v="2"/>
    <n v="4649933453"/>
    <n v="1135662422"/>
    <n v="126"/>
    <n v="13"/>
    <n v="139"/>
    <n v="663"/>
    <n v="802"/>
    <n v="-43"/>
    <n v="11"/>
    <n v="1441"/>
    <n v="275"/>
    <n v="2518"/>
    <n v="41297"/>
  </r>
  <r>
    <x v="66"/>
    <s v="ITA"/>
    <x v="3"/>
    <x v="3"/>
    <n v="3890597598"/>
    <n v="1659440194"/>
    <n v="105"/>
    <n v="6"/>
    <n v="111"/>
    <n v="629"/>
    <n v="740"/>
    <n v="-13"/>
    <n v="6"/>
    <n v="282"/>
    <n v="86"/>
    <n v="1108"/>
    <n v="35903"/>
  </r>
  <r>
    <x v="66"/>
    <s v="ITA"/>
    <x v="4"/>
    <x v="4"/>
    <n v="4083956555"/>
    <n v="1425084984"/>
    <n v="484"/>
    <n v="29"/>
    <n v="513"/>
    <n v="2260"/>
    <n v="2773"/>
    <n v="-9"/>
    <n v="13"/>
    <n v="1291"/>
    <n v="359"/>
    <n v="4423"/>
    <n v="76108"/>
  </r>
  <r>
    <x v="66"/>
    <s v="ITA"/>
    <x v="5"/>
    <x v="5"/>
    <n v="4449436681"/>
    <n v="113417208"/>
    <n v="2146"/>
    <n v="206"/>
    <n v="2352"/>
    <n v="7211"/>
    <n v="9563"/>
    <n v="-2299"/>
    <n v="259"/>
    <n v="12322"/>
    <n v="3551"/>
    <n v="25436"/>
    <n v="182857"/>
  </r>
  <r>
    <x v="66"/>
    <s v="ITA"/>
    <x v="6"/>
    <x v="6"/>
    <n v="456494354"/>
    <n v="1376813649"/>
    <n v="109"/>
    <n v="11"/>
    <n v="120"/>
    <n v="1050"/>
    <n v="1170"/>
    <n v="-57"/>
    <n v="15"/>
    <n v="1566"/>
    <n v="289"/>
    <n v="3025"/>
    <n v="67930"/>
  </r>
  <r>
    <x v="66"/>
    <s v="ITA"/>
    <x v="7"/>
    <x v="7"/>
    <n v="4189277044"/>
    <n v="1248366722"/>
    <n v="1417"/>
    <n v="115"/>
    <n v="1532"/>
    <n v="2936"/>
    <n v="4468"/>
    <n v="-67"/>
    <n v="71"/>
    <n v="1707"/>
    <n v="441"/>
    <n v="6616"/>
    <n v="137596"/>
  </r>
  <r>
    <x v="66"/>
    <s v="ITA"/>
    <x v="8"/>
    <x v="8"/>
    <n v="4441149315"/>
    <n v="89326992"/>
    <n v="676"/>
    <n v="69"/>
    <n v="745"/>
    <n v="2806"/>
    <n v="3551"/>
    <n v="-25"/>
    <n v="104"/>
    <n v="3275"/>
    <n v="1167"/>
    <n v="7993"/>
    <n v="48762"/>
  </r>
  <r>
    <x v="66"/>
    <s v="ITA"/>
    <x v="9"/>
    <x v="9"/>
    <n v="4546679409"/>
    <n v="9190347404"/>
    <n v="6834"/>
    <n v="605"/>
    <n v="7439"/>
    <n v="28772"/>
    <n v="36211"/>
    <n v="89"/>
    <n v="598"/>
    <n v="25749"/>
    <n v="13772"/>
    <n v="75732"/>
    <n v="376943"/>
  </r>
  <r>
    <x v="66"/>
    <s v="ITA"/>
    <x v="10"/>
    <x v="10"/>
    <n v="4361675973"/>
    <n v="135188753"/>
    <n v="465"/>
    <n v="48"/>
    <n v="513"/>
    <n v="2697"/>
    <n v="3210"/>
    <n v="-137"/>
    <n v="37"/>
    <n v="2131"/>
    <n v="906"/>
    <n v="6247"/>
    <n v="59488"/>
  </r>
  <r>
    <x v="66"/>
    <s v="ITA"/>
    <x v="11"/>
    <x v="11"/>
    <n v="4155774754"/>
    <n v="1465916051"/>
    <n v="17"/>
    <n v="1"/>
    <n v="18"/>
    <n v="172"/>
    <n v="190"/>
    <n v="-3"/>
    <n v="1"/>
    <n v="87"/>
    <n v="21"/>
    <n v="298"/>
    <n v="6446"/>
  </r>
  <r>
    <x v="66"/>
    <s v="ITA"/>
    <x v="12"/>
    <x v="12"/>
    <n v="450732745"/>
    <n v="7680687483"/>
    <n v="2621"/>
    <n v="199"/>
    <n v="2820"/>
    <n v="12673"/>
    <n v="15493"/>
    <n v="-28"/>
    <n v="428"/>
    <n v="7730"/>
    <n v="3066"/>
    <n v="26289"/>
    <n v="156534"/>
  </r>
  <r>
    <x v="66"/>
    <s v="ITA"/>
    <x v="13"/>
    <x v="13"/>
    <n v="4112559576"/>
    <n v="1686736689"/>
    <n v="439"/>
    <n v="42"/>
    <n v="481"/>
    <n v="2468"/>
    <n v="2949"/>
    <n v="22"/>
    <n v="43"/>
    <n v="708"/>
    <n v="415"/>
    <n v="4072"/>
    <n v="62460"/>
  </r>
  <r>
    <x v="66"/>
    <s v="ITA"/>
    <x v="14"/>
    <x v="14"/>
    <n v="3921531192"/>
    <n v="9110616306"/>
    <n v="87"/>
    <n v="16"/>
    <n v="103"/>
    <n v="641"/>
    <n v="744"/>
    <n v="-17"/>
    <n v="5"/>
    <n v="435"/>
    <n v="116"/>
    <n v="1295"/>
    <n v="24754"/>
  </r>
  <r>
    <x v="66"/>
    <s v="ITA"/>
    <x v="15"/>
    <x v="15"/>
    <n v="3811569725"/>
    <n v="133623567"/>
    <n v="408"/>
    <n v="33"/>
    <n v="441"/>
    <n v="1716"/>
    <n v="2157"/>
    <n v="12"/>
    <n v="26"/>
    <n v="774"/>
    <n v="235"/>
    <n v="3166"/>
    <n v="79669"/>
  </r>
  <r>
    <x v="66"/>
    <s v="ITA"/>
    <x v="16"/>
    <x v="16"/>
    <n v="4376923077"/>
    <n v="1125588885"/>
    <n v="546"/>
    <n v="126"/>
    <n v="672"/>
    <n v="4912"/>
    <n v="5584"/>
    <n v="-79"/>
    <n v="60"/>
    <n v="2926"/>
    <n v="842"/>
    <n v="9352"/>
    <n v="141849"/>
  </r>
  <r>
    <x v="66"/>
    <s v="ITA"/>
    <x v="17"/>
    <x v="17"/>
    <n v="4606893511"/>
    <n v="1112123097"/>
    <n v="158"/>
    <n v="21"/>
    <n v="179"/>
    <n v="1191"/>
    <n v="1370"/>
    <n v="-93"/>
    <n v="47"/>
    <n v="2328"/>
    <n v="418"/>
    <n v="4116"/>
    <n v="36534"/>
  </r>
  <r>
    <x v="66"/>
    <s v="ITA"/>
    <x v="18"/>
    <x v="18"/>
    <n v="4310675841"/>
    <n v="1238824698"/>
    <n v="68"/>
    <n v="16"/>
    <n v="84"/>
    <n v="149"/>
    <n v="233"/>
    <n v="-28"/>
    <n v="1"/>
    <n v="1092"/>
    <n v="67"/>
    <n v="1392"/>
    <n v="36459"/>
  </r>
  <r>
    <x v="66"/>
    <s v="ITA"/>
    <x v="19"/>
    <x v="19"/>
    <n v="4573750286"/>
    <n v="7320149366"/>
    <n v="76"/>
    <n v="4"/>
    <n v="80"/>
    <n v="9"/>
    <n v="89"/>
    <n v="-46"/>
    <n v="4"/>
    <n v="902"/>
    <n v="137"/>
    <n v="1128"/>
    <n v="7631"/>
  </r>
  <r>
    <x v="66"/>
    <s v="ITA"/>
    <x v="20"/>
    <x v="20"/>
    <n v="4543490485"/>
    <n v="1233845213"/>
    <n v="1012"/>
    <n v="114"/>
    <n v="1126"/>
    <n v="7021"/>
    <n v="8147"/>
    <n v="-222"/>
    <n v="135"/>
    <n v="8354"/>
    <n v="1459"/>
    <n v="17960"/>
    <n v="349227"/>
  </r>
  <r>
    <x v="67"/>
    <s v="ITA"/>
    <x v="0"/>
    <x v="0"/>
    <n v="4235122196"/>
    <n v="1339843823"/>
    <n v="297"/>
    <n v="16"/>
    <n v="313"/>
    <n v="1598"/>
    <n v="1911"/>
    <n v="-4"/>
    <n v="18"/>
    <n v="713"/>
    <n v="324"/>
    <n v="2948"/>
    <n v="39385"/>
  </r>
  <r>
    <x v="67"/>
    <s v="ITA"/>
    <x v="1"/>
    <x v="1"/>
    <n v="4063947052"/>
    <n v="1580514834"/>
    <n v="49"/>
    <n v="4"/>
    <n v="53"/>
    <n v="140"/>
    <n v="193"/>
    <n v="1"/>
    <n v="11"/>
    <n v="160"/>
    <n v="25"/>
    <n v="378"/>
    <n v="13269"/>
  </r>
  <r>
    <x v="67"/>
    <s v="ITA"/>
    <x v="2"/>
    <x v="2"/>
    <n v="4649933453"/>
    <n v="1135662422"/>
    <n v="112"/>
    <n v="11"/>
    <n v="123"/>
    <n v="634"/>
    <n v="757"/>
    <n v="-45"/>
    <n v="10"/>
    <n v="1493"/>
    <n v="278"/>
    <n v="2528"/>
    <n v="42903"/>
  </r>
  <r>
    <x v="67"/>
    <s v="ITA"/>
    <x v="3"/>
    <x v="3"/>
    <n v="3890597598"/>
    <n v="1659440194"/>
    <n v="105"/>
    <n v="3"/>
    <n v="108"/>
    <n v="619"/>
    <n v="727"/>
    <n v="-13"/>
    <n v="4"/>
    <n v="299"/>
    <n v="86"/>
    <n v="1112"/>
    <n v="37054"/>
  </r>
  <r>
    <x v="67"/>
    <s v="ITA"/>
    <x v="4"/>
    <x v="4"/>
    <n v="4083956555"/>
    <n v="1425084984"/>
    <n v="478"/>
    <n v="29"/>
    <n v="507"/>
    <n v="2246"/>
    <n v="2753"/>
    <n v="-20"/>
    <n v="21"/>
    <n v="1332"/>
    <n v="359"/>
    <n v="4444"/>
    <n v="79940"/>
  </r>
  <r>
    <x v="67"/>
    <s v="ITA"/>
    <x v="5"/>
    <x v="5"/>
    <n v="4449436681"/>
    <n v="113417208"/>
    <n v="2112"/>
    <n v="197"/>
    <n v="2309"/>
    <n v="7175"/>
    <n v="9484"/>
    <n v="-79"/>
    <n v="208"/>
    <n v="12581"/>
    <n v="3579"/>
    <n v="25644"/>
    <n v="188264"/>
  </r>
  <r>
    <x v="67"/>
    <s v="ITA"/>
    <x v="6"/>
    <x v="6"/>
    <n v="456494354"/>
    <n v="1376813649"/>
    <n v="131"/>
    <n v="6"/>
    <n v="137"/>
    <n v="978"/>
    <n v="1115"/>
    <n v="-55"/>
    <n v="16"/>
    <n v="1632"/>
    <n v="294"/>
    <n v="3041"/>
    <n v="71013"/>
  </r>
  <r>
    <x v="67"/>
    <s v="ITA"/>
    <x v="7"/>
    <x v="7"/>
    <n v="4189277044"/>
    <n v="1248366722"/>
    <n v="1372"/>
    <n v="105"/>
    <n v="1477"/>
    <n v="2969"/>
    <n v="4446"/>
    <n v="-22"/>
    <n v="56"/>
    <n v="1744"/>
    <n v="482"/>
    <n v="6672"/>
    <n v="143804"/>
  </r>
  <r>
    <x v="67"/>
    <s v="ITA"/>
    <x v="8"/>
    <x v="8"/>
    <n v="4441149315"/>
    <n v="89326992"/>
    <n v="666"/>
    <n v="68"/>
    <n v="734"/>
    <n v="2784"/>
    <n v="3518"/>
    <n v="-33"/>
    <n v="133"/>
    <n v="3424"/>
    <n v="1184"/>
    <n v="8126"/>
    <n v="51199"/>
  </r>
  <r>
    <x v="67"/>
    <s v="ITA"/>
    <x v="9"/>
    <x v="9"/>
    <n v="4546679409"/>
    <n v="9190347404"/>
    <n v="6628"/>
    <n v="563"/>
    <n v="7191"/>
    <n v="29282"/>
    <n v="36473"/>
    <n v="262"/>
    <n v="737"/>
    <n v="26136"/>
    <n v="13860"/>
    <n v="76469"/>
    <n v="390644"/>
  </r>
  <r>
    <x v="67"/>
    <s v="ITA"/>
    <x v="10"/>
    <x v="10"/>
    <n v="4361675973"/>
    <n v="135188753"/>
    <n v="413"/>
    <n v="44"/>
    <n v="457"/>
    <n v="2754"/>
    <n v="3211"/>
    <n v="1"/>
    <n v="28"/>
    <n v="2153"/>
    <n v="911"/>
    <n v="6275"/>
    <n v="61241"/>
  </r>
  <r>
    <x v="67"/>
    <s v="ITA"/>
    <x v="11"/>
    <x v="11"/>
    <n v="4155774754"/>
    <n v="1465916051"/>
    <n v="17"/>
    <n v="1"/>
    <n v="18"/>
    <n v="172"/>
    <n v="190"/>
    <n v="0"/>
    <n v="2"/>
    <n v="89"/>
    <n v="21"/>
    <n v="300"/>
    <n v="6463"/>
  </r>
  <r>
    <x v="67"/>
    <s v="ITA"/>
    <x v="12"/>
    <x v="12"/>
    <n v="450732745"/>
    <n v="7680687483"/>
    <n v="2503"/>
    <n v="181"/>
    <n v="2684"/>
    <n v="12878"/>
    <n v="15562"/>
    <n v="69"/>
    <n v="395"/>
    <n v="8025"/>
    <n v="3097"/>
    <n v="26684"/>
    <n v="162568"/>
  </r>
  <r>
    <x v="67"/>
    <s v="ITA"/>
    <x v="13"/>
    <x v="13"/>
    <n v="4112559576"/>
    <n v="1686736689"/>
    <n v="428"/>
    <n v="39"/>
    <n v="467"/>
    <n v="2480"/>
    <n v="2947"/>
    <n v="-2"/>
    <n v="27"/>
    <n v="731"/>
    <n v="421"/>
    <n v="4099"/>
    <n v="64292"/>
  </r>
  <r>
    <x v="67"/>
    <s v="ITA"/>
    <x v="14"/>
    <x v="14"/>
    <n v="3921531192"/>
    <n v="9110616306"/>
    <n v="84"/>
    <n v="12"/>
    <n v="96"/>
    <n v="648"/>
    <n v="744"/>
    <n v="0"/>
    <n v="18"/>
    <n v="452"/>
    <n v="117"/>
    <n v="1313"/>
    <n v="26242"/>
  </r>
  <r>
    <x v="67"/>
    <s v="ITA"/>
    <x v="15"/>
    <x v="15"/>
    <n v="3811569725"/>
    <n v="133623567"/>
    <n v="399"/>
    <n v="30"/>
    <n v="429"/>
    <n v="1742"/>
    <n v="2171"/>
    <n v="14"/>
    <n v="28"/>
    <n v="786"/>
    <n v="237"/>
    <n v="3194"/>
    <n v="82860"/>
  </r>
  <r>
    <x v="67"/>
    <s v="ITA"/>
    <x v="16"/>
    <x v="16"/>
    <n v="4376923077"/>
    <n v="1125588885"/>
    <n v="520"/>
    <n v="124"/>
    <n v="644"/>
    <n v="4729"/>
    <n v="5373"/>
    <n v="-211"/>
    <n v="93"/>
    <n v="3218"/>
    <n v="854"/>
    <n v="9445"/>
    <n v="146456"/>
  </r>
  <r>
    <x v="67"/>
    <s v="ITA"/>
    <x v="17"/>
    <x v="17"/>
    <n v="4606893511"/>
    <n v="1112123097"/>
    <n v="146"/>
    <n v="19"/>
    <n v="165"/>
    <n v="1128"/>
    <n v="1293"/>
    <n v="-77"/>
    <n v="16"/>
    <n v="2416"/>
    <n v="423"/>
    <n v="4132"/>
    <n v="37838"/>
  </r>
  <r>
    <x v="67"/>
    <s v="ITA"/>
    <x v="18"/>
    <x v="18"/>
    <n v="4310675841"/>
    <n v="1238824698"/>
    <n v="60"/>
    <n v="13"/>
    <n v="73"/>
    <n v="131"/>
    <n v="204"/>
    <n v="-29"/>
    <n v="1"/>
    <n v="1121"/>
    <n v="68"/>
    <n v="1393"/>
    <n v="37762"/>
  </r>
  <r>
    <x v="67"/>
    <s v="ITA"/>
    <x v="19"/>
    <x v="19"/>
    <n v="4573750286"/>
    <n v="7320149366"/>
    <n v="72"/>
    <n v="3"/>
    <n v="75"/>
    <n v="17"/>
    <n v="92"/>
    <n v="3"/>
    <n v="5"/>
    <n v="904"/>
    <n v="137"/>
    <n v="1133"/>
    <n v="7769"/>
  </r>
  <r>
    <x v="67"/>
    <s v="ITA"/>
    <x v="20"/>
    <x v="20"/>
    <n v="4543490485"/>
    <n v="1233845213"/>
    <n v="977"/>
    <n v="110"/>
    <n v="1087"/>
    <n v="6692"/>
    <n v="7779"/>
    <n v="-368"/>
    <n v="138"/>
    <n v="8840"/>
    <n v="1479"/>
    <n v="18098"/>
    <n v="362459"/>
  </r>
  <r>
    <x v="68"/>
    <s v="ITA"/>
    <x v="0"/>
    <x v="0"/>
    <n v="4235122196"/>
    <n v="1339843823"/>
    <n v="303"/>
    <n v="16"/>
    <n v="319"/>
    <n v="1560"/>
    <n v="1879"/>
    <n v="-32"/>
    <n v="16"/>
    <n v="758"/>
    <n v="327"/>
    <n v="2964"/>
    <n v="39916"/>
  </r>
  <r>
    <x v="68"/>
    <s v="ITA"/>
    <x v="1"/>
    <x v="1"/>
    <n v="4063947052"/>
    <n v="1580514834"/>
    <n v="48"/>
    <n v="4"/>
    <n v="52"/>
    <n v="139"/>
    <n v="191"/>
    <n v="-2"/>
    <n v="2"/>
    <n v="164"/>
    <n v="25"/>
    <n v="380"/>
    <n v="13722"/>
  </r>
  <r>
    <x v="68"/>
    <s v="ITA"/>
    <x v="2"/>
    <x v="2"/>
    <n v="4649933453"/>
    <n v="1135662422"/>
    <n v="113"/>
    <n v="10"/>
    <n v="123"/>
    <n v="580"/>
    <n v="703"/>
    <n v="-54"/>
    <n v="7"/>
    <n v="1553"/>
    <n v="279"/>
    <n v="2535"/>
    <n v="43804"/>
  </r>
  <r>
    <x v="68"/>
    <s v="ITA"/>
    <x v="3"/>
    <x v="3"/>
    <n v="3890597598"/>
    <n v="1659440194"/>
    <n v="100"/>
    <n v="4"/>
    <n v="104"/>
    <n v="609"/>
    <n v="713"/>
    <n v="-14"/>
    <n v="0"/>
    <n v="311"/>
    <n v="88"/>
    <n v="1112"/>
    <n v="37928"/>
  </r>
  <r>
    <x v="68"/>
    <s v="ITA"/>
    <x v="4"/>
    <x v="4"/>
    <n v="4083956555"/>
    <n v="1425084984"/>
    <n v="470"/>
    <n v="27"/>
    <n v="497"/>
    <n v="2224"/>
    <n v="2721"/>
    <n v="-32"/>
    <n v="15"/>
    <n v="1376"/>
    <n v="362"/>
    <n v="4459"/>
    <n v="83592"/>
  </r>
  <r>
    <x v="68"/>
    <s v="ITA"/>
    <x v="5"/>
    <x v="5"/>
    <n v="4449436681"/>
    <n v="113417208"/>
    <n v="2033"/>
    <n v="196"/>
    <n v="2229"/>
    <n v="7094"/>
    <n v="9323"/>
    <n v="-161"/>
    <n v="206"/>
    <n v="12913"/>
    <n v="3614"/>
    <n v="25850"/>
    <n v="192135"/>
  </r>
  <r>
    <x v="68"/>
    <s v="ITA"/>
    <x v="6"/>
    <x v="6"/>
    <n v="456494354"/>
    <n v="1376813649"/>
    <n v="131"/>
    <n v="5"/>
    <n v="136"/>
    <n v="973"/>
    <n v="1109"/>
    <n v="-6"/>
    <n v="18"/>
    <n v="1655"/>
    <n v="295"/>
    <n v="3059"/>
    <n v="73855"/>
  </r>
  <r>
    <x v="68"/>
    <s v="ITA"/>
    <x v="7"/>
    <x v="7"/>
    <n v="4189277044"/>
    <n v="1248366722"/>
    <n v="1370"/>
    <n v="96"/>
    <n v="1466"/>
    <n v="2986"/>
    <n v="4452"/>
    <n v="6"/>
    <n v="84"/>
    <n v="1807"/>
    <n v="497"/>
    <n v="6756"/>
    <n v="147078"/>
  </r>
  <r>
    <x v="68"/>
    <s v="ITA"/>
    <x v="8"/>
    <x v="8"/>
    <n v="4441149315"/>
    <n v="89326992"/>
    <n v="647"/>
    <n v="68"/>
    <n v="715"/>
    <n v="2883"/>
    <n v="3598"/>
    <n v="80"/>
    <n v="186"/>
    <n v="3519"/>
    <n v="1195"/>
    <n v="8312"/>
    <n v="53202"/>
  </r>
  <r>
    <x v="68"/>
    <s v="ITA"/>
    <x v="9"/>
    <x v="9"/>
    <n v="4546679409"/>
    <n v="9190347404"/>
    <n v="6529"/>
    <n v="545"/>
    <n v="7074"/>
    <n v="29593"/>
    <n v="36667"/>
    <n v="194"/>
    <n v="533"/>
    <n v="26146"/>
    <n v="14189"/>
    <n v="77002"/>
    <n v="403702"/>
  </r>
  <r>
    <x v="68"/>
    <s v="ITA"/>
    <x v="10"/>
    <x v="10"/>
    <n v="4361675973"/>
    <n v="135188753"/>
    <n v="399"/>
    <n v="46"/>
    <n v="445"/>
    <n v="2760"/>
    <n v="3205"/>
    <n v="-6"/>
    <n v="23"/>
    <n v="2177"/>
    <n v="916"/>
    <n v="6298"/>
    <n v="62834"/>
  </r>
  <r>
    <x v="68"/>
    <s v="ITA"/>
    <x v="11"/>
    <x v="11"/>
    <n v="4155774754"/>
    <n v="1465916051"/>
    <n v="9"/>
    <n v="1"/>
    <n v="10"/>
    <n v="172"/>
    <n v="182"/>
    <n v="-8"/>
    <n v="1"/>
    <n v="98"/>
    <n v="21"/>
    <n v="301"/>
    <n v="7075"/>
  </r>
  <r>
    <x v="68"/>
    <s v="ITA"/>
    <x v="12"/>
    <x v="12"/>
    <n v="450732745"/>
    <n v="7680687483"/>
    <n v="2550"/>
    <n v="178"/>
    <n v="2728"/>
    <n v="12991"/>
    <n v="15719"/>
    <n v="157"/>
    <n v="495"/>
    <n v="8334"/>
    <n v="3126"/>
    <n v="27179"/>
    <n v="168479"/>
  </r>
  <r>
    <x v="68"/>
    <s v="ITA"/>
    <x v="13"/>
    <x v="13"/>
    <n v="4112559576"/>
    <n v="1686736689"/>
    <n v="416"/>
    <n v="39"/>
    <n v="455"/>
    <n v="2499"/>
    <n v="2954"/>
    <n v="7"/>
    <n v="34"/>
    <n v="757"/>
    <n v="422"/>
    <n v="4133"/>
    <n v="65370"/>
  </r>
  <r>
    <x v="68"/>
    <s v="ITA"/>
    <x v="14"/>
    <x v="14"/>
    <n v="3921531192"/>
    <n v="9110616306"/>
    <n v="86"/>
    <n v="13"/>
    <n v="99"/>
    <n v="631"/>
    <n v="730"/>
    <n v="-14"/>
    <n v="2"/>
    <n v="466"/>
    <n v="119"/>
    <n v="1315"/>
    <n v="26990"/>
  </r>
  <r>
    <x v="68"/>
    <s v="ITA"/>
    <x v="15"/>
    <x v="15"/>
    <n v="3811569725"/>
    <n v="133623567"/>
    <n v="396"/>
    <n v="30"/>
    <n v="426"/>
    <n v="1760"/>
    <n v="2186"/>
    <n v="15"/>
    <n v="19"/>
    <n v="787"/>
    <n v="240"/>
    <n v="3213"/>
    <n v="84352"/>
  </r>
  <r>
    <x v="68"/>
    <s v="ITA"/>
    <x v="16"/>
    <x v="16"/>
    <n v="4376923077"/>
    <n v="1125588885"/>
    <n v="519"/>
    <n v="118"/>
    <n v="637"/>
    <n v="4728"/>
    <n v="5365"/>
    <n v="-8"/>
    <n v="80"/>
    <n v="3297"/>
    <n v="863"/>
    <n v="9525"/>
    <n v="148223"/>
  </r>
  <r>
    <x v="68"/>
    <s v="ITA"/>
    <x v="17"/>
    <x v="17"/>
    <n v="4606893511"/>
    <n v="1112123097"/>
    <n v="138"/>
    <n v="19"/>
    <n v="157"/>
    <n v="1125"/>
    <n v="1282"/>
    <n v="-11"/>
    <n v="49"/>
    <n v="2474"/>
    <n v="425"/>
    <n v="4181"/>
    <n v="39579"/>
  </r>
  <r>
    <x v="68"/>
    <s v="ITA"/>
    <x v="18"/>
    <x v="18"/>
    <n v="4310675841"/>
    <n v="1238824698"/>
    <n v="60"/>
    <n v="13"/>
    <n v="73"/>
    <n v="123"/>
    <n v="196"/>
    <n v="-8"/>
    <n v="1"/>
    <n v="1130"/>
    <n v="68"/>
    <n v="1394"/>
    <n v="38072"/>
  </r>
  <r>
    <x v="68"/>
    <s v="ITA"/>
    <x v="19"/>
    <x v="19"/>
    <n v="4573750286"/>
    <n v="7320149366"/>
    <n v="70"/>
    <n v="3"/>
    <n v="73"/>
    <n v="25"/>
    <n v="98"/>
    <n v="6"/>
    <n v="3"/>
    <n v="901"/>
    <n v="137"/>
    <n v="1136"/>
    <n v="7951"/>
  </r>
  <r>
    <x v="68"/>
    <s v="ITA"/>
    <x v="20"/>
    <x v="20"/>
    <n v="4543490485"/>
    <n v="1233845213"/>
    <n v="970"/>
    <n v="108"/>
    <n v="1078"/>
    <n v="6353"/>
    <n v="7431"/>
    <n v="-348"/>
    <n v="126"/>
    <n v="9291"/>
    <n v="1502"/>
    <n v="18224"/>
    <n v="370978"/>
  </r>
  <r>
    <x v="69"/>
    <s v="ITA"/>
    <x v="0"/>
    <x v="0"/>
    <n v="4235122196"/>
    <n v="1339843823"/>
    <n v="300"/>
    <n v="16"/>
    <n v="316"/>
    <n v="1552"/>
    <n v="1868"/>
    <n v="-11"/>
    <n v="32"/>
    <n v="798"/>
    <n v="330"/>
    <n v="2996"/>
    <n v="40699"/>
  </r>
  <r>
    <x v="69"/>
    <s v="ITA"/>
    <x v="1"/>
    <x v="1"/>
    <n v="4063947052"/>
    <n v="1580514834"/>
    <n v="48"/>
    <n v="3"/>
    <n v="51"/>
    <n v="143"/>
    <n v="194"/>
    <n v="3"/>
    <n v="6"/>
    <n v="167"/>
    <n v="25"/>
    <n v="386"/>
    <n v="14210"/>
  </r>
  <r>
    <x v="69"/>
    <s v="ITA"/>
    <x v="2"/>
    <x v="2"/>
    <n v="4649933453"/>
    <n v="1135662422"/>
    <n v="109"/>
    <n v="11"/>
    <n v="120"/>
    <n v="545"/>
    <n v="665"/>
    <n v="-38"/>
    <n v="1"/>
    <n v="1590"/>
    <n v="281"/>
    <n v="2536"/>
    <n v="44240"/>
  </r>
  <r>
    <x v="69"/>
    <s v="ITA"/>
    <x v="3"/>
    <x v="3"/>
    <n v="3890597598"/>
    <n v="1659440194"/>
    <n v="95"/>
    <n v="4"/>
    <n v="99"/>
    <n v="603"/>
    <n v="702"/>
    <n v="-11"/>
    <n v="2"/>
    <n v="324"/>
    <n v="88"/>
    <n v="1114"/>
    <n v="38835"/>
  </r>
  <r>
    <x v="69"/>
    <s v="ITA"/>
    <x v="4"/>
    <x v="4"/>
    <n v="4083956555"/>
    <n v="1425084984"/>
    <n v="455"/>
    <n v="30"/>
    <n v="485"/>
    <n v="2241"/>
    <n v="2726"/>
    <n v="5"/>
    <n v="25"/>
    <n v="1394"/>
    <n v="364"/>
    <n v="4484"/>
    <n v="86498"/>
  </r>
  <r>
    <x v="69"/>
    <s v="ITA"/>
    <x v="5"/>
    <x v="5"/>
    <n v="4449436681"/>
    <n v="113417208"/>
    <n v="1997"/>
    <n v="197"/>
    <n v="2194"/>
    <n v="6851"/>
    <n v="9045"/>
    <n v="-278"/>
    <n v="166"/>
    <n v="13329"/>
    <n v="3642"/>
    <n v="26016"/>
    <n v="197075"/>
  </r>
  <r>
    <x v="69"/>
    <s v="ITA"/>
    <x v="6"/>
    <x v="6"/>
    <n v="456494354"/>
    <n v="1376813649"/>
    <n v="131"/>
    <n v="6"/>
    <n v="137"/>
    <n v="950"/>
    <n v="1087"/>
    <n v="-22"/>
    <n v="13"/>
    <n v="1688"/>
    <n v="297"/>
    <n v="3072"/>
    <n v="74990"/>
  </r>
  <r>
    <x v="69"/>
    <s v="ITA"/>
    <x v="7"/>
    <x v="7"/>
    <n v="4189277044"/>
    <n v="1248366722"/>
    <n v="1346"/>
    <n v="95"/>
    <n v="1441"/>
    <n v="2944"/>
    <n v="4385"/>
    <n v="-67"/>
    <n v="53"/>
    <n v="1916"/>
    <n v="508"/>
    <n v="6809"/>
    <n v="150912"/>
  </r>
  <r>
    <x v="69"/>
    <s v="ITA"/>
    <x v="8"/>
    <x v="8"/>
    <n v="4441149315"/>
    <n v="89326992"/>
    <n v="627"/>
    <n v="68"/>
    <n v="695"/>
    <n v="2856"/>
    <n v="3551"/>
    <n v="-47"/>
    <n v="47"/>
    <n v="3599"/>
    <n v="1209"/>
    <n v="8359"/>
    <n v="54492"/>
  </r>
  <r>
    <x v="69"/>
    <s v="ITA"/>
    <x v="9"/>
    <x v="9"/>
    <n v="4546679409"/>
    <n v="9190347404"/>
    <n v="6609"/>
    <n v="532"/>
    <n v="7141"/>
    <n v="29785"/>
    <n v="36926"/>
    <n v="259"/>
    <n v="526"/>
    <n v="26371"/>
    <n v="14231"/>
    <n v="77528"/>
    <n v="410857"/>
  </r>
  <r>
    <x v="69"/>
    <s v="ITA"/>
    <x v="10"/>
    <x v="10"/>
    <n v="4361675973"/>
    <n v="135188753"/>
    <n v="400"/>
    <n v="43"/>
    <n v="443"/>
    <n v="2755"/>
    <n v="3198"/>
    <n v="-7"/>
    <n v="21"/>
    <n v="2194"/>
    <n v="927"/>
    <n v="6319"/>
    <n v="64412"/>
  </r>
  <r>
    <x v="69"/>
    <s v="ITA"/>
    <x v="11"/>
    <x v="11"/>
    <n v="4155774754"/>
    <n v="1465916051"/>
    <n v="8"/>
    <n v="1"/>
    <n v="9"/>
    <n v="172"/>
    <n v="181"/>
    <n v="-1"/>
    <n v="0"/>
    <n v="98"/>
    <n v="22"/>
    <n v="301"/>
    <n v="7075"/>
  </r>
  <r>
    <x v="69"/>
    <s v="ITA"/>
    <x v="12"/>
    <x v="12"/>
    <n v="450732745"/>
    <n v="7680687483"/>
    <n v="2496"/>
    <n v="169"/>
    <n v="2665"/>
    <n v="12973"/>
    <n v="15638"/>
    <n v="-81"/>
    <n v="251"/>
    <n v="8640"/>
    <n v="3152"/>
    <n v="27430"/>
    <n v="172208"/>
  </r>
  <r>
    <x v="69"/>
    <s v="ITA"/>
    <x v="13"/>
    <x v="13"/>
    <n v="4112559576"/>
    <n v="1686736689"/>
    <n v="410"/>
    <n v="40"/>
    <n v="450"/>
    <n v="2505"/>
    <n v="2955"/>
    <n v="1"/>
    <n v="11"/>
    <n v="765"/>
    <n v="424"/>
    <n v="4144"/>
    <n v="66443"/>
  </r>
  <r>
    <x v="69"/>
    <s v="ITA"/>
    <x v="14"/>
    <x v="14"/>
    <n v="3921531192"/>
    <n v="9110616306"/>
    <n v="92"/>
    <n v="10"/>
    <n v="102"/>
    <n v="587"/>
    <n v="689"/>
    <n v="-41"/>
    <n v="4"/>
    <n v="511"/>
    <n v="119"/>
    <n v="1319"/>
    <n v="27737"/>
  </r>
  <r>
    <x v="69"/>
    <s v="ITA"/>
    <x v="15"/>
    <x v="15"/>
    <n v="3811569725"/>
    <n v="133623567"/>
    <n v="383"/>
    <n v="29"/>
    <n v="412"/>
    <n v="1791"/>
    <n v="2203"/>
    <n v="17"/>
    <n v="27"/>
    <n v="795"/>
    <n v="242"/>
    <n v="3240"/>
    <n v="85955"/>
  </r>
  <r>
    <x v="69"/>
    <s v="ITA"/>
    <x v="16"/>
    <x v="16"/>
    <n v="4376923077"/>
    <n v="1125588885"/>
    <n v="513"/>
    <n v="112"/>
    <n v="625"/>
    <n v="4703"/>
    <n v="5328"/>
    <n v="-37"/>
    <n v="38"/>
    <n v="3363"/>
    <n v="872"/>
    <n v="9563"/>
    <n v="150914"/>
  </r>
  <r>
    <x v="69"/>
    <s v="ITA"/>
    <x v="17"/>
    <x v="17"/>
    <n v="4606893511"/>
    <n v="1112123097"/>
    <n v="136"/>
    <n v="17"/>
    <n v="153"/>
    <n v="1094"/>
    <n v="1247"/>
    <n v="-35"/>
    <n v="66"/>
    <n v="2571"/>
    <n v="429"/>
    <n v="4247"/>
    <n v="41095"/>
  </r>
  <r>
    <x v="69"/>
    <s v="ITA"/>
    <x v="18"/>
    <x v="18"/>
    <n v="4310675841"/>
    <n v="1238824698"/>
    <n v="58"/>
    <n v="13"/>
    <n v="71"/>
    <n v="112"/>
    <n v="183"/>
    <n v="-13"/>
    <n v="0"/>
    <n v="1143"/>
    <n v="68"/>
    <n v="1394"/>
    <n v="38823"/>
  </r>
  <r>
    <x v="69"/>
    <s v="ITA"/>
    <x v="19"/>
    <x v="19"/>
    <n v="4573750286"/>
    <n v="7320149366"/>
    <n v="74"/>
    <n v="2"/>
    <n v="76"/>
    <n v="33"/>
    <n v="109"/>
    <n v="11"/>
    <n v="6"/>
    <n v="895"/>
    <n v="138"/>
    <n v="1142"/>
    <n v="8100"/>
  </r>
  <r>
    <x v="69"/>
    <s v="ITA"/>
    <x v="20"/>
    <x v="20"/>
    <n v="4543490485"/>
    <n v="1233845213"/>
    <n v="955"/>
    <n v="103"/>
    <n v="1058"/>
    <n v="6241"/>
    <n v="7299"/>
    <n v="-132"/>
    <n v="94"/>
    <n v="9503"/>
    <n v="1516"/>
    <n v="18318"/>
    <n v="378202"/>
  </r>
  <r>
    <x v="70"/>
    <s v="ITA"/>
    <x v="0"/>
    <x v="0"/>
    <n v="4235122196"/>
    <n v="1339843823"/>
    <n v="301"/>
    <n v="15"/>
    <n v="316"/>
    <n v="1521"/>
    <n v="1837"/>
    <n v="-31"/>
    <n v="4"/>
    <n v="831"/>
    <n v="332"/>
    <n v="3000"/>
    <n v="41108"/>
  </r>
  <r>
    <x v="70"/>
    <s v="ITA"/>
    <x v="1"/>
    <x v="1"/>
    <n v="4063947052"/>
    <n v="1580514834"/>
    <n v="50"/>
    <n v="3"/>
    <n v="53"/>
    <n v="120"/>
    <n v="173"/>
    <n v="-21"/>
    <n v="0"/>
    <n v="188"/>
    <n v="25"/>
    <n v="386"/>
    <n v="14901"/>
  </r>
  <r>
    <x v="70"/>
    <s v="ITA"/>
    <x v="2"/>
    <x v="2"/>
    <n v="4649933453"/>
    <n v="1135662422"/>
    <n v="103"/>
    <n v="10"/>
    <n v="113"/>
    <n v="523"/>
    <n v="636"/>
    <n v="-29"/>
    <n v="5"/>
    <n v="1621"/>
    <n v="284"/>
    <n v="2541"/>
    <n v="44673"/>
  </r>
  <r>
    <x v="70"/>
    <s v="ITA"/>
    <x v="3"/>
    <x v="3"/>
    <n v="3890597598"/>
    <n v="1659440194"/>
    <n v="93"/>
    <n v="4"/>
    <n v="97"/>
    <n v="577"/>
    <n v="674"/>
    <n v="-28"/>
    <n v="4"/>
    <n v="356"/>
    <n v="88"/>
    <n v="1118"/>
    <n v="39438"/>
  </r>
  <r>
    <x v="70"/>
    <s v="ITA"/>
    <x v="4"/>
    <x v="4"/>
    <n v="4083956555"/>
    <n v="1425084984"/>
    <n v="438"/>
    <n v="24"/>
    <n v="462"/>
    <n v="2249"/>
    <n v="2711"/>
    <n v="-15"/>
    <n v="14"/>
    <n v="1421"/>
    <n v="366"/>
    <n v="4498"/>
    <n v="90543"/>
  </r>
  <r>
    <x v="70"/>
    <s v="ITA"/>
    <x v="5"/>
    <x v="5"/>
    <n v="4449436681"/>
    <n v="113417208"/>
    <n v="1968"/>
    <n v="199"/>
    <n v="2167"/>
    <n v="6817"/>
    <n v="8984"/>
    <n v="-61"/>
    <n v="159"/>
    <n v="13525"/>
    <n v="3666"/>
    <n v="26175"/>
    <n v="200427"/>
  </r>
  <r>
    <x v="70"/>
    <s v="ITA"/>
    <x v="6"/>
    <x v="6"/>
    <n v="456494354"/>
    <n v="1376813649"/>
    <n v="130"/>
    <n v="4"/>
    <n v="134"/>
    <n v="916"/>
    <n v="1050"/>
    <n v="-37"/>
    <n v="4"/>
    <n v="1727"/>
    <n v="299"/>
    <n v="3076"/>
    <n v="75421"/>
  </r>
  <r>
    <x v="70"/>
    <s v="ITA"/>
    <x v="7"/>
    <x v="7"/>
    <n v="4189277044"/>
    <n v="1248366722"/>
    <n v="1335"/>
    <n v="95"/>
    <n v="1430"/>
    <n v="2955"/>
    <n v="4385"/>
    <n v="0"/>
    <n v="38"/>
    <n v="1938"/>
    <n v="524"/>
    <n v="6847"/>
    <n v="153293"/>
  </r>
  <r>
    <x v="70"/>
    <s v="ITA"/>
    <x v="8"/>
    <x v="8"/>
    <n v="4441149315"/>
    <n v="89326992"/>
    <n v="606"/>
    <n v="72"/>
    <n v="678"/>
    <n v="2830"/>
    <n v="3508"/>
    <n v="-43"/>
    <n v="53"/>
    <n v="3683"/>
    <n v="1221"/>
    <n v="8412"/>
    <n v="56092"/>
  </r>
  <r>
    <x v="70"/>
    <s v="ITA"/>
    <x v="9"/>
    <x v="9"/>
    <n v="4546679409"/>
    <n v="9190347404"/>
    <n v="6414"/>
    <n v="532"/>
    <n v="6946"/>
    <n v="30361"/>
    <n v="37307"/>
    <n v="381"/>
    <n v="577"/>
    <n v="26504"/>
    <n v="14294"/>
    <n v="78105"/>
    <n v="418835"/>
  </r>
  <r>
    <x v="70"/>
    <s v="ITA"/>
    <x v="10"/>
    <x v="10"/>
    <n v="4361675973"/>
    <n v="135188753"/>
    <n v="389"/>
    <n v="44"/>
    <n v="433"/>
    <n v="2773"/>
    <n v="3206"/>
    <n v="8"/>
    <n v="44"/>
    <n v="2225"/>
    <n v="932"/>
    <n v="6363"/>
    <n v="65398"/>
  </r>
  <r>
    <x v="70"/>
    <s v="ITA"/>
    <x v="11"/>
    <x v="11"/>
    <n v="4155774754"/>
    <n v="1465916051"/>
    <n v="9"/>
    <n v="1"/>
    <n v="10"/>
    <n v="168"/>
    <n v="178"/>
    <n v="-3"/>
    <n v="0"/>
    <n v="101"/>
    <n v="22"/>
    <n v="301"/>
    <n v="7328"/>
  </r>
  <r>
    <x v="70"/>
    <s v="ITA"/>
    <x v="12"/>
    <x v="12"/>
    <n v="450732745"/>
    <n v="7680687483"/>
    <n v="2391"/>
    <n v="161"/>
    <n v="2552"/>
    <n v="13010"/>
    <n v="15562"/>
    <n v="-76"/>
    <n v="192"/>
    <n v="8874"/>
    <n v="3186"/>
    <n v="27622"/>
    <n v="176078"/>
  </r>
  <r>
    <x v="70"/>
    <s v="ITA"/>
    <x v="13"/>
    <x v="13"/>
    <n v="4112559576"/>
    <n v="1686736689"/>
    <n v="397"/>
    <n v="39"/>
    <n v="436"/>
    <n v="2509"/>
    <n v="2945"/>
    <n v="-10"/>
    <n v="9"/>
    <n v="779"/>
    <n v="429"/>
    <n v="4153"/>
    <n v="67167"/>
  </r>
  <r>
    <x v="70"/>
    <s v="ITA"/>
    <x v="14"/>
    <x v="14"/>
    <n v="3921531192"/>
    <n v="9110616306"/>
    <n v="91"/>
    <n v="9"/>
    <n v="100"/>
    <n v="553"/>
    <n v="653"/>
    <n v="-36"/>
    <n v="-2"/>
    <n v="545"/>
    <n v="119"/>
    <n v="1317"/>
    <n v="28052"/>
  </r>
  <r>
    <x v="70"/>
    <s v="ITA"/>
    <x v="15"/>
    <x v="15"/>
    <n v="3811569725"/>
    <n v="133623567"/>
    <n v="376"/>
    <n v="27"/>
    <n v="403"/>
    <n v="1799"/>
    <n v="2202"/>
    <n v="-1"/>
    <n v="15"/>
    <n v="809"/>
    <n v="244"/>
    <n v="3255"/>
    <n v="87166"/>
  </r>
  <r>
    <x v="70"/>
    <s v="ITA"/>
    <x v="16"/>
    <x v="16"/>
    <n v="4376923077"/>
    <n v="1125588885"/>
    <n v="512"/>
    <n v="107"/>
    <n v="619"/>
    <n v="4660"/>
    <n v="5279"/>
    <n v="-49"/>
    <n v="38"/>
    <n v="3441"/>
    <n v="881"/>
    <n v="9601"/>
    <n v="152447"/>
  </r>
  <r>
    <x v="70"/>
    <s v="ITA"/>
    <x v="17"/>
    <x v="17"/>
    <n v="4606893511"/>
    <n v="1112123097"/>
    <n v="135"/>
    <n v="17"/>
    <n v="152"/>
    <n v="1013"/>
    <n v="1165"/>
    <n v="-82"/>
    <n v="11"/>
    <n v="2663"/>
    <n v="430"/>
    <n v="4258"/>
    <n v="42061"/>
  </r>
  <r>
    <x v="70"/>
    <s v="ITA"/>
    <x v="18"/>
    <x v="18"/>
    <n v="4310675841"/>
    <n v="1238824698"/>
    <n v="56"/>
    <n v="13"/>
    <n v="69"/>
    <n v="112"/>
    <n v="181"/>
    <n v="-2"/>
    <n v="0"/>
    <n v="1143"/>
    <n v="70"/>
    <n v="1394"/>
    <n v="39044"/>
  </r>
  <r>
    <x v="70"/>
    <s v="ITA"/>
    <x v="19"/>
    <x v="19"/>
    <n v="4573750286"/>
    <n v="7320149366"/>
    <n v="74"/>
    <n v="2"/>
    <n v="76"/>
    <n v="34"/>
    <n v="110"/>
    <n v="1"/>
    <n v="1"/>
    <n v="894"/>
    <n v="139"/>
    <n v="1143"/>
    <n v="8271"/>
  </r>
  <r>
    <x v="70"/>
    <s v="ITA"/>
    <x v="20"/>
    <x v="20"/>
    <n v="4543490485"/>
    <n v="1233845213"/>
    <n v="955"/>
    <n v="101"/>
    <n v="1056"/>
    <n v="6178"/>
    <n v="7234"/>
    <n v="-65"/>
    <n v="55"/>
    <n v="9611"/>
    <n v="1528"/>
    <n v="18373"/>
    <n v="383660"/>
  </r>
  <r>
    <x v="71"/>
    <s v="ITA"/>
    <x v="0"/>
    <x v="0"/>
    <n v="4235122196"/>
    <n v="1339843823"/>
    <n v="289"/>
    <n v="11"/>
    <n v="300"/>
    <n v="1509"/>
    <n v="1809"/>
    <n v="-28"/>
    <n v="25"/>
    <n v="881"/>
    <n v="335"/>
    <n v="3025"/>
    <n v="42489"/>
  </r>
  <r>
    <x v="71"/>
    <s v="ITA"/>
    <x v="1"/>
    <x v="1"/>
    <n v="4063947052"/>
    <n v="1580514834"/>
    <n v="50"/>
    <n v="3"/>
    <n v="53"/>
    <n v="124"/>
    <n v="177"/>
    <n v="4"/>
    <n v="10"/>
    <n v="194"/>
    <n v="25"/>
    <n v="396"/>
    <n v="15476"/>
  </r>
  <r>
    <x v="71"/>
    <s v="ITA"/>
    <x v="2"/>
    <x v="2"/>
    <n v="4649933453"/>
    <n v="1135662422"/>
    <n v="99"/>
    <n v="11"/>
    <n v="110"/>
    <n v="502"/>
    <n v="612"/>
    <n v="-24"/>
    <n v="1"/>
    <n v="1644"/>
    <n v="286"/>
    <n v="2542"/>
    <n v="45264"/>
  </r>
  <r>
    <x v="71"/>
    <s v="ITA"/>
    <x v="3"/>
    <x v="3"/>
    <n v="3890597598"/>
    <n v="1659440194"/>
    <n v="92"/>
    <n v="4"/>
    <n v="96"/>
    <n v="554"/>
    <n v="650"/>
    <n v="-24"/>
    <n v="1"/>
    <n v="381"/>
    <n v="88"/>
    <n v="1119"/>
    <n v="40509"/>
  </r>
  <r>
    <x v="71"/>
    <s v="ITA"/>
    <x v="4"/>
    <x v="4"/>
    <n v="4083956555"/>
    <n v="1425084984"/>
    <n v="408"/>
    <n v="25"/>
    <n v="433"/>
    <n v="2097"/>
    <n v="2530"/>
    <n v="-181"/>
    <n v="20"/>
    <n v="1619"/>
    <n v="369"/>
    <n v="4518"/>
    <n v="93068"/>
  </r>
  <r>
    <x v="71"/>
    <s v="ITA"/>
    <x v="5"/>
    <x v="5"/>
    <n v="4449436681"/>
    <n v="113417208"/>
    <n v="1917"/>
    <n v="191"/>
    <n v="2108"/>
    <n v="6573"/>
    <n v="8681"/>
    <n v="-303"/>
    <n v="100"/>
    <n v="13889"/>
    <n v="3705"/>
    <n v="26275"/>
    <n v="206166"/>
  </r>
  <r>
    <x v="71"/>
    <s v="ITA"/>
    <x v="6"/>
    <x v="6"/>
    <n v="456494354"/>
    <n v="1376813649"/>
    <n v="120"/>
    <n v="4"/>
    <n v="124"/>
    <n v="860"/>
    <n v="984"/>
    <n v="-66"/>
    <n v="9"/>
    <n v="1798"/>
    <n v="303"/>
    <n v="3085"/>
    <n v="78510"/>
  </r>
  <r>
    <x v="71"/>
    <s v="ITA"/>
    <x v="7"/>
    <x v="7"/>
    <n v="4189277044"/>
    <n v="1248366722"/>
    <n v="1315"/>
    <n v="91"/>
    <n v="1406"/>
    <n v="2964"/>
    <n v="4370"/>
    <n v="-15"/>
    <n v="67"/>
    <n v="2010"/>
    <n v="534"/>
    <n v="6914"/>
    <n v="157307"/>
  </r>
  <r>
    <x v="71"/>
    <s v="ITA"/>
    <x v="8"/>
    <x v="8"/>
    <n v="4441149315"/>
    <n v="89326992"/>
    <n v="583"/>
    <n v="68"/>
    <n v="651"/>
    <n v="2776"/>
    <n v="3427"/>
    <n v="-81"/>
    <n v="63"/>
    <n v="3816"/>
    <n v="1232"/>
    <n v="8475"/>
    <n v="57622"/>
  </r>
  <r>
    <x v="71"/>
    <s v="ITA"/>
    <x v="9"/>
    <x v="9"/>
    <n v="4546679409"/>
    <n v="9190347404"/>
    <n v="6201"/>
    <n v="509"/>
    <n v="6710"/>
    <n v="30382"/>
    <n v="37092"/>
    <n v="-215"/>
    <n v="500"/>
    <n v="27124"/>
    <n v="14389"/>
    <n v="78605"/>
    <n v="425290"/>
  </r>
  <r>
    <x v="71"/>
    <s v="ITA"/>
    <x v="10"/>
    <x v="10"/>
    <n v="4361675973"/>
    <n v="135188753"/>
    <n v="387"/>
    <n v="42"/>
    <n v="429"/>
    <n v="2790"/>
    <n v="3219"/>
    <n v="13"/>
    <n v="29"/>
    <n v="2237"/>
    <n v="936"/>
    <n v="6392"/>
    <n v="67256"/>
  </r>
  <r>
    <x v="71"/>
    <s v="ITA"/>
    <x v="11"/>
    <x v="11"/>
    <n v="4155774754"/>
    <n v="1465916051"/>
    <n v="9"/>
    <n v="1"/>
    <n v="10"/>
    <n v="167"/>
    <n v="177"/>
    <n v="-1"/>
    <n v="0"/>
    <n v="102"/>
    <n v="22"/>
    <n v="301"/>
    <n v="7528"/>
  </r>
  <r>
    <x v="71"/>
    <s v="ITA"/>
    <x v="12"/>
    <x v="12"/>
    <n v="450732745"/>
    <n v="7680687483"/>
    <n v="2307"/>
    <n v="155"/>
    <n v="2462"/>
    <n v="12861"/>
    <n v="15323"/>
    <n v="-239"/>
    <n v="152"/>
    <n v="9235"/>
    <n v="3216"/>
    <n v="27774"/>
    <n v="181316"/>
  </r>
  <r>
    <x v="71"/>
    <s v="ITA"/>
    <x v="13"/>
    <x v="13"/>
    <n v="4112559576"/>
    <n v="1686736689"/>
    <n v="384"/>
    <n v="39"/>
    <n v="423"/>
    <n v="2516"/>
    <n v="2939"/>
    <n v="-6"/>
    <n v="17"/>
    <n v="798"/>
    <n v="433"/>
    <n v="4170"/>
    <n v="69128"/>
  </r>
  <r>
    <x v="71"/>
    <s v="ITA"/>
    <x v="14"/>
    <x v="14"/>
    <n v="3921531192"/>
    <n v="9110616306"/>
    <n v="94"/>
    <n v="9"/>
    <n v="103"/>
    <n v="539"/>
    <n v="642"/>
    <n v="-11"/>
    <n v="1"/>
    <n v="557"/>
    <n v="119"/>
    <n v="1318"/>
    <n v="28867"/>
  </r>
  <r>
    <x v="71"/>
    <s v="ITA"/>
    <x v="15"/>
    <x v="15"/>
    <n v="3811569725"/>
    <n v="133623567"/>
    <n v="367"/>
    <n v="26"/>
    <n v="393"/>
    <n v="1809"/>
    <n v="2202"/>
    <n v="0"/>
    <n v="12"/>
    <n v="818"/>
    <n v="247"/>
    <n v="3267"/>
    <n v="91306"/>
  </r>
  <r>
    <x v="71"/>
    <s v="ITA"/>
    <x v="16"/>
    <x v="16"/>
    <n v="4376923077"/>
    <n v="1125588885"/>
    <n v="484"/>
    <n v="111"/>
    <n v="595"/>
    <n v="4595"/>
    <n v="5190"/>
    <n v="-89"/>
    <n v="30"/>
    <n v="3552"/>
    <n v="889"/>
    <n v="9631"/>
    <n v="157260"/>
  </r>
  <r>
    <x v="71"/>
    <s v="ITA"/>
    <x v="17"/>
    <x v="17"/>
    <n v="4606893511"/>
    <n v="1112123097"/>
    <n v="126"/>
    <n v="15"/>
    <n v="141"/>
    <n v="900"/>
    <n v="1041"/>
    <n v="-124"/>
    <n v="3"/>
    <n v="2787"/>
    <n v="433"/>
    <n v="4261"/>
    <n v="42870"/>
  </r>
  <r>
    <x v="71"/>
    <s v="ITA"/>
    <x v="18"/>
    <x v="18"/>
    <n v="4310675841"/>
    <n v="1238824698"/>
    <n v="56"/>
    <n v="11"/>
    <n v="67"/>
    <n v="109"/>
    <n v="176"/>
    <n v="-5"/>
    <n v="6"/>
    <n v="1154"/>
    <n v="70"/>
    <n v="1400"/>
    <n v="39998"/>
  </r>
  <r>
    <x v="71"/>
    <s v="ITA"/>
    <x v="19"/>
    <x v="19"/>
    <n v="4573750286"/>
    <n v="7320149366"/>
    <n v="56"/>
    <n v="3"/>
    <n v="59"/>
    <n v="51"/>
    <n v="110"/>
    <n v="0"/>
    <n v="0"/>
    <n v="894"/>
    <n v="139"/>
    <n v="1143"/>
    <n v="8484"/>
  </r>
  <r>
    <x v="71"/>
    <s v="ITA"/>
    <x v="20"/>
    <x v="20"/>
    <n v="4543490485"/>
    <n v="1233845213"/>
    <n v="926"/>
    <n v="98"/>
    <n v="1024"/>
    <n v="6092"/>
    <n v="7116"/>
    <n v="-118"/>
    <n v="29"/>
    <n v="9741"/>
    <n v="1545"/>
    <n v="18402"/>
    <n v="390952"/>
  </r>
  <r>
    <x v="72"/>
    <s v="ITA"/>
    <x v="0"/>
    <x v="0"/>
    <n v="4235122196"/>
    <n v="1339843823"/>
    <n v="285"/>
    <n v="11"/>
    <n v="296"/>
    <n v="1495"/>
    <n v="1791"/>
    <n v="-18"/>
    <n v="22"/>
    <n v="915"/>
    <n v="341"/>
    <n v="3047"/>
    <n v="43803"/>
  </r>
  <r>
    <x v="72"/>
    <s v="ITA"/>
    <x v="1"/>
    <x v="1"/>
    <n v="4063947052"/>
    <n v="1580514834"/>
    <n v="47"/>
    <n v="3"/>
    <n v="50"/>
    <n v="122"/>
    <n v="172"/>
    <n v="-5"/>
    <n v="3"/>
    <n v="202"/>
    <n v="25"/>
    <n v="399"/>
    <n v="16103"/>
  </r>
  <r>
    <x v="72"/>
    <s v="ITA"/>
    <x v="2"/>
    <x v="2"/>
    <n v="4649933453"/>
    <n v="1135662422"/>
    <n v="99"/>
    <n v="11"/>
    <n v="110"/>
    <n v="469"/>
    <n v="579"/>
    <n v="-33"/>
    <n v="1"/>
    <n v="1678"/>
    <n v="286"/>
    <n v="2543"/>
    <n v="46228"/>
  </r>
  <r>
    <x v="72"/>
    <s v="ITA"/>
    <x v="3"/>
    <x v="3"/>
    <n v="3890597598"/>
    <n v="1659440194"/>
    <n v="87"/>
    <n v="3"/>
    <n v="90"/>
    <n v="554"/>
    <n v="644"/>
    <n v="-6"/>
    <n v="3"/>
    <n v="389"/>
    <n v="89"/>
    <n v="1122"/>
    <n v="41828"/>
  </r>
  <r>
    <x v="72"/>
    <s v="ITA"/>
    <x v="4"/>
    <x v="4"/>
    <n v="4083956555"/>
    <n v="1425084984"/>
    <n v="433"/>
    <n v="25"/>
    <n v="458"/>
    <n v="1882"/>
    <n v="2340"/>
    <n v="-190"/>
    <n v="14"/>
    <n v="1816"/>
    <n v="376"/>
    <n v="4532"/>
    <n v="96548"/>
  </r>
  <r>
    <x v="72"/>
    <s v="ITA"/>
    <x v="5"/>
    <x v="5"/>
    <n v="4449436681"/>
    <n v="113417208"/>
    <n v="1816"/>
    <n v="176"/>
    <n v="1992"/>
    <n v="6399"/>
    <n v="8391"/>
    <n v="-290"/>
    <n v="104"/>
    <n v="14251"/>
    <n v="3737"/>
    <n v="26379"/>
    <n v="211652"/>
  </r>
  <r>
    <x v="72"/>
    <s v="ITA"/>
    <x v="6"/>
    <x v="6"/>
    <n v="456494354"/>
    <n v="1376813649"/>
    <n v="115"/>
    <n v="3"/>
    <n v="118"/>
    <n v="844"/>
    <n v="962"/>
    <n v="-22"/>
    <n v="9"/>
    <n v="1826"/>
    <n v="306"/>
    <n v="3094"/>
    <n v="79429"/>
  </r>
  <r>
    <x v="72"/>
    <s v="ITA"/>
    <x v="7"/>
    <x v="7"/>
    <n v="4189277044"/>
    <n v="1248366722"/>
    <n v="1351"/>
    <n v="91"/>
    <n v="1442"/>
    <n v="2991"/>
    <n v="4433"/>
    <n v="63"/>
    <n v="81"/>
    <n v="2024"/>
    <n v="538"/>
    <n v="6995"/>
    <n v="160894"/>
  </r>
  <r>
    <x v="72"/>
    <s v="ITA"/>
    <x v="8"/>
    <x v="8"/>
    <n v="4441149315"/>
    <n v="89326992"/>
    <n v="548"/>
    <n v="59"/>
    <n v="607"/>
    <n v="2699"/>
    <n v="3306"/>
    <n v="-121"/>
    <n v="76"/>
    <n v="4002"/>
    <n v="1243"/>
    <n v="8551"/>
    <n v="59693"/>
  </r>
  <r>
    <x v="72"/>
    <s v="ITA"/>
    <x v="9"/>
    <x v="9"/>
    <n v="4546679409"/>
    <n v="9190347404"/>
    <n v="6079"/>
    <n v="480"/>
    <n v="6559"/>
    <n v="25194"/>
    <n v="31753"/>
    <n v="-5339"/>
    <n v="764"/>
    <n v="33005"/>
    <n v="14611"/>
    <n v="79369"/>
    <n v="439806"/>
  </r>
  <r>
    <x v="72"/>
    <s v="ITA"/>
    <x v="10"/>
    <x v="10"/>
    <n v="4361675973"/>
    <n v="135188753"/>
    <n v="353"/>
    <n v="42"/>
    <n v="395"/>
    <n v="2841"/>
    <n v="3236"/>
    <n v="17"/>
    <n v="29"/>
    <n v="2242"/>
    <n v="943"/>
    <n v="6421"/>
    <n v="69037"/>
  </r>
  <r>
    <x v="72"/>
    <s v="ITA"/>
    <x v="11"/>
    <x v="11"/>
    <n v="4155774754"/>
    <n v="1465916051"/>
    <n v="9"/>
    <n v="0"/>
    <n v="9"/>
    <n v="170"/>
    <n v="179"/>
    <n v="2"/>
    <n v="3"/>
    <n v="103"/>
    <n v="22"/>
    <n v="304"/>
    <n v="7896"/>
  </r>
  <r>
    <x v="72"/>
    <s v="ITA"/>
    <x v="12"/>
    <x v="12"/>
    <n v="450732745"/>
    <n v="7680687483"/>
    <n v="2147"/>
    <n v="150"/>
    <n v="2297"/>
    <n v="12561"/>
    <n v="14858"/>
    <n v="-465"/>
    <n v="165"/>
    <n v="9834"/>
    <n v="3247"/>
    <n v="27939"/>
    <n v="188057"/>
  </r>
  <r>
    <x v="72"/>
    <s v="ITA"/>
    <x v="13"/>
    <x v="13"/>
    <n v="4112559576"/>
    <n v="1686736689"/>
    <n v="365"/>
    <n v="36"/>
    <n v="401"/>
    <n v="2502"/>
    <n v="2903"/>
    <n v="-36"/>
    <n v="26"/>
    <n v="855"/>
    <n v="438"/>
    <n v="4196"/>
    <n v="70944"/>
  </r>
  <r>
    <x v="72"/>
    <s v="ITA"/>
    <x v="14"/>
    <x v="14"/>
    <n v="3921531192"/>
    <n v="9110616306"/>
    <n v="91"/>
    <n v="11"/>
    <n v="102"/>
    <n v="521"/>
    <n v="623"/>
    <n v="-19"/>
    <n v="1"/>
    <n v="577"/>
    <n v="119"/>
    <n v="1319"/>
    <n v="29966"/>
  </r>
  <r>
    <x v="72"/>
    <s v="ITA"/>
    <x v="15"/>
    <x v="15"/>
    <n v="3811569725"/>
    <n v="133623567"/>
    <n v="359"/>
    <n v="25"/>
    <n v="384"/>
    <n v="1817"/>
    <n v="2201"/>
    <n v="-1"/>
    <n v="14"/>
    <n v="830"/>
    <n v="250"/>
    <n v="3281"/>
    <n v="92999"/>
  </r>
  <r>
    <x v="72"/>
    <s v="ITA"/>
    <x v="16"/>
    <x v="16"/>
    <n v="4376923077"/>
    <n v="1125588885"/>
    <n v="462"/>
    <n v="92"/>
    <n v="554"/>
    <n v="4534"/>
    <n v="5088"/>
    <n v="-102"/>
    <n v="26"/>
    <n v="3670"/>
    <n v="899"/>
    <n v="9657"/>
    <n v="161553"/>
  </r>
  <r>
    <x v="72"/>
    <s v="ITA"/>
    <x v="17"/>
    <x v="17"/>
    <n v="4606893511"/>
    <n v="1112123097"/>
    <n v="116"/>
    <n v="13"/>
    <n v="129"/>
    <n v="853"/>
    <n v="982"/>
    <n v="-59"/>
    <n v="19"/>
    <n v="2861"/>
    <n v="437"/>
    <n v="4280"/>
    <n v="44719"/>
  </r>
  <r>
    <x v="72"/>
    <s v="ITA"/>
    <x v="18"/>
    <x v="18"/>
    <n v="4310675841"/>
    <n v="1238824698"/>
    <n v="55"/>
    <n v="9"/>
    <n v="64"/>
    <n v="107"/>
    <n v="171"/>
    <n v="-5"/>
    <n v="4"/>
    <n v="1163"/>
    <n v="70"/>
    <n v="1404"/>
    <n v="41328"/>
  </r>
  <r>
    <x v="72"/>
    <s v="ITA"/>
    <x v="19"/>
    <x v="19"/>
    <n v="4573750286"/>
    <n v="7320149366"/>
    <n v="50"/>
    <n v="3"/>
    <n v="53"/>
    <n v="74"/>
    <n v="127"/>
    <n v="17"/>
    <n v="3"/>
    <n v="880"/>
    <n v="139"/>
    <n v="1146"/>
    <n v="8640"/>
  </r>
  <r>
    <x v="72"/>
    <s v="ITA"/>
    <x v="20"/>
    <x v="20"/>
    <n v="4543490485"/>
    <n v="1233845213"/>
    <n v="902"/>
    <n v="90"/>
    <n v="992"/>
    <n v="5797"/>
    <n v="6789"/>
    <n v="-327"/>
    <n v="77"/>
    <n v="10122"/>
    <n v="1568"/>
    <n v="18479"/>
    <n v="399806"/>
  </r>
  <r>
    <x v="73"/>
    <s v="ITA"/>
    <x v="0"/>
    <x v="0"/>
    <n v="4235122196"/>
    <n v="1339843823"/>
    <n v="263"/>
    <n v="12"/>
    <n v="275"/>
    <n v="1495"/>
    <n v="1770"/>
    <n v="-21"/>
    <n v="25"/>
    <n v="954"/>
    <n v="348"/>
    <n v="3072"/>
    <n v="45021"/>
  </r>
  <r>
    <x v="73"/>
    <s v="ITA"/>
    <x v="1"/>
    <x v="1"/>
    <n v="4063947052"/>
    <n v="1580514834"/>
    <n v="48"/>
    <n v="2"/>
    <n v="50"/>
    <n v="105"/>
    <n v="155"/>
    <n v="-17"/>
    <n v="-16"/>
    <n v="202"/>
    <n v="26"/>
    <n v="383"/>
    <n v="16272"/>
  </r>
  <r>
    <x v="73"/>
    <s v="ITA"/>
    <x v="2"/>
    <x v="2"/>
    <n v="4649933453"/>
    <n v="1135662422"/>
    <n v="87"/>
    <n v="11"/>
    <n v="98"/>
    <n v="453"/>
    <n v="551"/>
    <n v="-28"/>
    <n v="9"/>
    <n v="1715"/>
    <n v="286"/>
    <n v="2552"/>
    <n v="47091"/>
  </r>
  <r>
    <x v="73"/>
    <s v="ITA"/>
    <x v="3"/>
    <x v="3"/>
    <n v="3890597598"/>
    <n v="1659440194"/>
    <n v="81"/>
    <n v="2"/>
    <n v="83"/>
    <n v="550"/>
    <n v="633"/>
    <n v="-11"/>
    <n v="3"/>
    <n v="403"/>
    <n v="89"/>
    <n v="1125"/>
    <n v="42854"/>
  </r>
  <r>
    <x v="73"/>
    <s v="ITA"/>
    <x v="4"/>
    <x v="4"/>
    <n v="4083956555"/>
    <n v="1425084984"/>
    <n v="415"/>
    <n v="27"/>
    <n v="442"/>
    <n v="1697"/>
    <n v="2139"/>
    <n v="-201"/>
    <n v="9"/>
    <n v="2023"/>
    <n v="379"/>
    <n v="4541"/>
    <n v="101025"/>
  </r>
  <r>
    <x v="73"/>
    <s v="ITA"/>
    <x v="5"/>
    <x v="5"/>
    <n v="4449436681"/>
    <n v="113417208"/>
    <n v="1726"/>
    <n v="173"/>
    <n v="1899"/>
    <n v="6112"/>
    <n v="8011"/>
    <n v="-380"/>
    <n v="108"/>
    <n v="14710"/>
    <n v="3766"/>
    <n v="26487"/>
    <n v="217039"/>
  </r>
  <r>
    <x v="73"/>
    <s v="ITA"/>
    <x v="6"/>
    <x v="6"/>
    <n v="456494354"/>
    <n v="1376813649"/>
    <n v="109"/>
    <n v="2"/>
    <n v="111"/>
    <n v="816"/>
    <n v="927"/>
    <n v="-35"/>
    <n v="13"/>
    <n v="1872"/>
    <n v="308"/>
    <n v="3107"/>
    <n v="82012"/>
  </r>
  <r>
    <x v="73"/>
    <s v="ITA"/>
    <x v="7"/>
    <x v="7"/>
    <n v="4189277044"/>
    <n v="1248366722"/>
    <n v="1291"/>
    <n v="89"/>
    <n v="1380"/>
    <n v="2968"/>
    <n v="4348"/>
    <n v="-85"/>
    <n v="39"/>
    <n v="2143"/>
    <n v="543"/>
    <n v="7034"/>
    <n v="165340"/>
  </r>
  <r>
    <x v="73"/>
    <s v="ITA"/>
    <x v="8"/>
    <x v="8"/>
    <n v="4441149315"/>
    <n v="89326992"/>
    <n v="525"/>
    <n v="57"/>
    <n v="582"/>
    <n v="2666"/>
    <n v="3248"/>
    <n v="-58"/>
    <n v="94"/>
    <n v="4143"/>
    <n v="1254"/>
    <n v="8645"/>
    <n v="61446"/>
  </r>
  <r>
    <x v="73"/>
    <s v="ITA"/>
    <x v="9"/>
    <x v="9"/>
    <n v="4546679409"/>
    <n v="9190347404"/>
    <n v="5848"/>
    <n v="480"/>
    <n v="6328"/>
    <n v="25687"/>
    <n v="32015"/>
    <n v="262"/>
    <n v="720"/>
    <n v="33329"/>
    <n v="14745"/>
    <n v="80089"/>
    <n v="455294"/>
  </r>
  <r>
    <x v="73"/>
    <s v="ITA"/>
    <x v="10"/>
    <x v="10"/>
    <n v="4361675973"/>
    <n v="135188753"/>
    <n v="328"/>
    <n v="41"/>
    <n v="369"/>
    <n v="2878"/>
    <n v="3247"/>
    <n v="11"/>
    <n v="31"/>
    <n v="2257"/>
    <n v="948"/>
    <n v="6452"/>
    <n v="71017"/>
  </r>
  <r>
    <x v="73"/>
    <s v="ITA"/>
    <x v="11"/>
    <x v="11"/>
    <n v="4155774754"/>
    <n v="1465916051"/>
    <n v="8"/>
    <n v="0"/>
    <n v="8"/>
    <n v="162"/>
    <n v="170"/>
    <n v="-9"/>
    <n v="1"/>
    <n v="113"/>
    <n v="22"/>
    <n v="305"/>
    <n v="8237"/>
  </r>
  <r>
    <x v="73"/>
    <s v="ITA"/>
    <x v="12"/>
    <x v="12"/>
    <n v="450732745"/>
    <n v="7680687483"/>
    <n v="2147"/>
    <n v="150"/>
    <n v="2297"/>
    <n v="12172"/>
    <n v="14469"/>
    <n v="-389"/>
    <n v="196"/>
    <n v="10384"/>
    <n v="3282"/>
    <n v="28135"/>
    <n v="194584"/>
  </r>
  <r>
    <x v="73"/>
    <s v="ITA"/>
    <x v="13"/>
    <x v="13"/>
    <n v="4112559576"/>
    <n v="1686736689"/>
    <n v="355"/>
    <n v="35"/>
    <n v="390"/>
    <n v="2410"/>
    <n v="2800"/>
    <n v="-103"/>
    <n v="49"/>
    <n v="1004"/>
    <n v="441"/>
    <n v="4245"/>
    <n v="72796"/>
  </r>
  <r>
    <x v="73"/>
    <s v="ITA"/>
    <x v="14"/>
    <x v="14"/>
    <n v="3921531192"/>
    <n v="9110616306"/>
    <n v="90"/>
    <n v="9"/>
    <n v="99"/>
    <n v="484"/>
    <n v="583"/>
    <n v="-40"/>
    <n v="5"/>
    <n v="622"/>
    <n v="119"/>
    <n v="1324"/>
    <n v="31064"/>
  </r>
  <r>
    <x v="73"/>
    <s v="ITA"/>
    <x v="15"/>
    <x v="15"/>
    <n v="3811569725"/>
    <n v="133623567"/>
    <n v="349"/>
    <n v="21"/>
    <n v="370"/>
    <n v="1757"/>
    <n v="2127"/>
    <n v="-74"/>
    <n v="7"/>
    <n v="910"/>
    <n v="251"/>
    <n v="3288"/>
    <n v="95695"/>
  </r>
  <r>
    <x v="73"/>
    <s v="ITA"/>
    <x v="16"/>
    <x v="16"/>
    <n v="4376923077"/>
    <n v="1125588885"/>
    <n v="437"/>
    <n v="91"/>
    <n v="528"/>
    <n v="4188"/>
    <n v="4716"/>
    <n v="-372"/>
    <n v="26"/>
    <n v="4052"/>
    <n v="915"/>
    <n v="9683"/>
    <n v="166062"/>
  </r>
  <r>
    <x v="73"/>
    <s v="ITA"/>
    <x v="17"/>
    <x v="17"/>
    <n v="4606893511"/>
    <n v="1112123097"/>
    <n v="99"/>
    <n v="11"/>
    <n v="110"/>
    <n v="800"/>
    <n v="910"/>
    <n v="-72"/>
    <n v="3"/>
    <n v="2935"/>
    <n v="438"/>
    <n v="4283"/>
    <n v="46500"/>
  </r>
  <r>
    <x v="73"/>
    <s v="ITA"/>
    <x v="18"/>
    <x v="18"/>
    <n v="4310675841"/>
    <n v="1238824698"/>
    <n v="47"/>
    <n v="9"/>
    <n v="56"/>
    <n v="85"/>
    <n v="141"/>
    <n v="-30"/>
    <n v="1"/>
    <n v="1194"/>
    <n v="70"/>
    <n v="1405"/>
    <n v="42788"/>
  </r>
  <r>
    <x v="73"/>
    <s v="ITA"/>
    <x v="19"/>
    <x v="19"/>
    <n v="4573750286"/>
    <n v="7320149366"/>
    <n v="49"/>
    <n v="2"/>
    <n v="51"/>
    <n v="79"/>
    <n v="130"/>
    <n v="3"/>
    <n v="4"/>
    <n v="881"/>
    <n v="139"/>
    <n v="1150"/>
    <n v="8939"/>
  </r>
  <r>
    <x v="73"/>
    <s v="ITA"/>
    <x v="20"/>
    <x v="20"/>
    <n v="4543490485"/>
    <n v="1233845213"/>
    <n v="872"/>
    <n v="87"/>
    <n v="959"/>
    <n v="5575"/>
    <n v="6534"/>
    <n v="-255"/>
    <n v="74"/>
    <n v="10430"/>
    <n v="1589"/>
    <n v="18553"/>
    <n v="410212"/>
  </r>
  <r>
    <x v="74"/>
    <s v="ITA"/>
    <x v="0"/>
    <x v="0"/>
    <n v="4235122196"/>
    <n v="1339843823"/>
    <n v="250"/>
    <n v="10"/>
    <n v="260"/>
    <n v="1453"/>
    <n v="1713"/>
    <n v="-57"/>
    <n v="6"/>
    <n v="1014"/>
    <n v="351"/>
    <n v="3078"/>
    <n v="46103"/>
  </r>
  <r>
    <x v="74"/>
    <s v="ITA"/>
    <x v="1"/>
    <x v="1"/>
    <n v="4063947052"/>
    <n v="1580514834"/>
    <n v="48"/>
    <n v="2"/>
    <n v="50"/>
    <n v="102"/>
    <n v="152"/>
    <n v="-3"/>
    <n v="-1"/>
    <n v="204"/>
    <n v="26"/>
    <n v="382"/>
    <n v="16777"/>
  </r>
  <r>
    <x v="74"/>
    <s v="ITA"/>
    <x v="2"/>
    <x v="2"/>
    <n v="4649933453"/>
    <n v="1135662422"/>
    <n v="78"/>
    <n v="9"/>
    <n v="87"/>
    <n v="415"/>
    <n v="502"/>
    <n v="-49"/>
    <n v="6"/>
    <n v="1767"/>
    <n v="289"/>
    <n v="2558"/>
    <n v="47908"/>
  </r>
  <r>
    <x v="74"/>
    <s v="ITA"/>
    <x v="3"/>
    <x v="3"/>
    <n v="3890597598"/>
    <n v="1659440194"/>
    <n v="73"/>
    <n v="2"/>
    <n v="75"/>
    <n v="544"/>
    <n v="619"/>
    <n v="-14"/>
    <n v="1"/>
    <n v="417"/>
    <n v="90"/>
    <n v="1126"/>
    <n v="43980"/>
  </r>
  <r>
    <x v="74"/>
    <s v="ITA"/>
    <x v="4"/>
    <x v="4"/>
    <n v="4083956555"/>
    <n v="1425084984"/>
    <n v="418"/>
    <n v="28"/>
    <n v="446"/>
    <n v="1566"/>
    <n v="2012"/>
    <n v="-127"/>
    <n v="21"/>
    <n v="2164"/>
    <n v="386"/>
    <n v="4562"/>
    <n v="105399"/>
  </r>
  <r>
    <x v="74"/>
    <s v="ITA"/>
    <x v="5"/>
    <x v="5"/>
    <n v="4449436681"/>
    <n v="113417208"/>
    <n v="1680"/>
    <n v="163"/>
    <n v="1843"/>
    <n v="5887"/>
    <n v="7730"/>
    <n v="-281"/>
    <n v="111"/>
    <n v="15071"/>
    <n v="3797"/>
    <n v="26598"/>
    <n v="221866"/>
  </r>
  <r>
    <x v="74"/>
    <s v="ITA"/>
    <x v="6"/>
    <x v="6"/>
    <n v="456494354"/>
    <n v="1376813649"/>
    <n v="105"/>
    <n v="2"/>
    <n v="107"/>
    <n v="804"/>
    <n v="911"/>
    <n v="-16"/>
    <n v="9"/>
    <n v="1897"/>
    <n v="308"/>
    <n v="3116"/>
    <n v="82902"/>
  </r>
  <r>
    <x v="74"/>
    <s v="ITA"/>
    <x v="7"/>
    <x v="7"/>
    <n v="4189277044"/>
    <n v="1248366722"/>
    <n v="1278"/>
    <n v="84"/>
    <n v="1362"/>
    <n v="2966"/>
    <n v="4328"/>
    <n v="-20"/>
    <n v="52"/>
    <n v="2209"/>
    <n v="549"/>
    <n v="7086"/>
    <n v="169499"/>
  </r>
  <r>
    <x v="74"/>
    <s v="ITA"/>
    <x v="8"/>
    <x v="8"/>
    <n v="4441149315"/>
    <n v="89326992"/>
    <n v="517"/>
    <n v="46"/>
    <n v="563"/>
    <n v="2613"/>
    <n v="3176"/>
    <n v="-72"/>
    <n v="78"/>
    <n v="4282"/>
    <n v="1265"/>
    <n v="8723"/>
    <n v="63531"/>
  </r>
  <r>
    <x v="74"/>
    <s v="ITA"/>
    <x v="9"/>
    <x v="9"/>
    <n v="4546679409"/>
    <n v="9190347404"/>
    <n v="5702"/>
    <n v="400"/>
    <n v="6102"/>
    <n v="25881"/>
    <n v="31983"/>
    <n v="-32"/>
    <n v="634"/>
    <n v="33901"/>
    <n v="14839"/>
    <n v="80723"/>
    <n v="466287"/>
  </r>
  <r>
    <x v="74"/>
    <s v="ITA"/>
    <x v="10"/>
    <x v="10"/>
    <n v="4361675973"/>
    <n v="135188753"/>
    <n v="303"/>
    <n v="38"/>
    <n v="341"/>
    <n v="2897"/>
    <n v="3238"/>
    <n v="-9"/>
    <n v="18"/>
    <n v="2278"/>
    <n v="954"/>
    <n v="6470"/>
    <n v="72504"/>
  </r>
  <r>
    <x v="74"/>
    <s v="ITA"/>
    <x v="11"/>
    <x v="11"/>
    <n v="4155774754"/>
    <n v="1465916051"/>
    <n v="6"/>
    <n v="0"/>
    <n v="6"/>
    <n v="178"/>
    <n v="184"/>
    <n v="14"/>
    <n v="22"/>
    <n v="121"/>
    <n v="22"/>
    <n v="327"/>
    <n v="8502"/>
  </r>
  <r>
    <x v="74"/>
    <s v="ITA"/>
    <x v="12"/>
    <x v="12"/>
    <n v="450732745"/>
    <n v="7680687483"/>
    <n v="2013"/>
    <n v="140"/>
    <n v="2153"/>
    <n v="11954"/>
    <n v="14107"/>
    <n v="-362"/>
    <n v="233"/>
    <n v="10956"/>
    <n v="3305"/>
    <n v="28368"/>
    <n v="201183"/>
  </r>
  <r>
    <x v="74"/>
    <s v="ITA"/>
    <x v="13"/>
    <x v="13"/>
    <n v="4112559576"/>
    <n v="1686736689"/>
    <n v="349"/>
    <n v="33"/>
    <n v="382"/>
    <n v="2351"/>
    <n v="2733"/>
    <n v="-67"/>
    <n v="11"/>
    <n v="1080"/>
    <n v="443"/>
    <n v="4256"/>
    <n v="74724"/>
  </r>
  <r>
    <x v="74"/>
    <s v="ITA"/>
    <x v="14"/>
    <x v="14"/>
    <n v="3921531192"/>
    <n v="9110616306"/>
    <n v="90"/>
    <n v="10"/>
    <n v="100"/>
    <n v="453"/>
    <n v="553"/>
    <n v="-30"/>
    <n v="6"/>
    <n v="658"/>
    <n v="119"/>
    <n v="1330"/>
    <n v="32219"/>
  </r>
  <r>
    <x v="74"/>
    <s v="ITA"/>
    <x v="15"/>
    <x v="15"/>
    <n v="3811569725"/>
    <n v="133623567"/>
    <n v="310"/>
    <n v="19"/>
    <n v="329"/>
    <n v="1798"/>
    <n v="2127"/>
    <n v="0"/>
    <n v="13"/>
    <n v="921"/>
    <n v="253"/>
    <n v="3301"/>
    <n v="98711"/>
  </r>
  <r>
    <x v="74"/>
    <s v="ITA"/>
    <x v="16"/>
    <x v="16"/>
    <n v="4376923077"/>
    <n v="1125588885"/>
    <n v="399"/>
    <n v="84"/>
    <n v="483"/>
    <n v="4109"/>
    <n v="4592"/>
    <n v="-124"/>
    <n v="38"/>
    <n v="4199"/>
    <n v="930"/>
    <n v="9721"/>
    <n v="170296"/>
  </r>
  <r>
    <x v="74"/>
    <s v="ITA"/>
    <x v="17"/>
    <x v="17"/>
    <n v="4606893511"/>
    <n v="1112123097"/>
    <n v="94"/>
    <n v="11"/>
    <n v="105"/>
    <n v="767"/>
    <n v="872"/>
    <n v="-38"/>
    <n v="2"/>
    <n v="2975"/>
    <n v="438"/>
    <n v="4285"/>
    <n v="48220"/>
  </r>
  <r>
    <x v="74"/>
    <s v="ITA"/>
    <x v="18"/>
    <x v="18"/>
    <n v="4310675841"/>
    <n v="1238824698"/>
    <n v="47"/>
    <n v="6"/>
    <n v="53"/>
    <n v="66"/>
    <n v="119"/>
    <n v="-22"/>
    <n v="1"/>
    <n v="1216"/>
    <n v="71"/>
    <n v="1406"/>
    <n v="44223"/>
  </r>
  <r>
    <x v="74"/>
    <s v="ITA"/>
    <x v="19"/>
    <x v="19"/>
    <n v="4573750286"/>
    <n v="7320149366"/>
    <n v="45"/>
    <n v="2"/>
    <n v="47"/>
    <n v="76"/>
    <n v="123"/>
    <n v="-7"/>
    <n v="1"/>
    <n v="889"/>
    <n v="139"/>
    <n v="1151"/>
    <n v="9280"/>
  </r>
  <r>
    <x v="74"/>
    <s v="ITA"/>
    <x v="20"/>
    <x v="20"/>
    <n v="4543490485"/>
    <n v="1233845213"/>
    <n v="831"/>
    <n v="79"/>
    <n v="910"/>
    <n v="5277"/>
    <n v="6187"/>
    <n v="-347"/>
    <n v="65"/>
    <n v="10804"/>
    <n v="1627"/>
    <n v="18618"/>
    <n v="420949"/>
  </r>
  <r>
    <x v="75"/>
    <s v="ITA"/>
    <x v="0"/>
    <x v="0"/>
    <n v="4235122196"/>
    <n v="1339843823"/>
    <n v="246"/>
    <n v="10"/>
    <n v="256"/>
    <n v="1420"/>
    <n v="1676"/>
    <n v="-37"/>
    <n v="8"/>
    <n v="1055"/>
    <n v="355"/>
    <n v="3086"/>
    <n v="47190"/>
  </r>
  <r>
    <x v="75"/>
    <s v="ITA"/>
    <x v="1"/>
    <x v="1"/>
    <n v="4063947052"/>
    <n v="1580514834"/>
    <n v="45"/>
    <n v="1"/>
    <n v="46"/>
    <n v="99"/>
    <n v="145"/>
    <n v="-7"/>
    <n v="0"/>
    <n v="210"/>
    <n v="27"/>
    <n v="382"/>
    <n v="17433"/>
  </r>
  <r>
    <x v="75"/>
    <s v="ITA"/>
    <x v="2"/>
    <x v="2"/>
    <n v="4649933453"/>
    <n v="1135662422"/>
    <n v="55"/>
    <n v="9"/>
    <n v="64"/>
    <n v="409"/>
    <n v="473"/>
    <n v="-29"/>
    <n v="9"/>
    <n v="1804"/>
    <n v="290"/>
    <n v="2567"/>
    <n v="48858"/>
  </r>
  <r>
    <x v="75"/>
    <s v="ITA"/>
    <x v="3"/>
    <x v="3"/>
    <n v="3890597598"/>
    <n v="1659440194"/>
    <n v="68"/>
    <n v="2"/>
    <n v="70"/>
    <n v="542"/>
    <n v="612"/>
    <n v="-7"/>
    <n v="3"/>
    <n v="427"/>
    <n v="90"/>
    <n v="1129"/>
    <n v="45071"/>
  </r>
  <r>
    <x v="75"/>
    <s v="ITA"/>
    <x v="4"/>
    <x v="4"/>
    <n v="4083956555"/>
    <n v="1425084984"/>
    <n v="415"/>
    <n v="26"/>
    <n v="441"/>
    <n v="1524"/>
    <n v="1965"/>
    <n v="-47"/>
    <n v="14"/>
    <n v="2223"/>
    <n v="388"/>
    <n v="4576"/>
    <n v="110811"/>
  </r>
  <r>
    <x v="75"/>
    <s v="ITA"/>
    <x v="5"/>
    <x v="5"/>
    <n v="4449436681"/>
    <n v="113417208"/>
    <n v="1604"/>
    <n v="155"/>
    <n v="1759"/>
    <n v="5642"/>
    <n v="7401"/>
    <n v="-329"/>
    <n v="121"/>
    <n v="15491"/>
    <n v="3827"/>
    <n v="26719"/>
    <n v="227366"/>
  </r>
  <r>
    <x v="75"/>
    <s v="ITA"/>
    <x v="6"/>
    <x v="6"/>
    <n v="456494354"/>
    <n v="1376813649"/>
    <n v="101"/>
    <n v="3"/>
    <n v="104"/>
    <n v="765"/>
    <n v="869"/>
    <n v="-42"/>
    <n v="8"/>
    <n v="1947"/>
    <n v="308"/>
    <n v="3124"/>
    <n v="88384"/>
  </r>
  <r>
    <x v="75"/>
    <s v="ITA"/>
    <x v="7"/>
    <x v="7"/>
    <n v="4189277044"/>
    <n v="1248366722"/>
    <n v="1277"/>
    <n v="82"/>
    <n v="1359"/>
    <n v="2986"/>
    <n v="4345"/>
    <n v="17"/>
    <n v="47"/>
    <n v="2235"/>
    <n v="553"/>
    <n v="7133"/>
    <n v="174448"/>
  </r>
  <r>
    <x v="75"/>
    <s v="ITA"/>
    <x v="8"/>
    <x v="8"/>
    <n v="4441149315"/>
    <n v="89326992"/>
    <n v="501"/>
    <n v="42"/>
    <n v="543"/>
    <n v="2439"/>
    <n v="2982"/>
    <n v="-194"/>
    <n v="15"/>
    <n v="4480"/>
    <n v="1276"/>
    <n v="8738"/>
    <n v="64926"/>
  </r>
  <r>
    <x v="75"/>
    <s v="ITA"/>
    <x v="9"/>
    <x v="9"/>
    <n v="4546679409"/>
    <n v="9190347404"/>
    <n v="5535"/>
    <n v="330"/>
    <n v="5865"/>
    <n v="24397"/>
    <n v="30262"/>
    <n v="-1721"/>
    <n v="502"/>
    <n v="36039"/>
    <n v="14924"/>
    <n v="81225"/>
    <n v="477765"/>
  </r>
  <r>
    <x v="75"/>
    <s v="ITA"/>
    <x v="10"/>
    <x v="10"/>
    <n v="4361675973"/>
    <n v="135188753"/>
    <n v="285"/>
    <n v="32"/>
    <n v="317"/>
    <n v="2913"/>
    <n v="3230"/>
    <n v="-8"/>
    <n v="23"/>
    <n v="2305"/>
    <n v="958"/>
    <n v="6493"/>
    <n v="73965"/>
  </r>
  <r>
    <x v="75"/>
    <s v="ITA"/>
    <x v="11"/>
    <x v="11"/>
    <n v="4155774754"/>
    <n v="1465916051"/>
    <n v="8"/>
    <n v="0"/>
    <n v="8"/>
    <n v="197"/>
    <n v="205"/>
    <n v="21"/>
    <n v="20"/>
    <n v="120"/>
    <n v="22"/>
    <n v="347"/>
    <n v="8691"/>
  </r>
  <r>
    <x v="75"/>
    <s v="ITA"/>
    <x v="12"/>
    <x v="12"/>
    <n v="450732745"/>
    <n v="7680687483"/>
    <n v="2010"/>
    <n v="143"/>
    <n v="2153"/>
    <n v="11781"/>
    <n v="13934"/>
    <n v="-173"/>
    <n v="181"/>
    <n v="11284"/>
    <n v="3331"/>
    <n v="28549"/>
    <n v="205800"/>
  </r>
  <r>
    <x v="75"/>
    <s v="ITA"/>
    <x v="13"/>
    <x v="13"/>
    <n v="4112559576"/>
    <n v="1686736689"/>
    <n v="344"/>
    <n v="33"/>
    <n v="377"/>
    <n v="2352"/>
    <n v="2729"/>
    <n v="-4"/>
    <n v="30"/>
    <n v="1114"/>
    <n v="443"/>
    <n v="4286"/>
    <n v="76643"/>
  </r>
  <r>
    <x v="75"/>
    <s v="ITA"/>
    <x v="14"/>
    <x v="14"/>
    <n v="3921531192"/>
    <n v="9110616306"/>
    <n v="87"/>
    <n v="11"/>
    <n v="98"/>
    <n v="452"/>
    <n v="550"/>
    <n v="-3"/>
    <n v="4"/>
    <n v="665"/>
    <n v="119"/>
    <n v="1334"/>
    <n v="33330"/>
  </r>
  <r>
    <x v="75"/>
    <s v="ITA"/>
    <x v="15"/>
    <x v="15"/>
    <n v="3811569725"/>
    <n v="133623567"/>
    <n v="277"/>
    <n v="17"/>
    <n v="294"/>
    <n v="1786"/>
    <n v="2080"/>
    <n v="-47"/>
    <n v="12"/>
    <n v="977"/>
    <n v="256"/>
    <n v="3313"/>
    <n v="101548"/>
  </r>
  <r>
    <x v="75"/>
    <s v="ITA"/>
    <x v="16"/>
    <x v="16"/>
    <n v="4376923077"/>
    <n v="1125588885"/>
    <n v="364"/>
    <n v="79"/>
    <n v="443"/>
    <n v="4005"/>
    <n v="4448"/>
    <n v="-144"/>
    <n v="24"/>
    <n v="4360"/>
    <n v="937"/>
    <n v="9745"/>
    <n v="174596"/>
  </r>
  <r>
    <x v="75"/>
    <s v="ITA"/>
    <x v="17"/>
    <x v="17"/>
    <n v="4606893511"/>
    <n v="1112123097"/>
    <n v="87"/>
    <n v="10"/>
    <n v="97"/>
    <n v="733"/>
    <n v="830"/>
    <n v="-42"/>
    <n v="7"/>
    <n v="3024"/>
    <n v="438"/>
    <n v="4292"/>
    <n v="50278"/>
  </r>
  <r>
    <x v="75"/>
    <s v="ITA"/>
    <x v="18"/>
    <x v="18"/>
    <n v="4310675841"/>
    <n v="1238824698"/>
    <n v="45"/>
    <n v="6"/>
    <n v="51"/>
    <n v="60"/>
    <n v="111"/>
    <n v="-8"/>
    <n v="1"/>
    <n v="1225"/>
    <n v="71"/>
    <n v="1407"/>
    <n v="45574"/>
  </r>
  <r>
    <x v="75"/>
    <s v="ITA"/>
    <x v="19"/>
    <x v="19"/>
    <n v="4573750286"/>
    <n v="7320149366"/>
    <n v="45"/>
    <n v="3"/>
    <n v="48"/>
    <n v="70"/>
    <n v="118"/>
    <n v="-5"/>
    <n v="1"/>
    <n v="895"/>
    <n v="139"/>
    <n v="1152"/>
    <n v="9443"/>
  </r>
  <r>
    <x v="75"/>
    <s v="ITA"/>
    <x v="20"/>
    <x v="20"/>
    <n v="4543490485"/>
    <n v="1233845213"/>
    <n v="435"/>
    <n v="40"/>
    <n v="475"/>
    <n v="5402"/>
    <n v="5877"/>
    <n v="-310"/>
    <n v="53"/>
    <n v="11151"/>
    <n v="1643"/>
    <n v="18671"/>
    <n v="432114"/>
  </r>
  <r>
    <x v="76"/>
    <s v="ITA"/>
    <x v="0"/>
    <x v="0"/>
    <n v="4235122196"/>
    <n v="1339843823"/>
    <n v="233"/>
    <n v="10"/>
    <n v="243"/>
    <n v="1428"/>
    <n v="1671"/>
    <n v="-5"/>
    <n v="17"/>
    <n v="1073"/>
    <n v="359"/>
    <n v="3103"/>
    <n v="48110"/>
  </r>
  <r>
    <x v="76"/>
    <s v="ITA"/>
    <x v="1"/>
    <x v="1"/>
    <n v="4063947052"/>
    <n v="1580514834"/>
    <n v="45"/>
    <n v="1"/>
    <n v="46"/>
    <n v="97"/>
    <n v="143"/>
    <n v="-2"/>
    <n v="3"/>
    <n v="215"/>
    <n v="27"/>
    <n v="385"/>
    <n v="17916"/>
  </r>
  <r>
    <x v="76"/>
    <s v="ITA"/>
    <x v="2"/>
    <x v="2"/>
    <n v="4649933453"/>
    <n v="1135662422"/>
    <n v="61"/>
    <n v="8"/>
    <n v="69"/>
    <n v="390"/>
    <n v="459"/>
    <n v="-14"/>
    <n v="2"/>
    <n v="1820"/>
    <n v="290"/>
    <n v="2569"/>
    <n v="49571"/>
  </r>
  <r>
    <x v="76"/>
    <s v="ITA"/>
    <x v="3"/>
    <x v="3"/>
    <n v="3890597598"/>
    <n v="1659440194"/>
    <n v="66"/>
    <n v="2"/>
    <n v="68"/>
    <n v="528"/>
    <n v="596"/>
    <n v="-16"/>
    <n v="3"/>
    <n v="445"/>
    <n v="91"/>
    <n v="1132"/>
    <n v="46111"/>
  </r>
  <r>
    <x v="76"/>
    <s v="ITA"/>
    <x v="4"/>
    <x v="4"/>
    <n v="4083956555"/>
    <n v="1425084984"/>
    <n v="435"/>
    <n v="20"/>
    <n v="455"/>
    <n v="1460"/>
    <n v="1915"/>
    <n v="-50"/>
    <n v="12"/>
    <n v="2282"/>
    <n v="391"/>
    <n v="4588"/>
    <n v="114819"/>
  </r>
  <r>
    <x v="76"/>
    <s v="ITA"/>
    <x v="5"/>
    <x v="5"/>
    <n v="4449436681"/>
    <n v="113417208"/>
    <n v="1562"/>
    <n v="150"/>
    <n v="1712"/>
    <n v="5479"/>
    <n v="7191"/>
    <n v="-210"/>
    <n v="77"/>
    <n v="15760"/>
    <n v="3845"/>
    <n v="26796"/>
    <n v="231637"/>
  </r>
  <r>
    <x v="76"/>
    <s v="ITA"/>
    <x v="6"/>
    <x v="6"/>
    <n v="456494354"/>
    <n v="1376813649"/>
    <n v="98"/>
    <n v="3"/>
    <n v="101"/>
    <n v="750"/>
    <n v="851"/>
    <n v="-18"/>
    <n v="6"/>
    <n v="1969"/>
    <n v="310"/>
    <n v="3130"/>
    <n v="89449"/>
  </r>
  <r>
    <x v="76"/>
    <s v="ITA"/>
    <x v="7"/>
    <x v="7"/>
    <n v="4189277044"/>
    <n v="1248366722"/>
    <n v="1265"/>
    <n v="84"/>
    <n v="1349"/>
    <n v="2937"/>
    <n v="4286"/>
    <n v="-59"/>
    <n v="32"/>
    <n v="2322"/>
    <n v="557"/>
    <n v="7165"/>
    <n v="178569"/>
  </r>
  <r>
    <x v="76"/>
    <s v="ITA"/>
    <x v="8"/>
    <x v="8"/>
    <n v="4441149315"/>
    <n v="89326992"/>
    <n v="481"/>
    <n v="41"/>
    <n v="522"/>
    <n v="2378"/>
    <n v="2900"/>
    <n v="-82"/>
    <n v="50"/>
    <n v="4607"/>
    <n v="1281"/>
    <n v="8788"/>
    <n v="67322"/>
  </r>
  <r>
    <x v="76"/>
    <s v="ITA"/>
    <x v="9"/>
    <x v="9"/>
    <n v="4546679409"/>
    <n v="9190347404"/>
    <n v="5428"/>
    <n v="348"/>
    <n v="5776"/>
    <n v="24414"/>
    <n v="30190"/>
    <n v="-72"/>
    <n v="282"/>
    <n v="36331"/>
    <n v="14986"/>
    <n v="81507"/>
    <n v="485134"/>
  </r>
  <r>
    <x v="76"/>
    <s v="ITA"/>
    <x v="10"/>
    <x v="10"/>
    <n v="4361675973"/>
    <n v="135188753"/>
    <n v="284"/>
    <n v="30"/>
    <n v="314"/>
    <n v="2937"/>
    <n v="3251"/>
    <n v="21"/>
    <n v="40"/>
    <n v="2322"/>
    <n v="960"/>
    <n v="6533"/>
    <n v="76367"/>
  </r>
  <r>
    <x v="76"/>
    <s v="ITA"/>
    <x v="11"/>
    <x v="11"/>
    <n v="4155774754"/>
    <n v="1465916051"/>
    <n v="9"/>
    <n v="0"/>
    <n v="9"/>
    <n v="209"/>
    <n v="218"/>
    <n v="13"/>
    <n v="23"/>
    <n v="130"/>
    <n v="22"/>
    <n v="370"/>
    <n v="9164"/>
  </r>
  <r>
    <x v="76"/>
    <s v="ITA"/>
    <x v="12"/>
    <x v="12"/>
    <n v="450732745"/>
    <n v="7680687483"/>
    <n v="2024"/>
    <n v="137"/>
    <n v="2161"/>
    <n v="11489"/>
    <n v="13650"/>
    <n v="-284"/>
    <n v="116"/>
    <n v="11648"/>
    <n v="3367"/>
    <n v="28665"/>
    <n v="210370"/>
  </r>
  <r>
    <x v="76"/>
    <s v="ITA"/>
    <x v="13"/>
    <x v="13"/>
    <n v="4112559576"/>
    <n v="1686736689"/>
    <n v="343"/>
    <n v="34"/>
    <n v="377"/>
    <n v="2292"/>
    <n v="2669"/>
    <n v="-60"/>
    <n v="27"/>
    <n v="1196"/>
    <n v="448"/>
    <n v="4313"/>
    <n v="78399"/>
  </r>
  <r>
    <x v="76"/>
    <s v="ITA"/>
    <x v="14"/>
    <x v="14"/>
    <n v="3921531192"/>
    <n v="9110616306"/>
    <n v="83"/>
    <n v="10"/>
    <n v="93"/>
    <n v="422"/>
    <n v="515"/>
    <n v="-35"/>
    <n v="6"/>
    <n v="705"/>
    <n v="120"/>
    <n v="1340"/>
    <n v="34046"/>
  </r>
  <r>
    <x v="76"/>
    <s v="ITA"/>
    <x v="15"/>
    <x v="15"/>
    <n v="3811569725"/>
    <n v="133623567"/>
    <n v="273"/>
    <n v="16"/>
    <n v="289"/>
    <n v="1780"/>
    <n v="2069"/>
    <n v="-11"/>
    <n v="14"/>
    <n v="1002"/>
    <n v="256"/>
    <n v="3327"/>
    <n v="102403"/>
  </r>
  <r>
    <x v="76"/>
    <s v="ITA"/>
    <x v="16"/>
    <x v="16"/>
    <n v="4376923077"/>
    <n v="1125588885"/>
    <n v="350"/>
    <n v="78"/>
    <n v="428"/>
    <n v="3719"/>
    <n v="4147"/>
    <n v="-301"/>
    <n v="29"/>
    <n v="4685"/>
    <n v="942"/>
    <n v="9774"/>
    <n v="178208"/>
  </r>
  <r>
    <x v="76"/>
    <s v="ITA"/>
    <x v="17"/>
    <x v="17"/>
    <n v="4606893511"/>
    <n v="1112123097"/>
    <n v="82"/>
    <n v="10"/>
    <n v="92"/>
    <n v="694"/>
    <n v="786"/>
    <n v="-44"/>
    <n v="3"/>
    <n v="3068"/>
    <n v="441"/>
    <n v="4295"/>
    <n v="52039"/>
  </r>
  <r>
    <x v="76"/>
    <s v="ITA"/>
    <x v="18"/>
    <x v="18"/>
    <n v="4310675841"/>
    <n v="1238824698"/>
    <n v="42"/>
    <n v="6"/>
    <n v="48"/>
    <n v="65"/>
    <n v="113"/>
    <n v="2"/>
    <n v="4"/>
    <n v="1227"/>
    <n v="71"/>
    <n v="1411"/>
    <n v="46923"/>
  </r>
  <r>
    <x v="76"/>
    <s v="ITA"/>
    <x v="19"/>
    <x v="19"/>
    <n v="4573750286"/>
    <n v="7320149366"/>
    <n v="46"/>
    <n v="2"/>
    <n v="48"/>
    <n v="65"/>
    <n v="113"/>
    <n v="-5"/>
    <n v="5"/>
    <n v="905"/>
    <n v="139"/>
    <n v="1157"/>
    <n v="9833"/>
  </r>
  <r>
    <x v="76"/>
    <s v="ITA"/>
    <x v="20"/>
    <x v="20"/>
    <n v="4543490485"/>
    <n v="1233845213"/>
    <n v="408"/>
    <n v="37"/>
    <n v="445"/>
    <n v="5146"/>
    <n v="5591"/>
    <n v="-286"/>
    <n v="51"/>
    <n v="11474"/>
    <n v="1657"/>
    <n v="18722"/>
    <n v="439522"/>
  </r>
  <r>
    <x v="77"/>
    <s v="ITA"/>
    <x v="0"/>
    <x v="0"/>
    <n v="4235122196"/>
    <n v="1339843823"/>
    <n v="231"/>
    <n v="9"/>
    <n v="240"/>
    <n v="1369"/>
    <n v="1609"/>
    <n v="-62"/>
    <n v="4"/>
    <n v="1132"/>
    <n v="366"/>
    <n v="3107"/>
    <n v="48903"/>
  </r>
  <r>
    <x v="77"/>
    <s v="ITA"/>
    <x v="1"/>
    <x v="1"/>
    <n v="4063947052"/>
    <n v="1580514834"/>
    <n v="46"/>
    <n v="1"/>
    <n v="47"/>
    <n v="95"/>
    <n v="142"/>
    <n v="-1"/>
    <n v="1"/>
    <n v="217"/>
    <n v="27"/>
    <n v="386"/>
    <n v="18266"/>
  </r>
  <r>
    <x v="77"/>
    <s v="ITA"/>
    <x v="2"/>
    <x v="2"/>
    <n v="4649933453"/>
    <n v="1135662422"/>
    <n v="63"/>
    <n v="7"/>
    <n v="70"/>
    <n v="377"/>
    <n v="447"/>
    <n v="-12"/>
    <n v="3"/>
    <n v="1835"/>
    <n v="290"/>
    <n v="2572"/>
    <n v="50019"/>
  </r>
  <r>
    <x v="77"/>
    <s v="ITA"/>
    <x v="3"/>
    <x v="3"/>
    <n v="3890597598"/>
    <n v="1659440194"/>
    <n v="64"/>
    <n v="1"/>
    <n v="65"/>
    <n v="503"/>
    <n v="568"/>
    <n v="-28"/>
    <n v="2"/>
    <n v="473"/>
    <n v="93"/>
    <n v="1134"/>
    <n v="47265"/>
  </r>
  <r>
    <x v="77"/>
    <s v="ITA"/>
    <x v="4"/>
    <x v="4"/>
    <n v="4083956555"/>
    <n v="1425084984"/>
    <n v="436"/>
    <n v="23"/>
    <n v="459"/>
    <n v="1450"/>
    <n v="1909"/>
    <n v="-6"/>
    <n v="14"/>
    <n v="2301"/>
    <n v="392"/>
    <n v="4602"/>
    <n v="119042"/>
  </r>
  <r>
    <x v="77"/>
    <s v="ITA"/>
    <x v="5"/>
    <x v="5"/>
    <n v="4449436681"/>
    <n v="113417208"/>
    <n v="1537"/>
    <n v="141"/>
    <n v="1678"/>
    <n v="5362"/>
    <n v="7040"/>
    <n v="-151"/>
    <n v="80"/>
    <n v="15969"/>
    <n v="3867"/>
    <n v="26876"/>
    <n v="234619"/>
  </r>
  <r>
    <x v="77"/>
    <s v="ITA"/>
    <x v="6"/>
    <x v="6"/>
    <n v="456494354"/>
    <n v="1376813649"/>
    <n v="96"/>
    <n v="3"/>
    <n v="99"/>
    <n v="731"/>
    <n v="830"/>
    <n v="-21"/>
    <n v="8"/>
    <n v="1996"/>
    <n v="312"/>
    <n v="3138"/>
    <n v="90860"/>
  </r>
  <r>
    <x v="77"/>
    <s v="ITA"/>
    <x v="7"/>
    <x v="7"/>
    <n v="4189277044"/>
    <n v="1248366722"/>
    <n v="1266"/>
    <n v="83"/>
    <n v="1349"/>
    <n v="2945"/>
    <n v="4294"/>
    <n v="8"/>
    <n v="25"/>
    <n v="2334"/>
    <n v="562"/>
    <n v="7190"/>
    <n v="181398"/>
  </r>
  <r>
    <x v="77"/>
    <s v="ITA"/>
    <x v="8"/>
    <x v="8"/>
    <n v="4441149315"/>
    <n v="89326992"/>
    <n v="484"/>
    <n v="38"/>
    <n v="522"/>
    <n v="2322"/>
    <n v="2844"/>
    <n v="-56"/>
    <n v="44"/>
    <n v="4695"/>
    <n v="1293"/>
    <n v="8832"/>
    <n v="68814"/>
  </r>
  <r>
    <x v="77"/>
    <s v="ITA"/>
    <x v="9"/>
    <x v="9"/>
    <n v="4546679409"/>
    <n v="9190347404"/>
    <n v="5397"/>
    <n v="341"/>
    <n v="5738"/>
    <n v="24673"/>
    <n v="30411"/>
    <n v="221"/>
    <n v="364"/>
    <n v="36406"/>
    <n v="15054"/>
    <n v="81871"/>
    <n v="492642"/>
  </r>
  <r>
    <x v="77"/>
    <s v="ITA"/>
    <x v="10"/>
    <x v="10"/>
    <n v="4361675973"/>
    <n v="135188753"/>
    <n v="277"/>
    <n v="28"/>
    <n v="305"/>
    <n v="2922"/>
    <n v="3227"/>
    <n v="-24"/>
    <n v="10"/>
    <n v="2352"/>
    <n v="964"/>
    <n v="6543"/>
    <n v="77830"/>
  </r>
  <r>
    <x v="77"/>
    <s v="ITA"/>
    <x v="11"/>
    <x v="11"/>
    <n v="4155774754"/>
    <n v="1465916051"/>
    <n v="11"/>
    <n v="0"/>
    <n v="11"/>
    <n v="218"/>
    <n v="229"/>
    <n v="11"/>
    <n v="13"/>
    <n v="132"/>
    <n v="22"/>
    <n v="383"/>
    <n v="9390"/>
  </r>
  <r>
    <x v="77"/>
    <s v="ITA"/>
    <x v="12"/>
    <x v="12"/>
    <n v="450732745"/>
    <n v="7680687483"/>
    <n v="2021"/>
    <n v="135"/>
    <n v="2156"/>
    <n v="11182"/>
    <n v="13338"/>
    <n v="-312"/>
    <n v="111"/>
    <n v="12038"/>
    <n v="3400"/>
    <n v="28776"/>
    <n v="213783"/>
  </r>
  <r>
    <x v="77"/>
    <s v="ITA"/>
    <x v="13"/>
    <x v="13"/>
    <n v="4112559576"/>
    <n v="1686736689"/>
    <n v="340"/>
    <n v="32"/>
    <n v="372"/>
    <n v="2172"/>
    <n v="2544"/>
    <n v="-125"/>
    <n v="14"/>
    <n v="1332"/>
    <n v="451"/>
    <n v="4327"/>
    <n v="79737"/>
  </r>
  <r>
    <x v="77"/>
    <s v="ITA"/>
    <x v="14"/>
    <x v="14"/>
    <n v="3921531192"/>
    <n v="9110616306"/>
    <n v="84"/>
    <n v="10"/>
    <n v="94"/>
    <n v="417"/>
    <n v="511"/>
    <n v="-4"/>
    <n v="3"/>
    <n v="712"/>
    <n v="120"/>
    <n v="1343"/>
    <n v="34641"/>
  </r>
  <r>
    <x v="77"/>
    <s v="ITA"/>
    <x v="15"/>
    <x v="15"/>
    <n v="3811569725"/>
    <n v="133623567"/>
    <n v="271"/>
    <n v="16"/>
    <n v="287"/>
    <n v="1775"/>
    <n v="2062"/>
    <n v="-7"/>
    <n v="12"/>
    <n v="1020"/>
    <n v="257"/>
    <n v="3339"/>
    <n v="103134"/>
  </r>
  <r>
    <x v="77"/>
    <s v="ITA"/>
    <x v="16"/>
    <x v="16"/>
    <n v="4376923077"/>
    <n v="1125588885"/>
    <n v="347"/>
    <n v="77"/>
    <n v="424"/>
    <n v="3649"/>
    <n v="4073"/>
    <n v="-74"/>
    <n v="13"/>
    <n v="4764"/>
    <n v="950"/>
    <n v="9787"/>
    <n v="179469"/>
  </r>
  <r>
    <x v="77"/>
    <s v="ITA"/>
    <x v="17"/>
    <x v="17"/>
    <n v="4606893511"/>
    <n v="1112123097"/>
    <n v="84"/>
    <n v="11"/>
    <n v="95"/>
    <n v="640"/>
    <n v="735"/>
    <n v="-51"/>
    <n v="2"/>
    <n v="3119"/>
    <n v="443"/>
    <n v="4297"/>
    <n v="53398"/>
  </r>
  <r>
    <x v="77"/>
    <s v="ITA"/>
    <x v="18"/>
    <x v="18"/>
    <n v="4310675841"/>
    <n v="1238824698"/>
    <n v="40"/>
    <n v="4"/>
    <n v="44"/>
    <n v="64"/>
    <n v="108"/>
    <n v="-5"/>
    <n v="1"/>
    <n v="1233"/>
    <n v="71"/>
    <n v="1412"/>
    <n v="47474"/>
  </r>
  <r>
    <x v="77"/>
    <s v="ITA"/>
    <x v="19"/>
    <x v="19"/>
    <n v="4573750286"/>
    <n v="7320149366"/>
    <n v="44"/>
    <n v="1"/>
    <n v="45"/>
    <n v="62"/>
    <n v="107"/>
    <n v="-6"/>
    <n v="1"/>
    <n v="912"/>
    <n v="139"/>
    <n v="1158"/>
    <n v="10063"/>
  </r>
  <r>
    <x v="77"/>
    <s v="ITA"/>
    <x v="20"/>
    <x v="20"/>
    <n v="4543490485"/>
    <n v="1233845213"/>
    <n v="400"/>
    <n v="38"/>
    <n v="438"/>
    <n v="5022"/>
    <n v="5460"/>
    <n v="-131"/>
    <n v="19"/>
    <n v="11615"/>
    <n v="1666"/>
    <n v="18741"/>
    <n v="445905"/>
  </r>
  <r>
    <x v="78"/>
    <s v="ITA"/>
    <x v="0"/>
    <x v="0"/>
    <n v="4235122196"/>
    <n v="1339843823"/>
    <n v="222"/>
    <n v="8"/>
    <n v="230"/>
    <n v="1318"/>
    <n v="1548"/>
    <n v="-61"/>
    <n v="8"/>
    <n v="1197"/>
    <n v="370"/>
    <n v="3115"/>
    <n v="50295"/>
  </r>
  <r>
    <x v="78"/>
    <s v="ITA"/>
    <x v="1"/>
    <x v="1"/>
    <n v="4063947052"/>
    <n v="1580514834"/>
    <n v="47"/>
    <n v="1"/>
    <n v="48"/>
    <n v="92"/>
    <n v="140"/>
    <n v="-2"/>
    <n v="1"/>
    <n v="220"/>
    <n v="27"/>
    <n v="387"/>
    <n v="19100"/>
  </r>
  <r>
    <x v="78"/>
    <s v="ITA"/>
    <x v="2"/>
    <x v="2"/>
    <n v="4649933453"/>
    <n v="1135662422"/>
    <n v="56"/>
    <n v="7"/>
    <n v="63"/>
    <n v="374"/>
    <n v="437"/>
    <n v="-10"/>
    <n v="0"/>
    <n v="1845"/>
    <n v="290"/>
    <n v="2572"/>
    <n v="50381"/>
  </r>
  <r>
    <x v="78"/>
    <s v="ITA"/>
    <x v="3"/>
    <x v="3"/>
    <n v="3890597598"/>
    <n v="1659440194"/>
    <n v="65"/>
    <n v="1"/>
    <n v="66"/>
    <n v="502"/>
    <n v="568"/>
    <n v="0"/>
    <n v="4"/>
    <n v="477"/>
    <n v="93"/>
    <n v="1138"/>
    <n v="48420"/>
  </r>
  <r>
    <x v="78"/>
    <s v="ITA"/>
    <x v="4"/>
    <x v="4"/>
    <n v="4083956555"/>
    <n v="1425084984"/>
    <n v="414"/>
    <n v="20"/>
    <n v="434"/>
    <n v="1443"/>
    <n v="1877"/>
    <n v="-32"/>
    <n v="13"/>
    <n v="2345"/>
    <n v="393"/>
    <n v="4615"/>
    <n v="121253"/>
  </r>
  <r>
    <x v="78"/>
    <s v="ITA"/>
    <x v="5"/>
    <x v="5"/>
    <n v="4449436681"/>
    <n v="113417208"/>
    <n v="1384"/>
    <n v="136"/>
    <n v="1520"/>
    <n v="5281"/>
    <n v="6801"/>
    <n v="-239"/>
    <n v="53"/>
    <n v="16243"/>
    <n v="3885"/>
    <n v="26929"/>
    <n v="239178"/>
  </r>
  <r>
    <x v="78"/>
    <s v="ITA"/>
    <x v="6"/>
    <x v="6"/>
    <n v="456494354"/>
    <n v="1376813649"/>
    <n v="96"/>
    <n v="2"/>
    <n v="98"/>
    <n v="703"/>
    <n v="801"/>
    <n v="-29"/>
    <n v="10"/>
    <n v="2034"/>
    <n v="313"/>
    <n v="3148"/>
    <n v="93051"/>
  </r>
  <r>
    <x v="78"/>
    <s v="ITA"/>
    <x v="7"/>
    <x v="7"/>
    <n v="4189277044"/>
    <n v="1248366722"/>
    <n v="1258"/>
    <n v="84"/>
    <n v="1342"/>
    <n v="2931"/>
    <n v="4273"/>
    <n v="-21"/>
    <n v="22"/>
    <n v="2373"/>
    <n v="566"/>
    <n v="7212"/>
    <n v="185085"/>
  </r>
  <r>
    <x v="78"/>
    <s v="ITA"/>
    <x v="8"/>
    <x v="8"/>
    <n v="4441149315"/>
    <n v="89326992"/>
    <n v="447"/>
    <n v="35"/>
    <n v="482"/>
    <n v="2297"/>
    <n v="2779"/>
    <n v="-65"/>
    <n v="31"/>
    <n v="4783"/>
    <n v="1301"/>
    <n v="8863"/>
    <n v="70159"/>
  </r>
  <r>
    <x v="78"/>
    <s v="ITA"/>
    <x v="9"/>
    <x v="9"/>
    <n v="4546679409"/>
    <n v="9190347404"/>
    <n v="5222"/>
    <n v="322"/>
    <n v="5544"/>
    <n v="25131"/>
    <n v="30675"/>
    <n v="264"/>
    <n v="1033"/>
    <n v="37113"/>
    <n v="15116"/>
    <n v="82904"/>
    <n v="513244"/>
  </r>
  <r>
    <x v="78"/>
    <s v="ITA"/>
    <x v="10"/>
    <x v="10"/>
    <n v="4361675973"/>
    <n v="135188753"/>
    <n v="230"/>
    <n v="24"/>
    <n v="254"/>
    <n v="2954"/>
    <n v="3208"/>
    <n v="-19"/>
    <n v="25"/>
    <n v="2391"/>
    <n v="969"/>
    <n v="6568"/>
    <n v="79414"/>
  </r>
  <r>
    <x v="78"/>
    <s v="ITA"/>
    <x v="11"/>
    <x v="11"/>
    <n v="4155774754"/>
    <n v="1465916051"/>
    <n v="13"/>
    <n v="1"/>
    <n v="14"/>
    <n v="212"/>
    <n v="226"/>
    <n v="-3"/>
    <n v="3"/>
    <n v="138"/>
    <n v="22"/>
    <n v="386"/>
    <n v="9981"/>
  </r>
  <r>
    <x v="78"/>
    <s v="ITA"/>
    <x v="12"/>
    <x v="12"/>
    <n v="450732745"/>
    <n v="7680687483"/>
    <n v="1900"/>
    <n v="136"/>
    <n v="2036"/>
    <n v="11148"/>
    <n v="13184"/>
    <n v="-154"/>
    <n v="113"/>
    <n v="12277"/>
    <n v="3428"/>
    <n v="28889"/>
    <n v="218071"/>
  </r>
  <r>
    <x v="78"/>
    <s v="ITA"/>
    <x v="13"/>
    <x v="13"/>
    <n v="4112559576"/>
    <n v="1686736689"/>
    <n v="334"/>
    <n v="31"/>
    <n v="365"/>
    <n v="2056"/>
    <n v="2421"/>
    <n v="-123"/>
    <n v="10"/>
    <n v="1460"/>
    <n v="456"/>
    <n v="4337"/>
    <n v="81492"/>
  </r>
  <r>
    <x v="78"/>
    <s v="ITA"/>
    <x v="14"/>
    <x v="14"/>
    <n v="3921531192"/>
    <n v="9110616306"/>
    <n v="77"/>
    <n v="11"/>
    <n v="88"/>
    <n v="418"/>
    <n v="506"/>
    <n v="-5"/>
    <n v="1"/>
    <n v="718"/>
    <n v="120"/>
    <n v="1344"/>
    <n v="35476"/>
  </r>
  <r>
    <x v="78"/>
    <s v="ITA"/>
    <x v="15"/>
    <x v="15"/>
    <n v="3811569725"/>
    <n v="133623567"/>
    <n v="234"/>
    <n v="15"/>
    <n v="249"/>
    <n v="1662"/>
    <n v="1911"/>
    <n v="-151"/>
    <n v="4"/>
    <n v="1171"/>
    <n v="261"/>
    <n v="3343"/>
    <n v="105017"/>
  </r>
  <r>
    <x v="78"/>
    <s v="ITA"/>
    <x v="16"/>
    <x v="16"/>
    <n v="4376923077"/>
    <n v="1125588885"/>
    <n v="307"/>
    <n v="72"/>
    <n v="379"/>
    <n v="3462"/>
    <n v="3841"/>
    <n v="-232"/>
    <n v="15"/>
    <n v="5002"/>
    <n v="959"/>
    <n v="9802"/>
    <n v="184851"/>
  </r>
  <r>
    <x v="78"/>
    <s v="ITA"/>
    <x v="17"/>
    <x v="17"/>
    <n v="4606893511"/>
    <n v="1112123097"/>
    <n v="80"/>
    <n v="9"/>
    <n v="89"/>
    <n v="578"/>
    <n v="667"/>
    <n v="-68"/>
    <n v="6"/>
    <n v="3191"/>
    <n v="445"/>
    <n v="4303"/>
    <n v="55334"/>
  </r>
  <r>
    <x v="78"/>
    <s v="ITA"/>
    <x v="18"/>
    <x v="18"/>
    <n v="4310675841"/>
    <n v="1238824698"/>
    <n v="41"/>
    <n v="4"/>
    <n v="45"/>
    <n v="64"/>
    <n v="109"/>
    <n v="1"/>
    <n v="7"/>
    <n v="1239"/>
    <n v="71"/>
    <n v="1419"/>
    <n v="49249"/>
  </r>
  <r>
    <x v="78"/>
    <s v="ITA"/>
    <x v="19"/>
    <x v="19"/>
    <n v="4573750286"/>
    <n v="7320149366"/>
    <n v="45"/>
    <n v="0"/>
    <n v="45"/>
    <n v="59"/>
    <n v="104"/>
    <n v="-3"/>
    <n v="2"/>
    <n v="916"/>
    <n v="140"/>
    <n v="1160"/>
    <n v="10415"/>
  </r>
  <r>
    <x v="78"/>
    <s v="ITA"/>
    <x v="20"/>
    <x v="20"/>
    <n v="4543490485"/>
    <n v="1233845213"/>
    <n v="393"/>
    <n v="33"/>
    <n v="426"/>
    <n v="4764"/>
    <n v="5190"/>
    <n v="-270"/>
    <n v="41"/>
    <n v="11906"/>
    <n v="1686"/>
    <n v="18782"/>
    <n v="454189"/>
  </r>
  <r>
    <x v="79"/>
    <s v="ITA"/>
    <x v="0"/>
    <x v="0"/>
    <n v="4235122196"/>
    <n v="1339843823"/>
    <n v="214"/>
    <n v="7"/>
    <n v="221"/>
    <n v="1268"/>
    <n v="1489"/>
    <n v="-59"/>
    <n v="12"/>
    <n v="1263"/>
    <n v="375"/>
    <n v="3127"/>
    <n v="51361"/>
  </r>
  <r>
    <x v="79"/>
    <s v="ITA"/>
    <x v="1"/>
    <x v="1"/>
    <n v="4063947052"/>
    <n v="1580514834"/>
    <n v="42"/>
    <n v="1"/>
    <n v="43"/>
    <n v="88"/>
    <n v="131"/>
    <n v="-9"/>
    <n v="2"/>
    <n v="231"/>
    <n v="27"/>
    <n v="389"/>
    <n v="19678"/>
  </r>
  <r>
    <x v="79"/>
    <s v="ITA"/>
    <x v="2"/>
    <x v="2"/>
    <n v="4649933453"/>
    <n v="1135662422"/>
    <n v="56"/>
    <n v="7"/>
    <n v="63"/>
    <n v="350"/>
    <n v="413"/>
    <n v="-24"/>
    <n v="3"/>
    <n v="1872"/>
    <n v="290"/>
    <n v="2575"/>
    <n v="51181"/>
  </r>
  <r>
    <x v="79"/>
    <s v="ITA"/>
    <x v="3"/>
    <x v="3"/>
    <n v="3890597598"/>
    <n v="1659440194"/>
    <n v="64"/>
    <n v="1"/>
    <n v="65"/>
    <n v="486"/>
    <n v="551"/>
    <n v="-17"/>
    <n v="2"/>
    <n v="496"/>
    <n v="93"/>
    <n v="1140"/>
    <n v="49787"/>
  </r>
  <r>
    <x v="79"/>
    <s v="ITA"/>
    <x v="4"/>
    <x v="4"/>
    <n v="4083956555"/>
    <n v="1425084984"/>
    <n v="402"/>
    <n v="19"/>
    <n v="421"/>
    <n v="1394"/>
    <n v="1815"/>
    <n v="-62"/>
    <n v="15"/>
    <n v="2421"/>
    <n v="394"/>
    <n v="4630"/>
    <n v="124370"/>
  </r>
  <r>
    <x v="79"/>
    <s v="ITA"/>
    <x v="5"/>
    <x v="5"/>
    <n v="4449436681"/>
    <n v="113417208"/>
    <n v="1165"/>
    <n v="123"/>
    <n v="1288"/>
    <n v="5214"/>
    <n v="6502"/>
    <n v="-299"/>
    <n v="50"/>
    <n v="16572"/>
    <n v="3905"/>
    <n v="26979"/>
    <n v="243883"/>
  </r>
  <r>
    <x v="79"/>
    <s v="ITA"/>
    <x v="6"/>
    <x v="6"/>
    <n v="456494354"/>
    <n v="1376813649"/>
    <n v="92"/>
    <n v="2"/>
    <n v="94"/>
    <n v="685"/>
    <n v="779"/>
    <n v="-22"/>
    <n v="8"/>
    <n v="2061"/>
    <n v="316"/>
    <n v="3156"/>
    <n v="94600"/>
  </r>
  <r>
    <x v="79"/>
    <s v="ITA"/>
    <x v="7"/>
    <x v="7"/>
    <n v="4189277044"/>
    <n v="1248366722"/>
    <n v="1224"/>
    <n v="83"/>
    <n v="1307"/>
    <n v="2928"/>
    <n v="4235"/>
    <n v="-38"/>
    <n v="38"/>
    <n v="2438"/>
    <n v="577"/>
    <n v="7250"/>
    <n v="188632"/>
  </r>
  <r>
    <x v="79"/>
    <s v="ITA"/>
    <x v="8"/>
    <x v="8"/>
    <n v="4441149315"/>
    <n v="89326992"/>
    <n v="430"/>
    <n v="35"/>
    <n v="465"/>
    <n v="2253"/>
    <n v="2718"/>
    <n v="-61"/>
    <n v="67"/>
    <n v="4898"/>
    <n v="1314"/>
    <n v="8930"/>
    <n v="72174"/>
  </r>
  <r>
    <x v="79"/>
    <s v="ITA"/>
    <x v="9"/>
    <x v="9"/>
    <n v="4546679409"/>
    <n v="9190347404"/>
    <n v="5007"/>
    <n v="307"/>
    <n v="5314"/>
    <n v="24718"/>
    <n v="30032"/>
    <n v="-643"/>
    <n v="394"/>
    <n v="38081"/>
    <n v="15185"/>
    <n v="83298"/>
    <n v="524163"/>
  </r>
  <r>
    <x v="79"/>
    <s v="ITA"/>
    <x v="10"/>
    <x v="10"/>
    <n v="4361675973"/>
    <n v="135188753"/>
    <n v="211"/>
    <n v="20"/>
    <n v="231"/>
    <n v="2782"/>
    <n v="3013"/>
    <n v="-195"/>
    <n v="20"/>
    <n v="2604"/>
    <n v="971"/>
    <n v="6588"/>
    <n v="80850"/>
  </r>
  <r>
    <x v="79"/>
    <s v="ITA"/>
    <x v="11"/>
    <x v="11"/>
    <n v="4155774754"/>
    <n v="1465916051"/>
    <n v="9"/>
    <n v="1"/>
    <n v="10"/>
    <n v="221"/>
    <n v="231"/>
    <n v="5"/>
    <n v="15"/>
    <n v="148"/>
    <n v="22"/>
    <n v="401"/>
    <n v="10062"/>
  </r>
  <r>
    <x v="79"/>
    <s v="ITA"/>
    <x v="12"/>
    <x v="12"/>
    <n v="450732745"/>
    <n v="7680687483"/>
    <n v="1858"/>
    <n v="122"/>
    <n v="1980"/>
    <n v="10511"/>
    <n v="12491"/>
    <n v="-693"/>
    <n v="169"/>
    <n v="13107"/>
    <n v="3460"/>
    <n v="29058"/>
    <n v="224788"/>
  </r>
  <r>
    <x v="79"/>
    <s v="ITA"/>
    <x v="13"/>
    <x v="13"/>
    <n v="4112559576"/>
    <n v="1686736689"/>
    <n v="310"/>
    <n v="27"/>
    <n v="337"/>
    <n v="1985"/>
    <n v="2322"/>
    <n v="-99"/>
    <n v="11"/>
    <n v="1566"/>
    <n v="460"/>
    <n v="4348"/>
    <n v="83713"/>
  </r>
  <r>
    <x v="79"/>
    <s v="ITA"/>
    <x v="14"/>
    <x v="14"/>
    <n v="3921531192"/>
    <n v="9110616306"/>
    <n v="78"/>
    <n v="10"/>
    <n v="88"/>
    <n v="403"/>
    <n v="491"/>
    <n v="-15"/>
    <n v="1"/>
    <n v="734"/>
    <n v="120"/>
    <n v="1345"/>
    <n v="36710"/>
  </r>
  <r>
    <x v="79"/>
    <s v="ITA"/>
    <x v="15"/>
    <x v="15"/>
    <n v="3811569725"/>
    <n v="133623567"/>
    <n v="212"/>
    <n v="13"/>
    <n v="225"/>
    <n v="1664"/>
    <n v="1889"/>
    <n v="-22"/>
    <n v="11"/>
    <n v="1203"/>
    <n v="262"/>
    <n v="3354"/>
    <n v="107991"/>
  </r>
  <r>
    <x v="79"/>
    <s v="ITA"/>
    <x v="16"/>
    <x v="16"/>
    <n v="4376923077"/>
    <n v="1125588885"/>
    <n v="284"/>
    <n v="72"/>
    <n v="356"/>
    <n v="3207"/>
    <n v="3563"/>
    <n v="-278"/>
    <n v="27"/>
    <n v="5302"/>
    <n v="964"/>
    <n v="9829"/>
    <n v="189026"/>
  </r>
  <r>
    <x v="79"/>
    <s v="ITA"/>
    <x v="17"/>
    <x v="17"/>
    <n v="4606893511"/>
    <n v="1112123097"/>
    <n v="76"/>
    <n v="9"/>
    <n v="85"/>
    <n v="488"/>
    <n v="573"/>
    <n v="-94"/>
    <n v="9"/>
    <n v="3293"/>
    <n v="446"/>
    <n v="4312"/>
    <n v="57997"/>
  </r>
  <r>
    <x v="79"/>
    <s v="ITA"/>
    <x v="18"/>
    <x v="18"/>
    <n v="4310675841"/>
    <n v="1238824698"/>
    <n v="36"/>
    <n v="4"/>
    <n v="40"/>
    <n v="66"/>
    <n v="106"/>
    <n v="-3"/>
    <n v="0"/>
    <n v="1241"/>
    <n v="72"/>
    <n v="1419"/>
    <n v="50731"/>
  </r>
  <r>
    <x v="79"/>
    <s v="ITA"/>
    <x v="19"/>
    <x v="19"/>
    <n v="4573750286"/>
    <n v="7320149366"/>
    <n v="38"/>
    <n v="0"/>
    <n v="38"/>
    <n v="55"/>
    <n v="93"/>
    <n v="-11"/>
    <n v="3"/>
    <n v="929"/>
    <n v="141"/>
    <n v="1163"/>
    <n v="10777"/>
  </r>
  <r>
    <x v="79"/>
    <s v="ITA"/>
    <x v="20"/>
    <x v="20"/>
    <n v="4543490485"/>
    <n v="1233845213"/>
    <n v="364"/>
    <n v="30"/>
    <n v="394"/>
    <n v="4626"/>
    <n v="5020"/>
    <n v="-170"/>
    <n v="31"/>
    <n v="12081"/>
    <n v="1712"/>
    <n v="18813"/>
    <n v="463154"/>
  </r>
  <r>
    <x v="80"/>
    <s v="ITA"/>
    <x v="0"/>
    <x v="0"/>
    <n v="4235122196"/>
    <n v="1339843823"/>
    <n v="215"/>
    <n v="6"/>
    <n v="221"/>
    <n v="1261"/>
    <n v="1482"/>
    <n v="-7"/>
    <n v="9"/>
    <n v="1275"/>
    <n v="379"/>
    <n v="3136"/>
    <n v="52860"/>
  </r>
  <r>
    <x v="80"/>
    <s v="ITA"/>
    <x v="1"/>
    <x v="1"/>
    <n v="4063947052"/>
    <n v="1580514834"/>
    <n v="34"/>
    <n v="1"/>
    <n v="35"/>
    <n v="92"/>
    <n v="127"/>
    <n v="-4"/>
    <n v="0"/>
    <n v="235"/>
    <n v="27"/>
    <n v="389"/>
    <n v="20285"/>
  </r>
  <r>
    <x v="80"/>
    <s v="ITA"/>
    <x v="2"/>
    <x v="2"/>
    <n v="4649933453"/>
    <n v="1135662422"/>
    <n v="54"/>
    <n v="7"/>
    <n v="61"/>
    <n v="319"/>
    <n v="380"/>
    <n v="-33"/>
    <n v="3"/>
    <n v="1908"/>
    <n v="290"/>
    <n v="2578"/>
    <n v="52015"/>
  </r>
  <r>
    <x v="80"/>
    <s v="ITA"/>
    <x v="3"/>
    <x v="3"/>
    <n v="3890597598"/>
    <n v="1659440194"/>
    <n v="59"/>
    <n v="2"/>
    <n v="61"/>
    <n v="463"/>
    <n v="524"/>
    <n v="-27"/>
    <n v="3"/>
    <n v="524"/>
    <n v="95"/>
    <n v="1143"/>
    <n v="51050"/>
  </r>
  <r>
    <x v="80"/>
    <s v="ITA"/>
    <x v="4"/>
    <x v="4"/>
    <n v="4083956555"/>
    <n v="1425084984"/>
    <n v="387"/>
    <n v="19"/>
    <n v="406"/>
    <n v="1359"/>
    <n v="1765"/>
    <n v="-50"/>
    <n v="9"/>
    <n v="2480"/>
    <n v="394"/>
    <n v="4639"/>
    <n v="127938"/>
  </r>
  <r>
    <x v="80"/>
    <s v="ITA"/>
    <x v="5"/>
    <x v="5"/>
    <n v="4449436681"/>
    <n v="113417208"/>
    <n v="861"/>
    <n v="122"/>
    <n v="983"/>
    <n v="5318"/>
    <n v="6301"/>
    <n v="-201"/>
    <n v="77"/>
    <n v="16825"/>
    <n v="3930"/>
    <n v="27056"/>
    <n v="248591"/>
  </r>
  <r>
    <x v="80"/>
    <s v="ITA"/>
    <x v="6"/>
    <x v="6"/>
    <n v="456494354"/>
    <n v="1376813649"/>
    <n v="149"/>
    <n v="2"/>
    <n v="151"/>
    <n v="619"/>
    <n v="770"/>
    <n v="-9"/>
    <n v="5"/>
    <n v="2074"/>
    <n v="317"/>
    <n v="3161"/>
    <n v="97000"/>
  </r>
  <r>
    <x v="80"/>
    <s v="ITA"/>
    <x v="7"/>
    <x v="7"/>
    <n v="4189277044"/>
    <n v="1248366722"/>
    <n v="1178"/>
    <n v="79"/>
    <n v="1257"/>
    <n v="2839"/>
    <n v="4096"/>
    <n v="-139"/>
    <n v="41"/>
    <n v="2600"/>
    <n v="595"/>
    <n v="7291"/>
    <n v="192917"/>
  </r>
  <r>
    <x v="80"/>
    <s v="ITA"/>
    <x v="8"/>
    <x v="8"/>
    <n v="4441149315"/>
    <n v="89326992"/>
    <n v="408"/>
    <n v="35"/>
    <n v="443"/>
    <n v="2217"/>
    <n v="2660"/>
    <n v="-58"/>
    <n v="65"/>
    <n v="5006"/>
    <n v="1329"/>
    <n v="8995"/>
    <n v="74248"/>
  </r>
  <r>
    <x v="80"/>
    <s v="ITA"/>
    <x v="9"/>
    <x v="9"/>
    <n v="4546679409"/>
    <n v="9190347404"/>
    <n v="4818"/>
    <n v="297"/>
    <n v="5115"/>
    <n v="24841"/>
    <n v="29956"/>
    <n v="-76"/>
    <n v="522"/>
    <n v="38568"/>
    <n v="15296"/>
    <n v="83820"/>
    <n v="538243"/>
  </r>
  <r>
    <x v="80"/>
    <s v="ITA"/>
    <x v="10"/>
    <x v="10"/>
    <n v="4361675973"/>
    <n v="135188753"/>
    <n v="189"/>
    <n v="18"/>
    <n v="207"/>
    <n v="2697"/>
    <n v="2904"/>
    <n v="-109"/>
    <n v="15"/>
    <n v="2725"/>
    <n v="974"/>
    <n v="6603"/>
    <n v="82840"/>
  </r>
  <r>
    <x v="80"/>
    <s v="ITA"/>
    <x v="11"/>
    <x v="11"/>
    <n v="4155774754"/>
    <n v="1465916051"/>
    <n v="10"/>
    <n v="1"/>
    <n v="11"/>
    <n v="218"/>
    <n v="229"/>
    <n v="-2"/>
    <n v="2"/>
    <n v="152"/>
    <n v="22"/>
    <n v="403"/>
    <n v="10227"/>
  </r>
  <r>
    <x v="80"/>
    <s v="ITA"/>
    <x v="12"/>
    <x v="12"/>
    <n v="450732745"/>
    <n v="7680687483"/>
    <n v="1775"/>
    <n v="116"/>
    <n v="1891"/>
    <n v="10000"/>
    <n v="11891"/>
    <n v="-600"/>
    <n v="151"/>
    <n v="13825"/>
    <n v="3493"/>
    <n v="29209"/>
    <n v="232682"/>
  </r>
  <r>
    <x v="80"/>
    <s v="ITA"/>
    <x v="13"/>
    <x v="13"/>
    <n v="4112559576"/>
    <n v="1686736689"/>
    <n v="296"/>
    <n v="24"/>
    <n v="320"/>
    <n v="1933"/>
    <n v="2253"/>
    <n v="-69"/>
    <n v="9"/>
    <n v="1643"/>
    <n v="461"/>
    <n v="4357"/>
    <n v="85577"/>
  </r>
  <r>
    <x v="80"/>
    <s v="ITA"/>
    <x v="14"/>
    <x v="14"/>
    <n v="3921531192"/>
    <n v="9110616306"/>
    <n v="76"/>
    <n v="10"/>
    <n v="86"/>
    <n v="379"/>
    <n v="465"/>
    <n v="-26"/>
    <n v="0"/>
    <n v="755"/>
    <n v="125"/>
    <n v="1345"/>
    <n v="38034"/>
  </r>
  <r>
    <x v="80"/>
    <s v="ITA"/>
    <x v="15"/>
    <x v="15"/>
    <n v="3811569725"/>
    <n v="133623567"/>
    <n v="203"/>
    <n v="12"/>
    <n v="215"/>
    <n v="1639"/>
    <n v="1854"/>
    <n v="-35"/>
    <n v="12"/>
    <n v="1249"/>
    <n v="263"/>
    <n v="3366"/>
    <n v="111137"/>
  </r>
  <r>
    <x v="80"/>
    <s v="ITA"/>
    <x v="16"/>
    <x v="16"/>
    <n v="4376923077"/>
    <n v="1125588885"/>
    <n v="269"/>
    <n v="68"/>
    <n v="337"/>
    <n v="3051"/>
    <n v="3388"/>
    <n v="-175"/>
    <n v="30"/>
    <n v="5498"/>
    <n v="973"/>
    <n v="9859"/>
    <n v="193182"/>
  </r>
  <r>
    <x v="80"/>
    <s v="ITA"/>
    <x v="17"/>
    <x v="17"/>
    <n v="4606893511"/>
    <n v="1112123097"/>
    <n v="66"/>
    <n v="9"/>
    <n v="75"/>
    <n v="430"/>
    <n v="505"/>
    <n v="-68"/>
    <n v="3"/>
    <n v="3362"/>
    <n v="448"/>
    <n v="4315"/>
    <n v="60843"/>
  </r>
  <r>
    <x v="80"/>
    <s v="ITA"/>
    <x v="18"/>
    <x v="18"/>
    <n v="4310675841"/>
    <n v="1238824698"/>
    <n v="26"/>
    <n v="1"/>
    <n v="27"/>
    <n v="65"/>
    <n v="92"/>
    <n v="-14"/>
    <n v="1"/>
    <n v="1255"/>
    <n v="73"/>
    <n v="1420"/>
    <n v="52247"/>
  </r>
  <r>
    <x v="80"/>
    <s v="ITA"/>
    <x v="19"/>
    <x v="19"/>
    <n v="4573750286"/>
    <n v="7320149366"/>
    <n v="38"/>
    <n v="0"/>
    <n v="38"/>
    <n v="42"/>
    <n v="80"/>
    <n v="-13"/>
    <n v="3"/>
    <n v="945"/>
    <n v="141"/>
    <n v="1166"/>
    <n v="11100"/>
  </r>
  <r>
    <x v="80"/>
    <s v="ITA"/>
    <x v="20"/>
    <x v="20"/>
    <n v="4543490485"/>
    <n v="1233845213"/>
    <n v="342"/>
    <n v="26"/>
    <n v="368"/>
    <n v="4350"/>
    <n v="4718"/>
    <n v="-302"/>
    <n v="32"/>
    <n v="12384"/>
    <n v="1743"/>
    <n v="18845"/>
    <n v="474488"/>
  </r>
  <r>
    <x v="81"/>
    <s v="ITA"/>
    <x v="0"/>
    <x v="0"/>
    <n v="4235122196"/>
    <n v="1339843823"/>
    <n v="205"/>
    <n v="6"/>
    <n v="211"/>
    <n v="1243"/>
    <n v="1454"/>
    <n v="-28"/>
    <n v="12"/>
    <n v="1313"/>
    <n v="381"/>
    <n v="3148"/>
    <n v="54028"/>
  </r>
  <r>
    <x v="81"/>
    <s v="ITA"/>
    <x v="1"/>
    <x v="1"/>
    <n v="4063947052"/>
    <n v="1580514834"/>
    <n v="33"/>
    <n v="1"/>
    <n v="34"/>
    <n v="86"/>
    <n v="120"/>
    <n v="-7"/>
    <n v="0"/>
    <n v="242"/>
    <n v="27"/>
    <n v="389"/>
    <n v="20851"/>
  </r>
  <r>
    <x v="81"/>
    <s v="ITA"/>
    <x v="2"/>
    <x v="2"/>
    <n v="4649933453"/>
    <n v="1135662422"/>
    <n v="50"/>
    <n v="5"/>
    <n v="55"/>
    <n v="304"/>
    <n v="359"/>
    <n v="-21"/>
    <n v="0"/>
    <n v="1929"/>
    <n v="290"/>
    <n v="2578"/>
    <n v="52939"/>
  </r>
  <r>
    <x v="81"/>
    <s v="ITA"/>
    <x v="3"/>
    <x v="3"/>
    <n v="3890597598"/>
    <n v="1659440194"/>
    <n v="56"/>
    <n v="2"/>
    <n v="58"/>
    <n v="447"/>
    <n v="505"/>
    <n v="-19"/>
    <n v="1"/>
    <n v="544"/>
    <n v="95"/>
    <n v="1144"/>
    <n v="52701"/>
  </r>
  <r>
    <x v="81"/>
    <s v="ITA"/>
    <x v="4"/>
    <x v="4"/>
    <n v="4083956555"/>
    <n v="1425084984"/>
    <n v="341"/>
    <n v="17"/>
    <n v="358"/>
    <n v="1378"/>
    <n v="1736"/>
    <n v="-29"/>
    <n v="15"/>
    <n v="2522"/>
    <n v="396"/>
    <n v="4654"/>
    <n v="131544"/>
  </r>
  <r>
    <x v="81"/>
    <s v="ITA"/>
    <x v="5"/>
    <x v="5"/>
    <n v="4449436681"/>
    <n v="113417208"/>
    <n v="763"/>
    <n v="114"/>
    <n v="877"/>
    <n v="5124"/>
    <n v="6001"/>
    <n v="-300"/>
    <n v="54"/>
    <n v="17166"/>
    <n v="3943"/>
    <n v="27110"/>
    <n v="253497"/>
  </r>
  <r>
    <x v="81"/>
    <s v="ITA"/>
    <x v="6"/>
    <x v="6"/>
    <n v="456494354"/>
    <n v="1376813649"/>
    <n v="80"/>
    <n v="3"/>
    <n v="83"/>
    <n v="658"/>
    <n v="741"/>
    <n v="-29"/>
    <n v="14"/>
    <n v="2116"/>
    <n v="318"/>
    <n v="3175"/>
    <n v="100400"/>
  </r>
  <r>
    <x v="81"/>
    <s v="ITA"/>
    <x v="7"/>
    <x v="7"/>
    <n v="4189277044"/>
    <n v="1248366722"/>
    <n v="1173"/>
    <n v="79"/>
    <n v="1252"/>
    <n v="2836"/>
    <n v="4088"/>
    <n v="-8"/>
    <n v="73"/>
    <n v="2672"/>
    <n v="604"/>
    <n v="7364"/>
    <n v="197599"/>
  </r>
  <r>
    <x v="81"/>
    <s v="ITA"/>
    <x v="8"/>
    <x v="8"/>
    <n v="4441149315"/>
    <n v="89326992"/>
    <n v="385"/>
    <n v="31"/>
    <n v="416"/>
    <n v="2187"/>
    <n v="2603"/>
    <n v="-57"/>
    <n v="65"/>
    <n v="5121"/>
    <n v="1336"/>
    <n v="9060"/>
    <n v="76012"/>
  </r>
  <r>
    <x v="81"/>
    <s v="ITA"/>
    <x v="9"/>
    <x v="9"/>
    <n v="4546679409"/>
    <n v="9190347404"/>
    <n v="4705"/>
    <n v="276"/>
    <n v="4981"/>
    <n v="22765"/>
    <n v="27746"/>
    <n v="-2210"/>
    <n v="299"/>
    <n v="40962"/>
    <n v="15411"/>
    <n v="84119"/>
    <n v="550405"/>
  </r>
  <r>
    <x v="81"/>
    <s v="ITA"/>
    <x v="10"/>
    <x v="10"/>
    <n v="4361675973"/>
    <n v="135188753"/>
    <n v="178"/>
    <n v="18"/>
    <n v="196"/>
    <n v="2599"/>
    <n v="2795"/>
    <n v="-109"/>
    <n v="16"/>
    <n v="2847"/>
    <n v="977"/>
    <n v="6619"/>
    <n v="84351"/>
  </r>
  <r>
    <x v="81"/>
    <s v="ITA"/>
    <x v="11"/>
    <x v="11"/>
    <n v="4155774754"/>
    <n v="1465916051"/>
    <n v="8"/>
    <n v="2"/>
    <n v="10"/>
    <n v="217"/>
    <n v="227"/>
    <n v="-2"/>
    <n v="4"/>
    <n v="158"/>
    <n v="22"/>
    <n v="407"/>
    <n v="10468"/>
  </r>
  <r>
    <x v="81"/>
    <s v="ITA"/>
    <x v="12"/>
    <x v="12"/>
    <n v="450732745"/>
    <n v="7680687483"/>
    <n v="1593"/>
    <n v="108"/>
    <n v="1701"/>
    <n v="9412"/>
    <n v="11113"/>
    <n v="-778"/>
    <n v="137"/>
    <n v="14676"/>
    <n v="3557"/>
    <n v="29346"/>
    <n v="239507"/>
  </r>
  <r>
    <x v="81"/>
    <s v="ITA"/>
    <x v="13"/>
    <x v="13"/>
    <n v="4112559576"/>
    <n v="1686736689"/>
    <n v="285"/>
    <n v="23"/>
    <n v="308"/>
    <n v="1873"/>
    <n v="2181"/>
    <n v="-72"/>
    <n v="9"/>
    <n v="1724"/>
    <n v="461"/>
    <n v="4366"/>
    <n v="87687"/>
  </r>
  <r>
    <x v="81"/>
    <s v="ITA"/>
    <x v="14"/>
    <x v="14"/>
    <n v="3921531192"/>
    <n v="9110616306"/>
    <n v="75"/>
    <n v="10"/>
    <n v="85"/>
    <n v="376"/>
    <n v="461"/>
    <n v="-4"/>
    <n v="3"/>
    <n v="762"/>
    <n v="125"/>
    <n v="1348"/>
    <n v="39844"/>
  </r>
  <r>
    <x v="81"/>
    <s v="ITA"/>
    <x v="15"/>
    <x v="15"/>
    <n v="3811569725"/>
    <n v="133623567"/>
    <n v="198"/>
    <n v="11"/>
    <n v="209"/>
    <n v="1551"/>
    <n v="1760"/>
    <n v="-94"/>
    <n v="8"/>
    <n v="1351"/>
    <n v="263"/>
    <n v="3374"/>
    <n v="112929"/>
  </r>
  <r>
    <x v="81"/>
    <s v="ITA"/>
    <x v="16"/>
    <x v="16"/>
    <n v="4376923077"/>
    <n v="1125588885"/>
    <n v="238"/>
    <n v="67"/>
    <n v="305"/>
    <n v="2863"/>
    <n v="3168"/>
    <n v="-220"/>
    <n v="24"/>
    <n v="5739"/>
    <n v="976"/>
    <n v="9883"/>
    <n v="197365"/>
  </r>
  <r>
    <x v="81"/>
    <s v="ITA"/>
    <x v="17"/>
    <x v="17"/>
    <n v="4606893511"/>
    <n v="1112123097"/>
    <n v="53"/>
    <n v="9"/>
    <n v="62"/>
    <n v="344"/>
    <n v="406"/>
    <n v="-99"/>
    <n v="3"/>
    <n v="3461"/>
    <n v="451"/>
    <n v="4318"/>
    <n v="63700"/>
  </r>
  <r>
    <x v="81"/>
    <s v="ITA"/>
    <x v="18"/>
    <x v="18"/>
    <n v="4310675841"/>
    <n v="1238824698"/>
    <n v="25"/>
    <n v="2"/>
    <n v="27"/>
    <n v="63"/>
    <n v="90"/>
    <n v="-2"/>
    <n v="2"/>
    <n v="1259"/>
    <n v="73"/>
    <n v="1422"/>
    <n v="53801"/>
  </r>
  <r>
    <x v="81"/>
    <s v="ITA"/>
    <x v="19"/>
    <x v="19"/>
    <n v="4573750286"/>
    <n v="7320149366"/>
    <n v="37"/>
    <n v="0"/>
    <n v="37"/>
    <n v="40"/>
    <n v="77"/>
    <n v="-3"/>
    <n v="6"/>
    <n v="953"/>
    <n v="142"/>
    <n v="1172"/>
    <n v="11413"/>
  </r>
  <r>
    <x v="81"/>
    <s v="ITA"/>
    <x v="20"/>
    <x v="20"/>
    <n v="4543490485"/>
    <n v="1233845213"/>
    <n v="311"/>
    <n v="24"/>
    <n v="335"/>
    <n v="4104"/>
    <n v="4439"/>
    <n v="-279"/>
    <n v="44"/>
    <n v="12688"/>
    <n v="1762"/>
    <n v="18889"/>
    <n v="484639"/>
  </r>
  <r>
    <x v="82"/>
    <s v="ITA"/>
    <x v="0"/>
    <x v="0"/>
    <n v="4235122196"/>
    <n v="1339843823"/>
    <n v="195"/>
    <n v="7"/>
    <n v="202"/>
    <n v="1221"/>
    <n v="1423"/>
    <n v="-31"/>
    <n v="30"/>
    <n v="1372"/>
    <n v="383"/>
    <n v="3178"/>
    <n v="55672"/>
  </r>
  <r>
    <x v="82"/>
    <s v="ITA"/>
    <x v="1"/>
    <x v="1"/>
    <n v="4063947052"/>
    <n v="1580514834"/>
    <n v="29"/>
    <n v="1"/>
    <n v="30"/>
    <n v="83"/>
    <n v="113"/>
    <n v="-7"/>
    <n v="1"/>
    <n v="250"/>
    <n v="27"/>
    <n v="390"/>
    <n v="21496"/>
  </r>
  <r>
    <x v="82"/>
    <s v="ITA"/>
    <x v="2"/>
    <x v="2"/>
    <n v="4649933453"/>
    <n v="1135662422"/>
    <n v="48"/>
    <n v="5"/>
    <n v="53"/>
    <n v="290"/>
    <n v="343"/>
    <n v="-16"/>
    <n v="0"/>
    <n v="1945"/>
    <n v="290"/>
    <n v="2578"/>
    <n v="53703"/>
  </r>
  <r>
    <x v="82"/>
    <s v="ITA"/>
    <x v="3"/>
    <x v="3"/>
    <n v="3890597598"/>
    <n v="1659440194"/>
    <n v="56"/>
    <n v="2"/>
    <n v="58"/>
    <n v="416"/>
    <n v="474"/>
    <n v="-31"/>
    <n v="7"/>
    <n v="582"/>
    <n v="95"/>
    <n v="1151"/>
    <n v="54091"/>
  </r>
  <r>
    <x v="82"/>
    <s v="ITA"/>
    <x v="4"/>
    <x v="4"/>
    <n v="4083956555"/>
    <n v="1425084984"/>
    <n v="351"/>
    <n v="16"/>
    <n v="367"/>
    <n v="1343"/>
    <n v="1710"/>
    <n v="-26"/>
    <n v="14"/>
    <n v="2562"/>
    <n v="396"/>
    <n v="4668"/>
    <n v="136261"/>
  </r>
  <r>
    <x v="82"/>
    <s v="ITA"/>
    <x v="5"/>
    <x v="5"/>
    <n v="4449436681"/>
    <n v="113417208"/>
    <n v="740"/>
    <n v="112"/>
    <n v="852"/>
    <n v="5000"/>
    <n v="5852"/>
    <n v="-149"/>
    <n v="72"/>
    <n v="17370"/>
    <n v="3960"/>
    <n v="27182"/>
    <n v="258274"/>
  </r>
  <r>
    <x v="82"/>
    <s v="ITA"/>
    <x v="6"/>
    <x v="6"/>
    <n v="456494354"/>
    <n v="1376813649"/>
    <n v="79"/>
    <n v="3"/>
    <n v="82"/>
    <n v="598"/>
    <n v="680"/>
    <n v="-61"/>
    <n v="8"/>
    <n v="2184"/>
    <n v="319"/>
    <n v="3183"/>
    <n v="101694"/>
  </r>
  <r>
    <x v="82"/>
    <s v="ITA"/>
    <x v="7"/>
    <x v="7"/>
    <n v="4189277044"/>
    <n v="1248366722"/>
    <n v="1156"/>
    <n v="76"/>
    <n v="1232"/>
    <n v="2790"/>
    <n v="4022"/>
    <n v="-66"/>
    <n v="32"/>
    <n v="2758"/>
    <n v="616"/>
    <n v="7396"/>
    <n v="201938"/>
  </r>
  <r>
    <x v="82"/>
    <s v="ITA"/>
    <x v="8"/>
    <x v="8"/>
    <n v="4441149315"/>
    <n v="89326992"/>
    <n v="369"/>
    <n v="26"/>
    <n v="395"/>
    <n v="2138"/>
    <n v="2533"/>
    <n v="-70"/>
    <n v="51"/>
    <n v="5232"/>
    <n v="1346"/>
    <n v="9111"/>
    <n v="78068"/>
  </r>
  <r>
    <x v="82"/>
    <s v="ITA"/>
    <x v="9"/>
    <x v="9"/>
    <n v="4546679409"/>
    <n v="9190347404"/>
    <n v="4521"/>
    <n v="268"/>
    <n v="4789"/>
    <n v="22890"/>
    <n v="27679"/>
    <n v="-67"/>
    <n v="399"/>
    <n v="41389"/>
    <n v="15450"/>
    <n v="84518"/>
    <n v="564550"/>
  </r>
  <r>
    <x v="82"/>
    <s v="ITA"/>
    <x v="10"/>
    <x v="10"/>
    <n v="4361675973"/>
    <n v="135188753"/>
    <n v="154"/>
    <n v="17"/>
    <n v="171"/>
    <n v="2486"/>
    <n v="2657"/>
    <n v="-138"/>
    <n v="23"/>
    <n v="3003"/>
    <n v="982"/>
    <n v="6642"/>
    <n v="87211"/>
  </r>
  <r>
    <x v="82"/>
    <s v="ITA"/>
    <x v="11"/>
    <x v="11"/>
    <n v="4155774754"/>
    <n v="1465916051"/>
    <n v="8"/>
    <n v="2"/>
    <n v="10"/>
    <n v="205"/>
    <n v="215"/>
    <n v="-12"/>
    <n v="3"/>
    <n v="173"/>
    <n v="22"/>
    <n v="410"/>
    <n v="10859"/>
  </r>
  <r>
    <x v="82"/>
    <s v="ITA"/>
    <x v="12"/>
    <x v="12"/>
    <n v="450732745"/>
    <n v="7680687483"/>
    <n v="1562"/>
    <n v="100"/>
    <n v="1662"/>
    <n v="9040"/>
    <n v="10702"/>
    <n v="-411"/>
    <n v="137"/>
    <n v="15187"/>
    <n v="3594"/>
    <n v="29483"/>
    <n v="245075"/>
  </r>
  <r>
    <x v="82"/>
    <s v="ITA"/>
    <x v="13"/>
    <x v="13"/>
    <n v="4112559576"/>
    <n v="1686736689"/>
    <n v="272"/>
    <n v="22"/>
    <n v="294"/>
    <n v="1810"/>
    <n v="2104"/>
    <n v="-77"/>
    <n v="8"/>
    <n v="1807"/>
    <n v="463"/>
    <n v="4374"/>
    <n v="89611"/>
  </r>
  <r>
    <x v="82"/>
    <s v="ITA"/>
    <x v="14"/>
    <x v="14"/>
    <n v="3921531192"/>
    <n v="9110616306"/>
    <n v="75"/>
    <n v="10"/>
    <n v="85"/>
    <n v="330"/>
    <n v="415"/>
    <n v="-46"/>
    <n v="4"/>
    <n v="812"/>
    <n v="125"/>
    <n v="1352"/>
    <n v="41257"/>
  </r>
  <r>
    <x v="82"/>
    <s v="ITA"/>
    <x v="15"/>
    <x v="15"/>
    <n v="3811569725"/>
    <n v="133623567"/>
    <n v="159"/>
    <n v="12"/>
    <n v="171"/>
    <n v="1488"/>
    <n v="1659"/>
    <n v="-101"/>
    <n v="8"/>
    <n v="1458"/>
    <n v="265"/>
    <n v="3382"/>
    <n v="114963"/>
  </r>
  <r>
    <x v="82"/>
    <s v="ITA"/>
    <x v="16"/>
    <x v="16"/>
    <n v="4376923077"/>
    <n v="1125588885"/>
    <n v="234"/>
    <n v="66"/>
    <n v="300"/>
    <n v="2643"/>
    <n v="2943"/>
    <n v="-225"/>
    <n v="30"/>
    <n v="5991"/>
    <n v="979"/>
    <n v="9913"/>
    <n v="200703"/>
  </r>
  <r>
    <x v="82"/>
    <s v="ITA"/>
    <x v="17"/>
    <x v="17"/>
    <n v="4606893511"/>
    <n v="1112123097"/>
    <n v="44"/>
    <n v="8"/>
    <n v="52"/>
    <n v="293"/>
    <n v="345"/>
    <n v="-61"/>
    <n v="8"/>
    <n v="3528"/>
    <n v="453"/>
    <n v="4326"/>
    <n v="65383"/>
  </r>
  <r>
    <x v="82"/>
    <s v="ITA"/>
    <x v="18"/>
    <x v="18"/>
    <n v="4310675841"/>
    <n v="1238824698"/>
    <n v="25"/>
    <n v="2"/>
    <n v="27"/>
    <n v="54"/>
    <n v="81"/>
    <n v="-9"/>
    <n v="0"/>
    <n v="1268"/>
    <n v="73"/>
    <n v="1422"/>
    <n v="55170"/>
  </r>
  <r>
    <x v="82"/>
    <s v="ITA"/>
    <x v="19"/>
    <x v="19"/>
    <n v="4573750286"/>
    <n v="7320149366"/>
    <n v="33"/>
    <n v="0"/>
    <n v="33"/>
    <n v="42"/>
    <n v="75"/>
    <n v="-2"/>
    <n v="1"/>
    <n v="956"/>
    <n v="142"/>
    <n v="1173"/>
    <n v="11835"/>
  </r>
  <r>
    <x v="82"/>
    <s v="ITA"/>
    <x v="20"/>
    <x v="20"/>
    <n v="4543490485"/>
    <n v="1233845213"/>
    <n v="290"/>
    <n v="20"/>
    <n v="310"/>
    <n v="3852"/>
    <n v="4162"/>
    <n v="-277"/>
    <n v="39"/>
    <n v="12983"/>
    <n v="1783"/>
    <n v="18928"/>
    <n v="497045"/>
  </r>
  <r>
    <x v="83"/>
    <s v="ITA"/>
    <x v="0"/>
    <x v="0"/>
    <n v="4235122196"/>
    <n v="1339843823"/>
    <n v="193"/>
    <n v="6"/>
    <n v="199"/>
    <n v="1223"/>
    <n v="1422"/>
    <n v="-1"/>
    <n v="8"/>
    <n v="1379"/>
    <n v="385"/>
    <n v="3186"/>
    <n v="57217"/>
  </r>
  <r>
    <x v="83"/>
    <s v="ITA"/>
    <x v="1"/>
    <x v="1"/>
    <n v="4063947052"/>
    <n v="1580514834"/>
    <n v="29"/>
    <n v="1"/>
    <n v="30"/>
    <n v="74"/>
    <n v="104"/>
    <n v="-9"/>
    <n v="2"/>
    <n v="261"/>
    <n v="27"/>
    <n v="392"/>
    <n v="22167"/>
  </r>
  <r>
    <x v="83"/>
    <s v="ITA"/>
    <x v="2"/>
    <x v="2"/>
    <n v="4649933453"/>
    <n v="1135662422"/>
    <n v="50"/>
    <n v="5"/>
    <n v="55"/>
    <n v="259"/>
    <n v="314"/>
    <n v="-29"/>
    <n v="3"/>
    <n v="1977"/>
    <n v="290"/>
    <n v="2581"/>
    <n v="54428"/>
  </r>
  <r>
    <x v="83"/>
    <s v="ITA"/>
    <x v="3"/>
    <x v="3"/>
    <n v="3890597598"/>
    <n v="1659440194"/>
    <n v="56"/>
    <n v="2"/>
    <n v="58"/>
    <n v="364"/>
    <n v="422"/>
    <n v="-52"/>
    <n v="0"/>
    <n v="634"/>
    <n v="95"/>
    <n v="1151"/>
    <n v="55304"/>
  </r>
  <r>
    <x v="83"/>
    <s v="ITA"/>
    <x v="4"/>
    <x v="4"/>
    <n v="4083956555"/>
    <n v="1425084984"/>
    <n v="342"/>
    <n v="17"/>
    <n v="359"/>
    <n v="1337"/>
    <n v="1696"/>
    <n v="-14"/>
    <n v="16"/>
    <n v="2592"/>
    <n v="396"/>
    <n v="4684"/>
    <n v="139787"/>
  </r>
  <r>
    <x v="83"/>
    <s v="ITA"/>
    <x v="5"/>
    <x v="5"/>
    <n v="4449436681"/>
    <n v="113417208"/>
    <n v="721"/>
    <n v="111"/>
    <n v="832"/>
    <n v="4824"/>
    <n v="5656"/>
    <n v="-196"/>
    <n v="50"/>
    <n v="17603"/>
    <n v="3973"/>
    <n v="27232"/>
    <n v="261106"/>
  </r>
  <r>
    <x v="83"/>
    <s v="ITA"/>
    <x v="6"/>
    <x v="6"/>
    <n v="456494354"/>
    <n v="1376813649"/>
    <n v="80"/>
    <n v="3"/>
    <n v="83"/>
    <n v="571"/>
    <n v="654"/>
    <n v="-26"/>
    <n v="8"/>
    <n v="2218"/>
    <n v="319"/>
    <n v="3191"/>
    <n v="104056"/>
  </r>
  <r>
    <x v="83"/>
    <s v="ITA"/>
    <x v="7"/>
    <x v="7"/>
    <n v="4189277044"/>
    <n v="1248366722"/>
    <n v="1150"/>
    <n v="74"/>
    <n v="1224"/>
    <n v="2686"/>
    <n v="3910"/>
    <n v="-112"/>
    <n v="50"/>
    <n v="2914"/>
    <n v="622"/>
    <n v="7446"/>
    <n v="206166"/>
  </r>
  <r>
    <x v="83"/>
    <s v="ITA"/>
    <x v="8"/>
    <x v="8"/>
    <n v="4441149315"/>
    <n v="89326992"/>
    <n v="360"/>
    <n v="24"/>
    <n v="384"/>
    <n v="2072"/>
    <n v="2456"/>
    <n v="-77"/>
    <n v="48"/>
    <n v="5348"/>
    <n v="1355"/>
    <n v="9159"/>
    <n v="80154"/>
  </r>
  <r>
    <x v="83"/>
    <s v="ITA"/>
    <x v="9"/>
    <x v="9"/>
    <n v="4546679409"/>
    <n v="9190347404"/>
    <n v="4480"/>
    <n v="255"/>
    <n v="4735"/>
    <n v="22695"/>
    <n v="27430"/>
    <n v="-249"/>
    <n v="326"/>
    <n v="41895"/>
    <n v="15519"/>
    <n v="84844"/>
    <n v="576359"/>
  </r>
  <r>
    <x v="83"/>
    <s v="ITA"/>
    <x v="10"/>
    <x v="10"/>
    <n v="4361675973"/>
    <n v="135188753"/>
    <n v="151"/>
    <n v="18"/>
    <n v="169"/>
    <n v="2396"/>
    <n v="2565"/>
    <n v="-92"/>
    <n v="25"/>
    <n v="3118"/>
    <n v="984"/>
    <n v="6667"/>
    <n v="88656"/>
  </r>
  <r>
    <x v="83"/>
    <s v="ITA"/>
    <x v="11"/>
    <x v="11"/>
    <n v="4155774754"/>
    <n v="1465916051"/>
    <n v="11"/>
    <n v="2"/>
    <n v="13"/>
    <n v="203"/>
    <n v="216"/>
    <n v="1"/>
    <n v="1"/>
    <n v="173"/>
    <n v="22"/>
    <n v="411"/>
    <n v="11085"/>
  </r>
  <r>
    <x v="83"/>
    <s v="ITA"/>
    <x v="12"/>
    <x v="12"/>
    <n v="450732745"/>
    <n v="7680687483"/>
    <n v="1620"/>
    <n v="101"/>
    <n v="1721"/>
    <n v="8518"/>
    <n v="10239"/>
    <n v="-463"/>
    <n v="64"/>
    <n v="15696"/>
    <n v="3612"/>
    <n v="29547"/>
    <n v="249371"/>
  </r>
  <r>
    <x v="83"/>
    <s v="ITA"/>
    <x v="13"/>
    <x v="13"/>
    <n v="4112559576"/>
    <n v="1686736689"/>
    <n v="263"/>
    <n v="21"/>
    <n v="284"/>
    <n v="1733"/>
    <n v="2017"/>
    <n v="-87"/>
    <n v="5"/>
    <n v="1892"/>
    <n v="470"/>
    <n v="4379"/>
    <n v="91035"/>
  </r>
  <r>
    <x v="83"/>
    <s v="ITA"/>
    <x v="14"/>
    <x v="14"/>
    <n v="3921531192"/>
    <n v="9110616306"/>
    <n v="76"/>
    <n v="10"/>
    <n v="86"/>
    <n v="319"/>
    <n v="405"/>
    <n v="-10"/>
    <n v="1"/>
    <n v="823"/>
    <n v="125"/>
    <n v="1353"/>
    <n v="42249"/>
  </r>
  <r>
    <x v="83"/>
    <s v="ITA"/>
    <x v="15"/>
    <x v="15"/>
    <n v="3811569725"/>
    <n v="133623567"/>
    <n v="145"/>
    <n v="13"/>
    <n v="158"/>
    <n v="1397"/>
    <n v="1555"/>
    <n v="-104"/>
    <n v="6"/>
    <n v="1566"/>
    <n v="267"/>
    <n v="3388"/>
    <n v="117426"/>
  </r>
  <r>
    <x v="83"/>
    <s v="ITA"/>
    <x v="16"/>
    <x v="16"/>
    <n v="4376923077"/>
    <n v="1125588885"/>
    <n v="214"/>
    <n v="67"/>
    <n v="281"/>
    <n v="2521"/>
    <n v="2802"/>
    <n v="-141"/>
    <n v="35"/>
    <n v="6162"/>
    <n v="984"/>
    <n v="9948"/>
    <n v="204022"/>
  </r>
  <r>
    <x v="83"/>
    <s v="ITA"/>
    <x v="17"/>
    <x v="17"/>
    <n v="4606893511"/>
    <n v="1112123097"/>
    <n v="41"/>
    <n v="8"/>
    <n v="49"/>
    <n v="252"/>
    <n v="301"/>
    <n v="-44"/>
    <n v="12"/>
    <n v="3584"/>
    <n v="453"/>
    <n v="4338"/>
    <n v="69659"/>
  </r>
  <r>
    <x v="83"/>
    <s v="ITA"/>
    <x v="18"/>
    <x v="18"/>
    <n v="4310675841"/>
    <n v="1238824698"/>
    <n v="25"/>
    <n v="2"/>
    <n v="27"/>
    <n v="51"/>
    <n v="78"/>
    <n v="-3"/>
    <n v="2"/>
    <n v="1273"/>
    <n v="73"/>
    <n v="1424"/>
    <n v="55956"/>
  </r>
  <r>
    <x v="83"/>
    <s v="ITA"/>
    <x v="19"/>
    <x v="19"/>
    <n v="4573750286"/>
    <n v="7320149366"/>
    <n v="31"/>
    <n v="0"/>
    <n v="31"/>
    <n v="37"/>
    <n v="68"/>
    <n v="-7"/>
    <n v="0"/>
    <n v="962"/>
    <n v="143"/>
    <n v="1173"/>
    <n v="12169"/>
  </r>
  <r>
    <x v="83"/>
    <s v="ITA"/>
    <x v="20"/>
    <x v="20"/>
    <n v="4543490485"/>
    <n v="1233845213"/>
    <n v="273"/>
    <n v="22"/>
    <n v="295"/>
    <n v="3746"/>
    <n v="4041"/>
    <n v="-121"/>
    <n v="13"/>
    <n v="13106"/>
    <n v="1794"/>
    <n v="18941"/>
    <n v="506588"/>
  </r>
  <r>
    <x v="84"/>
    <s v="ITA"/>
    <x v="0"/>
    <x v="0"/>
    <n v="4235122196"/>
    <n v="1339843823"/>
    <n v="191"/>
    <n v="6"/>
    <n v="197"/>
    <n v="1216"/>
    <n v="1413"/>
    <n v="-9"/>
    <n v="7"/>
    <n v="1392"/>
    <n v="388"/>
    <n v="3193"/>
    <n v="57897"/>
  </r>
  <r>
    <x v="84"/>
    <s v="ITA"/>
    <x v="1"/>
    <x v="1"/>
    <n v="4063947052"/>
    <n v="1580514834"/>
    <n v="29"/>
    <n v="1"/>
    <n v="30"/>
    <n v="63"/>
    <n v="93"/>
    <n v="-11"/>
    <n v="0"/>
    <n v="272"/>
    <n v="27"/>
    <n v="392"/>
    <n v="22581"/>
  </r>
  <r>
    <x v="84"/>
    <s v="ITA"/>
    <x v="2"/>
    <x v="2"/>
    <n v="4649933453"/>
    <n v="1135662422"/>
    <n v="52"/>
    <n v="6"/>
    <n v="58"/>
    <n v="249"/>
    <n v="307"/>
    <n v="-7"/>
    <n v="1"/>
    <n v="1984"/>
    <n v="291"/>
    <n v="2582"/>
    <n v="54861"/>
  </r>
  <r>
    <x v="84"/>
    <s v="ITA"/>
    <x v="3"/>
    <x v="3"/>
    <n v="3890597598"/>
    <n v="1659440194"/>
    <n v="53"/>
    <n v="2"/>
    <n v="55"/>
    <n v="346"/>
    <n v="401"/>
    <n v="-21"/>
    <n v="0"/>
    <n v="655"/>
    <n v="95"/>
    <n v="1151"/>
    <n v="56167"/>
  </r>
  <r>
    <x v="84"/>
    <s v="ITA"/>
    <x v="4"/>
    <x v="4"/>
    <n v="4083956555"/>
    <n v="1425084984"/>
    <n v="342"/>
    <n v="17"/>
    <n v="359"/>
    <n v="1314"/>
    <n v="1673"/>
    <n v="-23"/>
    <n v="11"/>
    <n v="2623"/>
    <n v="399"/>
    <n v="4695"/>
    <n v="143478"/>
  </r>
  <r>
    <x v="84"/>
    <s v="ITA"/>
    <x v="5"/>
    <x v="5"/>
    <n v="4449436681"/>
    <n v="113417208"/>
    <n v="708"/>
    <n v="105"/>
    <n v="813"/>
    <n v="4712"/>
    <n v="5525"/>
    <n v="-131"/>
    <n v="35"/>
    <n v="17756"/>
    <n v="3986"/>
    <n v="27267"/>
    <n v="263888"/>
  </r>
  <r>
    <x v="84"/>
    <s v="ITA"/>
    <x v="6"/>
    <x v="6"/>
    <n v="456494354"/>
    <n v="1376813649"/>
    <n v="81"/>
    <n v="3"/>
    <n v="84"/>
    <n v="537"/>
    <n v="621"/>
    <n v="-33"/>
    <n v="7"/>
    <n v="2257"/>
    <n v="320"/>
    <n v="3198"/>
    <n v="104874"/>
  </r>
  <r>
    <x v="84"/>
    <s v="ITA"/>
    <x v="7"/>
    <x v="7"/>
    <n v="4189277044"/>
    <n v="1248366722"/>
    <n v="1137"/>
    <n v="73"/>
    <n v="1210"/>
    <n v="2616"/>
    <n v="3826"/>
    <n v="-84"/>
    <n v="39"/>
    <n v="3031"/>
    <n v="628"/>
    <n v="7485"/>
    <n v="209472"/>
  </r>
  <r>
    <x v="84"/>
    <s v="ITA"/>
    <x v="8"/>
    <x v="8"/>
    <n v="4441149315"/>
    <n v="89326992"/>
    <n v="360"/>
    <n v="23"/>
    <n v="383"/>
    <n v="1956"/>
    <n v="2339"/>
    <n v="-117"/>
    <n v="32"/>
    <n v="5485"/>
    <n v="1367"/>
    <n v="9191"/>
    <n v="81485"/>
  </r>
  <r>
    <x v="84"/>
    <s v="ITA"/>
    <x v="9"/>
    <x v="9"/>
    <n v="4546679409"/>
    <n v="9190347404"/>
    <n v="4482"/>
    <n v="252"/>
    <n v="4734"/>
    <n v="22339"/>
    <n v="27073"/>
    <n v="-357"/>
    <n v="175"/>
    <n v="42403"/>
    <n v="15543"/>
    <n v="85019"/>
    <n v="581437"/>
  </r>
  <r>
    <x v="84"/>
    <s v="ITA"/>
    <x v="10"/>
    <x v="10"/>
    <n v="4361675973"/>
    <n v="135188753"/>
    <n v="156"/>
    <n v="17"/>
    <n v="173"/>
    <n v="2142"/>
    <n v="2315"/>
    <n v="-250"/>
    <n v="11"/>
    <n v="3379"/>
    <n v="984"/>
    <n v="6678"/>
    <n v="89085"/>
  </r>
  <r>
    <x v="84"/>
    <s v="ITA"/>
    <x v="11"/>
    <x v="11"/>
    <n v="4155774754"/>
    <n v="1465916051"/>
    <n v="9"/>
    <n v="2"/>
    <n v="11"/>
    <n v="206"/>
    <n v="217"/>
    <n v="1"/>
    <n v="11"/>
    <n v="183"/>
    <n v="22"/>
    <n v="422"/>
    <n v="11514"/>
  </r>
  <r>
    <x v="84"/>
    <s v="ITA"/>
    <x v="12"/>
    <x v="12"/>
    <n v="450732745"/>
    <n v="7680687483"/>
    <n v="1589"/>
    <n v="99"/>
    <n v="1688"/>
    <n v="8186"/>
    <n v="9874"/>
    <n v="-365"/>
    <n v="72"/>
    <n v="16113"/>
    <n v="3632"/>
    <n v="29619"/>
    <n v="253479"/>
  </r>
  <r>
    <x v="84"/>
    <s v="ITA"/>
    <x v="13"/>
    <x v="13"/>
    <n v="4112559576"/>
    <n v="1686736689"/>
    <n v="254"/>
    <n v="22"/>
    <n v="276"/>
    <n v="1719"/>
    <n v="1995"/>
    <n v="-22"/>
    <n v="7"/>
    <n v="1920"/>
    <n v="471"/>
    <n v="4386"/>
    <n v="91901"/>
  </r>
  <r>
    <x v="84"/>
    <s v="ITA"/>
    <x v="14"/>
    <x v="14"/>
    <n v="3921531192"/>
    <n v="9110616306"/>
    <n v="72"/>
    <n v="10"/>
    <n v="82"/>
    <n v="298"/>
    <n v="380"/>
    <n v="-25"/>
    <n v="0"/>
    <n v="847"/>
    <n v="126"/>
    <n v="1353"/>
    <n v="43387"/>
  </r>
  <r>
    <x v="84"/>
    <s v="ITA"/>
    <x v="15"/>
    <x v="15"/>
    <n v="3811569725"/>
    <n v="133623567"/>
    <n v="137"/>
    <n v="13"/>
    <n v="150"/>
    <n v="1389"/>
    <n v="1539"/>
    <n v="-16"/>
    <n v="7"/>
    <n v="1589"/>
    <n v="267"/>
    <n v="3395"/>
    <n v="118859"/>
  </r>
  <r>
    <x v="84"/>
    <s v="ITA"/>
    <x v="16"/>
    <x v="16"/>
    <n v="4376923077"/>
    <n v="1125588885"/>
    <n v="197"/>
    <n v="66"/>
    <n v="263"/>
    <n v="2310"/>
    <n v="2573"/>
    <n v="-229"/>
    <n v="13"/>
    <n v="6399"/>
    <n v="989"/>
    <n v="9961"/>
    <n v="205201"/>
  </r>
  <r>
    <x v="84"/>
    <s v="ITA"/>
    <x v="17"/>
    <x v="17"/>
    <n v="4606893511"/>
    <n v="1112123097"/>
    <n v="41"/>
    <n v="8"/>
    <n v="49"/>
    <n v="199"/>
    <n v="248"/>
    <n v="-53"/>
    <n v="13"/>
    <n v="3650"/>
    <n v="453"/>
    <n v="4351"/>
    <n v="70173"/>
  </r>
  <r>
    <x v="84"/>
    <s v="ITA"/>
    <x v="18"/>
    <x v="18"/>
    <n v="4310675841"/>
    <n v="1238824698"/>
    <n v="24"/>
    <n v="2"/>
    <n v="26"/>
    <n v="51"/>
    <n v="77"/>
    <n v="-1"/>
    <n v="0"/>
    <n v="1274"/>
    <n v="73"/>
    <n v="1424"/>
    <n v="56279"/>
  </r>
  <r>
    <x v="84"/>
    <s v="ITA"/>
    <x v="19"/>
    <x v="19"/>
    <n v="4573750286"/>
    <n v="7320149366"/>
    <n v="30"/>
    <n v="0"/>
    <n v="30"/>
    <n v="30"/>
    <n v="60"/>
    <n v="-8"/>
    <n v="1"/>
    <n v="971"/>
    <n v="143"/>
    <n v="1174"/>
    <n v="12327"/>
  </r>
  <r>
    <x v="84"/>
    <s v="ITA"/>
    <x v="20"/>
    <x v="20"/>
    <n v="4543490485"/>
    <n v="1233845213"/>
    <n v="263"/>
    <n v="22"/>
    <n v="285"/>
    <n v="3719"/>
    <n v="4004"/>
    <n v="-37"/>
    <n v="9"/>
    <n v="13143"/>
    <n v="1803"/>
    <n v="18950"/>
    <n v="513021"/>
  </r>
  <r>
    <x v="85"/>
    <s v="ITA"/>
    <x v="0"/>
    <x v="0"/>
    <n v="4235122196"/>
    <n v="1339843823"/>
    <n v="188"/>
    <n v="6"/>
    <n v="194"/>
    <n v="1195"/>
    <n v="1389"/>
    <n v="-24"/>
    <n v="4"/>
    <n v="1419"/>
    <n v="389"/>
    <n v="3197"/>
    <n v="58945"/>
  </r>
  <r>
    <x v="85"/>
    <s v="ITA"/>
    <x v="1"/>
    <x v="1"/>
    <n v="4063947052"/>
    <n v="1580514834"/>
    <n v="26"/>
    <n v="1"/>
    <n v="27"/>
    <n v="57"/>
    <n v="84"/>
    <n v="-9"/>
    <n v="1"/>
    <n v="282"/>
    <n v="27"/>
    <n v="393"/>
    <n v="23347"/>
  </r>
  <r>
    <x v="85"/>
    <s v="ITA"/>
    <x v="2"/>
    <x v="2"/>
    <n v="4649933453"/>
    <n v="1135662422"/>
    <n v="46"/>
    <n v="6"/>
    <n v="52"/>
    <n v="256"/>
    <n v="308"/>
    <n v="1"/>
    <n v="5"/>
    <n v="1988"/>
    <n v="291"/>
    <n v="2587"/>
    <n v="55526"/>
  </r>
  <r>
    <x v="85"/>
    <s v="ITA"/>
    <x v="3"/>
    <x v="3"/>
    <n v="3890597598"/>
    <n v="1659440194"/>
    <n v="50"/>
    <n v="2"/>
    <n v="52"/>
    <n v="330"/>
    <n v="382"/>
    <n v="-19"/>
    <n v="2"/>
    <n v="676"/>
    <n v="95"/>
    <n v="1153"/>
    <n v="57310"/>
  </r>
  <r>
    <x v="85"/>
    <s v="ITA"/>
    <x v="4"/>
    <x v="4"/>
    <n v="4083956555"/>
    <n v="1425084984"/>
    <n v="330"/>
    <n v="17"/>
    <n v="347"/>
    <n v="1171"/>
    <n v="1518"/>
    <n v="-155"/>
    <n v="12"/>
    <n v="2790"/>
    <n v="399"/>
    <n v="4707"/>
    <n v="147225"/>
  </r>
  <r>
    <x v="85"/>
    <s v="ITA"/>
    <x v="5"/>
    <x v="5"/>
    <n v="4449436681"/>
    <n v="113417208"/>
    <n v="670"/>
    <n v="99"/>
    <n v="769"/>
    <n v="4561"/>
    <n v="5330"/>
    <n v="-195"/>
    <n v="47"/>
    <n v="17987"/>
    <n v="3997"/>
    <n v="27314"/>
    <n v="268200"/>
  </r>
  <r>
    <x v="85"/>
    <s v="ITA"/>
    <x v="6"/>
    <x v="6"/>
    <n v="456494354"/>
    <n v="1376813649"/>
    <n v="76"/>
    <n v="2"/>
    <n v="78"/>
    <n v="522"/>
    <n v="600"/>
    <n v="-21"/>
    <n v="5"/>
    <n v="2283"/>
    <n v="320"/>
    <n v="3203"/>
    <n v="105656"/>
  </r>
  <r>
    <x v="85"/>
    <s v="ITA"/>
    <x v="7"/>
    <x v="7"/>
    <n v="4189277044"/>
    <n v="1248366722"/>
    <n v="1124"/>
    <n v="74"/>
    <n v="1198"/>
    <n v="2588"/>
    <n v="3786"/>
    <n v="-40"/>
    <n v="20"/>
    <n v="3079"/>
    <n v="640"/>
    <n v="7505"/>
    <n v="213877"/>
  </r>
  <r>
    <x v="85"/>
    <s v="ITA"/>
    <x v="8"/>
    <x v="8"/>
    <n v="4441149315"/>
    <n v="89326992"/>
    <n v="338"/>
    <n v="22"/>
    <n v="360"/>
    <n v="1904"/>
    <n v="2264"/>
    <n v="-75"/>
    <n v="66"/>
    <n v="5617"/>
    <n v="1376"/>
    <n v="9257"/>
    <n v="83593"/>
  </r>
  <r>
    <x v="85"/>
    <s v="ITA"/>
    <x v="9"/>
    <x v="9"/>
    <n v="4546679409"/>
    <n v="9190347404"/>
    <n v="4426"/>
    <n v="244"/>
    <n v="4670"/>
    <n v="22621"/>
    <n v="27291"/>
    <n v="218"/>
    <n v="462"/>
    <n v="42593"/>
    <n v="15597"/>
    <n v="85481"/>
    <n v="596355"/>
  </r>
  <r>
    <x v="85"/>
    <s v="ITA"/>
    <x v="10"/>
    <x v="10"/>
    <n v="4361675973"/>
    <n v="135188753"/>
    <n v="144"/>
    <n v="17"/>
    <n v="161"/>
    <n v="1967"/>
    <n v="2128"/>
    <n v="-187"/>
    <n v="-3"/>
    <n v="3561"/>
    <n v="986"/>
    <n v="6675"/>
    <n v="89985"/>
  </r>
  <r>
    <x v="85"/>
    <s v="ITA"/>
    <x v="11"/>
    <x v="11"/>
    <n v="4155774754"/>
    <n v="1465916051"/>
    <n v="9"/>
    <n v="2"/>
    <n v="11"/>
    <n v="201"/>
    <n v="212"/>
    <n v="-5"/>
    <n v="0"/>
    <n v="188"/>
    <n v="22"/>
    <n v="422"/>
    <n v="11592"/>
  </r>
  <r>
    <x v="85"/>
    <s v="ITA"/>
    <x v="12"/>
    <x v="12"/>
    <n v="450732745"/>
    <n v="7680687483"/>
    <n v="1579"/>
    <n v="96"/>
    <n v="1675"/>
    <n v="7960"/>
    <n v="9635"/>
    <n v="-239"/>
    <n v="108"/>
    <n v="16413"/>
    <n v="3679"/>
    <n v="29727"/>
    <n v="258489"/>
  </r>
  <r>
    <x v="85"/>
    <s v="ITA"/>
    <x v="13"/>
    <x v="13"/>
    <n v="4112559576"/>
    <n v="1686736689"/>
    <n v="247"/>
    <n v="22"/>
    <n v="269"/>
    <n v="1672"/>
    <n v="1941"/>
    <n v="-54"/>
    <n v="10"/>
    <n v="1982"/>
    <n v="473"/>
    <n v="4396"/>
    <n v="93834"/>
  </r>
  <r>
    <x v="85"/>
    <s v="ITA"/>
    <x v="14"/>
    <x v="14"/>
    <n v="3921531192"/>
    <n v="9110616306"/>
    <n v="71"/>
    <n v="9"/>
    <n v="80"/>
    <n v="261"/>
    <n v="341"/>
    <n v="-39"/>
    <n v="1"/>
    <n v="887"/>
    <n v="126"/>
    <n v="1354"/>
    <n v="44413"/>
  </r>
  <r>
    <x v="85"/>
    <s v="ITA"/>
    <x v="15"/>
    <x v="15"/>
    <n v="3811569725"/>
    <n v="133623567"/>
    <n v="125"/>
    <n v="12"/>
    <n v="137"/>
    <n v="1387"/>
    <n v="1524"/>
    <n v="-15"/>
    <n v="8"/>
    <n v="1611"/>
    <n v="268"/>
    <n v="3403"/>
    <n v="122040"/>
  </r>
  <r>
    <x v="85"/>
    <s v="ITA"/>
    <x v="16"/>
    <x v="16"/>
    <n v="4376923077"/>
    <n v="1125588885"/>
    <n v="190"/>
    <n v="56"/>
    <n v="246"/>
    <n v="2077"/>
    <n v="2323"/>
    <n v="-250"/>
    <n v="7"/>
    <n v="6653"/>
    <n v="992"/>
    <n v="9968"/>
    <n v="209161"/>
  </r>
  <r>
    <x v="85"/>
    <s v="ITA"/>
    <x v="17"/>
    <x v="17"/>
    <n v="4606893511"/>
    <n v="1112123097"/>
    <n v="42"/>
    <n v="8"/>
    <n v="50"/>
    <n v="154"/>
    <n v="204"/>
    <n v="-44"/>
    <n v="7"/>
    <n v="3699"/>
    <n v="455"/>
    <n v="4358"/>
    <n v="70691"/>
  </r>
  <r>
    <x v="85"/>
    <s v="ITA"/>
    <x v="18"/>
    <x v="18"/>
    <n v="4310675841"/>
    <n v="1238824698"/>
    <n v="25"/>
    <n v="2"/>
    <n v="27"/>
    <n v="39"/>
    <n v="66"/>
    <n v="-11"/>
    <n v="3"/>
    <n v="1287"/>
    <n v="74"/>
    <n v="1427"/>
    <n v="57822"/>
  </r>
  <r>
    <x v="85"/>
    <s v="ITA"/>
    <x v="19"/>
    <x v="19"/>
    <n v="4573750286"/>
    <n v="7320149366"/>
    <n v="26"/>
    <n v="1"/>
    <n v="27"/>
    <n v="22"/>
    <n v="49"/>
    <n v="-11"/>
    <n v="1"/>
    <n v="983"/>
    <n v="143"/>
    <n v="1175"/>
    <n v="12663"/>
  </r>
  <r>
    <x v="85"/>
    <s v="ITA"/>
    <x v="20"/>
    <x v="20"/>
    <n v="4543490485"/>
    <n v="1233845213"/>
    <n v="259"/>
    <n v="18"/>
    <n v="277"/>
    <n v="3477"/>
    <n v="3754"/>
    <n v="-250"/>
    <n v="47"/>
    <n v="13423"/>
    <n v="1820"/>
    <n v="18997"/>
    <n v="523800"/>
  </r>
  <r>
    <x v="86"/>
    <s v="ITA"/>
    <x v="0"/>
    <x v="0"/>
    <n v="4235122196"/>
    <n v="1339843823"/>
    <n v="185"/>
    <n v="6"/>
    <n v="191"/>
    <n v="1126"/>
    <n v="1317"/>
    <n v="-72"/>
    <n v="8"/>
    <n v="1499"/>
    <n v="389"/>
    <n v="3205"/>
    <n v="61123"/>
  </r>
  <r>
    <x v="86"/>
    <s v="ITA"/>
    <x v="1"/>
    <x v="1"/>
    <n v="4063947052"/>
    <n v="1580514834"/>
    <n v="22"/>
    <n v="1"/>
    <n v="23"/>
    <n v="50"/>
    <n v="73"/>
    <n v="-11"/>
    <n v="0"/>
    <n v="293"/>
    <n v="27"/>
    <n v="393"/>
    <n v="23986"/>
  </r>
  <r>
    <x v="86"/>
    <s v="ITA"/>
    <x v="2"/>
    <x v="2"/>
    <n v="4649933453"/>
    <n v="1135662422"/>
    <n v="43"/>
    <n v="5"/>
    <n v="48"/>
    <n v="224"/>
    <n v="272"/>
    <n v="-36"/>
    <n v="0"/>
    <n v="2024"/>
    <n v="291"/>
    <n v="2587"/>
    <n v="56310"/>
  </r>
  <r>
    <x v="86"/>
    <s v="ITA"/>
    <x v="3"/>
    <x v="3"/>
    <n v="3890597598"/>
    <n v="1659440194"/>
    <n v="49"/>
    <n v="1"/>
    <n v="50"/>
    <n v="303"/>
    <n v="353"/>
    <n v="-29"/>
    <n v="3"/>
    <n v="707"/>
    <n v="96"/>
    <n v="1156"/>
    <n v="58468"/>
  </r>
  <r>
    <x v="86"/>
    <s v="ITA"/>
    <x v="4"/>
    <x v="4"/>
    <n v="4083956555"/>
    <n v="1425084984"/>
    <n v="318"/>
    <n v="12"/>
    <n v="330"/>
    <n v="1112"/>
    <n v="1442"/>
    <n v="-76"/>
    <n v="7"/>
    <n v="2871"/>
    <n v="401"/>
    <n v="4714"/>
    <n v="150764"/>
  </r>
  <r>
    <x v="86"/>
    <s v="ITA"/>
    <x v="5"/>
    <x v="5"/>
    <n v="4449436681"/>
    <n v="113417208"/>
    <n v="626"/>
    <n v="96"/>
    <n v="722"/>
    <n v="4376"/>
    <n v="5098"/>
    <n v="-232"/>
    <n v="50"/>
    <n v="18258"/>
    <n v="4008"/>
    <n v="27364"/>
    <n v="274362"/>
  </r>
  <r>
    <x v="86"/>
    <s v="ITA"/>
    <x v="6"/>
    <x v="6"/>
    <n v="456494354"/>
    <n v="1376813649"/>
    <n v="76"/>
    <n v="2"/>
    <n v="78"/>
    <n v="518"/>
    <n v="596"/>
    <n v="-4"/>
    <n v="6"/>
    <n v="2291"/>
    <n v="322"/>
    <n v="3209"/>
    <n v="108671"/>
  </r>
  <r>
    <x v="86"/>
    <s v="ITA"/>
    <x v="7"/>
    <x v="7"/>
    <n v="4189277044"/>
    <n v="1248366722"/>
    <n v="1119"/>
    <n v="74"/>
    <n v="1193"/>
    <n v="2593"/>
    <n v="3786"/>
    <n v="0"/>
    <n v="28"/>
    <n v="3100"/>
    <n v="647"/>
    <n v="7533"/>
    <n v="217849"/>
  </r>
  <r>
    <x v="86"/>
    <s v="ITA"/>
    <x v="8"/>
    <x v="8"/>
    <n v="4441149315"/>
    <n v="89326992"/>
    <n v="310"/>
    <n v="22"/>
    <n v="332"/>
    <n v="1846"/>
    <n v="2178"/>
    <n v="-86"/>
    <n v="32"/>
    <n v="5725"/>
    <n v="1386"/>
    <n v="9289"/>
    <n v="85140"/>
  </r>
  <r>
    <x v="86"/>
    <s v="ITA"/>
    <x v="9"/>
    <x v="9"/>
    <n v="4546679409"/>
    <n v="9190347404"/>
    <n v="4281"/>
    <n v="231"/>
    <n v="4512"/>
    <n v="22159"/>
    <n v="26671"/>
    <n v="-620"/>
    <n v="294"/>
    <n v="43442"/>
    <n v="15662"/>
    <n v="85775"/>
    <n v="607863"/>
  </r>
  <r>
    <x v="86"/>
    <s v="ITA"/>
    <x v="10"/>
    <x v="10"/>
    <n v="4361675973"/>
    <n v="135188753"/>
    <n v="125"/>
    <n v="16"/>
    <n v="141"/>
    <n v="1833"/>
    <n v="1974"/>
    <n v="-154"/>
    <n v="2"/>
    <n v="3716"/>
    <n v="987"/>
    <n v="6677"/>
    <n v="90093"/>
  </r>
  <r>
    <x v="86"/>
    <s v="ITA"/>
    <x v="11"/>
    <x v="11"/>
    <n v="4155774754"/>
    <n v="1465916051"/>
    <n v="7"/>
    <n v="2"/>
    <n v="9"/>
    <n v="189"/>
    <n v="198"/>
    <n v="-14"/>
    <n v="0"/>
    <n v="202"/>
    <n v="22"/>
    <n v="422"/>
    <n v="12158"/>
  </r>
  <r>
    <x v="86"/>
    <s v="ITA"/>
    <x v="12"/>
    <x v="12"/>
    <n v="450732745"/>
    <n v="7680687483"/>
    <n v="1513"/>
    <n v="96"/>
    <n v="1609"/>
    <n v="7542"/>
    <n v="9151"/>
    <n v="-484"/>
    <n v="158"/>
    <n v="17016"/>
    <n v="3718"/>
    <n v="29885"/>
    <n v="264624"/>
  </r>
  <r>
    <x v="86"/>
    <s v="ITA"/>
    <x v="13"/>
    <x v="13"/>
    <n v="4112559576"/>
    <n v="1686736689"/>
    <n v="242"/>
    <n v="21"/>
    <n v="263"/>
    <n v="1639"/>
    <n v="1902"/>
    <n v="-39"/>
    <n v="11"/>
    <n v="2027"/>
    <n v="478"/>
    <n v="4407"/>
    <n v="95895"/>
  </r>
  <r>
    <x v="86"/>
    <s v="ITA"/>
    <x v="14"/>
    <x v="14"/>
    <n v="3921531192"/>
    <n v="9110616306"/>
    <n v="68"/>
    <n v="10"/>
    <n v="78"/>
    <n v="253"/>
    <n v="331"/>
    <n v="-10"/>
    <n v="1"/>
    <n v="898"/>
    <n v="126"/>
    <n v="1355"/>
    <n v="45572"/>
  </r>
  <r>
    <x v="86"/>
    <s v="ITA"/>
    <x v="15"/>
    <x v="15"/>
    <n v="3811569725"/>
    <n v="133623567"/>
    <n v="118"/>
    <n v="11"/>
    <n v="129"/>
    <n v="1394"/>
    <n v="1523"/>
    <n v="-1"/>
    <n v="8"/>
    <n v="1620"/>
    <n v="268"/>
    <n v="3411"/>
    <n v="123573"/>
  </r>
  <r>
    <x v="86"/>
    <s v="ITA"/>
    <x v="16"/>
    <x v="16"/>
    <n v="4376923077"/>
    <n v="1125588885"/>
    <n v="178"/>
    <n v="45"/>
    <n v="223"/>
    <n v="1894"/>
    <n v="2117"/>
    <n v="-206"/>
    <n v="14"/>
    <n v="6867"/>
    <n v="998"/>
    <n v="9982"/>
    <n v="214299"/>
  </r>
  <r>
    <x v="86"/>
    <s v="ITA"/>
    <x v="17"/>
    <x v="17"/>
    <n v="4606893511"/>
    <n v="1112123097"/>
    <n v="39"/>
    <n v="6"/>
    <n v="45"/>
    <n v="81"/>
    <n v="126"/>
    <n v="-78"/>
    <n v="10"/>
    <n v="3787"/>
    <n v="455"/>
    <n v="4368"/>
    <n v="72031"/>
  </r>
  <r>
    <x v="86"/>
    <s v="ITA"/>
    <x v="18"/>
    <x v="18"/>
    <n v="4310675841"/>
    <n v="1238824698"/>
    <n v="25"/>
    <n v="2"/>
    <n v="27"/>
    <n v="39"/>
    <n v="66"/>
    <n v="0"/>
    <n v="0"/>
    <n v="1287"/>
    <n v="74"/>
    <n v="1427"/>
    <n v="59220"/>
  </r>
  <r>
    <x v="86"/>
    <s v="ITA"/>
    <x v="19"/>
    <x v="19"/>
    <n v="4573750286"/>
    <n v="7320149366"/>
    <n v="25"/>
    <n v="1"/>
    <n v="26"/>
    <n v="20"/>
    <n v="46"/>
    <n v="-3"/>
    <n v="0"/>
    <n v="986"/>
    <n v="143"/>
    <n v="1175"/>
    <n v="12920"/>
  </r>
  <r>
    <x v="86"/>
    <s v="ITA"/>
    <x v="20"/>
    <x v="20"/>
    <n v="4543490485"/>
    <n v="1233845213"/>
    <n v="255"/>
    <n v="16"/>
    <n v="271"/>
    <n v="3261"/>
    <n v="3532"/>
    <n v="-222"/>
    <n v="33"/>
    <n v="13666"/>
    <n v="1832"/>
    <n v="19030"/>
    <n v="536798"/>
  </r>
  <r>
    <x v="87"/>
    <s v="ITA"/>
    <x v="0"/>
    <x v="0"/>
    <n v="4235122196"/>
    <n v="1339843823"/>
    <n v="175"/>
    <n v="5"/>
    <n v="180"/>
    <n v="1092"/>
    <n v="1272"/>
    <n v="-45"/>
    <n v="7"/>
    <n v="1549"/>
    <n v="391"/>
    <n v="3212"/>
    <n v="62161"/>
  </r>
  <r>
    <x v="87"/>
    <s v="ITA"/>
    <x v="1"/>
    <x v="1"/>
    <n v="4063947052"/>
    <n v="1580514834"/>
    <n v="15"/>
    <n v="1"/>
    <n v="16"/>
    <n v="44"/>
    <n v="60"/>
    <n v="-13"/>
    <n v="1"/>
    <n v="307"/>
    <n v="27"/>
    <n v="394"/>
    <n v="24537"/>
  </r>
  <r>
    <x v="87"/>
    <s v="ITA"/>
    <x v="2"/>
    <x v="2"/>
    <n v="4649933453"/>
    <n v="1135662422"/>
    <n v="50"/>
    <n v="5"/>
    <n v="55"/>
    <n v="195"/>
    <n v="250"/>
    <n v="-22"/>
    <n v="0"/>
    <n v="2046"/>
    <n v="291"/>
    <n v="2587"/>
    <n v="57104"/>
  </r>
  <r>
    <x v="87"/>
    <s v="ITA"/>
    <x v="3"/>
    <x v="3"/>
    <n v="3890597598"/>
    <n v="1659440194"/>
    <n v="47"/>
    <n v="1"/>
    <n v="48"/>
    <n v="278"/>
    <n v="326"/>
    <n v="-27"/>
    <n v="0"/>
    <n v="734"/>
    <n v="96"/>
    <n v="1156"/>
    <n v="59724"/>
  </r>
  <r>
    <x v="87"/>
    <s v="ITA"/>
    <x v="4"/>
    <x v="4"/>
    <n v="4083956555"/>
    <n v="1425084984"/>
    <n v="312"/>
    <n v="9"/>
    <n v="321"/>
    <n v="1052"/>
    <n v="1373"/>
    <n v="-69"/>
    <n v="9"/>
    <n v="2947"/>
    <n v="403"/>
    <n v="4723"/>
    <n v="155842"/>
  </r>
  <r>
    <x v="87"/>
    <s v="ITA"/>
    <x v="5"/>
    <x v="5"/>
    <n v="4449436681"/>
    <n v="113417208"/>
    <n v="592"/>
    <n v="92"/>
    <n v="684"/>
    <n v="4242"/>
    <n v="4926"/>
    <n v="-172"/>
    <n v="53"/>
    <n v="18466"/>
    <n v="4025"/>
    <n v="27417"/>
    <n v="278917"/>
  </r>
  <r>
    <x v="87"/>
    <s v="ITA"/>
    <x v="6"/>
    <x v="6"/>
    <n v="456494354"/>
    <n v="1376813649"/>
    <n v="72"/>
    <n v="2"/>
    <n v="74"/>
    <n v="504"/>
    <n v="578"/>
    <n v="-18"/>
    <n v="6"/>
    <n v="2314"/>
    <n v="323"/>
    <n v="3215"/>
    <n v="111541"/>
  </r>
  <r>
    <x v="87"/>
    <s v="ITA"/>
    <x v="7"/>
    <x v="7"/>
    <n v="4189277044"/>
    <n v="1248366722"/>
    <n v="1110"/>
    <n v="68"/>
    <n v="1178"/>
    <n v="2459"/>
    <n v="3637"/>
    <n v="-149"/>
    <n v="25"/>
    <n v="3259"/>
    <n v="662"/>
    <n v="7558"/>
    <n v="222071"/>
  </r>
  <r>
    <x v="87"/>
    <s v="ITA"/>
    <x v="8"/>
    <x v="8"/>
    <n v="4441149315"/>
    <n v="89326992"/>
    <n v="283"/>
    <n v="22"/>
    <n v="305"/>
    <n v="1770"/>
    <n v="2075"/>
    <n v="-103"/>
    <n v="55"/>
    <n v="5872"/>
    <n v="1397"/>
    <n v="9344"/>
    <n v="87011"/>
  </r>
  <r>
    <x v="87"/>
    <s v="ITA"/>
    <x v="9"/>
    <x v="9"/>
    <n v="4546679409"/>
    <n v="9190347404"/>
    <n v="4119"/>
    <n v="226"/>
    <n v="4345"/>
    <n v="22370"/>
    <n v="26715"/>
    <n v="44"/>
    <n v="316"/>
    <n v="43649"/>
    <n v="15727"/>
    <n v="86091"/>
    <n v="622565"/>
  </r>
  <r>
    <x v="87"/>
    <s v="ITA"/>
    <x v="10"/>
    <x v="10"/>
    <n v="4361675973"/>
    <n v="135188753"/>
    <n v="111"/>
    <n v="16"/>
    <n v="127"/>
    <n v="1705"/>
    <n v="1832"/>
    <n v="-142"/>
    <n v="12"/>
    <n v="3867"/>
    <n v="990"/>
    <n v="6689"/>
    <n v="91885"/>
  </r>
  <r>
    <x v="87"/>
    <s v="ITA"/>
    <x v="11"/>
    <x v="11"/>
    <n v="4155774754"/>
    <n v="1465916051"/>
    <n v="8"/>
    <n v="2"/>
    <n v="10"/>
    <n v="184"/>
    <n v="194"/>
    <n v="-4"/>
    <n v="1"/>
    <n v="207"/>
    <n v="22"/>
    <n v="423"/>
    <n v="12253"/>
  </r>
  <r>
    <x v="87"/>
    <s v="ITA"/>
    <x v="12"/>
    <x v="12"/>
    <n v="450732745"/>
    <n v="7680687483"/>
    <n v="1479"/>
    <n v="83"/>
    <n v="1562"/>
    <n v="7148"/>
    <n v="8710"/>
    <n v="-441"/>
    <n v="105"/>
    <n v="17538"/>
    <n v="3742"/>
    <n v="29990"/>
    <n v="271286"/>
  </r>
  <r>
    <x v="87"/>
    <s v="ITA"/>
    <x v="13"/>
    <x v="13"/>
    <n v="4112559576"/>
    <n v="1686736689"/>
    <n v="236"/>
    <n v="20"/>
    <n v="256"/>
    <n v="1583"/>
    <n v="1839"/>
    <n v="-63"/>
    <n v="6"/>
    <n v="2096"/>
    <n v="478"/>
    <n v="4413"/>
    <n v="97589"/>
  </r>
  <r>
    <x v="87"/>
    <s v="ITA"/>
    <x v="14"/>
    <x v="14"/>
    <n v="3921531192"/>
    <n v="9110616306"/>
    <n v="64"/>
    <n v="12"/>
    <n v="76"/>
    <n v="242"/>
    <n v="318"/>
    <n v="-13"/>
    <n v="1"/>
    <n v="911"/>
    <n v="127"/>
    <n v="1356"/>
    <n v="46795"/>
  </r>
  <r>
    <x v="87"/>
    <s v="ITA"/>
    <x v="15"/>
    <x v="15"/>
    <n v="3811569725"/>
    <n v="133623567"/>
    <n v="107"/>
    <n v="11"/>
    <n v="118"/>
    <n v="1404"/>
    <n v="1522"/>
    <n v="-1"/>
    <n v="6"/>
    <n v="1627"/>
    <n v="268"/>
    <n v="3417"/>
    <n v="127348"/>
  </r>
  <r>
    <x v="87"/>
    <s v="ITA"/>
    <x v="16"/>
    <x v="16"/>
    <n v="4376923077"/>
    <n v="1125588885"/>
    <n v="169"/>
    <n v="41"/>
    <n v="210"/>
    <n v="1667"/>
    <n v="1877"/>
    <n v="-240"/>
    <n v="18"/>
    <n v="7119"/>
    <n v="1004"/>
    <n v="10000"/>
    <n v="218615"/>
  </r>
  <r>
    <x v="87"/>
    <s v="ITA"/>
    <x v="17"/>
    <x v="17"/>
    <n v="4606893511"/>
    <n v="1112123097"/>
    <n v="40"/>
    <n v="6"/>
    <n v="46"/>
    <n v="20"/>
    <n v="66"/>
    <n v="-60"/>
    <n v="10"/>
    <n v="3857"/>
    <n v="455"/>
    <n v="4378"/>
    <n v="73849"/>
  </r>
  <r>
    <x v="87"/>
    <s v="ITA"/>
    <x v="18"/>
    <x v="18"/>
    <n v="4310675841"/>
    <n v="1238824698"/>
    <n v="17"/>
    <n v="2"/>
    <n v="19"/>
    <n v="42"/>
    <n v="61"/>
    <n v="-5"/>
    <n v="2"/>
    <n v="1294"/>
    <n v="74"/>
    <n v="1429"/>
    <n v="60471"/>
  </r>
  <r>
    <x v="87"/>
    <s v="ITA"/>
    <x v="19"/>
    <x v="19"/>
    <n v="4573750286"/>
    <n v="7320149366"/>
    <n v="26"/>
    <n v="1"/>
    <n v="27"/>
    <n v="16"/>
    <n v="43"/>
    <n v="-3"/>
    <n v="1"/>
    <n v="990"/>
    <n v="143"/>
    <n v="1176"/>
    <n v="13261"/>
  </r>
  <r>
    <x v="87"/>
    <s v="ITA"/>
    <x v="20"/>
    <x v="20"/>
    <n v="4543490485"/>
    <n v="1233845213"/>
    <n v="237"/>
    <n v="15"/>
    <n v="252"/>
    <n v="3034"/>
    <n v="3286"/>
    <n v="-246"/>
    <n v="8"/>
    <n v="13911"/>
    <n v="1841"/>
    <n v="19038"/>
    <n v="548573"/>
  </r>
  <r>
    <x v="88"/>
    <s v="ITA"/>
    <x v="0"/>
    <x v="0"/>
    <n v="4235122196"/>
    <n v="1339843823"/>
    <n v="157"/>
    <n v="4"/>
    <n v="161"/>
    <n v="1018"/>
    <n v="1179"/>
    <n v="-93"/>
    <n v="8"/>
    <n v="1647"/>
    <n v="394"/>
    <n v="3220"/>
    <n v="63956"/>
  </r>
  <r>
    <x v="88"/>
    <s v="ITA"/>
    <x v="1"/>
    <x v="1"/>
    <n v="4063947052"/>
    <n v="1580514834"/>
    <n v="15"/>
    <n v="1"/>
    <n v="16"/>
    <n v="33"/>
    <n v="49"/>
    <n v="-11"/>
    <n v="0"/>
    <n v="318"/>
    <n v="27"/>
    <n v="394"/>
    <n v="25045"/>
  </r>
  <r>
    <x v="88"/>
    <s v="ITA"/>
    <x v="2"/>
    <x v="2"/>
    <n v="4649933453"/>
    <n v="1135662422"/>
    <n v="34"/>
    <n v="5"/>
    <n v="39"/>
    <n v="185"/>
    <n v="224"/>
    <n v="-26"/>
    <n v="3"/>
    <n v="2075"/>
    <n v="291"/>
    <n v="2590"/>
    <n v="58188"/>
  </r>
  <r>
    <x v="88"/>
    <s v="ITA"/>
    <x v="3"/>
    <x v="3"/>
    <n v="3890597598"/>
    <n v="1659440194"/>
    <n v="47"/>
    <n v="1"/>
    <n v="48"/>
    <n v="254"/>
    <n v="302"/>
    <n v="-24"/>
    <n v="1"/>
    <n v="759"/>
    <n v="96"/>
    <n v="1157"/>
    <n v="60847"/>
  </r>
  <r>
    <x v="88"/>
    <s v="ITA"/>
    <x v="4"/>
    <x v="4"/>
    <n v="4083956555"/>
    <n v="1425084984"/>
    <n v="312"/>
    <n v="9"/>
    <n v="321"/>
    <n v="971"/>
    <n v="1292"/>
    <n v="-81"/>
    <n v="10"/>
    <n v="3037"/>
    <n v="404"/>
    <n v="4733"/>
    <n v="161825"/>
  </r>
  <r>
    <x v="88"/>
    <s v="ITA"/>
    <x v="5"/>
    <x v="5"/>
    <n v="4449436681"/>
    <n v="113417208"/>
    <n v="552"/>
    <n v="89"/>
    <n v="641"/>
    <n v="4089"/>
    <n v="4730"/>
    <n v="-196"/>
    <n v="53"/>
    <n v="18703"/>
    <n v="4037"/>
    <n v="27470"/>
    <n v="282857"/>
  </r>
  <r>
    <x v="88"/>
    <s v="ITA"/>
    <x v="6"/>
    <x v="6"/>
    <n v="456494354"/>
    <n v="1376813649"/>
    <n v="68"/>
    <n v="2"/>
    <n v="70"/>
    <n v="415"/>
    <n v="485"/>
    <n v="-93"/>
    <n v="12"/>
    <n v="2417"/>
    <n v="325"/>
    <n v="3227"/>
    <n v="114062"/>
  </r>
  <r>
    <x v="88"/>
    <s v="ITA"/>
    <x v="7"/>
    <x v="7"/>
    <n v="4189277044"/>
    <n v="1248366722"/>
    <n v="1111"/>
    <n v="67"/>
    <n v="1178"/>
    <n v="2457"/>
    <n v="3635"/>
    <n v="-2"/>
    <n v="31"/>
    <n v="3285"/>
    <n v="669"/>
    <n v="7589"/>
    <n v="227090"/>
  </r>
  <r>
    <x v="88"/>
    <s v="ITA"/>
    <x v="8"/>
    <x v="8"/>
    <n v="4441149315"/>
    <n v="89326992"/>
    <n v="269"/>
    <n v="19"/>
    <n v="288"/>
    <n v="1620"/>
    <n v="1908"/>
    <n v="-167"/>
    <n v="45"/>
    <n v="6074"/>
    <n v="1407"/>
    <n v="9389"/>
    <n v="89529"/>
  </r>
  <r>
    <x v="88"/>
    <s v="ITA"/>
    <x v="9"/>
    <x v="9"/>
    <n v="4546679409"/>
    <n v="9190347404"/>
    <n v="4028"/>
    <n v="207"/>
    <n v="4235"/>
    <n v="21698"/>
    <n v="25933"/>
    <n v="-782"/>
    <n v="293"/>
    <n v="44667"/>
    <n v="15784"/>
    <n v="86384"/>
    <n v="641593"/>
  </r>
  <r>
    <x v="88"/>
    <s v="ITA"/>
    <x v="10"/>
    <x v="10"/>
    <n v="4361675973"/>
    <n v="135188753"/>
    <n v="101"/>
    <n v="15"/>
    <n v="116"/>
    <n v="1652"/>
    <n v="1768"/>
    <n v="-64"/>
    <n v="8"/>
    <n v="3939"/>
    <n v="990"/>
    <n v="6697"/>
    <n v="93549"/>
  </r>
  <r>
    <x v="88"/>
    <s v="ITA"/>
    <x v="11"/>
    <x v="11"/>
    <n v="4155774754"/>
    <n v="1465916051"/>
    <n v="8"/>
    <n v="2"/>
    <n v="10"/>
    <n v="174"/>
    <n v="184"/>
    <n v="-10"/>
    <n v="3"/>
    <n v="220"/>
    <n v="22"/>
    <n v="426"/>
    <n v="12616"/>
  </r>
  <r>
    <x v="88"/>
    <s v="ITA"/>
    <x v="12"/>
    <x v="12"/>
    <n v="450732745"/>
    <n v="7680687483"/>
    <n v="1414"/>
    <n v="79"/>
    <n v="1493"/>
    <n v="6959"/>
    <n v="8452"/>
    <n v="-258"/>
    <n v="87"/>
    <n v="17868"/>
    <n v="3757"/>
    <n v="30077"/>
    <n v="276633"/>
  </r>
  <r>
    <x v="88"/>
    <s v="ITA"/>
    <x v="13"/>
    <x v="13"/>
    <n v="4112559576"/>
    <n v="1686736689"/>
    <n v="233"/>
    <n v="17"/>
    <n v="250"/>
    <n v="1588"/>
    <n v="1838"/>
    <n v="-1"/>
    <n v="27"/>
    <n v="2120"/>
    <n v="482"/>
    <n v="4440"/>
    <n v="99702"/>
  </r>
  <r>
    <x v="88"/>
    <s v="ITA"/>
    <x v="14"/>
    <x v="14"/>
    <n v="3921531192"/>
    <n v="9110616306"/>
    <n v="58"/>
    <n v="6"/>
    <n v="64"/>
    <n v="242"/>
    <n v="306"/>
    <n v="-12"/>
    <n v="0"/>
    <n v="922"/>
    <n v="128"/>
    <n v="1356"/>
    <n v="48189"/>
  </r>
  <r>
    <x v="88"/>
    <s v="ITA"/>
    <x v="15"/>
    <x v="15"/>
    <n v="3811569725"/>
    <n v="133623567"/>
    <n v="103"/>
    <n v="10"/>
    <n v="113"/>
    <n v="1406"/>
    <n v="1519"/>
    <n v="-3"/>
    <n v="4"/>
    <n v="1634"/>
    <n v="268"/>
    <n v="3421"/>
    <n v="129431"/>
  </r>
  <r>
    <x v="88"/>
    <s v="ITA"/>
    <x v="16"/>
    <x v="16"/>
    <n v="4376923077"/>
    <n v="1125588885"/>
    <n v="162"/>
    <n v="42"/>
    <n v="204"/>
    <n v="1582"/>
    <n v="1786"/>
    <n v="-91"/>
    <n v="35"/>
    <n v="7240"/>
    <n v="1009"/>
    <n v="10035"/>
    <n v="222505"/>
  </r>
  <r>
    <x v="88"/>
    <s v="ITA"/>
    <x v="17"/>
    <x v="17"/>
    <n v="4606893511"/>
    <n v="1112123097"/>
    <n v="32"/>
    <n v="4"/>
    <n v="36"/>
    <n v="571"/>
    <n v="607"/>
    <n v="541"/>
    <n v="10"/>
    <n v="3326"/>
    <n v="455"/>
    <n v="4388"/>
    <n v="76001"/>
  </r>
  <r>
    <x v="88"/>
    <s v="ITA"/>
    <x v="18"/>
    <x v="18"/>
    <n v="4310675841"/>
    <n v="1238824698"/>
    <n v="16"/>
    <n v="2"/>
    <n v="18"/>
    <n v="41"/>
    <n v="59"/>
    <n v="-2"/>
    <n v="0"/>
    <n v="1296"/>
    <n v="74"/>
    <n v="1429"/>
    <n v="61696"/>
  </r>
  <r>
    <x v="88"/>
    <s v="ITA"/>
    <x v="19"/>
    <x v="19"/>
    <n v="4573750286"/>
    <n v="7320149366"/>
    <n v="22"/>
    <n v="2"/>
    <n v="24"/>
    <n v="19"/>
    <n v="43"/>
    <n v="0"/>
    <n v="1"/>
    <n v="991"/>
    <n v="143"/>
    <n v="1177"/>
    <n v="13531"/>
  </r>
  <r>
    <x v="88"/>
    <s v="ITA"/>
    <x v="20"/>
    <x v="20"/>
    <n v="4543490485"/>
    <n v="1233845213"/>
    <n v="215"/>
    <n v="12"/>
    <n v="227"/>
    <n v="2796"/>
    <n v="3023"/>
    <n v="-263"/>
    <n v="21"/>
    <n v="14182"/>
    <n v="1854"/>
    <n v="19059"/>
    <n v="559933"/>
  </r>
  <r>
    <x v="89"/>
    <s v="ITA"/>
    <x v="0"/>
    <x v="0"/>
    <n v="4235122196"/>
    <n v="1339843823"/>
    <n v="156"/>
    <n v="4"/>
    <n v="160"/>
    <n v="1008"/>
    <n v="1168"/>
    <n v="-11"/>
    <n v="1"/>
    <n v="1659"/>
    <n v="394"/>
    <n v="3221"/>
    <n v="65290"/>
  </r>
  <r>
    <x v="89"/>
    <s v="ITA"/>
    <x v="1"/>
    <x v="1"/>
    <n v="4063947052"/>
    <n v="1580514834"/>
    <n v="14"/>
    <n v="1"/>
    <n v="15"/>
    <n v="26"/>
    <n v="41"/>
    <n v="-8"/>
    <n v="4"/>
    <n v="330"/>
    <n v="27"/>
    <n v="398"/>
    <n v="25511"/>
  </r>
  <r>
    <x v="89"/>
    <s v="ITA"/>
    <x v="2"/>
    <x v="2"/>
    <n v="4649933453"/>
    <n v="1135662422"/>
    <n v="35"/>
    <n v="5"/>
    <n v="40"/>
    <n v="174"/>
    <n v="214"/>
    <n v="-10"/>
    <n v="0"/>
    <n v="2085"/>
    <n v="291"/>
    <n v="2590"/>
    <n v="59671"/>
  </r>
  <r>
    <x v="89"/>
    <s v="ITA"/>
    <x v="3"/>
    <x v="3"/>
    <n v="3890597598"/>
    <n v="1659440194"/>
    <n v="43"/>
    <n v="1"/>
    <n v="44"/>
    <n v="244"/>
    <n v="288"/>
    <n v="-14"/>
    <n v="0"/>
    <n v="773"/>
    <n v="96"/>
    <n v="1157"/>
    <n v="61892"/>
  </r>
  <r>
    <x v="89"/>
    <s v="ITA"/>
    <x v="4"/>
    <x v="4"/>
    <n v="4083956555"/>
    <n v="1425084984"/>
    <n v="295"/>
    <n v="10"/>
    <n v="305"/>
    <n v="968"/>
    <n v="1273"/>
    <n v="-19"/>
    <n v="11"/>
    <n v="3067"/>
    <n v="404"/>
    <n v="4744"/>
    <n v="166692"/>
  </r>
  <r>
    <x v="89"/>
    <s v="ITA"/>
    <x v="5"/>
    <x v="5"/>
    <n v="4449436681"/>
    <n v="113417208"/>
    <n v="524"/>
    <n v="84"/>
    <n v="608"/>
    <n v="3962"/>
    <n v="4570"/>
    <n v="-160"/>
    <n v="43"/>
    <n v="18896"/>
    <n v="4047"/>
    <n v="27513"/>
    <n v="287382"/>
  </r>
  <r>
    <x v="89"/>
    <s v="ITA"/>
    <x v="6"/>
    <x v="6"/>
    <n v="456494354"/>
    <n v="1376813649"/>
    <n v="63"/>
    <n v="1"/>
    <n v="64"/>
    <n v="395"/>
    <n v="459"/>
    <n v="-26"/>
    <n v="6"/>
    <n v="2447"/>
    <n v="327"/>
    <n v="3233"/>
    <n v="116689"/>
  </r>
  <r>
    <x v="89"/>
    <s v="ITA"/>
    <x v="7"/>
    <x v="7"/>
    <n v="4189277044"/>
    <n v="1248366722"/>
    <n v="1097"/>
    <n v="60"/>
    <n v="1157"/>
    <n v="2424"/>
    <n v="3581"/>
    <n v="-54"/>
    <n v="18"/>
    <n v="3350"/>
    <n v="676"/>
    <n v="7607"/>
    <n v="230743"/>
  </r>
  <r>
    <x v="89"/>
    <s v="ITA"/>
    <x v="8"/>
    <x v="8"/>
    <n v="4441149315"/>
    <n v="89326992"/>
    <n v="247"/>
    <n v="20"/>
    <n v="267"/>
    <n v="1467"/>
    <n v="1734"/>
    <n v="-174"/>
    <n v="38"/>
    <n v="6279"/>
    <n v="1414"/>
    <n v="9427"/>
    <n v="91735"/>
  </r>
  <r>
    <x v="89"/>
    <s v="ITA"/>
    <x v="9"/>
    <x v="9"/>
    <n v="4546679409"/>
    <n v="9190347404"/>
    <n v="4026"/>
    <n v="199"/>
    <n v="4225"/>
    <n v="21405"/>
    <n v="25630"/>
    <n v="-303"/>
    <n v="441"/>
    <n v="45355"/>
    <n v="15840"/>
    <n v="86825"/>
    <n v="658784"/>
  </r>
  <r>
    <x v="89"/>
    <s v="ITA"/>
    <x v="10"/>
    <x v="10"/>
    <n v="4361675973"/>
    <n v="135188753"/>
    <n v="100"/>
    <n v="15"/>
    <n v="115"/>
    <n v="1598"/>
    <n v="1713"/>
    <n v="-55"/>
    <n v="4"/>
    <n v="3995"/>
    <n v="993"/>
    <n v="6701"/>
    <n v="94657"/>
  </r>
  <r>
    <x v="89"/>
    <s v="ITA"/>
    <x v="11"/>
    <x v="11"/>
    <n v="4155774754"/>
    <n v="1465916051"/>
    <n v="8"/>
    <n v="2"/>
    <n v="10"/>
    <n v="179"/>
    <n v="189"/>
    <n v="5"/>
    <n v="5"/>
    <n v="220"/>
    <n v="22"/>
    <n v="431"/>
    <n v="13017"/>
  </r>
  <r>
    <x v="89"/>
    <s v="ITA"/>
    <x v="12"/>
    <x v="12"/>
    <n v="450732745"/>
    <n v="7680687483"/>
    <n v="1291"/>
    <n v="76"/>
    <n v="1367"/>
    <n v="6658"/>
    <n v="8025"/>
    <n v="-427"/>
    <n v="60"/>
    <n v="18341"/>
    <n v="3771"/>
    <n v="30137"/>
    <n v="281897"/>
  </r>
  <r>
    <x v="89"/>
    <s v="ITA"/>
    <x v="13"/>
    <x v="13"/>
    <n v="4112559576"/>
    <n v="1686736689"/>
    <n v="215"/>
    <n v="17"/>
    <n v="232"/>
    <n v="1573"/>
    <n v="1805"/>
    <n v="-33"/>
    <n v="8"/>
    <n v="2157"/>
    <n v="486"/>
    <n v="4448"/>
    <n v="101738"/>
  </r>
  <r>
    <x v="89"/>
    <s v="ITA"/>
    <x v="14"/>
    <x v="14"/>
    <n v="3921531192"/>
    <n v="9110616306"/>
    <n v="58"/>
    <n v="6"/>
    <n v="64"/>
    <n v="223"/>
    <n v="287"/>
    <n v="-19"/>
    <n v="0"/>
    <n v="940"/>
    <n v="129"/>
    <n v="1356"/>
    <n v="49675"/>
  </r>
  <r>
    <x v="89"/>
    <s v="ITA"/>
    <x v="15"/>
    <x v="15"/>
    <n v="3811569725"/>
    <n v="133623567"/>
    <n v="95"/>
    <n v="9"/>
    <n v="104"/>
    <n v="1408"/>
    <n v="1512"/>
    <n v="-7"/>
    <n v="0"/>
    <n v="1640"/>
    <n v="269"/>
    <n v="3421"/>
    <n v="131913"/>
  </r>
  <r>
    <x v="89"/>
    <s v="ITA"/>
    <x v="16"/>
    <x v="16"/>
    <n v="4376923077"/>
    <n v="1125588885"/>
    <n v="157"/>
    <n v="40"/>
    <n v="197"/>
    <n v="1569"/>
    <n v="1766"/>
    <n v="-20"/>
    <n v="12"/>
    <n v="7270"/>
    <n v="1011"/>
    <n v="10047"/>
    <n v="226046"/>
  </r>
  <r>
    <x v="89"/>
    <s v="ITA"/>
    <x v="17"/>
    <x v="17"/>
    <n v="4606893511"/>
    <n v="1112123097"/>
    <n v="28"/>
    <n v="4"/>
    <n v="32"/>
    <n v="533"/>
    <n v="565"/>
    <n v="-42"/>
    <n v="7"/>
    <n v="3374"/>
    <n v="456"/>
    <n v="4395"/>
    <n v="78185"/>
  </r>
  <r>
    <x v="89"/>
    <s v="ITA"/>
    <x v="18"/>
    <x v="18"/>
    <n v="4310675841"/>
    <n v="1238824698"/>
    <n v="15"/>
    <n v="2"/>
    <n v="17"/>
    <n v="39"/>
    <n v="56"/>
    <n v="-3"/>
    <n v="1"/>
    <n v="1300"/>
    <n v="74"/>
    <n v="1430"/>
    <n v="63009"/>
  </r>
  <r>
    <x v="89"/>
    <s v="ITA"/>
    <x v="19"/>
    <x v="19"/>
    <n v="4573750286"/>
    <n v="7320149366"/>
    <n v="23"/>
    <n v="2"/>
    <n v="25"/>
    <n v="10"/>
    <n v="35"/>
    <n v="-8"/>
    <n v="0"/>
    <n v="999"/>
    <n v="143"/>
    <n v="1177"/>
    <n v="13828"/>
  </r>
  <r>
    <x v="89"/>
    <s v="ITA"/>
    <x v="20"/>
    <x v="20"/>
    <n v="4543490485"/>
    <n v="1233845213"/>
    <n v="205"/>
    <n v="14"/>
    <n v="219"/>
    <n v="2622"/>
    <n v="2841"/>
    <n v="-182"/>
    <n v="10"/>
    <n v="14363"/>
    <n v="1865"/>
    <n v="19069"/>
    <n v="572834"/>
  </r>
  <r>
    <x v="90"/>
    <s v="ITA"/>
    <x v="0"/>
    <x v="0"/>
    <n v="4235122196"/>
    <n v="1339843823"/>
    <n v="149"/>
    <n v="3"/>
    <n v="152"/>
    <n v="940"/>
    <n v="1092"/>
    <n v="-76"/>
    <n v="5"/>
    <n v="1736"/>
    <n v="398"/>
    <n v="3226"/>
    <n v="66486"/>
  </r>
  <r>
    <x v="90"/>
    <s v="ITA"/>
    <x v="1"/>
    <x v="1"/>
    <n v="4063947052"/>
    <n v="1580514834"/>
    <n v="13"/>
    <n v="1"/>
    <n v="14"/>
    <n v="25"/>
    <n v="39"/>
    <n v="-2"/>
    <n v="1"/>
    <n v="333"/>
    <n v="27"/>
    <n v="399"/>
    <n v="26111"/>
  </r>
  <r>
    <x v="90"/>
    <s v="ITA"/>
    <x v="2"/>
    <x v="2"/>
    <n v="4649933453"/>
    <n v="1135662422"/>
    <n v="30"/>
    <n v="5"/>
    <n v="35"/>
    <n v="160"/>
    <n v="195"/>
    <n v="-19"/>
    <n v="3"/>
    <n v="2107"/>
    <n v="291"/>
    <n v="2593"/>
    <n v="60573"/>
  </r>
  <r>
    <x v="90"/>
    <s v="ITA"/>
    <x v="3"/>
    <x v="3"/>
    <n v="3890597598"/>
    <n v="1659440194"/>
    <n v="43"/>
    <n v="1"/>
    <n v="44"/>
    <n v="231"/>
    <n v="275"/>
    <n v="-13"/>
    <n v="0"/>
    <n v="786"/>
    <n v="96"/>
    <n v="1157"/>
    <n v="62952"/>
  </r>
  <r>
    <x v="90"/>
    <s v="ITA"/>
    <x v="4"/>
    <x v="4"/>
    <n v="4083956555"/>
    <n v="1425084984"/>
    <n v="311"/>
    <n v="8"/>
    <n v="319"/>
    <n v="949"/>
    <n v="1268"/>
    <n v="-5"/>
    <n v="5"/>
    <n v="3076"/>
    <n v="405"/>
    <n v="4749"/>
    <n v="172106"/>
  </r>
  <r>
    <x v="90"/>
    <s v="ITA"/>
    <x v="5"/>
    <x v="5"/>
    <n v="4449436681"/>
    <n v="113417208"/>
    <n v="519"/>
    <n v="83"/>
    <n v="602"/>
    <n v="3855"/>
    <n v="4457"/>
    <n v="-113"/>
    <n v="45"/>
    <n v="19046"/>
    <n v="4055"/>
    <n v="27558"/>
    <n v="291876"/>
  </r>
  <r>
    <x v="90"/>
    <s v="ITA"/>
    <x v="6"/>
    <x v="6"/>
    <n v="456494354"/>
    <n v="1376813649"/>
    <n v="62"/>
    <n v="1"/>
    <n v="63"/>
    <n v="349"/>
    <n v="412"/>
    <n v="-47"/>
    <n v="3"/>
    <n v="2495"/>
    <n v="329"/>
    <n v="3236"/>
    <n v="118852"/>
  </r>
  <r>
    <x v="90"/>
    <s v="ITA"/>
    <x v="7"/>
    <x v="7"/>
    <n v="4189277044"/>
    <n v="1248366722"/>
    <n v="1088"/>
    <n v="61"/>
    <n v="1149"/>
    <n v="2420"/>
    <n v="3569"/>
    <n v="-12"/>
    <n v="20"/>
    <n v="3374"/>
    <n v="684"/>
    <n v="7627"/>
    <n v="233498"/>
  </r>
  <r>
    <x v="90"/>
    <s v="ITA"/>
    <x v="8"/>
    <x v="8"/>
    <n v="4441149315"/>
    <n v="89326992"/>
    <n v="247"/>
    <n v="18"/>
    <n v="265"/>
    <n v="1359"/>
    <n v="1624"/>
    <n v="-110"/>
    <n v="53"/>
    <n v="6437"/>
    <n v="1419"/>
    <n v="9480"/>
    <n v="93173"/>
  </r>
  <r>
    <x v="90"/>
    <s v="ITA"/>
    <x v="9"/>
    <x v="9"/>
    <n v="4546679409"/>
    <n v="9190347404"/>
    <n v="4017"/>
    <n v="197"/>
    <n v="4214"/>
    <n v="21400"/>
    <n v="25614"/>
    <n v="-16"/>
    <n v="285"/>
    <n v="45656"/>
    <n v="15840"/>
    <n v="87110"/>
    <n v="670241"/>
  </r>
  <r>
    <x v="90"/>
    <s v="ITA"/>
    <x v="10"/>
    <x v="10"/>
    <n v="4361675973"/>
    <n v="135188753"/>
    <n v="101"/>
    <n v="13"/>
    <n v="114"/>
    <n v="1578"/>
    <n v="1692"/>
    <n v="-21"/>
    <n v="13"/>
    <n v="4028"/>
    <n v="994"/>
    <n v="6714"/>
    <n v="95715"/>
  </r>
  <r>
    <x v="90"/>
    <s v="ITA"/>
    <x v="11"/>
    <x v="11"/>
    <n v="4155774754"/>
    <n v="1465916051"/>
    <n v="6"/>
    <n v="2"/>
    <n v="8"/>
    <n v="175"/>
    <n v="183"/>
    <n v="-6"/>
    <n v="1"/>
    <n v="227"/>
    <n v="22"/>
    <n v="432"/>
    <n v="13226"/>
  </r>
  <r>
    <x v="90"/>
    <s v="ITA"/>
    <x v="12"/>
    <x v="12"/>
    <n v="450732745"/>
    <n v="7680687483"/>
    <n v="1283"/>
    <n v="75"/>
    <n v="1358"/>
    <n v="6345"/>
    <n v="7703"/>
    <n v="-322"/>
    <n v="43"/>
    <n v="18694"/>
    <n v="3783"/>
    <n v="30180"/>
    <n v="285160"/>
  </r>
  <r>
    <x v="90"/>
    <s v="ITA"/>
    <x v="13"/>
    <x v="13"/>
    <n v="4112559576"/>
    <n v="1686736689"/>
    <n v="204"/>
    <n v="17"/>
    <n v="221"/>
    <n v="1572"/>
    <n v="1793"/>
    <n v="-12"/>
    <n v="10"/>
    <n v="2178"/>
    <n v="487"/>
    <n v="4458"/>
    <n v="103570"/>
  </r>
  <r>
    <x v="90"/>
    <s v="ITA"/>
    <x v="14"/>
    <x v="14"/>
    <n v="3921531192"/>
    <n v="9110616306"/>
    <n v="51"/>
    <n v="3"/>
    <n v="54"/>
    <n v="191"/>
    <n v="245"/>
    <n v="-42"/>
    <n v="0"/>
    <n v="982"/>
    <n v="129"/>
    <n v="1356"/>
    <n v="50796"/>
  </r>
  <r>
    <x v="90"/>
    <s v="ITA"/>
    <x v="15"/>
    <x v="15"/>
    <n v="3811569725"/>
    <n v="133623567"/>
    <n v="91"/>
    <n v="9"/>
    <n v="100"/>
    <n v="1353"/>
    <n v="1453"/>
    <n v="-59"/>
    <n v="2"/>
    <n v="1701"/>
    <n v="269"/>
    <n v="3423"/>
    <n v="133249"/>
  </r>
  <r>
    <x v="90"/>
    <s v="ITA"/>
    <x v="16"/>
    <x v="16"/>
    <n v="4376923077"/>
    <n v="1125588885"/>
    <n v="148"/>
    <n v="38"/>
    <n v="186"/>
    <n v="1514"/>
    <n v="1700"/>
    <n v="-66"/>
    <n v="15"/>
    <n v="7349"/>
    <n v="1013"/>
    <n v="10062"/>
    <n v="229135"/>
  </r>
  <r>
    <x v="90"/>
    <s v="ITA"/>
    <x v="17"/>
    <x v="17"/>
    <n v="4606893511"/>
    <n v="1112123097"/>
    <n v="27"/>
    <n v="4"/>
    <n v="31"/>
    <n v="504"/>
    <n v="535"/>
    <n v="-30"/>
    <n v="9"/>
    <n v="3412"/>
    <n v="457"/>
    <n v="4404"/>
    <n v="79788"/>
  </r>
  <r>
    <x v="90"/>
    <s v="ITA"/>
    <x v="18"/>
    <x v="18"/>
    <n v="4310675841"/>
    <n v="1238824698"/>
    <n v="15"/>
    <n v="2"/>
    <n v="17"/>
    <n v="36"/>
    <n v="53"/>
    <n v="-3"/>
    <n v="0"/>
    <n v="1302"/>
    <n v="75"/>
    <n v="1430"/>
    <n v="63717"/>
  </r>
  <r>
    <x v="90"/>
    <s v="ITA"/>
    <x v="19"/>
    <x v="19"/>
    <n v="4573750286"/>
    <n v="7320149366"/>
    <n v="23"/>
    <n v="1"/>
    <n v="24"/>
    <n v="8"/>
    <n v="32"/>
    <n v="-3"/>
    <n v="1"/>
    <n v="1003"/>
    <n v="143"/>
    <n v="1178"/>
    <n v="14079"/>
  </r>
  <r>
    <x v="90"/>
    <s v="ITA"/>
    <x v="20"/>
    <x v="20"/>
    <n v="4543490485"/>
    <n v="1233845213"/>
    <n v="185"/>
    <n v="11"/>
    <n v="196"/>
    <n v="2464"/>
    <n v="2660"/>
    <n v="-181"/>
    <n v="17"/>
    <n v="14557"/>
    <n v="1869"/>
    <n v="19086"/>
    <n v="582709"/>
  </r>
  <r>
    <x v="91"/>
    <s v="ITA"/>
    <x v="0"/>
    <x v="0"/>
    <n v="4235122196"/>
    <n v="1339843823"/>
    <n v="149"/>
    <n v="3"/>
    <n v="152"/>
    <n v="894"/>
    <n v="1046"/>
    <n v="-46"/>
    <n v="1"/>
    <n v="1781"/>
    <n v="400"/>
    <n v="3227"/>
    <n v="67468"/>
  </r>
  <r>
    <x v="91"/>
    <s v="ITA"/>
    <x v="1"/>
    <x v="1"/>
    <n v="4063947052"/>
    <n v="1580514834"/>
    <n v="13"/>
    <n v="0"/>
    <n v="13"/>
    <n v="23"/>
    <n v="36"/>
    <n v="-3"/>
    <n v="0"/>
    <n v="336"/>
    <n v="27"/>
    <n v="399"/>
    <n v="26634"/>
  </r>
  <r>
    <x v="91"/>
    <s v="ITA"/>
    <x v="2"/>
    <x v="2"/>
    <n v="4649933453"/>
    <n v="1135662422"/>
    <n v="29"/>
    <n v="5"/>
    <n v="34"/>
    <n v="150"/>
    <n v="184"/>
    <n v="-11"/>
    <n v="0"/>
    <n v="2118"/>
    <n v="291"/>
    <n v="2593"/>
    <n v="61075"/>
  </r>
  <r>
    <x v="91"/>
    <s v="ITA"/>
    <x v="3"/>
    <x v="3"/>
    <n v="3890597598"/>
    <n v="1659440194"/>
    <n v="42"/>
    <n v="1"/>
    <n v="43"/>
    <n v="221"/>
    <n v="264"/>
    <n v="-11"/>
    <n v="0"/>
    <n v="797"/>
    <n v="96"/>
    <n v="1157"/>
    <n v="63508"/>
  </r>
  <r>
    <x v="91"/>
    <s v="ITA"/>
    <x v="4"/>
    <x v="4"/>
    <n v="4083956555"/>
    <n v="1425084984"/>
    <n v="287"/>
    <n v="7"/>
    <n v="294"/>
    <n v="919"/>
    <n v="1213"/>
    <n v="-55"/>
    <n v="6"/>
    <n v="3137"/>
    <n v="405"/>
    <n v="4755"/>
    <n v="175466"/>
  </r>
  <r>
    <x v="91"/>
    <s v="ITA"/>
    <x v="5"/>
    <x v="5"/>
    <n v="4449436681"/>
    <n v="113417208"/>
    <n v="514"/>
    <n v="82"/>
    <n v="596"/>
    <n v="3763"/>
    <n v="4359"/>
    <n v="-98"/>
    <n v="29"/>
    <n v="19160"/>
    <n v="4068"/>
    <n v="27587"/>
    <n v="294181"/>
  </r>
  <r>
    <x v="91"/>
    <s v="ITA"/>
    <x v="6"/>
    <x v="6"/>
    <n v="456494354"/>
    <n v="1376813649"/>
    <n v="62"/>
    <n v="1"/>
    <n v="63"/>
    <n v="323"/>
    <n v="386"/>
    <n v="-26"/>
    <n v="4"/>
    <n v="2525"/>
    <n v="329"/>
    <n v="3240"/>
    <n v="120123"/>
  </r>
  <r>
    <x v="91"/>
    <s v="ITA"/>
    <x v="7"/>
    <x v="7"/>
    <n v="4189277044"/>
    <n v="1248366722"/>
    <n v="1085"/>
    <n v="60"/>
    <n v="1145"/>
    <n v="2409"/>
    <n v="3554"/>
    <n v="-15"/>
    <n v="16"/>
    <n v="3401"/>
    <n v="688"/>
    <n v="7643"/>
    <n v="235840"/>
  </r>
  <r>
    <x v="91"/>
    <s v="ITA"/>
    <x v="8"/>
    <x v="8"/>
    <n v="4441149315"/>
    <n v="89326992"/>
    <n v="236"/>
    <n v="18"/>
    <n v="254"/>
    <n v="1302"/>
    <n v="1556"/>
    <n v="-68"/>
    <n v="17"/>
    <n v="6516"/>
    <n v="1425"/>
    <n v="9497"/>
    <n v="94472"/>
  </r>
  <r>
    <x v="91"/>
    <s v="ITA"/>
    <x v="9"/>
    <x v="9"/>
    <n v="4546679409"/>
    <n v="9190347404"/>
    <n v="3721"/>
    <n v="196"/>
    <n v="3917"/>
    <n v="21298"/>
    <n v="25215"/>
    <n v="-399"/>
    <n v="148"/>
    <n v="46169"/>
    <n v="15874"/>
    <n v="87258"/>
    <n v="675882"/>
  </r>
  <r>
    <x v="91"/>
    <s v="ITA"/>
    <x v="10"/>
    <x v="10"/>
    <n v="4361675973"/>
    <n v="135188753"/>
    <n v="95"/>
    <n v="13"/>
    <n v="108"/>
    <n v="1554"/>
    <n v="1662"/>
    <n v="-30"/>
    <n v="2"/>
    <n v="4059"/>
    <n v="995"/>
    <n v="6716"/>
    <n v="96270"/>
  </r>
  <r>
    <x v="91"/>
    <s v="ITA"/>
    <x v="11"/>
    <x v="11"/>
    <n v="4155774754"/>
    <n v="1465916051"/>
    <n v="5"/>
    <n v="2"/>
    <n v="7"/>
    <n v="170"/>
    <n v="177"/>
    <n v="-6"/>
    <n v="0"/>
    <n v="233"/>
    <n v="22"/>
    <n v="432"/>
    <n v="13315"/>
  </r>
  <r>
    <x v="91"/>
    <s v="ITA"/>
    <x v="12"/>
    <x v="12"/>
    <n v="450732745"/>
    <n v="7680687483"/>
    <n v="1227"/>
    <n v="72"/>
    <n v="1299"/>
    <n v="6197"/>
    <n v="7496"/>
    <n v="-207"/>
    <n v="48"/>
    <n v="18934"/>
    <n v="3798"/>
    <n v="30228"/>
    <n v="288018"/>
  </r>
  <r>
    <x v="91"/>
    <s v="ITA"/>
    <x v="13"/>
    <x v="13"/>
    <n v="4112559576"/>
    <n v="1686736689"/>
    <n v="190"/>
    <n v="15"/>
    <n v="205"/>
    <n v="1473"/>
    <n v="1678"/>
    <n v="-115"/>
    <n v="9"/>
    <n v="2298"/>
    <n v="491"/>
    <n v="4467"/>
    <n v="104670"/>
  </r>
  <r>
    <x v="91"/>
    <s v="ITA"/>
    <x v="14"/>
    <x v="14"/>
    <n v="3921531192"/>
    <n v="9110616306"/>
    <n v="49"/>
    <n v="3"/>
    <n v="52"/>
    <n v="179"/>
    <n v="231"/>
    <n v="-14"/>
    <n v="-2"/>
    <n v="994"/>
    <n v="129"/>
    <n v="1354"/>
    <n v="51073"/>
  </r>
  <r>
    <x v="91"/>
    <s v="ITA"/>
    <x v="15"/>
    <x v="15"/>
    <n v="3811569725"/>
    <n v="133623567"/>
    <n v="89"/>
    <n v="9"/>
    <n v="98"/>
    <n v="1335"/>
    <n v="1433"/>
    <n v="-20"/>
    <n v="4"/>
    <n v="1724"/>
    <n v="270"/>
    <n v="3427"/>
    <n v="135261"/>
  </r>
  <r>
    <x v="91"/>
    <s v="ITA"/>
    <x v="16"/>
    <x v="16"/>
    <n v="4376923077"/>
    <n v="1125588885"/>
    <n v="152"/>
    <n v="37"/>
    <n v="189"/>
    <n v="1447"/>
    <n v="1636"/>
    <n v="-64"/>
    <n v="5"/>
    <n v="7416"/>
    <n v="1015"/>
    <n v="10067"/>
    <n v="230273"/>
  </r>
  <r>
    <x v="91"/>
    <s v="ITA"/>
    <x v="17"/>
    <x v="17"/>
    <n v="4606893511"/>
    <n v="1112123097"/>
    <n v="27"/>
    <n v="4"/>
    <n v="31"/>
    <n v="486"/>
    <n v="517"/>
    <n v="-18"/>
    <n v="1"/>
    <n v="3430"/>
    <n v="458"/>
    <n v="4405"/>
    <n v="80454"/>
  </r>
  <r>
    <x v="91"/>
    <s v="ITA"/>
    <x v="18"/>
    <x v="18"/>
    <n v="4310675841"/>
    <n v="1238824698"/>
    <n v="15"/>
    <n v="2"/>
    <n v="17"/>
    <n v="29"/>
    <n v="46"/>
    <n v="-7"/>
    <n v="0"/>
    <n v="1309"/>
    <n v="75"/>
    <n v="1430"/>
    <n v="63916"/>
  </r>
  <r>
    <x v="91"/>
    <s v="ITA"/>
    <x v="19"/>
    <x v="19"/>
    <n v="4573750286"/>
    <n v="7320149366"/>
    <n v="19"/>
    <n v="1"/>
    <n v="20"/>
    <n v="13"/>
    <n v="33"/>
    <n v="1"/>
    <n v="1"/>
    <n v="1003"/>
    <n v="143"/>
    <n v="1179"/>
    <n v="14175"/>
  </r>
  <r>
    <x v="91"/>
    <s v="ITA"/>
    <x v="20"/>
    <x v="20"/>
    <n v="4543490485"/>
    <n v="1233845213"/>
    <n v="179"/>
    <n v="10"/>
    <n v="189"/>
    <n v="2389"/>
    <n v="2578"/>
    <n v="-82"/>
    <n v="11"/>
    <n v="14641"/>
    <n v="1878"/>
    <n v="19097"/>
    <n v="590179"/>
  </r>
  <r>
    <x v="92"/>
    <s v="ITA"/>
    <x v="0"/>
    <x v="0"/>
    <n v="4235122196"/>
    <n v="1339843823"/>
    <n v="142"/>
    <n v="3"/>
    <n v="145"/>
    <n v="764"/>
    <n v="909"/>
    <n v="-137"/>
    <n v="3"/>
    <n v="1921"/>
    <n v="400"/>
    <n v="3230"/>
    <n v="68733"/>
  </r>
  <r>
    <x v="92"/>
    <s v="ITA"/>
    <x v="1"/>
    <x v="1"/>
    <n v="4063947052"/>
    <n v="1580514834"/>
    <n v="8"/>
    <n v="0"/>
    <n v="8"/>
    <n v="28"/>
    <n v="36"/>
    <n v="0"/>
    <n v="0"/>
    <n v="336"/>
    <n v="27"/>
    <n v="399"/>
    <n v="27197"/>
  </r>
  <r>
    <x v="92"/>
    <s v="ITA"/>
    <x v="2"/>
    <x v="2"/>
    <n v="4649933453"/>
    <n v="1135662422"/>
    <n v="28"/>
    <n v="5"/>
    <n v="33"/>
    <n v="146"/>
    <n v="179"/>
    <n v="-5"/>
    <n v="0"/>
    <n v="2123"/>
    <n v="291"/>
    <n v="2593"/>
    <n v="61464"/>
  </r>
  <r>
    <x v="92"/>
    <s v="ITA"/>
    <x v="3"/>
    <x v="3"/>
    <n v="3890597598"/>
    <n v="1659440194"/>
    <n v="41"/>
    <n v="1"/>
    <n v="42"/>
    <n v="196"/>
    <n v="238"/>
    <n v="-26"/>
    <n v="0"/>
    <n v="823"/>
    <n v="96"/>
    <n v="1157"/>
    <n v="64514"/>
  </r>
  <r>
    <x v="92"/>
    <s v="ITA"/>
    <x v="4"/>
    <x v="4"/>
    <n v="4083956555"/>
    <n v="1425084984"/>
    <n v="286"/>
    <n v="5"/>
    <n v="291"/>
    <n v="893"/>
    <n v="1184"/>
    <n v="-29"/>
    <n v="12"/>
    <n v="3178"/>
    <n v="405"/>
    <n v="4767"/>
    <n v="179845"/>
  </r>
  <r>
    <x v="92"/>
    <s v="ITA"/>
    <x v="5"/>
    <x v="5"/>
    <n v="4449436681"/>
    <n v="113417208"/>
    <n v="493"/>
    <n v="80"/>
    <n v="573"/>
    <n v="3573"/>
    <n v="4146"/>
    <n v="-213"/>
    <n v="24"/>
    <n v="19389"/>
    <n v="4076"/>
    <n v="27611"/>
    <n v="297854"/>
  </r>
  <r>
    <x v="92"/>
    <s v="ITA"/>
    <x v="6"/>
    <x v="6"/>
    <n v="456494354"/>
    <n v="1376813649"/>
    <n v="59"/>
    <n v="1"/>
    <n v="60"/>
    <n v="315"/>
    <n v="375"/>
    <n v="-11"/>
    <n v="11"/>
    <n v="2547"/>
    <n v="329"/>
    <n v="3251"/>
    <n v="121412"/>
  </r>
  <r>
    <x v="92"/>
    <s v="ITA"/>
    <x v="7"/>
    <x v="7"/>
    <n v="4189277044"/>
    <n v="1248366722"/>
    <n v="1083"/>
    <n v="59"/>
    <n v="1142"/>
    <n v="2396"/>
    <n v="3538"/>
    <n v="-16"/>
    <n v="18"/>
    <n v="3430"/>
    <n v="693"/>
    <n v="7661"/>
    <n v="238967"/>
  </r>
  <r>
    <x v="92"/>
    <s v="ITA"/>
    <x v="8"/>
    <x v="8"/>
    <n v="4441149315"/>
    <n v="89326992"/>
    <n v="223"/>
    <n v="19"/>
    <n v="242"/>
    <n v="1196"/>
    <n v="1438"/>
    <n v="-118"/>
    <n v="53"/>
    <n v="6681"/>
    <n v="1431"/>
    <n v="9550"/>
    <n v="96678"/>
  </r>
  <r>
    <x v="92"/>
    <s v="ITA"/>
    <x v="9"/>
    <x v="9"/>
    <n v="4546679409"/>
    <n v="9190347404"/>
    <n v="3622"/>
    <n v="183"/>
    <n v="3805"/>
    <n v="20672"/>
    <n v="24477"/>
    <n v="-738"/>
    <n v="159"/>
    <n v="47044"/>
    <n v="15896"/>
    <n v="87417"/>
    <n v="685058"/>
  </r>
  <r>
    <x v="92"/>
    <s v="ITA"/>
    <x v="10"/>
    <x v="10"/>
    <n v="4361675973"/>
    <n v="135188753"/>
    <n v="94"/>
    <n v="13"/>
    <n v="107"/>
    <n v="1468"/>
    <n v="1575"/>
    <n v="-87"/>
    <n v="2"/>
    <n v="4147"/>
    <n v="996"/>
    <n v="6718"/>
    <n v="97285"/>
  </r>
  <r>
    <x v="92"/>
    <s v="ITA"/>
    <x v="11"/>
    <x v="11"/>
    <n v="4155774754"/>
    <n v="1465916051"/>
    <n v="5"/>
    <n v="2"/>
    <n v="7"/>
    <n v="167"/>
    <n v="174"/>
    <n v="-3"/>
    <n v="0"/>
    <n v="236"/>
    <n v="22"/>
    <n v="432"/>
    <n v="13452"/>
  </r>
  <r>
    <x v="92"/>
    <s v="ITA"/>
    <x v="12"/>
    <x v="12"/>
    <n v="450732745"/>
    <n v="7680687483"/>
    <n v="1162"/>
    <n v="70"/>
    <n v="1232"/>
    <n v="5709"/>
    <n v="6941"/>
    <n v="-555"/>
    <n v="86"/>
    <n v="19561"/>
    <n v="3812"/>
    <n v="30314"/>
    <n v="293473"/>
  </r>
  <r>
    <x v="92"/>
    <s v="ITA"/>
    <x v="13"/>
    <x v="13"/>
    <n v="4112559576"/>
    <n v="1686736689"/>
    <n v="172"/>
    <n v="17"/>
    <n v="189"/>
    <n v="1350"/>
    <n v="1539"/>
    <n v="-139"/>
    <n v="2"/>
    <n v="2436"/>
    <n v="494"/>
    <n v="4469"/>
    <n v="106873"/>
  </r>
  <r>
    <x v="92"/>
    <s v="ITA"/>
    <x v="14"/>
    <x v="14"/>
    <n v="3921531192"/>
    <n v="9110616306"/>
    <n v="41"/>
    <n v="2"/>
    <n v="43"/>
    <n v="181"/>
    <n v="224"/>
    <n v="-7"/>
    <n v="0"/>
    <n v="1000"/>
    <n v="130"/>
    <n v="1354"/>
    <n v="51968"/>
  </r>
  <r>
    <x v="92"/>
    <s v="ITA"/>
    <x v="15"/>
    <x v="15"/>
    <n v="3811569725"/>
    <n v="133623567"/>
    <n v="83"/>
    <n v="10"/>
    <n v="93"/>
    <n v="1337"/>
    <n v="1430"/>
    <n v="-3"/>
    <n v="3"/>
    <n v="1729"/>
    <n v="271"/>
    <n v="3430"/>
    <n v="137682"/>
  </r>
  <r>
    <x v="92"/>
    <s v="ITA"/>
    <x v="16"/>
    <x v="16"/>
    <n v="4376923077"/>
    <n v="1125588885"/>
    <n v="145"/>
    <n v="34"/>
    <n v="179"/>
    <n v="1343"/>
    <n v="1522"/>
    <n v="-114"/>
    <n v="3"/>
    <n v="7527"/>
    <n v="1021"/>
    <n v="10070"/>
    <n v="234796"/>
  </r>
  <r>
    <x v="92"/>
    <s v="ITA"/>
    <x v="17"/>
    <x v="17"/>
    <n v="4606893511"/>
    <n v="1112123097"/>
    <n v="24"/>
    <n v="3"/>
    <n v="27"/>
    <n v="486"/>
    <n v="513"/>
    <n v="-4"/>
    <n v="10"/>
    <n v="3441"/>
    <n v="461"/>
    <n v="4415"/>
    <n v="81149"/>
  </r>
  <r>
    <x v="92"/>
    <s v="ITA"/>
    <x v="18"/>
    <x v="18"/>
    <n v="4310675841"/>
    <n v="1238824698"/>
    <n v="12"/>
    <n v="2"/>
    <n v="14"/>
    <n v="28"/>
    <n v="42"/>
    <n v="-4"/>
    <n v="1"/>
    <n v="1314"/>
    <n v="75"/>
    <n v="1431"/>
    <n v="65013"/>
  </r>
  <r>
    <x v="92"/>
    <s v="ITA"/>
    <x v="19"/>
    <x v="19"/>
    <n v="4573750286"/>
    <n v="7320149366"/>
    <n v="17"/>
    <n v="1"/>
    <n v="18"/>
    <n v="13"/>
    <n v="31"/>
    <n v="-2"/>
    <n v="2"/>
    <n v="1007"/>
    <n v="143"/>
    <n v="1181"/>
    <n v="14262"/>
  </r>
  <r>
    <x v="92"/>
    <s v="ITA"/>
    <x v="20"/>
    <x v="20"/>
    <n v="4543490485"/>
    <n v="1233845213"/>
    <n v="177"/>
    <n v="11"/>
    <n v="188"/>
    <n v="2243"/>
    <n v="2431"/>
    <n v="-147"/>
    <n v="8"/>
    <n v="14788"/>
    <n v="1886"/>
    <n v="19105"/>
    <n v="602252"/>
  </r>
  <r>
    <x v="93"/>
    <s v="ITA"/>
    <x v="0"/>
    <x v="0"/>
    <n v="4235122196"/>
    <n v="1339843823"/>
    <n v="138"/>
    <n v="3"/>
    <n v="141"/>
    <n v="725"/>
    <n v="866"/>
    <n v="-43"/>
    <n v="5"/>
    <n v="1969"/>
    <n v="400"/>
    <n v="3235"/>
    <n v="70473"/>
  </r>
  <r>
    <x v="93"/>
    <s v="ITA"/>
    <x v="1"/>
    <x v="1"/>
    <n v="4063947052"/>
    <n v="1580514834"/>
    <n v="7"/>
    <n v="0"/>
    <n v="7"/>
    <n v="29"/>
    <n v="36"/>
    <n v="0"/>
    <n v="0"/>
    <n v="336"/>
    <n v="27"/>
    <n v="399"/>
    <n v="27734"/>
  </r>
  <r>
    <x v="93"/>
    <s v="ITA"/>
    <x v="2"/>
    <x v="2"/>
    <n v="4649933453"/>
    <n v="1135662422"/>
    <n v="27"/>
    <n v="5"/>
    <n v="32"/>
    <n v="139"/>
    <n v="171"/>
    <n v="-8"/>
    <n v="0"/>
    <n v="2131"/>
    <n v="291"/>
    <n v="2593"/>
    <n v="62247"/>
  </r>
  <r>
    <x v="93"/>
    <s v="ITA"/>
    <x v="3"/>
    <x v="3"/>
    <n v="3890597598"/>
    <n v="1659440194"/>
    <n v="35"/>
    <n v="1"/>
    <n v="36"/>
    <n v="154"/>
    <n v="190"/>
    <n v="-48"/>
    <n v="1"/>
    <n v="872"/>
    <n v="96"/>
    <n v="1158"/>
    <n v="65631"/>
  </r>
  <r>
    <x v="93"/>
    <s v="ITA"/>
    <x v="4"/>
    <x v="4"/>
    <n v="4083956555"/>
    <n v="1425084984"/>
    <n v="275"/>
    <n v="6"/>
    <n v="281"/>
    <n v="865"/>
    <n v="1146"/>
    <n v="-38"/>
    <n v="6"/>
    <n v="3221"/>
    <n v="406"/>
    <n v="4773"/>
    <n v="185724"/>
  </r>
  <r>
    <x v="93"/>
    <s v="ITA"/>
    <x v="5"/>
    <x v="5"/>
    <n v="4449436681"/>
    <n v="113417208"/>
    <n v="459"/>
    <n v="78"/>
    <n v="537"/>
    <n v="3461"/>
    <n v="3998"/>
    <n v="-148"/>
    <n v="16"/>
    <n v="19546"/>
    <n v="4083"/>
    <n v="27627"/>
    <n v="301568"/>
  </r>
  <r>
    <x v="93"/>
    <s v="ITA"/>
    <x v="6"/>
    <x v="6"/>
    <n v="456494354"/>
    <n v="1376813649"/>
    <n v="51"/>
    <n v="1"/>
    <n v="52"/>
    <n v="304"/>
    <n v="356"/>
    <n v="-19"/>
    <n v="4"/>
    <n v="2568"/>
    <n v="331"/>
    <n v="3255"/>
    <n v="123063"/>
  </r>
  <r>
    <x v="93"/>
    <s v="ITA"/>
    <x v="7"/>
    <x v="7"/>
    <n v="4189277044"/>
    <n v="1248366722"/>
    <n v="1062"/>
    <n v="65"/>
    <n v="1127"/>
    <n v="2361"/>
    <n v="3488"/>
    <n v="-50"/>
    <n v="11"/>
    <n v="3483"/>
    <n v="701"/>
    <n v="7672"/>
    <n v="242287"/>
  </r>
  <r>
    <x v="93"/>
    <s v="ITA"/>
    <x v="8"/>
    <x v="8"/>
    <n v="4441149315"/>
    <n v="89326992"/>
    <n v="205"/>
    <n v="14"/>
    <n v="219"/>
    <n v="1050"/>
    <n v="1269"/>
    <n v="-169"/>
    <n v="39"/>
    <n v="6882"/>
    <n v="1438"/>
    <n v="9589"/>
    <n v="98835"/>
  </r>
  <r>
    <x v="93"/>
    <s v="ITA"/>
    <x v="9"/>
    <x v="9"/>
    <n v="4546679409"/>
    <n v="9190347404"/>
    <n v="3626"/>
    <n v="175"/>
    <n v="3801"/>
    <n v="20236"/>
    <n v="24037"/>
    <n v="-440"/>
    <n v="384"/>
    <n v="47810"/>
    <n v="15954"/>
    <n v="87801"/>
    <n v="697561"/>
  </r>
  <r>
    <x v="93"/>
    <s v="ITA"/>
    <x v="10"/>
    <x v="10"/>
    <n v="4361675973"/>
    <n v="135188753"/>
    <n v="90"/>
    <n v="13"/>
    <n v="103"/>
    <n v="1347"/>
    <n v="1450"/>
    <n v="-125"/>
    <n v="0"/>
    <n v="4272"/>
    <n v="996"/>
    <n v="6718"/>
    <n v="98535"/>
  </r>
  <r>
    <x v="93"/>
    <s v="ITA"/>
    <x v="11"/>
    <x v="11"/>
    <n v="4155774754"/>
    <n v="1465916051"/>
    <n v="3"/>
    <n v="2"/>
    <n v="5"/>
    <n v="161"/>
    <n v="166"/>
    <n v="-8"/>
    <n v="2"/>
    <n v="246"/>
    <n v="22"/>
    <n v="434"/>
    <n v="13629"/>
  </r>
  <r>
    <x v="93"/>
    <s v="ITA"/>
    <x v="12"/>
    <x v="12"/>
    <n v="450732745"/>
    <n v="7680687483"/>
    <n v="1118"/>
    <n v="68"/>
    <n v="1186"/>
    <n v="5278"/>
    <n v="6464"/>
    <n v="-477"/>
    <n v="73"/>
    <n v="20095"/>
    <n v="3828"/>
    <n v="30387"/>
    <n v="298571"/>
  </r>
  <r>
    <x v="93"/>
    <s v="ITA"/>
    <x v="13"/>
    <x v="13"/>
    <n v="4112559576"/>
    <n v="1686736689"/>
    <n v="170"/>
    <n v="17"/>
    <n v="187"/>
    <n v="1326"/>
    <n v="1513"/>
    <n v="-26"/>
    <n v="10"/>
    <n v="2471"/>
    <n v="495"/>
    <n v="4479"/>
    <n v="109499"/>
  </r>
  <r>
    <x v="93"/>
    <s v="ITA"/>
    <x v="14"/>
    <x v="14"/>
    <n v="3921531192"/>
    <n v="9110616306"/>
    <n v="41"/>
    <n v="2"/>
    <n v="43"/>
    <n v="172"/>
    <n v="215"/>
    <n v="-9"/>
    <n v="1"/>
    <n v="1010"/>
    <n v="130"/>
    <n v="1355"/>
    <n v="53294"/>
  </r>
  <r>
    <x v="93"/>
    <s v="ITA"/>
    <x v="15"/>
    <x v="15"/>
    <n v="3811569725"/>
    <n v="133623567"/>
    <n v="73"/>
    <n v="10"/>
    <n v="83"/>
    <n v="1235"/>
    <n v="1318"/>
    <n v="-112"/>
    <n v="5"/>
    <n v="1845"/>
    <n v="272"/>
    <n v="3435"/>
    <n v="140295"/>
  </r>
  <r>
    <x v="93"/>
    <s v="ITA"/>
    <x v="16"/>
    <x v="16"/>
    <n v="4376923077"/>
    <n v="1125588885"/>
    <n v="132"/>
    <n v="31"/>
    <n v="163"/>
    <n v="1297"/>
    <n v="1460"/>
    <n v="-62"/>
    <n v="12"/>
    <n v="7595"/>
    <n v="1027"/>
    <n v="10082"/>
    <n v="238667"/>
  </r>
  <r>
    <x v="93"/>
    <s v="ITA"/>
    <x v="17"/>
    <x v="17"/>
    <n v="4606893511"/>
    <n v="1112123097"/>
    <n v="19"/>
    <n v="2"/>
    <n v="21"/>
    <n v="456"/>
    <n v="477"/>
    <n v="-36"/>
    <n v="7"/>
    <n v="3483"/>
    <n v="462"/>
    <n v="4422"/>
    <n v="82269"/>
  </r>
  <r>
    <x v="93"/>
    <s v="ITA"/>
    <x v="18"/>
    <x v="18"/>
    <n v="4310675841"/>
    <n v="1238824698"/>
    <n v="13"/>
    <n v="2"/>
    <n v="15"/>
    <n v="17"/>
    <n v="32"/>
    <n v="-10"/>
    <n v="0"/>
    <n v="1324"/>
    <n v="75"/>
    <n v="1431"/>
    <n v="66219"/>
  </r>
  <r>
    <x v="93"/>
    <s v="ITA"/>
    <x v="19"/>
    <x v="19"/>
    <n v="4573750286"/>
    <n v="7320149366"/>
    <n v="17"/>
    <n v="1"/>
    <n v="18"/>
    <n v="9"/>
    <n v="27"/>
    <n v="-4"/>
    <n v="0"/>
    <n v="1011"/>
    <n v="143"/>
    <n v="1181"/>
    <n v="14459"/>
  </r>
  <r>
    <x v="93"/>
    <s v="ITA"/>
    <x v="20"/>
    <x v="20"/>
    <n v="4543490485"/>
    <n v="1233845213"/>
    <n v="168"/>
    <n v="9"/>
    <n v="177"/>
    <n v="2110"/>
    <n v="2287"/>
    <n v="-144"/>
    <n v="8"/>
    <n v="14931"/>
    <n v="1895"/>
    <n v="19113"/>
    <n v="616691"/>
  </r>
  <r>
    <x v="94"/>
    <s v="ITA"/>
    <x v="0"/>
    <x v="0"/>
    <n v="4235122196"/>
    <n v="1339843823"/>
    <n v="128"/>
    <n v="3"/>
    <n v="131"/>
    <n v="693"/>
    <n v="824"/>
    <n v="-42"/>
    <n v="2"/>
    <n v="2011"/>
    <n v="402"/>
    <n v="3237"/>
    <n v="71788"/>
  </r>
  <r>
    <x v="94"/>
    <s v="ITA"/>
    <x v="1"/>
    <x v="1"/>
    <n v="4063947052"/>
    <n v="1580514834"/>
    <n v="6"/>
    <n v="0"/>
    <n v="6"/>
    <n v="28"/>
    <n v="34"/>
    <n v="-2"/>
    <n v="0"/>
    <n v="338"/>
    <n v="27"/>
    <n v="399"/>
    <n v="28342"/>
  </r>
  <r>
    <x v="94"/>
    <s v="ITA"/>
    <x v="2"/>
    <x v="2"/>
    <n v="4649933453"/>
    <n v="1135662422"/>
    <n v="16"/>
    <n v="5"/>
    <n v="21"/>
    <n v="136"/>
    <n v="157"/>
    <n v="-14"/>
    <n v="2"/>
    <n v="2147"/>
    <n v="291"/>
    <n v="2595"/>
    <n v="63289"/>
  </r>
  <r>
    <x v="94"/>
    <s v="ITA"/>
    <x v="3"/>
    <x v="3"/>
    <n v="3890597598"/>
    <n v="1659440194"/>
    <n v="31"/>
    <n v="1"/>
    <n v="32"/>
    <n v="138"/>
    <n v="170"/>
    <n v="-20"/>
    <n v="0"/>
    <n v="892"/>
    <n v="96"/>
    <n v="1158"/>
    <n v="66956"/>
  </r>
  <r>
    <x v="94"/>
    <s v="ITA"/>
    <x v="4"/>
    <x v="4"/>
    <n v="4083956555"/>
    <n v="1425084984"/>
    <n v="260"/>
    <n v="6"/>
    <n v="266"/>
    <n v="746"/>
    <n v="1012"/>
    <n v="-134"/>
    <n v="4"/>
    <n v="3355"/>
    <n v="410"/>
    <n v="4777"/>
    <n v="189068"/>
  </r>
  <r>
    <x v="94"/>
    <s v="ITA"/>
    <x v="5"/>
    <x v="5"/>
    <n v="4449436681"/>
    <n v="113417208"/>
    <n v="449"/>
    <n v="77"/>
    <n v="526"/>
    <n v="3224"/>
    <n v="3750"/>
    <n v="-248"/>
    <n v="74"/>
    <n v="19857"/>
    <n v="4094"/>
    <n v="27701"/>
    <n v="310696"/>
  </r>
  <r>
    <x v="94"/>
    <s v="ITA"/>
    <x v="6"/>
    <x v="6"/>
    <n v="456494354"/>
    <n v="1376813649"/>
    <n v="51"/>
    <n v="1"/>
    <n v="52"/>
    <n v="284"/>
    <n v="336"/>
    <n v="-20"/>
    <n v="7"/>
    <n v="2593"/>
    <n v="333"/>
    <n v="3262"/>
    <n v="126015"/>
  </r>
  <r>
    <x v="94"/>
    <s v="ITA"/>
    <x v="7"/>
    <x v="7"/>
    <n v="4189277044"/>
    <n v="1248366722"/>
    <n v="1035"/>
    <n v="64"/>
    <n v="1099"/>
    <n v="2306"/>
    <n v="3405"/>
    <n v="-83"/>
    <n v="21"/>
    <n v="3580"/>
    <n v="708"/>
    <n v="7693"/>
    <n v="245993"/>
  </r>
  <r>
    <x v="94"/>
    <s v="ITA"/>
    <x v="8"/>
    <x v="8"/>
    <n v="4441149315"/>
    <n v="89326992"/>
    <n v="198"/>
    <n v="13"/>
    <n v="211"/>
    <n v="934"/>
    <n v="1145"/>
    <n v="-124"/>
    <n v="16"/>
    <n v="7015"/>
    <n v="1445"/>
    <n v="9605"/>
    <n v="100625"/>
  </r>
  <r>
    <x v="94"/>
    <s v="ITA"/>
    <x v="9"/>
    <x v="9"/>
    <n v="4546679409"/>
    <n v="9190347404"/>
    <n v="3470"/>
    <n v="173"/>
    <n v="3643"/>
    <n v="19270"/>
    <n v="22913"/>
    <n v="-1124"/>
    <n v="382"/>
    <n v="49296"/>
    <n v="15974"/>
    <n v="88183"/>
    <n v="713068"/>
  </r>
  <r>
    <x v="94"/>
    <s v="ITA"/>
    <x v="10"/>
    <x v="10"/>
    <n v="4361675973"/>
    <n v="135188753"/>
    <n v="79"/>
    <n v="13"/>
    <n v="92"/>
    <n v="1254"/>
    <n v="1346"/>
    <n v="-104"/>
    <n v="1"/>
    <n v="4376"/>
    <n v="997"/>
    <n v="6719"/>
    <n v="100110"/>
  </r>
  <r>
    <x v="94"/>
    <s v="ITA"/>
    <x v="11"/>
    <x v="11"/>
    <n v="4155774754"/>
    <n v="1465916051"/>
    <n v="3"/>
    <n v="2"/>
    <n v="5"/>
    <n v="158"/>
    <n v="163"/>
    <n v="-3"/>
    <n v="1"/>
    <n v="250"/>
    <n v="22"/>
    <n v="435"/>
    <n v="13847"/>
  </r>
  <r>
    <x v="94"/>
    <s v="ITA"/>
    <x v="12"/>
    <x v="12"/>
    <n v="450732745"/>
    <n v="7680687483"/>
    <n v="1058"/>
    <n v="64"/>
    <n v="1122"/>
    <n v="4950"/>
    <n v="6072"/>
    <n v="-392"/>
    <n v="58"/>
    <n v="20535"/>
    <n v="3838"/>
    <n v="30445"/>
    <n v="304358"/>
  </r>
  <r>
    <x v="94"/>
    <s v="ITA"/>
    <x v="13"/>
    <x v="13"/>
    <n v="4112559576"/>
    <n v="1686736689"/>
    <n v="164"/>
    <n v="16"/>
    <n v="180"/>
    <n v="1215"/>
    <n v="1395"/>
    <n v="-118"/>
    <n v="2"/>
    <n v="2590"/>
    <n v="496"/>
    <n v="4481"/>
    <n v="111946"/>
  </r>
  <r>
    <x v="94"/>
    <s v="ITA"/>
    <x v="14"/>
    <x v="14"/>
    <n v="3921531192"/>
    <n v="9110616306"/>
    <n v="38"/>
    <n v="2"/>
    <n v="40"/>
    <n v="160"/>
    <n v="200"/>
    <n v="-15"/>
    <n v="0"/>
    <n v="1025"/>
    <n v="130"/>
    <n v="1355"/>
    <n v="54587"/>
  </r>
  <r>
    <x v="94"/>
    <s v="ITA"/>
    <x v="15"/>
    <x v="15"/>
    <n v="3811569725"/>
    <n v="133623567"/>
    <n v="72"/>
    <n v="8"/>
    <n v="80"/>
    <n v="1065"/>
    <n v="1145"/>
    <n v="-173"/>
    <n v="3"/>
    <n v="2021"/>
    <n v="272"/>
    <n v="3438"/>
    <n v="142516"/>
  </r>
  <r>
    <x v="94"/>
    <s v="ITA"/>
    <x v="16"/>
    <x v="16"/>
    <n v="4376923077"/>
    <n v="1125588885"/>
    <n v="126"/>
    <n v="27"/>
    <n v="153"/>
    <n v="1227"/>
    <n v="1380"/>
    <n v="-80"/>
    <n v="4"/>
    <n v="7677"/>
    <n v="1029"/>
    <n v="10086"/>
    <n v="242687"/>
  </r>
  <r>
    <x v="94"/>
    <s v="ITA"/>
    <x v="17"/>
    <x v="17"/>
    <n v="4606893511"/>
    <n v="1112123097"/>
    <n v="17"/>
    <n v="3"/>
    <n v="20"/>
    <n v="438"/>
    <n v="458"/>
    <n v="-19"/>
    <n v="3"/>
    <n v="3505"/>
    <n v="462"/>
    <n v="4425"/>
    <n v="83018"/>
  </r>
  <r>
    <x v="94"/>
    <s v="ITA"/>
    <x v="18"/>
    <x v="18"/>
    <n v="4310675841"/>
    <n v="1238824698"/>
    <n v="14"/>
    <n v="2"/>
    <n v="16"/>
    <n v="17"/>
    <n v="33"/>
    <n v="1"/>
    <n v="0"/>
    <n v="1323"/>
    <n v="75"/>
    <n v="1431"/>
    <n v="67458"/>
  </r>
  <r>
    <x v="94"/>
    <s v="ITA"/>
    <x v="19"/>
    <x v="19"/>
    <n v="4573750286"/>
    <n v="7320149366"/>
    <n v="16"/>
    <n v="0"/>
    <n v="16"/>
    <n v="7"/>
    <n v="23"/>
    <n v="-4"/>
    <n v="1"/>
    <n v="1016"/>
    <n v="143"/>
    <n v="1182"/>
    <n v="14653"/>
  </r>
  <r>
    <x v="94"/>
    <s v="ITA"/>
    <x v="20"/>
    <x v="20"/>
    <n v="4543490485"/>
    <n v="1233845213"/>
    <n v="148"/>
    <n v="9"/>
    <n v="157"/>
    <n v="1868"/>
    <n v="2025"/>
    <n v="-262"/>
    <n v="12"/>
    <n v="15202"/>
    <n v="1898"/>
    <n v="19125"/>
    <n v="632124"/>
  </r>
  <r>
    <x v="95"/>
    <s v="ITA"/>
    <x v="0"/>
    <x v="0"/>
    <n v="4235122196"/>
    <n v="1339843823"/>
    <n v="122"/>
    <n v="3"/>
    <n v="125"/>
    <n v="645"/>
    <n v="770"/>
    <n v="-54"/>
    <n v="0"/>
    <n v="2063"/>
    <n v="404"/>
    <n v="3237"/>
    <n v="73301"/>
  </r>
  <r>
    <x v="95"/>
    <s v="ITA"/>
    <x v="1"/>
    <x v="1"/>
    <n v="4063947052"/>
    <n v="1580514834"/>
    <n v="5"/>
    <n v="0"/>
    <n v="5"/>
    <n v="28"/>
    <n v="33"/>
    <n v="-1"/>
    <n v="0"/>
    <n v="339"/>
    <n v="27"/>
    <n v="399"/>
    <n v="28909"/>
  </r>
  <r>
    <x v="95"/>
    <s v="ITA"/>
    <x v="2"/>
    <x v="2"/>
    <n v="4649933453"/>
    <n v="1135662422"/>
    <n v="17"/>
    <n v="5"/>
    <n v="22"/>
    <n v="132"/>
    <n v="154"/>
    <n v="-3"/>
    <n v="0"/>
    <n v="2150"/>
    <n v="291"/>
    <n v="2595"/>
    <n v="64105"/>
  </r>
  <r>
    <x v="95"/>
    <s v="ITA"/>
    <x v="3"/>
    <x v="3"/>
    <n v="3890597598"/>
    <n v="1659440194"/>
    <n v="25"/>
    <n v="1"/>
    <n v="26"/>
    <n v="133"/>
    <n v="159"/>
    <n v="-11"/>
    <n v="0"/>
    <n v="902"/>
    <n v="97"/>
    <n v="1158"/>
    <n v="68131"/>
  </r>
  <r>
    <x v="95"/>
    <s v="ITA"/>
    <x v="4"/>
    <x v="4"/>
    <n v="4083956555"/>
    <n v="1425084984"/>
    <n v="236"/>
    <n v="7"/>
    <n v="243"/>
    <n v="743"/>
    <n v="986"/>
    <n v="-26"/>
    <n v="10"/>
    <n v="3390"/>
    <n v="411"/>
    <n v="4787"/>
    <n v="193669"/>
  </r>
  <r>
    <x v="95"/>
    <s v="ITA"/>
    <x v="5"/>
    <x v="5"/>
    <n v="4449436681"/>
    <n v="113417208"/>
    <n v="429"/>
    <n v="76"/>
    <n v="505"/>
    <n v="3059"/>
    <n v="3564"/>
    <n v="-186"/>
    <n v="38"/>
    <n v="20073"/>
    <n v="4102"/>
    <n v="27739"/>
    <n v="316909"/>
  </r>
  <r>
    <x v="95"/>
    <s v="ITA"/>
    <x v="6"/>
    <x v="6"/>
    <n v="456494354"/>
    <n v="1376813649"/>
    <n v="45"/>
    <n v="2"/>
    <n v="47"/>
    <n v="276"/>
    <n v="323"/>
    <n v="-13"/>
    <n v="5"/>
    <n v="2611"/>
    <n v="333"/>
    <n v="3267"/>
    <n v="130838"/>
  </r>
  <r>
    <x v="95"/>
    <s v="ITA"/>
    <x v="7"/>
    <x v="7"/>
    <n v="4189277044"/>
    <n v="1248366722"/>
    <n v="817"/>
    <n v="59"/>
    <n v="876"/>
    <n v="2287"/>
    <n v="3163"/>
    <n v="-242"/>
    <n v="16"/>
    <n v="3825"/>
    <n v="721"/>
    <n v="7709"/>
    <n v="249267"/>
  </r>
  <r>
    <x v="95"/>
    <s v="ITA"/>
    <x v="8"/>
    <x v="8"/>
    <n v="4441149315"/>
    <n v="89326992"/>
    <n v="192"/>
    <n v="13"/>
    <n v="205"/>
    <n v="789"/>
    <n v="994"/>
    <n v="-151"/>
    <n v="14"/>
    <n v="7173"/>
    <n v="1452"/>
    <n v="9619"/>
    <n v="102173"/>
  </r>
  <r>
    <x v="95"/>
    <s v="ITA"/>
    <x v="9"/>
    <x v="9"/>
    <n v="4546679409"/>
    <n v="9190347404"/>
    <n v="3552"/>
    <n v="173"/>
    <n v="3725"/>
    <n v="18958"/>
    <n v="22683"/>
    <n v="-230"/>
    <n v="354"/>
    <n v="49842"/>
    <n v="16012"/>
    <n v="88537"/>
    <n v="727146"/>
  </r>
  <r>
    <x v="95"/>
    <s v="ITA"/>
    <x v="10"/>
    <x v="10"/>
    <n v="4361675973"/>
    <n v="135188753"/>
    <n v="69"/>
    <n v="9"/>
    <n v="78"/>
    <n v="1274"/>
    <n v="1352"/>
    <n v="6"/>
    <n v="4"/>
    <n v="4385"/>
    <n v="986"/>
    <n v="6723"/>
    <n v="101389"/>
  </r>
  <r>
    <x v="95"/>
    <s v="ITA"/>
    <x v="11"/>
    <x v="11"/>
    <n v="4155774754"/>
    <n v="1465916051"/>
    <n v="3"/>
    <n v="2"/>
    <n v="5"/>
    <n v="157"/>
    <n v="162"/>
    <n v="-1"/>
    <n v="1"/>
    <n v="252"/>
    <n v="22"/>
    <n v="436"/>
    <n v="14109"/>
  </r>
  <r>
    <x v="95"/>
    <s v="ITA"/>
    <x v="12"/>
    <x v="12"/>
    <n v="450732745"/>
    <n v="7680687483"/>
    <n v="1029"/>
    <n v="61"/>
    <n v="1090"/>
    <n v="4568"/>
    <n v="5658"/>
    <n v="-414"/>
    <n v="56"/>
    <n v="20992"/>
    <n v="3851"/>
    <n v="30501"/>
    <n v="309497"/>
  </r>
  <r>
    <x v="95"/>
    <s v="ITA"/>
    <x v="13"/>
    <x v="13"/>
    <n v="4112559576"/>
    <n v="1686736689"/>
    <n v="158"/>
    <n v="12"/>
    <n v="170"/>
    <n v="1113"/>
    <n v="1283"/>
    <n v="-112"/>
    <n v="1"/>
    <n v="2699"/>
    <n v="500"/>
    <n v="4482"/>
    <n v="114588"/>
  </r>
  <r>
    <x v="95"/>
    <s v="ITA"/>
    <x v="14"/>
    <x v="14"/>
    <n v="3921531192"/>
    <n v="9110616306"/>
    <n v="37"/>
    <n v="2"/>
    <n v="39"/>
    <n v="151"/>
    <n v="190"/>
    <n v="-10"/>
    <n v="1"/>
    <n v="1036"/>
    <n v="130"/>
    <n v="1356"/>
    <n v="55831"/>
  </r>
  <r>
    <x v="95"/>
    <s v="ITA"/>
    <x v="15"/>
    <x v="15"/>
    <n v="3811569725"/>
    <n v="133623567"/>
    <n v="67"/>
    <n v="7"/>
    <n v="74"/>
    <n v="1063"/>
    <n v="1137"/>
    <n v="-8"/>
    <n v="2"/>
    <n v="2031"/>
    <n v="272"/>
    <n v="3440"/>
    <n v="145979"/>
  </r>
  <r>
    <x v="95"/>
    <s v="ITA"/>
    <x v="16"/>
    <x v="16"/>
    <n v="4376923077"/>
    <n v="1125588885"/>
    <n v="111"/>
    <n v="31"/>
    <n v="142"/>
    <n v="1113"/>
    <n v="1255"/>
    <n v="-125"/>
    <n v="2"/>
    <n v="7802"/>
    <n v="1031"/>
    <n v="10088"/>
    <n v="246052"/>
  </r>
  <r>
    <x v="95"/>
    <s v="ITA"/>
    <x v="17"/>
    <x v="17"/>
    <n v="4606893511"/>
    <n v="1112123097"/>
    <n v="16"/>
    <n v="3"/>
    <n v="19"/>
    <n v="391"/>
    <n v="410"/>
    <n v="-48"/>
    <n v="3"/>
    <n v="3556"/>
    <n v="462"/>
    <n v="4428"/>
    <n v="84805"/>
  </r>
  <r>
    <x v="95"/>
    <s v="ITA"/>
    <x v="18"/>
    <x v="18"/>
    <n v="4310675841"/>
    <n v="1238824698"/>
    <n v="15"/>
    <n v="2"/>
    <n v="17"/>
    <n v="14"/>
    <n v="31"/>
    <n v="-2"/>
    <n v="0"/>
    <n v="1324"/>
    <n v="76"/>
    <n v="1431"/>
    <n v="68773"/>
  </r>
  <r>
    <x v="95"/>
    <s v="ITA"/>
    <x v="19"/>
    <x v="19"/>
    <n v="4573750286"/>
    <n v="7320149366"/>
    <n v="12"/>
    <n v="0"/>
    <n v="12"/>
    <n v="7"/>
    <n v="19"/>
    <n v="-4"/>
    <n v="0"/>
    <n v="1020"/>
    <n v="143"/>
    <n v="1182"/>
    <n v="14759"/>
  </r>
  <r>
    <x v="95"/>
    <s v="ITA"/>
    <x v="20"/>
    <x v="20"/>
    <n v="4543490485"/>
    <n v="1233845213"/>
    <n v="137"/>
    <n v="7"/>
    <n v="144"/>
    <n v="1705"/>
    <n v="1849"/>
    <n v="-176"/>
    <n v="9"/>
    <n v="15379"/>
    <n v="1906"/>
    <n v="19134"/>
    <n v="645049"/>
  </r>
  <r>
    <x v="96"/>
    <s v="ITA"/>
    <x v="0"/>
    <x v="0"/>
    <n v="4235122196"/>
    <n v="1339843823"/>
    <n v="122"/>
    <n v="3"/>
    <n v="125"/>
    <n v="645"/>
    <n v="770"/>
    <n v="0"/>
    <n v="0"/>
    <n v="2063"/>
    <n v="404"/>
    <n v="3237"/>
    <n v="73301"/>
  </r>
  <r>
    <x v="96"/>
    <s v="ITA"/>
    <x v="1"/>
    <x v="1"/>
    <n v="4063947052"/>
    <n v="1580514834"/>
    <n v="5"/>
    <n v="0"/>
    <n v="5"/>
    <n v="26"/>
    <n v="31"/>
    <n v="-2"/>
    <n v="0"/>
    <n v="341"/>
    <n v="27"/>
    <n v="399"/>
    <n v="29421"/>
  </r>
  <r>
    <x v="96"/>
    <s v="ITA"/>
    <x v="2"/>
    <x v="2"/>
    <n v="4649933453"/>
    <n v="1135662422"/>
    <n v="13"/>
    <n v="4"/>
    <n v="17"/>
    <n v="120"/>
    <n v="137"/>
    <n v="-17"/>
    <n v="1"/>
    <n v="2168"/>
    <n v="291"/>
    <n v="2596"/>
    <n v="65405"/>
  </r>
  <r>
    <x v="96"/>
    <s v="ITA"/>
    <x v="3"/>
    <x v="3"/>
    <n v="3890597598"/>
    <n v="1659440194"/>
    <n v="23"/>
    <n v="1"/>
    <n v="24"/>
    <n v="127"/>
    <n v="151"/>
    <n v="-8"/>
    <n v="0"/>
    <n v="910"/>
    <n v="97"/>
    <n v="1158"/>
    <n v="69334"/>
  </r>
  <r>
    <x v="96"/>
    <s v="ITA"/>
    <x v="4"/>
    <x v="4"/>
    <n v="4083956555"/>
    <n v="1425084984"/>
    <n v="236"/>
    <n v="7"/>
    <n v="243"/>
    <n v="738"/>
    <n v="981"/>
    <n v="-5"/>
    <n v="10"/>
    <n v="3405"/>
    <n v="411"/>
    <n v="4797"/>
    <n v="198033"/>
  </r>
  <r>
    <x v="96"/>
    <s v="ITA"/>
    <x v="5"/>
    <x v="5"/>
    <n v="4449436681"/>
    <n v="113417208"/>
    <n v="398"/>
    <n v="65"/>
    <n v="463"/>
    <n v="2816"/>
    <n v="3279"/>
    <n v="-285"/>
    <n v="20"/>
    <n v="20373"/>
    <n v="4107"/>
    <n v="27759"/>
    <n v="321373"/>
  </r>
  <r>
    <x v="96"/>
    <s v="ITA"/>
    <x v="6"/>
    <x v="6"/>
    <n v="456494354"/>
    <n v="1376813649"/>
    <n v="45"/>
    <n v="1"/>
    <n v="46"/>
    <n v="259"/>
    <n v="305"/>
    <n v="-18"/>
    <n v="4"/>
    <n v="2633"/>
    <n v="333"/>
    <n v="3271"/>
    <n v="131976"/>
  </r>
  <r>
    <x v="96"/>
    <s v="ITA"/>
    <x v="7"/>
    <x v="7"/>
    <n v="4189277044"/>
    <n v="1248366722"/>
    <n v="769"/>
    <n v="58"/>
    <n v="827"/>
    <n v="2228"/>
    <n v="3055"/>
    <n v="-108"/>
    <n v="6"/>
    <n v="3932"/>
    <n v="728"/>
    <n v="7715"/>
    <n v="253388"/>
  </r>
  <r>
    <x v="96"/>
    <s v="ITA"/>
    <x v="8"/>
    <x v="8"/>
    <n v="4441149315"/>
    <n v="89326992"/>
    <n v="186"/>
    <n v="9"/>
    <n v="195"/>
    <n v="586"/>
    <n v="781"/>
    <n v="-213"/>
    <n v="32"/>
    <n v="7411"/>
    <n v="1459"/>
    <n v="9651"/>
    <n v="104892"/>
  </r>
  <r>
    <x v="96"/>
    <s v="ITA"/>
    <x v="9"/>
    <x v="9"/>
    <n v="4546679409"/>
    <n v="9190347404"/>
    <n v="3307"/>
    <n v="172"/>
    <n v="3479"/>
    <n v="18330"/>
    <n v="21809"/>
    <n v="-874"/>
    <n v="221"/>
    <n v="50870"/>
    <n v="16079"/>
    <n v="88758"/>
    <n v="741447"/>
  </r>
  <r>
    <x v="96"/>
    <s v="ITA"/>
    <x v="10"/>
    <x v="10"/>
    <n v="4361675973"/>
    <n v="135188753"/>
    <n v="66"/>
    <n v="9"/>
    <n v="75"/>
    <n v="1272"/>
    <n v="1347"/>
    <n v="-5"/>
    <n v="4"/>
    <n v="4393"/>
    <n v="987"/>
    <n v="6727"/>
    <n v="102484"/>
  </r>
  <r>
    <x v="96"/>
    <s v="ITA"/>
    <x v="11"/>
    <x v="11"/>
    <n v="4155774754"/>
    <n v="1465916051"/>
    <n v="3"/>
    <n v="2"/>
    <n v="5"/>
    <n v="151"/>
    <n v="156"/>
    <n v="-6"/>
    <n v="0"/>
    <n v="258"/>
    <n v="22"/>
    <n v="436"/>
    <n v="14371"/>
  </r>
  <r>
    <x v="96"/>
    <s v="ITA"/>
    <x v="12"/>
    <x v="12"/>
    <n v="450732745"/>
    <n v="7680687483"/>
    <n v="988"/>
    <n v="60"/>
    <n v="1048"/>
    <n v="4242"/>
    <n v="5290"/>
    <n v="-368"/>
    <n v="82"/>
    <n v="21435"/>
    <n v="3858"/>
    <n v="30583"/>
    <n v="315828"/>
  </r>
  <r>
    <x v="96"/>
    <s v="ITA"/>
    <x v="13"/>
    <x v="13"/>
    <n v="4112559576"/>
    <n v="1686736689"/>
    <n v="150"/>
    <n v="12"/>
    <n v="162"/>
    <n v="1060"/>
    <n v="1222"/>
    <n v="-61"/>
    <n v="8"/>
    <n v="2768"/>
    <n v="500"/>
    <n v="4490"/>
    <n v="116765"/>
  </r>
  <r>
    <x v="96"/>
    <s v="ITA"/>
    <x v="14"/>
    <x v="14"/>
    <n v="3921531192"/>
    <n v="9110616306"/>
    <n v="34"/>
    <n v="2"/>
    <n v="36"/>
    <n v="150"/>
    <n v="186"/>
    <n v="-4"/>
    <n v="0"/>
    <n v="1040"/>
    <n v="130"/>
    <n v="1356"/>
    <n v="56580"/>
  </r>
  <r>
    <x v="96"/>
    <s v="ITA"/>
    <x v="15"/>
    <x v="15"/>
    <n v="3811569725"/>
    <n v="133623567"/>
    <n v="67"/>
    <n v="7"/>
    <n v="74"/>
    <n v="925"/>
    <n v="999"/>
    <n v="-138"/>
    <n v="2"/>
    <n v="2170"/>
    <n v="273"/>
    <n v="3442"/>
    <n v="148871"/>
  </r>
  <r>
    <x v="96"/>
    <s v="ITA"/>
    <x v="16"/>
    <x v="16"/>
    <n v="4376923077"/>
    <n v="1125588885"/>
    <n v="106"/>
    <n v="27"/>
    <n v="133"/>
    <n v="1033"/>
    <n v="1166"/>
    <n v="-89"/>
    <n v="12"/>
    <n v="7897"/>
    <n v="1037"/>
    <n v="10100"/>
    <n v="249441"/>
  </r>
  <r>
    <x v="96"/>
    <s v="ITA"/>
    <x v="17"/>
    <x v="17"/>
    <n v="4606893511"/>
    <n v="1112123097"/>
    <n v="13"/>
    <n v="3"/>
    <n v="16"/>
    <n v="350"/>
    <n v="366"/>
    <n v="-44"/>
    <n v="1"/>
    <n v="3601"/>
    <n v="462"/>
    <n v="4429"/>
    <n v="86565"/>
  </r>
  <r>
    <x v="96"/>
    <s v="ITA"/>
    <x v="18"/>
    <x v="18"/>
    <n v="4310675841"/>
    <n v="1238824698"/>
    <n v="16"/>
    <n v="1"/>
    <n v="17"/>
    <n v="14"/>
    <n v="31"/>
    <n v="0"/>
    <n v="0"/>
    <n v="1324"/>
    <n v="76"/>
    <n v="1431"/>
    <n v="70023"/>
  </r>
  <r>
    <x v="96"/>
    <s v="ITA"/>
    <x v="19"/>
    <x v="19"/>
    <n v="4573750286"/>
    <n v="7320149366"/>
    <n v="13"/>
    <n v="0"/>
    <n v="13"/>
    <n v="4"/>
    <n v="17"/>
    <n v="-2"/>
    <n v="1"/>
    <n v="1023"/>
    <n v="143"/>
    <n v="1183"/>
    <n v="14972"/>
  </r>
  <r>
    <x v="96"/>
    <s v="ITA"/>
    <x v="20"/>
    <x v="20"/>
    <n v="4543490485"/>
    <n v="1233845213"/>
    <n v="120"/>
    <n v="7"/>
    <n v="127"/>
    <n v="1485"/>
    <n v="1612"/>
    <n v="-237"/>
    <n v="12"/>
    <n v="15618"/>
    <n v="1916"/>
    <n v="19146"/>
    <n v="660151"/>
  </r>
  <r>
    <x v="97"/>
    <s v="ITA"/>
    <x v="0"/>
    <x v="0"/>
    <n v="4235122196"/>
    <n v="1339843823"/>
    <n v="104"/>
    <n v="4"/>
    <n v="108"/>
    <n v="667"/>
    <n v="775"/>
    <n v="5"/>
    <n v="7"/>
    <n v="2064"/>
    <n v="405"/>
    <n v="3244"/>
    <n v="75652"/>
  </r>
  <r>
    <x v="97"/>
    <s v="ITA"/>
    <x v="1"/>
    <x v="1"/>
    <n v="4063947052"/>
    <n v="1580514834"/>
    <n v="4"/>
    <n v="0"/>
    <n v="4"/>
    <n v="25"/>
    <n v="29"/>
    <n v="-2"/>
    <n v="0"/>
    <n v="343"/>
    <n v="27"/>
    <n v="399"/>
    <n v="29880"/>
  </r>
  <r>
    <x v="97"/>
    <s v="ITA"/>
    <x v="2"/>
    <x v="2"/>
    <n v="4649933453"/>
    <n v="1135662422"/>
    <n v="13"/>
    <n v="4"/>
    <n v="17"/>
    <n v="110"/>
    <n v="127"/>
    <n v="-10"/>
    <n v="1"/>
    <n v="2179"/>
    <n v="291"/>
    <n v="2597"/>
    <n v="66247"/>
  </r>
  <r>
    <x v="97"/>
    <s v="ITA"/>
    <x v="3"/>
    <x v="3"/>
    <n v="3890597598"/>
    <n v="1659440194"/>
    <n v="22"/>
    <n v="1"/>
    <n v="23"/>
    <n v="121"/>
    <n v="144"/>
    <n v="-7"/>
    <n v="0"/>
    <n v="917"/>
    <n v="97"/>
    <n v="1158"/>
    <n v="70274"/>
  </r>
  <r>
    <x v="97"/>
    <s v="ITA"/>
    <x v="4"/>
    <x v="4"/>
    <n v="4083956555"/>
    <n v="1425084984"/>
    <n v="227"/>
    <n v="5"/>
    <n v="232"/>
    <n v="748"/>
    <n v="980"/>
    <n v="-1"/>
    <n v="5"/>
    <n v="3410"/>
    <n v="412"/>
    <n v="4802"/>
    <n v="201543"/>
  </r>
  <r>
    <x v="97"/>
    <s v="ITA"/>
    <x v="5"/>
    <x v="5"/>
    <n v="4449436681"/>
    <n v="113417208"/>
    <n v="393"/>
    <n v="57"/>
    <n v="450"/>
    <n v="2713"/>
    <n v="3163"/>
    <n v="-116"/>
    <n v="31"/>
    <n v="20513"/>
    <n v="4114"/>
    <n v="27790"/>
    <n v="325482"/>
  </r>
  <r>
    <x v="97"/>
    <s v="ITA"/>
    <x v="6"/>
    <x v="6"/>
    <n v="456494354"/>
    <n v="1376813649"/>
    <n v="41"/>
    <n v="1"/>
    <n v="42"/>
    <n v="236"/>
    <n v="278"/>
    <n v="-27"/>
    <n v="2"/>
    <n v="2662"/>
    <n v="333"/>
    <n v="3273"/>
    <n v="134378"/>
  </r>
  <r>
    <x v="97"/>
    <s v="ITA"/>
    <x v="7"/>
    <x v="7"/>
    <n v="4189277044"/>
    <n v="1248366722"/>
    <n v="730"/>
    <n v="57"/>
    <n v="787"/>
    <n v="2196"/>
    <n v="2983"/>
    <n v="-72"/>
    <n v="13"/>
    <n v="4010"/>
    <n v="735"/>
    <n v="7728"/>
    <n v="255474"/>
  </r>
  <r>
    <x v="97"/>
    <s v="ITA"/>
    <x v="8"/>
    <x v="8"/>
    <n v="4441149315"/>
    <n v="89326992"/>
    <n v="195"/>
    <n v="8"/>
    <n v="203"/>
    <n v="466"/>
    <n v="669"/>
    <n v="-112"/>
    <n v="12"/>
    <n v="7529"/>
    <n v="1465"/>
    <n v="9663"/>
    <n v="106363"/>
  </r>
  <r>
    <x v="97"/>
    <s v="ITA"/>
    <x v="9"/>
    <x v="9"/>
    <n v="4546679409"/>
    <n v="9190347404"/>
    <n v="3131"/>
    <n v="170"/>
    <n v="3301"/>
    <n v="17695"/>
    <n v="20996"/>
    <n v="-813"/>
    <n v="210"/>
    <n v="51860"/>
    <n v="16112"/>
    <n v="88968"/>
    <n v="753874"/>
  </r>
  <r>
    <x v="97"/>
    <s v="ITA"/>
    <x v="10"/>
    <x v="10"/>
    <n v="4361675973"/>
    <n v="135188753"/>
    <n v="62"/>
    <n v="9"/>
    <n v="71"/>
    <n v="1267"/>
    <n v="1338"/>
    <n v="-9"/>
    <n v="3"/>
    <n v="4405"/>
    <n v="987"/>
    <n v="6730"/>
    <n v="103634"/>
  </r>
  <r>
    <x v="97"/>
    <s v="ITA"/>
    <x v="11"/>
    <x v="11"/>
    <n v="4155774754"/>
    <n v="1465916051"/>
    <n v="2"/>
    <n v="2"/>
    <n v="4"/>
    <n v="141"/>
    <n v="145"/>
    <n v="-11"/>
    <n v="0"/>
    <n v="269"/>
    <n v="22"/>
    <n v="436"/>
    <n v="14631"/>
  </r>
  <r>
    <x v="97"/>
    <s v="ITA"/>
    <x v="12"/>
    <x v="12"/>
    <n v="450732745"/>
    <n v="7680687483"/>
    <n v="973"/>
    <n v="58"/>
    <n v="1031"/>
    <n v="4130"/>
    <n v="5161"/>
    <n v="-129"/>
    <n v="54"/>
    <n v="21609"/>
    <n v="3867"/>
    <n v="30637"/>
    <n v="319133"/>
  </r>
  <r>
    <x v="97"/>
    <s v="ITA"/>
    <x v="13"/>
    <x v="13"/>
    <n v="4112559576"/>
    <n v="1686736689"/>
    <n v="143"/>
    <n v="11"/>
    <n v="154"/>
    <n v="1023"/>
    <n v="1177"/>
    <n v="-45"/>
    <n v="4"/>
    <n v="2813"/>
    <n v="504"/>
    <n v="4494"/>
    <n v="118652"/>
  </r>
  <r>
    <x v="97"/>
    <s v="ITA"/>
    <x v="14"/>
    <x v="14"/>
    <n v="3921531192"/>
    <n v="9110616306"/>
    <n v="33"/>
    <n v="2"/>
    <n v="35"/>
    <n v="150"/>
    <n v="185"/>
    <n v="-1"/>
    <n v="0"/>
    <n v="1041"/>
    <n v="130"/>
    <n v="1356"/>
    <n v="57296"/>
  </r>
  <r>
    <x v="97"/>
    <s v="ITA"/>
    <x v="15"/>
    <x v="15"/>
    <n v="3811569725"/>
    <n v="133623567"/>
    <n v="65"/>
    <n v="7"/>
    <n v="72"/>
    <n v="914"/>
    <n v="986"/>
    <n v="-13"/>
    <n v="1"/>
    <n v="2183"/>
    <n v="274"/>
    <n v="3443"/>
    <n v="150054"/>
  </r>
  <r>
    <x v="97"/>
    <s v="ITA"/>
    <x v="16"/>
    <x v="16"/>
    <n v="4376923077"/>
    <n v="1125588885"/>
    <n v="97"/>
    <n v="28"/>
    <n v="125"/>
    <n v="986"/>
    <n v="1111"/>
    <n v="-55"/>
    <n v="4"/>
    <n v="7952"/>
    <n v="1041"/>
    <n v="10104"/>
    <n v="252090"/>
  </r>
  <r>
    <x v="97"/>
    <s v="ITA"/>
    <x v="17"/>
    <x v="17"/>
    <n v="4606893511"/>
    <n v="1112123097"/>
    <n v="13"/>
    <n v="3"/>
    <n v="16"/>
    <n v="288"/>
    <n v="304"/>
    <n v="-62"/>
    <n v="1"/>
    <n v="3664"/>
    <n v="462"/>
    <n v="4430"/>
    <n v="88558"/>
  </r>
  <r>
    <x v="97"/>
    <s v="ITA"/>
    <x v="18"/>
    <x v="18"/>
    <n v="4310675841"/>
    <n v="1238824698"/>
    <n v="15"/>
    <n v="2"/>
    <n v="17"/>
    <n v="14"/>
    <n v="31"/>
    <n v="0"/>
    <n v="0"/>
    <n v="1324"/>
    <n v="76"/>
    <n v="1431"/>
    <n v="70553"/>
  </r>
  <r>
    <x v="97"/>
    <s v="ITA"/>
    <x v="19"/>
    <x v="19"/>
    <n v="4573750286"/>
    <n v="7320149366"/>
    <n v="12"/>
    <n v="0"/>
    <n v="12"/>
    <n v="3"/>
    <n v="15"/>
    <n v="-2"/>
    <n v="1"/>
    <n v="1026"/>
    <n v="143"/>
    <n v="1184"/>
    <n v="15203"/>
  </r>
  <r>
    <x v="97"/>
    <s v="ITA"/>
    <x v="20"/>
    <x v="20"/>
    <n v="4543490485"/>
    <n v="1233845213"/>
    <n v="112"/>
    <n v="6"/>
    <n v="118"/>
    <n v="1382"/>
    <n v="1500"/>
    <n v="-112"/>
    <n v="6"/>
    <n v="15734"/>
    <n v="1918"/>
    <n v="19152"/>
    <n v="669768"/>
  </r>
  <r>
    <x v="98"/>
    <s v="ITA"/>
    <x v="0"/>
    <x v="0"/>
    <n v="4235122196"/>
    <n v="1339843823"/>
    <n v="113"/>
    <n v="6"/>
    <n v="119"/>
    <n v="625"/>
    <n v="744"/>
    <n v="-31"/>
    <n v="1"/>
    <n v="2093"/>
    <n v="408"/>
    <n v="3245"/>
    <n v="76924"/>
  </r>
  <r>
    <x v="98"/>
    <s v="ITA"/>
    <x v="1"/>
    <x v="1"/>
    <n v="4063947052"/>
    <n v="1580514834"/>
    <n v="4"/>
    <n v="0"/>
    <n v="4"/>
    <n v="24"/>
    <n v="28"/>
    <n v="-1"/>
    <n v="0"/>
    <n v="344"/>
    <n v="27"/>
    <n v="399"/>
    <n v="29956"/>
  </r>
  <r>
    <x v="98"/>
    <s v="ITA"/>
    <x v="2"/>
    <x v="2"/>
    <n v="4649933453"/>
    <n v="1135662422"/>
    <n v="13"/>
    <n v="4"/>
    <n v="17"/>
    <n v="106"/>
    <n v="123"/>
    <n v="-4"/>
    <n v="1"/>
    <n v="2184"/>
    <n v="291"/>
    <n v="2598"/>
    <n v="67121"/>
  </r>
  <r>
    <x v="98"/>
    <s v="ITA"/>
    <x v="3"/>
    <x v="3"/>
    <n v="3890597598"/>
    <n v="1659440194"/>
    <n v="20"/>
    <n v="1"/>
    <n v="21"/>
    <n v="114"/>
    <n v="135"/>
    <n v="-9"/>
    <n v="0"/>
    <n v="926"/>
    <n v="97"/>
    <n v="1158"/>
    <n v="70892"/>
  </r>
  <r>
    <x v="98"/>
    <s v="ITA"/>
    <x v="4"/>
    <x v="4"/>
    <n v="4083956555"/>
    <n v="1425084984"/>
    <n v="224"/>
    <n v="6"/>
    <n v="230"/>
    <n v="709"/>
    <n v="939"/>
    <n v="-41"/>
    <n v="4"/>
    <n v="3454"/>
    <n v="413"/>
    <n v="4806"/>
    <n v="203858"/>
  </r>
  <r>
    <x v="98"/>
    <s v="ITA"/>
    <x v="5"/>
    <x v="5"/>
    <n v="4449436681"/>
    <n v="113417208"/>
    <n v="383"/>
    <n v="54"/>
    <n v="437"/>
    <n v="2631"/>
    <n v="3068"/>
    <n v="-95"/>
    <n v="19"/>
    <n v="20617"/>
    <n v="4124"/>
    <n v="27809"/>
    <n v="329358"/>
  </r>
  <r>
    <x v="98"/>
    <s v="ITA"/>
    <x v="6"/>
    <x v="6"/>
    <n v="456494354"/>
    <n v="1376813649"/>
    <n v="40"/>
    <n v="2"/>
    <n v="42"/>
    <n v="224"/>
    <n v="266"/>
    <n v="-12"/>
    <n v="1"/>
    <n v="2673"/>
    <n v="335"/>
    <n v="3274"/>
    <n v="135431"/>
  </r>
  <r>
    <x v="98"/>
    <s v="ITA"/>
    <x v="7"/>
    <x v="7"/>
    <n v="4189277044"/>
    <n v="1248366722"/>
    <n v="594"/>
    <n v="56"/>
    <n v="650"/>
    <n v="2244"/>
    <n v="2894"/>
    <n v="-89"/>
    <n v="10"/>
    <n v="4105"/>
    <n v="739"/>
    <n v="7738"/>
    <n v="257563"/>
  </r>
  <r>
    <x v="98"/>
    <s v="ITA"/>
    <x v="8"/>
    <x v="8"/>
    <n v="4441149315"/>
    <n v="89326992"/>
    <n v="191"/>
    <n v="7"/>
    <n v="198"/>
    <n v="413"/>
    <n v="611"/>
    <n v="-58"/>
    <n v="56"/>
    <n v="7641"/>
    <n v="1467"/>
    <n v="9719"/>
    <n v="107787"/>
  </r>
  <r>
    <x v="98"/>
    <s v="ITA"/>
    <x v="9"/>
    <x v="9"/>
    <n v="4546679409"/>
    <n v="9190347404"/>
    <n v="3085"/>
    <n v="167"/>
    <n v="3252"/>
    <n v="17609"/>
    <n v="20861"/>
    <n v="-135"/>
    <n v="50"/>
    <n v="52026"/>
    <n v="16131"/>
    <n v="89018"/>
    <n v="757446"/>
  </r>
  <r>
    <x v="98"/>
    <s v="ITA"/>
    <x v="10"/>
    <x v="10"/>
    <n v="4361675973"/>
    <n v="135188753"/>
    <n v="63"/>
    <n v="9"/>
    <n v="72"/>
    <n v="1255"/>
    <n v="1327"/>
    <n v="-11"/>
    <n v="0"/>
    <n v="4416"/>
    <n v="987"/>
    <n v="6730"/>
    <n v="103994"/>
  </r>
  <r>
    <x v="98"/>
    <s v="ITA"/>
    <x v="11"/>
    <x v="11"/>
    <n v="4155774754"/>
    <n v="1465916051"/>
    <n v="2"/>
    <n v="2"/>
    <n v="4"/>
    <n v="131"/>
    <n v="135"/>
    <n v="-10"/>
    <n v="0"/>
    <n v="279"/>
    <n v="22"/>
    <n v="436"/>
    <n v="14819"/>
  </r>
  <r>
    <x v="98"/>
    <s v="ITA"/>
    <x v="12"/>
    <x v="12"/>
    <n v="450732745"/>
    <n v="7680687483"/>
    <n v="904"/>
    <n v="54"/>
    <n v="958"/>
    <n v="4104"/>
    <n v="5062"/>
    <n v="-99"/>
    <n v="21"/>
    <n v="21720"/>
    <n v="3876"/>
    <n v="30658"/>
    <n v="321476"/>
  </r>
  <r>
    <x v="98"/>
    <s v="ITA"/>
    <x v="13"/>
    <x v="13"/>
    <n v="4112559576"/>
    <n v="1686736689"/>
    <n v="140"/>
    <n v="11"/>
    <n v="151"/>
    <n v="1004"/>
    <n v="1155"/>
    <n v="-22"/>
    <n v="4"/>
    <n v="2837"/>
    <n v="506"/>
    <n v="4498"/>
    <n v="119650"/>
  </r>
  <r>
    <x v="98"/>
    <s v="ITA"/>
    <x v="14"/>
    <x v="14"/>
    <n v="3921531192"/>
    <n v="9110616306"/>
    <n v="23"/>
    <n v="1"/>
    <n v="24"/>
    <n v="137"/>
    <n v="161"/>
    <n v="-24"/>
    <n v="1"/>
    <n v="1065"/>
    <n v="131"/>
    <n v="1357"/>
    <n v="57687"/>
  </r>
  <r>
    <x v="98"/>
    <s v="ITA"/>
    <x v="15"/>
    <x v="15"/>
    <n v="3811569725"/>
    <n v="133623567"/>
    <n v="65"/>
    <n v="8"/>
    <n v="73"/>
    <n v="894"/>
    <n v="967"/>
    <n v="-19"/>
    <n v="0"/>
    <n v="2202"/>
    <n v="274"/>
    <n v="3443"/>
    <n v="151186"/>
  </r>
  <r>
    <x v="98"/>
    <s v="ITA"/>
    <x v="16"/>
    <x v="16"/>
    <n v="4376923077"/>
    <n v="1125588885"/>
    <n v="85"/>
    <n v="25"/>
    <n v="110"/>
    <n v="972"/>
    <n v="1082"/>
    <n v="-29"/>
    <n v="3"/>
    <n v="7977"/>
    <n v="1048"/>
    <n v="10107"/>
    <n v="253845"/>
  </r>
  <r>
    <x v="98"/>
    <s v="ITA"/>
    <x v="17"/>
    <x v="17"/>
    <n v="4606893511"/>
    <n v="1112123097"/>
    <n v="14"/>
    <n v="3"/>
    <n v="17"/>
    <n v="276"/>
    <n v="293"/>
    <n v="-11"/>
    <n v="2"/>
    <n v="3677"/>
    <n v="462"/>
    <n v="4432"/>
    <n v="89235"/>
  </r>
  <r>
    <x v="98"/>
    <s v="ITA"/>
    <x v="18"/>
    <x v="18"/>
    <n v="4310675841"/>
    <n v="1238824698"/>
    <n v="15"/>
    <n v="2"/>
    <n v="17"/>
    <n v="14"/>
    <n v="31"/>
    <n v="0"/>
    <n v="0"/>
    <n v="1324"/>
    <n v="76"/>
    <n v="1431"/>
    <n v="70741"/>
  </r>
  <r>
    <x v="98"/>
    <s v="ITA"/>
    <x v="19"/>
    <x v="19"/>
    <n v="4573750286"/>
    <n v="7320149366"/>
    <n v="11"/>
    <n v="0"/>
    <n v="11"/>
    <n v="6"/>
    <n v="17"/>
    <n v="2"/>
    <n v="3"/>
    <n v="1027"/>
    <n v="143"/>
    <n v="1187"/>
    <n v="15230"/>
  </r>
  <r>
    <x v="98"/>
    <s v="ITA"/>
    <x v="20"/>
    <x v="20"/>
    <n v="4543490485"/>
    <n v="1233845213"/>
    <n v="110"/>
    <n v="6"/>
    <n v="116"/>
    <n v="1352"/>
    <n v="1468"/>
    <n v="-32"/>
    <n v="2"/>
    <n v="15768"/>
    <n v="1918"/>
    <n v="19154"/>
    <n v="675934"/>
  </r>
  <r>
    <x v="99"/>
    <s v="ITA"/>
    <x v="0"/>
    <x v="0"/>
    <n v="4235122196"/>
    <n v="1339843823"/>
    <n v="113"/>
    <n v="6"/>
    <n v="119"/>
    <n v="624"/>
    <n v="743"/>
    <n v="-1"/>
    <n v="4"/>
    <n v="2093"/>
    <n v="413"/>
    <n v="3249"/>
    <n v="77892"/>
  </r>
  <r>
    <x v="99"/>
    <s v="ITA"/>
    <x v="1"/>
    <x v="1"/>
    <n v="4063947052"/>
    <n v="1580514834"/>
    <n v="4"/>
    <n v="0"/>
    <n v="4"/>
    <n v="20"/>
    <n v="24"/>
    <n v="-4"/>
    <n v="0"/>
    <n v="348"/>
    <n v="27"/>
    <n v="399"/>
    <n v="30424"/>
  </r>
  <r>
    <x v="99"/>
    <s v="ITA"/>
    <x v="2"/>
    <x v="2"/>
    <n v="4649933453"/>
    <n v="1135662422"/>
    <n v="13"/>
    <n v="3"/>
    <n v="16"/>
    <n v="104"/>
    <n v="120"/>
    <n v="-3"/>
    <n v="0"/>
    <n v="2187"/>
    <n v="291"/>
    <n v="2598"/>
    <n v="67643"/>
  </r>
  <r>
    <x v="99"/>
    <s v="ITA"/>
    <x v="3"/>
    <x v="3"/>
    <n v="3890597598"/>
    <n v="1659440194"/>
    <n v="20"/>
    <n v="1"/>
    <n v="21"/>
    <n v="91"/>
    <n v="112"/>
    <n v="-23"/>
    <n v="0"/>
    <n v="949"/>
    <n v="97"/>
    <n v="1158"/>
    <n v="71617"/>
  </r>
  <r>
    <x v="99"/>
    <s v="ITA"/>
    <x v="4"/>
    <x v="4"/>
    <n v="4083956555"/>
    <n v="1425084984"/>
    <n v="236"/>
    <n v="7"/>
    <n v="243"/>
    <n v="647"/>
    <n v="890"/>
    <n v="-49"/>
    <n v="3"/>
    <n v="3504"/>
    <n v="415"/>
    <n v="4809"/>
    <n v="206834"/>
  </r>
  <r>
    <x v="99"/>
    <s v="ITA"/>
    <x v="5"/>
    <x v="5"/>
    <n v="4449436681"/>
    <n v="113417208"/>
    <n v="358"/>
    <n v="50"/>
    <n v="408"/>
    <n v="2504"/>
    <n v="2912"/>
    <n v="-156"/>
    <n v="19"/>
    <n v="20780"/>
    <n v="4136"/>
    <n v="27828"/>
    <n v="333629"/>
  </r>
  <r>
    <x v="99"/>
    <s v="ITA"/>
    <x v="6"/>
    <x v="6"/>
    <n v="456494354"/>
    <n v="1376813649"/>
    <n v="40"/>
    <n v="2"/>
    <n v="42"/>
    <n v="202"/>
    <n v="244"/>
    <n v="-22"/>
    <n v="2"/>
    <n v="2696"/>
    <n v="336"/>
    <n v="3276"/>
    <n v="136524"/>
  </r>
  <r>
    <x v="99"/>
    <s v="ITA"/>
    <x v="7"/>
    <x v="7"/>
    <n v="4189277044"/>
    <n v="1248366722"/>
    <n v="580"/>
    <n v="56"/>
    <n v="636"/>
    <n v="2211"/>
    <n v="2847"/>
    <n v="-47"/>
    <n v="5"/>
    <n v="4155"/>
    <n v="741"/>
    <n v="7743"/>
    <n v="260102"/>
  </r>
  <r>
    <x v="99"/>
    <s v="ITA"/>
    <x v="8"/>
    <x v="8"/>
    <n v="4441149315"/>
    <n v="89326992"/>
    <n v="175"/>
    <n v="7"/>
    <n v="182"/>
    <n v="364"/>
    <n v="546"/>
    <n v="-65"/>
    <n v="15"/>
    <n v="7720"/>
    <n v="1468"/>
    <n v="9734"/>
    <n v="109060"/>
  </r>
  <r>
    <x v="99"/>
    <s v="ITA"/>
    <x v="9"/>
    <x v="9"/>
    <n v="4546679409"/>
    <n v="9190347404"/>
    <n v="3021"/>
    <n v="166"/>
    <n v="3187"/>
    <n v="17068"/>
    <n v="20255"/>
    <n v="-606"/>
    <n v="187"/>
    <n v="52807"/>
    <n v="16143"/>
    <n v="89205"/>
    <n v="766122"/>
  </r>
  <r>
    <x v="99"/>
    <s v="ITA"/>
    <x v="10"/>
    <x v="10"/>
    <n v="4361675973"/>
    <n v="135188753"/>
    <n v="60"/>
    <n v="9"/>
    <n v="69"/>
    <n v="1257"/>
    <n v="1326"/>
    <n v="-1"/>
    <n v="4"/>
    <n v="4421"/>
    <n v="987"/>
    <n v="6734"/>
    <n v="104968"/>
  </r>
  <r>
    <x v="99"/>
    <s v="ITA"/>
    <x v="11"/>
    <x v="11"/>
    <n v="4155774754"/>
    <n v="1465916051"/>
    <n v="3"/>
    <n v="2"/>
    <n v="5"/>
    <n v="128"/>
    <n v="133"/>
    <n v="-2"/>
    <n v="0"/>
    <n v="281"/>
    <n v="22"/>
    <n v="436"/>
    <n v="14951"/>
  </r>
  <r>
    <x v="99"/>
    <s v="ITA"/>
    <x v="12"/>
    <x v="12"/>
    <n v="450732745"/>
    <n v="7680687483"/>
    <n v="849"/>
    <n v="46"/>
    <n v="895"/>
    <n v="3933"/>
    <n v="4828"/>
    <n v="-234"/>
    <n v="57"/>
    <n v="22003"/>
    <n v="3884"/>
    <n v="30715"/>
    <n v="325097"/>
  </r>
  <r>
    <x v="99"/>
    <s v="ITA"/>
    <x v="13"/>
    <x v="13"/>
    <n v="4112559576"/>
    <n v="1686736689"/>
    <n v="134"/>
    <n v="11"/>
    <n v="145"/>
    <n v="906"/>
    <n v="1051"/>
    <n v="-104"/>
    <n v="0"/>
    <n v="2939"/>
    <n v="508"/>
    <n v="4498"/>
    <n v="121460"/>
  </r>
  <r>
    <x v="99"/>
    <s v="ITA"/>
    <x v="14"/>
    <x v="14"/>
    <n v="3921531192"/>
    <n v="9110616306"/>
    <n v="21"/>
    <n v="1"/>
    <n v="22"/>
    <n v="133"/>
    <n v="155"/>
    <n v="-6"/>
    <n v="0"/>
    <n v="1071"/>
    <n v="131"/>
    <n v="1357"/>
    <n v="58224"/>
  </r>
  <r>
    <x v="99"/>
    <s v="ITA"/>
    <x v="15"/>
    <x v="15"/>
    <n v="3811569725"/>
    <n v="133623567"/>
    <n v="62"/>
    <n v="7"/>
    <n v="69"/>
    <n v="897"/>
    <n v="966"/>
    <n v="-1"/>
    <n v="4"/>
    <n v="2206"/>
    <n v="275"/>
    <n v="3447"/>
    <n v="153417"/>
  </r>
  <r>
    <x v="99"/>
    <s v="ITA"/>
    <x v="16"/>
    <x v="16"/>
    <n v="4376923077"/>
    <n v="1125588885"/>
    <n v="85"/>
    <n v="25"/>
    <n v="110"/>
    <n v="901"/>
    <n v="1011"/>
    <n v="-71"/>
    <n v="10"/>
    <n v="8053"/>
    <n v="1053"/>
    <n v="10117"/>
    <n v="257178"/>
  </r>
  <r>
    <x v="99"/>
    <s v="ITA"/>
    <x v="17"/>
    <x v="17"/>
    <n v="4606893511"/>
    <n v="1112123097"/>
    <n v="14"/>
    <n v="2"/>
    <n v="16"/>
    <n v="267"/>
    <n v="283"/>
    <n v="-10"/>
    <n v="0"/>
    <n v="3686"/>
    <n v="463"/>
    <n v="4432"/>
    <n v="89787"/>
  </r>
  <r>
    <x v="99"/>
    <s v="ITA"/>
    <x v="18"/>
    <x v="18"/>
    <n v="4310675841"/>
    <n v="1238824698"/>
    <n v="15"/>
    <n v="2"/>
    <n v="17"/>
    <n v="14"/>
    <n v="31"/>
    <n v="0"/>
    <n v="0"/>
    <n v="1324"/>
    <n v="76"/>
    <n v="1431"/>
    <n v="71769"/>
  </r>
  <r>
    <x v="99"/>
    <s v="ITA"/>
    <x v="19"/>
    <x v="19"/>
    <n v="4573750286"/>
    <n v="7320149366"/>
    <n v="10"/>
    <n v="0"/>
    <n v="10"/>
    <n v="3"/>
    <n v="13"/>
    <n v="-4"/>
    <n v="0"/>
    <n v="1031"/>
    <n v="143"/>
    <n v="1187"/>
    <n v="15327"/>
  </r>
  <r>
    <x v="99"/>
    <s v="ITA"/>
    <x v="20"/>
    <x v="20"/>
    <n v="4543490485"/>
    <n v="1233845213"/>
    <n v="103"/>
    <n v="5"/>
    <n v="108"/>
    <n v="1295"/>
    <n v="1403"/>
    <n v="-65"/>
    <n v="8"/>
    <n v="15838"/>
    <n v="1921"/>
    <n v="19162"/>
    <n v="690267"/>
  </r>
  <r>
    <x v="100"/>
    <s v="ITA"/>
    <x v="0"/>
    <x v="0"/>
    <n v="4235122196"/>
    <n v="1339843823"/>
    <n v="112"/>
    <n v="3"/>
    <n v="115"/>
    <n v="621"/>
    <n v="736"/>
    <n v="-7"/>
    <n v="3"/>
    <n v="2102"/>
    <n v="414"/>
    <n v="3252"/>
    <n v="78356"/>
  </r>
  <r>
    <x v="100"/>
    <s v="ITA"/>
    <x v="1"/>
    <x v="1"/>
    <n v="4063947052"/>
    <n v="1580514834"/>
    <n v="4"/>
    <n v="0"/>
    <n v="4"/>
    <n v="19"/>
    <n v="23"/>
    <n v="-1"/>
    <n v="0"/>
    <n v="349"/>
    <n v="27"/>
    <n v="399"/>
    <n v="30708"/>
  </r>
  <r>
    <x v="100"/>
    <s v="ITA"/>
    <x v="2"/>
    <x v="2"/>
    <n v="4649933453"/>
    <n v="1135662422"/>
    <n v="13"/>
    <n v="3"/>
    <n v="16"/>
    <n v="104"/>
    <n v="120"/>
    <n v="0"/>
    <n v="0"/>
    <n v="2187"/>
    <n v="291"/>
    <n v="2598"/>
    <n v="67965"/>
  </r>
  <r>
    <x v="100"/>
    <s v="ITA"/>
    <x v="3"/>
    <x v="3"/>
    <n v="3890597598"/>
    <n v="1659440194"/>
    <n v="20"/>
    <n v="0"/>
    <n v="20"/>
    <n v="90"/>
    <n v="110"/>
    <n v="-2"/>
    <n v="0"/>
    <n v="951"/>
    <n v="97"/>
    <n v="1158"/>
    <n v="72237"/>
  </r>
  <r>
    <x v="100"/>
    <s v="ITA"/>
    <x v="4"/>
    <x v="4"/>
    <n v="4083956555"/>
    <n v="1425084984"/>
    <n v="206"/>
    <n v="4"/>
    <n v="210"/>
    <n v="659"/>
    <n v="869"/>
    <n v="-21"/>
    <n v="12"/>
    <n v="3537"/>
    <n v="415"/>
    <n v="4821"/>
    <n v="208854"/>
  </r>
  <r>
    <x v="100"/>
    <s v="ITA"/>
    <x v="5"/>
    <x v="5"/>
    <n v="4449436681"/>
    <n v="113417208"/>
    <n v="342"/>
    <n v="50"/>
    <n v="392"/>
    <n v="2447"/>
    <n v="2839"/>
    <n v="-73"/>
    <n v="14"/>
    <n v="20856"/>
    <n v="4147"/>
    <n v="27842"/>
    <n v="336630"/>
  </r>
  <r>
    <x v="100"/>
    <s v="ITA"/>
    <x v="6"/>
    <x v="6"/>
    <n v="456494354"/>
    <n v="1376813649"/>
    <n v="39"/>
    <n v="2"/>
    <n v="41"/>
    <n v="192"/>
    <n v="233"/>
    <n v="-11"/>
    <n v="0"/>
    <n v="2707"/>
    <n v="336"/>
    <n v="3276"/>
    <n v="138250"/>
  </r>
  <r>
    <x v="100"/>
    <s v="ITA"/>
    <x v="7"/>
    <x v="7"/>
    <n v="4189277044"/>
    <n v="1248366722"/>
    <n v="519"/>
    <n v="51"/>
    <n v="570"/>
    <n v="2248"/>
    <n v="2818"/>
    <n v="-29"/>
    <n v="10"/>
    <n v="4188"/>
    <n v="747"/>
    <n v="7753"/>
    <n v="262461"/>
  </r>
  <r>
    <x v="100"/>
    <s v="ITA"/>
    <x v="8"/>
    <x v="8"/>
    <n v="4441149315"/>
    <n v="89326992"/>
    <n v="169"/>
    <n v="6"/>
    <n v="175"/>
    <n v="339"/>
    <n v="514"/>
    <n v="-32"/>
    <n v="17"/>
    <n v="7764"/>
    <n v="1473"/>
    <n v="9751"/>
    <n v="110006"/>
  </r>
  <r>
    <x v="100"/>
    <s v="ITA"/>
    <x v="9"/>
    <x v="9"/>
    <n v="4546679409"/>
    <n v="9190347404"/>
    <n v="2995"/>
    <n v="131"/>
    <n v="3126"/>
    <n v="17098"/>
    <n v="20224"/>
    <n v="-31"/>
    <n v="237"/>
    <n v="53046"/>
    <n v="16172"/>
    <n v="89442"/>
    <n v="777477"/>
  </r>
  <r>
    <x v="100"/>
    <s v="ITA"/>
    <x v="10"/>
    <x v="10"/>
    <n v="4361675973"/>
    <n v="135188753"/>
    <n v="57"/>
    <n v="8"/>
    <n v="65"/>
    <n v="1245"/>
    <n v="1310"/>
    <n v="-16"/>
    <n v="1"/>
    <n v="4438"/>
    <n v="987"/>
    <n v="6735"/>
    <n v="105679"/>
  </r>
  <r>
    <x v="100"/>
    <s v="ITA"/>
    <x v="11"/>
    <x v="11"/>
    <n v="4155774754"/>
    <n v="1465916051"/>
    <n v="1"/>
    <n v="2"/>
    <n v="3"/>
    <n v="124"/>
    <n v="127"/>
    <n v="-6"/>
    <n v="0"/>
    <n v="287"/>
    <n v="22"/>
    <n v="436"/>
    <n v="15123"/>
  </r>
  <r>
    <x v="100"/>
    <s v="ITA"/>
    <x v="12"/>
    <x v="12"/>
    <n v="450732745"/>
    <n v="7680687483"/>
    <n v="841"/>
    <n v="44"/>
    <n v="885"/>
    <n v="3801"/>
    <n v="4686"/>
    <n v="-142"/>
    <n v="19"/>
    <n v="22150"/>
    <n v="3898"/>
    <n v="30734"/>
    <n v="327206"/>
  </r>
  <r>
    <x v="100"/>
    <s v="ITA"/>
    <x v="13"/>
    <x v="13"/>
    <n v="4112559576"/>
    <n v="1686736689"/>
    <n v="131"/>
    <n v="10"/>
    <n v="141"/>
    <n v="895"/>
    <n v="1036"/>
    <n v="-15"/>
    <n v="1"/>
    <n v="2952"/>
    <n v="511"/>
    <n v="4499"/>
    <n v="122506"/>
  </r>
  <r>
    <x v="100"/>
    <s v="ITA"/>
    <x v="14"/>
    <x v="14"/>
    <n v="3921531192"/>
    <n v="9110616306"/>
    <n v="12"/>
    <n v="1"/>
    <n v="13"/>
    <n v="133"/>
    <n v="146"/>
    <n v="-9"/>
    <n v="0"/>
    <n v="1080"/>
    <n v="131"/>
    <n v="1357"/>
    <n v="58605"/>
  </r>
  <r>
    <x v="100"/>
    <s v="ITA"/>
    <x v="15"/>
    <x v="15"/>
    <n v="3811569725"/>
    <n v="133623567"/>
    <n v="60"/>
    <n v="7"/>
    <n v="67"/>
    <n v="813"/>
    <n v="880"/>
    <n v="-86"/>
    <n v="0"/>
    <n v="2292"/>
    <n v="275"/>
    <n v="3447"/>
    <n v="154873"/>
  </r>
  <r>
    <x v="100"/>
    <s v="ITA"/>
    <x v="16"/>
    <x v="16"/>
    <n v="4376923077"/>
    <n v="1125588885"/>
    <n v="76"/>
    <n v="25"/>
    <n v="101"/>
    <n v="872"/>
    <n v="973"/>
    <n v="-38"/>
    <n v="4"/>
    <n v="8093"/>
    <n v="1055"/>
    <n v="10121"/>
    <n v="259167"/>
  </r>
  <r>
    <x v="100"/>
    <s v="ITA"/>
    <x v="17"/>
    <x v="17"/>
    <n v="4606893511"/>
    <n v="1112123097"/>
    <n v="15"/>
    <n v="2"/>
    <n v="17"/>
    <n v="205"/>
    <n v="222"/>
    <n v="-61"/>
    <n v="1"/>
    <n v="3748"/>
    <n v="463"/>
    <n v="4433"/>
    <n v="91021"/>
  </r>
  <r>
    <x v="100"/>
    <s v="ITA"/>
    <x v="18"/>
    <x v="18"/>
    <n v="4310675841"/>
    <n v="1238824698"/>
    <n v="15"/>
    <n v="2"/>
    <n v="17"/>
    <n v="14"/>
    <n v="31"/>
    <n v="0"/>
    <n v="0"/>
    <n v="1324"/>
    <n v="76"/>
    <n v="1431"/>
    <n v="72001"/>
  </r>
  <r>
    <x v="100"/>
    <s v="ITA"/>
    <x v="19"/>
    <x v="19"/>
    <n v="4573750286"/>
    <n v="7320149366"/>
    <n v="9"/>
    <n v="0"/>
    <n v="9"/>
    <n v="4"/>
    <n v="13"/>
    <n v="0"/>
    <n v="0"/>
    <n v="1031"/>
    <n v="143"/>
    <n v="1187"/>
    <n v="15413"/>
  </r>
  <r>
    <x v="100"/>
    <s v="ITA"/>
    <x v="20"/>
    <x v="20"/>
    <n v="4543490485"/>
    <n v="1233845213"/>
    <n v="106"/>
    <n v="2"/>
    <n v="108"/>
    <n v="1279"/>
    <n v="1387"/>
    <n v="-16"/>
    <n v="2"/>
    <n v="15856"/>
    <n v="1921"/>
    <n v="19164"/>
    <n v="695053"/>
  </r>
  <r>
    <x v="101"/>
    <s v="ITA"/>
    <x v="0"/>
    <x v="0"/>
    <n v="4235122196"/>
    <n v="1339843823"/>
    <n v="109"/>
    <n v="3"/>
    <n v="112"/>
    <n v="592"/>
    <n v="704"/>
    <n v="-32"/>
    <n v="3"/>
    <n v="2136"/>
    <n v="415"/>
    <n v="3255"/>
    <n v="79720"/>
  </r>
  <r>
    <x v="101"/>
    <s v="ITA"/>
    <x v="1"/>
    <x v="1"/>
    <n v="4063947052"/>
    <n v="1580514834"/>
    <n v="3"/>
    <n v="0"/>
    <n v="3"/>
    <n v="17"/>
    <n v="20"/>
    <n v="-3"/>
    <n v="0"/>
    <n v="352"/>
    <n v="27"/>
    <n v="399"/>
    <n v="31096"/>
  </r>
  <r>
    <x v="101"/>
    <s v="ITA"/>
    <x v="2"/>
    <x v="2"/>
    <n v="4649933453"/>
    <n v="1135662422"/>
    <n v="7"/>
    <n v="2"/>
    <n v="9"/>
    <n v="103"/>
    <n v="112"/>
    <n v="-8"/>
    <n v="0"/>
    <n v="2194"/>
    <n v="292"/>
    <n v="2598"/>
    <n v="68513"/>
  </r>
  <r>
    <x v="101"/>
    <s v="ITA"/>
    <x v="3"/>
    <x v="3"/>
    <n v="3890597598"/>
    <n v="1659440194"/>
    <n v="19"/>
    <n v="0"/>
    <n v="19"/>
    <n v="83"/>
    <n v="102"/>
    <n v="-8"/>
    <n v="0"/>
    <n v="959"/>
    <n v="97"/>
    <n v="1158"/>
    <n v="73072"/>
  </r>
  <r>
    <x v="101"/>
    <s v="ITA"/>
    <x v="4"/>
    <x v="4"/>
    <n v="4083956555"/>
    <n v="1425084984"/>
    <n v="160"/>
    <n v="5"/>
    <n v="165"/>
    <n v="665"/>
    <n v="830"/>
    <n v="-39"/>
    <n v="1"/>
    <n v="3572"/>
    <n v="420"/>
    <n v="4822"/>
    <n v="210001"/>
  </r>
  <r>
    <x v="101"/>
    <s v="ITA"/>
    <x v="5"/>
    <x v="5"/>
    <n v="4449436681"/>
    <n v="113417208"/>
    <n v="320"/>
    <n v="49"/>
    <n v="369"/>
    <n v="2319"/>
    <n v="2688"/>
    <n v="-151"/>
    <n v="18"/>
    <n v="21018"/>
    <n v="4154"/>
    <n v="27860"/>
    <n v="341710"/>
  </r>
  <r>
    <x v="101"/>
    <s v="ITA"/>
    <x v="6"/>
    <x v="6"/>
    <n v="456494354"/>
    <n v="1376813649"/>
    <n v="34"/>
    <n v="2"/>
    <n v="36"/>
    <n v="177"/>
    <n v="213"/>
    <n v="-20"/>
    <n v="3"/>
    <n v="2730"/>
    <n v="336"/>
    <n v="3279"/>
    <n v="138942"/>
  </r>
  <r>
    <x v="101"/>
    <s v="ITA"/>
    <x v="7"/>
    <x v="7"/>
    <n v="4189277044"/>
    <n v="1248366722"/>
    <n v="488"/>
    <n v="51"/>
    <n v="539"/>
    <n v="2215"/>
    <n v="2754"/>
    <n v="-64"/>
    <n v="11"/>
    <n v="4260"/>
    <n v="750"/>
    <n v="7764"/>
    <n v="265380"/>
  </r>
  <r>
    <x v="101"/>
    <s v="ITA"/>
    <x v="8"/>
    <x v="8"/>
    <n v="4441149315"/>
    <n v="89326992"/>
    <n v="149"/>
    <n v="6"/>
    <n v="155"/>
    <n v="239"/>
    <n v="394"/>
    <n v="-120"/>
    <n v="21"/>
    <n v="7899"/>
    <n v="1479"/>
    <n v="9772"/>
    <n v="111587"/>
  </r>
  <r>
    <x v="101"/>
    <s v="ITA"/>
    <x v="9"/>
    <x v="9"/>
    <n v="4546679409"/>
    <n v="9190347404"/>
    <n v="2954"/>
    <n v="125"/>
    <n v="3079"/>
    <n v="17145"/>
    <n v="20224"/>
    <n v="0"/>
    <n v="84"/>
    <n v="53101"/>
    <n v="16201"/>
    <n v="89526"/>
    <n v="780887"/>
  </r>
  <r>
    <x v="101"/>
    <s v="ITA"/>
    <x v="10"/>
    <x v="10"/>
    <n v="4361675973"/>
    <n v="135188753"/>
    <n v="52"/>
    <n v="5"/>
    <n v="57"/>
    <n v="1246"/>
    <n v="1303"/>
    <n v="-7"/>
    <n v="3"/>
    <n v="4447"/>
    <n v="988"/>
    <n v="6738"/>
    <n v="110077"/>
  </r>
  <r>
    <x v="101"/>
    <s v="ITA"/>
    <x v="11"/>
    <x v="11"/>
    <n v="4155774754"/>
    <n v="1465916051"/>
    <n v="0"/>
    <n v="2"/>
    <n v="2"/>
    <n v="123"/>
    <n v="125"/>
    <n v="-2"/>
    <n v="0"/>
    <n v="288"/>
    <n v="23"/>
    <n v="436"/>
    <n v="15261"/>
  </r>
  <r>
    <x v="101"/>
    <s v="ITA"/>
    <x v="12"/>
    <x v="12"/>
    <n v="450732745"/>
    <n v="7680687483"/>
    <n v="808"/>
    <n v="43"/>
    <n v="851"/>
    <n v="3705"/>
    <n v="4556"/>
    <n v="-130"/>
    <n v="24"/>
    <n v="22292"/>
    <n v="3910"/>
    <n v="30758"/>
    <n v="331241"/>
  </r>
  <r>
    <x v="101"/>
    <s v="ITA"/>
    <x v="13"/>
    <x v="13"/>
    <n v="4112559576"/>
    <n v="1686736689"/>
    <n v="131"/>
    <n v="9"/>
    <n v="140"/>
    <n v="827"/>
    <n v="967"/>
    <n v="-69"/>
    <n v="4"/>
    <n v="3022"/>
    <n v="514"/>
    <n v="4503"/>
    <n v="125049"/>
  </r>
  <r>
    <x v="101"/>
    <s v="ITA"/>
    <x v="14"/>
    <x v="14"/>
    <n v="3921531192"/>
    <n v="9110616306"/>
    <n v="12"/>
    <n v="1"/>
    <n v="13"/>
    <n v="95"/>
    <n v="108"/>
    <n v="-38"/>
    <n v="0"/>
    <n v="1118"/>
    <n v="131"/>
    <n v="1357"/>
    <n v="59556"/>
  </r>
  <r>
    <x v="101"/>
    <s v="ITA"/>
    <x v="15"/>
    <x v="15"/>
    <n v="3811569725"/>
    <n v="133623567"/>
    <n v="57"/>
    <n v="6"/>
    <n v="63"/>
    <n v="816"/>
    <n v="879"/>
    <n v="-1"/>
    <n v="0"/>
    <n v="2292"/>
    <n v="276"/>
    <n v="3447"/>
    <n v="157868"/>
  </r>
  <r>
    <x v="101"/>
    <s v="ITA"/>
    <x v="16"/>
    <x v="16"/>
    <n v="4376923077"/>
    <n v="1125588885"/>
    <n v="65"/>
    <n v="24"/>
    <n v="89"/>
    <n v="794"/>
    <n v="883"/>
    <n v="-90"/>
    <n v="1"/>
    <n v="8180"/>
    <n v="1059"/>
    <n v="10122"/>
    <n v="262762"/>
  </r>
  <r>
    <x v="101"/>
    <s v="ITA"/>
    <x v="17"/>
    <x v="17"/>
    <n v="4606893511"/>
    <n v="1112123097"/>
    <n v="14"/>
    <n v="1"/>
    <n v="15"/>
    <n v="192"/>
    <n v="207"/>
    <n v="-15"/>
    <n v="0"/>
    <n v="3762"/>
    <n v="464"/>
    <n v="4433"/>
    <n v="91631"/>
  </r>
  <r>
    <x v="101"/>
    <s v="ITA"/>
    <x v="18"/>
    <x v="18"/>
    <n v="4310675841"/>
    <n v="1238824698"/>
    <n v="15"/>
    <n v="2"/>
    <n v="17"/>
    <n v="14"/>
    <n v="31"/>
    <n v="0"/>
    <n v="0"/>
    <n v="1324"/>
    <n v="76"/>
    <n v="1431"/>
    <n v="73204"/>
  </r>
  <r>
    <x v="101"/>
    <s v="ITA"/>
    <x v="19"/>
    <x v="19"/>
    <n v="4573750286"/>
    <n v="7320149366"/>
    <n v="9"/>
    <n v="0"/>
    <n v="9"/>
    <n v="1"/>
    <n v="10"/>
    <n v="-3"/>
    <n v="0"/>
    <n v="1034"/>
    <n v="143"/>
    <n v="1187"/>
    <n v="15512"/>
  </r>
  <r>
    <x v="101"/>
    <s v="ITA"/>
    <x v="20"/>
    <x v="20"/>
    <n v="4543490485"/>
    <n v="1233845213"/>
    <n v="97"/>
    <n v="2"/>
    <n v="99"/>
    <n v="1220"/>
    <n v="1319"/>
    <n v="-68"/>
    <n v="4"/>
    <n v="15915"/>
    <n v="1934"/>
    <n v="19168"/>
    <n v="706475"/>
  </r>
  <r>
    <x v="102"/>
    <m/>
    <x v="21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5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E157" firstHeaderRow="0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4">
        <item x="12"/>
        <item x="19"/>
        <item x="9"/>
        <item m="1" x="22"/>
        <item x="20"/>
        <item x="6"/>
        <item x="8"/>
        <item x="5"/>
        <item x="16"/>
        <item x="18"/>
        <item x="10"/>
        <item x="7"/>
        <item x="0"/>
        <item x="11"/>
        <item x="4"/>
        <item x="13"/>
        <item x="1"/>
        <item x="3"/>
        <item x="15"/>
        <item x="14"/>
        <item x="21"/>
        <item x="2"/>
        <item x="17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03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6" hier="-1"/>
    <pageField fld="3" item="7" hier="-1"/>
  </pageFields>
  <dataFields count="2">
    <dataField name="Somma di dimessi_guariti" fld="13" baseField="0" baseItem="0"/>
    <dataField name="Somma di deceduti" fld="14" baseField="0" baseItem="0"/>
  </dataFields>
  <formats count="15">
    <format dxfId="195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94">
      <pivotArea collapsedLevelsAreSubtotals="1" fieldPosition="0">
        <references count="1">
          <reference field="0" count="1">
            <x v="113"/>
          </reference>
        </references>
      </pivotArea>
    </format>
    <format dxfId="193">
      <pivotArea collapsedLevelsAreSubtotals="1" fieldPosition="0">
        <references count="1">
          <reference field="0" count="1">
            <x v="114"/>
          </reference>
        </references>
      </pivotArea>
    </format>
    <format dxfId="192">
      <pivotArea collapsedLevelsAreSubtotals="1" fieldPosition="0">
        <references count="1">
          <reference field="0" count="1">
            <x v="115"/>
          </reference>
        </references>
      </pivotArea>
    </format>
    <format dxfId="191">
      <pivotArea collapsedLevelsAreSubtotals="1" fieldPosition="0">
        <references count="1">
          <reference field="0" count="1">
            <x v="116"/>
          </reference>
        </references>
      </pivotArea>
    </format>
    <format dxfId="190">
      <pivotArea collapsedLevelsAreSubtotals="1" fieldPosition="0">
        <references count="1">
          <reference field="0" count="1">
            <x v="117"/>
          </reference>
        </references>
      </pivotArea>
    </format>
    <format dxfId="189">
      <pivotArea collapsedLevelsAreSubtotals="1" fieldPosition="0">
        <references count="1">
          <reference field="0" count="13"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</reference>
        </references>
      </pivotArea>
    </format>
    <format dxfId="188">
      <pivotArea collapsedLevelsAreSubtotals="1" fieldPosition="0">
        <references count="1">
          <reference field="0" count="1">
            <x v="131"/>
          </reference>
        </references>
      </pivotArea>
    </format>
    <format dxfId="187">
      <pivotArea collapsedLevelsAreSubtotals="1" fieldPosition="0">
        <references count="1">
          <reference field="0" count="1">
            <x v="132"/>
          </reference>
        </references>
      </pivotArea>
    </format>
    <format dxfId="186">
      <pivotArea collapsedLevelsAreSubtotals="1" fieldPosition="0">
        <references count="1">
          <reference field="0" count="1">
            <x v="133"/>
          </reference>
        </references>
      </pivotArea>
    </format>
    <format dxfId="185">
      <pivotArea collapsedLevelsAreSubtotals="1" fieldPosition="0">
        <references count="1">
          <reference field="0" count="1">
            <x v="134"/>
          </reference>
        </references>
      </pivotArea>
    </format>
    <format dxfId="184">
      <pivotArea collapsedLevelsAreSubtotals="1" fieldPosition="0">
        <references count="1">
          <reference field="0" count="8"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183">
      <pivotArea collapsedLevelsAreSubtotals="1" fieldPosition="0">
        <references count="1">
          <reference field="0" count="11"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182">
      <pivotArea collapsedLevelsAreSubtotals="1" fieldPosition="0">
        <references count="1">
          <reference field="0" count="2">
            <x v="154"/>
            <x v="155"/>
          </reference>
        </references>
      </pivotArea>
    </format>
    <format dxfId="0">
      <pivotArea collapsedLevelsAreSubtotals="1" fieldPosition="0">
        <references count="1">
          <reference field="0" count="1">
            <x v="15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8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293"/>
    <tableColumn id="2" xr3:uid="{052DBEFF-3B9B-47DB-8FB3-397439AB71C7}" uniqueName="2" name="Column2" queryTableFieldId="2" dataDxfId="292"/>
    <tableColumn id="3" xr3:uid="{E669234B-2AEB-4F57-8C5D-17FAF0F1CFBC}" uniqueName="3" name="Column3" queryTableFieldId="3" dataDxfId="291"/>
    <tableColumn id="4" xr3:uid="{40C81AE9-E9F1-4D7D-ACFE-18D9DB98259D}" uniqueName="4" name="Column4" queryTableFieldId="4" dataDxfId="290"/>
    <tableColumn id="5" xr3:uid="{A5010665-E8D1-4ED3-A97B-86B1164D5ACC}" uniqueName="5" name="Column5" queryTableFieldId="5" dataDxfId="289"/>
    <tableColumn id="6" xr3:uid="{38F861F8-6E8F-41CE-AFF5-8C4B0290C6F0}" uniqueName="6" name="Column6" queryTableFieldId="6" dataDxfId="288"/>
    <tableColumn id="7" xr3:uid="{FD528BAF-2E5C-4269-9D13-28FA5E8CB8CD}" uniqueName="7" name="Column7" queryTableFieldId="7" dataDxfId="287"/>
    <tableColumn id="8" xr3:uid="{DB131F84-35D5-4395-8E47-083FB0417CD8}" uniqueName="8" name="Column8" queryTableFieldId="8" dataDxfId="286"/>
    <tableColumn id="9" xr3:uid="{5EF4FD79-868A-47E4-8C21-73F06B602B6C}" uniqueName="9" name="Column9" queryTableFieldId="9" dataDxfId="285"/>
    <tableColumn id="10" xr3:uid="{7020651A-C043-40FC-99CA-A1D94E7E746F}" uniqueName="10" name="Column10" queryTableFieldId="10" dataDxfId="284"/>
    <tableColumn id="11" xr3:uid="{F7AD8950-CED8-438B-BAF7-15443C7E17A1}" uniqueName="11" name="Column11" queryTableFieldId="11" dataDxfId="283"/>
    <tableColumn id="12" xr3:uid="{05A510B4-B3D3-4667-B95D-BEA70773B1B0}" uniqueName="12" name="Column12" queryTableFieldId="12" dataDxfId="282"/>
    <tableColumn id="13" xr3:uid="{2CBD0A72-DB28-4200-A288-7F922A0A4C3E}" uniqueName="13" name="Column13" queryTableFieldId="13" dataDxfId="281"/>
    <tableColumn id="14" xr3:uid="{55C643F2-E931-4C1F-A43F-1B6C5ABE32E4}" uniqueName="14" name="Column14" queryTableFieldId="14" dataDxfId="280"/>
    <tableColumn id="15" xr3:uid="{44E37E34-9767-48A0-A1BE-0626B50EB6F6}" uniqueName="15" name="Column15" queryTableFieldId="15" dataDxfId="279"/>
    <tableColumn id="16" xr3:uid="{28B62929-53F4-4D57-814D-CDDD52EB420A}" uniqueName="16" name="Column16" queryTableFieldId="16" dataDxfId="278"/>
    <tableColumn id="17" xr3:uid="{76EAB580-FD56-4D5A-A6D7-B859CB1D7A5E}" uniqueName="17" name="Column17" queryTableFieldId="17" dataDxfId="277"/>
    <tableColumn id="18" xr3:uid="{D8B640AD-D4EF-47BD-BF9A-E114F57C73DB}" uniqueName="18" name="Column18" queryTableFieldId="18" dataDxfId="276"/>
    <tableColumn id="19" xr3:uid="{490F89FA-EC16-41A0-B036-82DF01785480}" uniqueName="19" name="Column19" queryTableFieldId="19" dataDxfId="275"/>
    <tableColumn id="20" xr3:uid="{A58AEDF3-BBDD-40E1-BCF7-4EF9FD408A6F}" uniqueName="20" name="Column20" queryTableFieldId="20" dataDxfId="274"/>
    <tableColumn id="21" xr3:uid="{74BAE563-6973-45EA-880C-80A8BD9A98D0}" uniqueName="21" name="Column21" queryTableFieldId="21" dataDxfId="273"/>
    <tableColumn id="22" xr3:uid="{B2E98618-640E-42D8-B756-A3E620533D7A}" uniqueName="22" name="Column22" queryTableFieldId="22" dataDxfId="272"/>
    <tableColumn id="23" xr3:uid="{ED469CF9-F673-4973-B012-6B246271CFFD}" uniqueName="23" name="Column23" queryTableFieldId="23" dataDxfId="271"/>
    <tableColumn id="24" xr3:uid="{831C69DA-4D20-4098-B824-8EB5A425DEF4}" uniqueName="24" name="Column24" queryTableFieldId="24" dataDxfId="270"/>
    <tableColumn id="25" xr3:uid="{276F9C50-1583-4E79-89B0-C464EB524758}" uniqueName="25" name="Column25" queryTableFieldId="25" dataDxfId="269"/>
    <tableColumn id="26" xr3:uid="{8DD8FF83-62A8-49A4-AD2E-0500F3DD3106}" uniqueName="26" name="Column26" queryTableFieldId="26" dataDxfId="268"/>
    <tableColumn id="27" xr3:uid="{68F257A6-FA0C-44C8-ABB2-3ED467858B5B}" uniqueName="27" name="Column27" queryTableFieldId="27" dataDxfId="267"/>
    <tableColumn id="28" xr3:uid="{A62A4C61-3128-47FA-955F-47CF0DE4D1C2}" uniqueName="28" name="Column28" queryTableFieldId="28" dataDxfId="266"/>
    <tableColumn id="29" xr3:uid="{C9E06EEC-DBC6-4198-944C-CA2C7F3D997F}" uniqueName="29" name="Column29" queryTableFieldId="29" dataDxfId="265"/>
    <tableColumn id="30" xr3:uid="{562ED4BA-02D1-432F-AB37-3A16F7F186B7}" uniqueName="30" name="Column30" queryTableFieldId="30" dataDxfId="264"/>
    <tableColumn id="31" xr3:uid="{21C0B22E-874F-4F57-B12A-B0AA5E237327}" uniqueName="31" name="Column31" queryTableFieldId="31" dataDxfId="263"/>
    <tableColumn id="32" xr3:uid="{B19E4A04-5FFA-465E-BB43-FC13AF549471}" uniqueName="32" name="Column32" queryTableFieldId="32" dataDxfId="262"/>
    <tableColumn id="33" xr3:uid="{52FF6019-9DB3-465F-8C17-E90ECB3C1649}" uniqueName="33" name="Column33" queryTableFieldId="33" dataDxfId="261"/>
    <tableColumn id="34" xr3:uid="{076245EA-901F-44DA-AAF1-60AEBD9A2A5F}" uniqueName="34" name="Column34" queryTableFieldId="34" dataDxfId="260"/>
    <tableColumn id="35" xr3:uid="{1D6B3D6D-CD5D-407B-939A-CD03C265E38B}" uniqueName="35" name="Column35" queryTableFieldId="35" dataDxfId="259"/>
    <tableColumn id="36" xr3:uid="{95F10FBD-FBAD-4B7C-850A-BE7304DB6453}" uniqueName="36" name="Column36" queryTableFieldId="36" dataDxfId="258"/>
    <tableColumn id="37" xr3:uid="{DCF4CE06-3527-4277-BB1E-878BFB0F2372}" uniqueName="37" name="Column37" queryTableFieldId="37" dataDxfId="257"/>
    <tableColumn id="38" xr3:uid="{68DEE0AA-CE4F-4937-BA93-5C09CB4F407E}" uniqueName="38" name="Column38" queryTableFieldId="38" dataDxfId="256"/>
    <tableColumn id="39" xr3:uid="{A1635DCA-8C48-4C00-A813-19A5D12ED68E}" uniqueName="39" name="Column39" queryTableFieldId="39" dataDxfId="255"/>
    <tableColumn id="40" xr3:uid="{6B57463E-82D6-42D3-AB6A-E67945C5F150}" uniqueName="40" name="Column40" queryTableFieldId="40" dataDxfId="254"/>
    <tableColumn id="41" xr3:uid="{2DD99B9E-D2F8-46E8-ADD9-A4E6888CC610}" uniqueName="41" name="Column41" queryTableFieldId="41" dataDxfId="253"/>
    <tableColumn id="42" xr3:uid="{07E79799-D2CC-411C-9FF1-E3F237D74CBD}" uniqueName="42" name="Column42" queryTableFieldId="42" dataDxfId="252"/>
    <tableColumn id="43" xr3:uid="{D782A507-BAF0-4DA5-997D-FFAE2F6584A2}" uniqueName="43" name="Column43" queryTableFieldId="43" dataDxfId="251"/>
    <tableColumn id="44" xr3:uid="{7F32FAC7-59FA-4C3B-ACEE-057FCD2A4484}" uniqueName="44" name="Column44" queryTableFieldId="44" dataDxfId="250"/>
    <tableColumn id="45" xr3:uid="{EEFD5EE0-34FB-48B4-88D8-5F1B5600A79A}" uniqueName="45" name="Column45" queryTableFieldId="45" dataDxfId="249"/>
    <tableColumn id="46" xr3:uid="{D9B44C04-68CA-4C03-A97E-FABB58A22A4B}" uniqueName="46" name="Column46" queryTableFieldId="46" dataDxfId="248"/>
    <tableColumn id="47" xr3:uid="{3C4850A4-18AC-4CCA-B088-9A692E3B4D46}" uniqueName="47" name="Column47" queryTableFieldId="47" dataDxfId="247"/>
    <tableColumn id="48" xr3:uid="{9A57DB29-2159-4FF9-A25C-FD402226DD0F}" uniqueName="48" name="Column48" queryTableFieldId="48" dataDxfId="246"/>
    <tableColumn id="49" xr3:uid="{A2FFED32-741F-4F9E-8CAE-476C64A43917}" uniqueName="49" name="Column49" queryTableFieldId="49" dataDxfId="245"/>
    <tableColumn id="50" xr3:uid="{992C1CD8-9B8C-430F-805C-E574C41A827E}" uniqueName="50" name="Column50" queryTableFieldId="50" dataDxfId="244"/>
    <tableColumn id="51" xr3:uid="{C0AF97FE-8FB4-499D-86D8-E27DFE13E768}" uniqueName="51" name="Column51" queryTableFieldId="51" dataDxfId="243"/>
    <tableColumn id="52" xr3:uid="{B1E83CBF-8A74-4E8C-B648-FFB09F246443}" uniqueName="52" name="Column52" queryTableFieldId="52" dataDxfId="242"/>
    <tableColumn id="53" xr3:uid="{DB14E96F-2BE4-433B-9B55-B2F2859396D2}" uniqueName="53" name="Column53" queryTableFieldId="53" dataDxfId="241"/>
    <tableColumn id="54" xr3:uid="{B6FC09E3-8EF1-4CA1-BCA1-BFB6BC1BD682}" uniqueName="54" name="Column54" queryTableFieldId="54" dataDxfId="240"/>
    <tableColumn id="55" xr3:uid="{552C4D39-A801-41C5-BFDD-61DEEA3D4E7E}" uniqueName="55" name="Column55" queryTableFieldId="55" dataDxfId="239"/>
    <tableColumn id="56" xr3:uid="{DD3AF5A5-6F96-40CC-A4D2-D183D502AB47}" uniqueName="56" name="Column56" queryTableFieldId="56" dataDxfId="238"/>
    <tableColumn id="57" xr3:uid="{28CAB7DA-C674-4811-A07C-EC5174D8E240}" uniqueName="57" name="Column57" queryTableFieldId="57" dataDxfId="237"/>
    <tableColumn id="58" xr3:uid="{BE7B1D9D-195A-44AD-BBBD-6E14D5A63496}" uniqueName="58" name="Column58" queryTableFieldId="58" dataDxfId="236"/>
    <tableColumn id="59" xr3:uid="{8C34A3CE-B862-414E-93DA-118BE278A02F}" uniqueName="59" name="Column59" queryTableFieldId="59" dataDxfId="235"/>
    <tableColumn id="60" xr3:uid="{0EB2E1AC-FC20-4D13-9E56-63C7D3C758BD}" uniqueName="60" name="Column60" queryTableFieldId="60" dataDxfId="234"/>
    <tableColumn id="61" xr3:uid="{99087620-7A35-49C4-A2E5-DB3A5261317C}" uniqueName="61" name="Column61" queryTableFieldId="61" dataDxfId="233"/>
    <tableColumn id="62" xr3:uid="{ED5AE7BC-E80E-481A-8C49-6ABC3B3968E9}" uniqueName="62" name="Column62" queryTableFieldId="62" dataDxfId="232"/>
    <tableColumn id="63" xr3:uid="{F8280355-FA40-42DB-965B-3464C85B49D5}" uniqueName="63" name="Column63" queryTableFieldId="63" dataDxfId="231"/>
    <tableColumn id="64" xr3:uid="{F2418127-D014-4067-B107-C78C140B00C6}" uniqueName="64" name="Column64" queryTableFieldId="64" dataDxfId="230"/>
    <tableColumn id="65" xr3:uid="{F0E3F92E-1444-409E-887A-859634E088BB}" uniqueName="65" name="Column65" queryTableFieldId="65" dataDxfId="229"/>
    <tableColumn id="66" xr3:uid="{C6BFA776-5E27-4A98-861E-69EDB62DF652}" uniqueName="66" name="Column66" queryTableFieldId="66" dataDxfId="228"/>
    <tableColumn id="67" xr3:uid="{37392868-CE32-47E3-9EBB-7FDB898DF345}" uniqueName="67" name="Column67" queryTableFieldId="67" dataDxfId="227"/>
    <tableColumn id="68" xr3:uid="{DBE13BEF-A7B4-464A-8759-557A1498E393}" uniqueName="68" name="Column68" queryTableFieldId="68" dataDxfId="226"/>
    <tableColumn id="69" xr3:uid="{84869D7A-2B6F-48ED-A53D-052BEE671F8F}" uniqueName="69" name="Column69" queryTableFieldId="69" dataDxfId="225"/>
    <tableColumn id="70" xr3:uid="{2153FAE8-E048-496E-8872-80091449CB2A}" uniqueName="70" name="Column70" queryTableFieldId="70" dataDxfId="224"/>
    <tableColumn id="71" xr3:uid="{F16A0634-21F6-4BA9-BE1A-331EBA4E42CC}" uniqueName="71" name="Column71" queryTableFieldId="71" dataDxfId="223"/>
    <tableColumn id="72" xr3:uid="{91E13775-282B-44A5-B090-BAAD6CE14739}" uniqueName="72" name="Column72" queryTableFieldId="72" dataDxfId="222"/>
    <tableColumn id="73" xr3:uid="{31C9BBFA-5F48-41FF-A6BD-18E0870C8372}" uniqueName="73" name="Column73" queryTableFieldId="73" dataDxfId="221"/>
    <tableColumn id="74" xr3:uid="{3739070E-FEC8-41B4-A012-66BD64645263}" uniqueName="74" name="Column74" queryTableFieldId="74" dataDxfId="220"/>
    <tableColumn id="75" xr3:uid="{AB11DF51-07F2-4C4E-AC22-81A7CAB0871D}" uniqueName="75" name="Column75" queryTableFieldId="75" dataDxfId="219"/>
    <tableColumn id="76" xr3:uid="{D7A188E8-CF02-4EE6-BB4C-2F331E85B374}" uniqueName="76" name="Column76" queryTableFieldId="76" dataDxfId="218"/>
    <tableColumn id="77" xr3:uid="{50F0B1CB-0C35-4821-9ACF-DC2679AC194D}" uniqueName="77" name="Column77" queryTableFieldId="77" dataDxfId="217"/>
    <tableColumn id="78" xr3:uid="{5AB67DA2-FC6D-488B-ACB9-7C199D1611BA}" uniqueName="78" name="Column78" queryTableFieldId="78" dataDxfId="216"/>
    <tableColumn id="79" xr3:uid="{BC709710-CF6F-4BBE-B13D-93DBADBDF7CC}" uniqueName="79" name="Column79" queryTableFieldId="79" dataDxfId="215"/>
    <tableColumn id="80" xr3:uid="{D409598C-480C-4575-BD6E-24F377A55738}" uniqueName="80" name="Column80" queryTableFieldId="80" dataDxfId="214"/>
    <tableColumn id="81" xr3:uid="{29F1A8E9-1946-4762-844B-85E3BD464D4E}" uniqueName="81" name="Column81" queryTableFieldId="81" dataDxfId="213"/>
    <tableColumn id="82" xr3:uid="{51C8C840-6D59-41D0-9BA5-A7587349955C}" uniqueName="82" name="Column82" queryTableFieldId="82" dataDxfId="212"/>
    <tableColumn id="83" xr3:uid="{C0B4AD81-72D6-499D-83BB-4E1CD2D2C467}" uniqueName="83" name="Column83" queryTableFieldId="83" dataDxfId="211"/>
    <tableColumn id="84" xr3:uid="{FB379548-157F-4309-AC70-EF805CEB817B}" uniqueName="84" name="Column84" queryTableFieldId="84" dataDxfId="210"/>
    <tableColumn id="85" xr3:uid="{4A3485F0-B1E3-4310-A9F6-707CF5D1CA83}" uniqueName="85" name="Column85" queryTableFieldId="85" dataDxfId="209"/>
    <tableColumn id="86" xr3:uid="{F93380DA-9761-45AD-83BC-BA721BF6937B}" uniqueName="86" name="Column86" queryTableFieldId="86" dataDxfId="208"/>
    <tableColumn id="87" xr3:uid="{95ADB596-3D66-413E-86E9-1907052905AD}" uniqueName="87" name="Column87" queryTableFieldId="87" dataDxfId="207"/>
    <tableColumn id="88" xr3:uid="{32BC6DF1-F486-476F-A226-E664119B552F}" uniqueName="88" name="Column88" queryTableFieldId="88" dataDxfId="206"/>
    <tableColumn id="89" xr3:uid="{8B5CE1D1-9B24-48A4-A451-69F42020789F}" uniqueName="89" name="Column89" queryTableFieldId="89" dataDxfId="205"/>
    <tableColumn id="90" xr3:uid="{DE96CE83-D562-4160-A543-08778B58C748}" uniqueName="90" name="Column90" queryTableFieldId="90" dataDxfId="204"/>
    <tableColumn id="91" xr3:uid="{7E508C88-20A4-4EDF-8779-2C5520B2EE17}" uniqueName="91" name="Column91" queryTableFieldId="91" dataDxfId="203"/>
    <tableColumn id="92" xr3:uid="{5740E1CC-5660-48ED-8327-82B06C5A0C53}" uniqueName="92" name="Column92" queryTableFieldId="92" dataDxfId="202"/>
    <tableColumn id="93" xr3:uid="{E152ED93-98B0-48D4-ACAF-1F9A14E63131}" uniqueName="93" name="Column93" queryTableFieldId="93" dataDxfId="201"/>
    <tableColumn id="94" xr3:uid="{04D2E53B-68DF-4AD0-9076-3A3EF959206D}" uniqueName="94" name="Column94" queryTableFieldId="94" dataDxfId="200"/>
    <tableColumn id="95" xr3:uid="{B85B9114-E02D-4E70-91EB-2B36942D9B34}" uniqueName="95" name="Column95" queryTableFieldId="95" dataDxfId="199"/>
    <tableColumn id="96" xr3:uid="{0C9EF96D-8CE9-4C0A-8EF1-1EDC8AECB626}" uniqueName="96" name="Column96" queryTableFieldId="96" dataDxfId="198"/>
    <tableColumn id="97" xr3:uid="{DE86C336-9274-457E-B3EE-1D503B21AD35}" uniqueName="97" name="Column97" queryTableFieldId="97" dataDxfId="197"/>
    <tableColumn id="98" xr3:uid="{4EBD33D1-BE7E-4C7B-B5C4-768594BBCBED}" uniqueName="98" name="Column98" queryTableFieldId="98" dataDxfId="19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103" tableType="queryTable" totalsRowShown="0">
  <autoFilter ref="A1:P103" xr:uid="{D0A1C8D8-5217-433D-99F5-8999CDDB2081}"/>
  <tableColumns count="16">
    <tableColumn id="1" xr3:uid="{6CCD7585-D8F9-4107-B9DC-D4B81DE6869B}" uniqueName="1" name="data" queryTableFieldId="1" dataDxfId="28"/>
    <tableColumn id="2" xr3:uid="{9B9CC325-AF99-4169-8709-CD8722606075}" uniqueName="2" name="stato" queryTableFieldId="2" dataDxfId="27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26"/>
    <tableColumn id="16" xr3:uid="{6E80C55E-74BA-4347-AC20-1BE816E48DA4}" uniqueName="16" name="note_en" queryTableFieldId="16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2143" tableType="queryTable" totalsRowShown="0">
  <autoFilter ref="A1:T2143" xr:uid="{75A0E3AA-1478-411F-B1DA-A76ABEB50CF9}">
    <filterColumn colId="2">
      <filters>
        <filter val="7"/>
      </filters>
    </filterColumn>
  </autoFilter>
  <tableColumns count="20">
    <tableColumn id="1" xr3:uid="{B2AE65BE-C010-4297-A190-279E9C24A4E9}" uniqueName="1" name="data" queryTableFieldId="1" dataDxfId="6"/>
    <tableColumn id="2" xr3:uid="{F043FB76-ED52-4FD4-B68E-63BDFA884DF7}" uniqueName="2" name="stato" queryTableFieldId="2" dataDxfId="5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4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3"/>
    <tableColumn id="19" xr3:uid="{C5A03D33-10A8-4F81-82C2-B88811DA4B48}" uniqueName="19" name="note_it" queryTableFieldId="19" dataDxfId="2"/>
    <tableColumn id="20" xr3:uid="{FB809515-6F16-4BCF-A791-6216B35F8D02}" uniqueName="20" name="note_en" queryTableFieldId="20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181">
  <autoFilter ref="B7:AA184" xr:uid="{3FC8D4CB-1CF6-4469-84DF-7F0ECB3BF752}"/>
  <tableColumns count="26">
    <tableColumn id="1" xr3:uid="{23135A61-F766-418E-98E1-4B28EB0245EB}" name="Date" dataDxfId="180"/>
    <tableColumn id="2" xr3:uid="{9D31CCAA-E745-495E-AC65-4EE7E5B7C948}" name="Day" dataDxfId="179"/>
    <tableColumn id="3" xr3:uid="{FA8347E6-D263-402C-B119-75408FAF2DAC}" name="Italy cumulative" dataDxfId="178"/>
    <tableColumn id="16" xr3:uid="{8C3FDD01-6166-4DD6-9069-BBFB3B31CBAB}" name="Colonna1" dataDxfId="177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176">
      <calculatedColumnFormula>Tabella8[[#This Row],[region fit]]+Tabella8[[#This Row],[rest of Italy fit]]</calculatedColumnFormula>
    </tableColumn>
    <tableColumn id="23" xr3:uid="{8205D785-66A4-4A16-AB9A-6AEDEE06C465}" name="Italiy sum of regions  (Norm.)" dataDxfId="175">
      <calculatedColumnFormula>Tabella8[[#This Row],[Italy sum of regions]]/K_sum</calculatedColumnFormula>
    </tableColumn>
    <tableColumn id="17" xr3:uid="{C448742E-FAE5-406F-BB11-395AB7117427}" name="Colonna2" dataDxfId="174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73">
      <calculatedColumnFormula>MAX(Kt*(TANH(psi_t*(Tabella8[[#This Row],[Day]]-pt)-phi_t)+TANH(phi_t))/(1+TANH(phi_t)),0)</calculatedColumnFormula>
    </tableColumn>
    <tableColumn id="24" xr3:uid="{EAFABED2-6A06-4D2D-B725-ED92B18FE0F8}" name="Italy fit (Norm:)" dataDxfId="172">
      <calculatedColumnFormula>Tabella8[[#This Row],[Italy fit]]/Kt</calculatedColumnFormula>
    </tableColumn>
    <tableColumn id="18" xr3:uid="{BB0581BF-B4E8-454D-A58F-7896262EF839}" name="Colonna3" dataDxfId="171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region data" dataCellStyle="20% - Colore 2"/>
    <tableColumn id="19" xr3:uid="{F96B47FC-7C3A-47A5-B0B6-FBBA6A0E9F53}" name="Colonna4" dataDxfId="170">
      <calculatedColumnFormula>Tabella8[[#This Row],[region data]]*NOT(ISBLANK(Tabella8[[#This Row],[region data]]))</calculatedColumnFormula>
    </tableColumn>
    <tableColumn id="8" xr3:uid="{FFDFB21E-6B95-4CB3-BEAA-17A88953AF1A}" name="region fit" dataDxfId="169">
      <calculatedColumnFormula>MAX(Kr*(TANH(psi_r*(Tabella8[[#This Row],[Day]]-pr)-phi_r)+TANH(phi_r))/(1+TANH(phi_r)),0)</calculatedColumnFormula>
    </tableColumn>
    <tableColumn id="25" xr3:uid="{415E3992-2D3B-4B08-B52A-BA7EDE1B22D0}" name="region fit (Norm.)" dataDxfId="168">
      <calculatedColumnFormula>Tabella8[[#This Row],[region fit]]/Kr</calculatedColumnFormula>
    </tableColumn>
    <tableColumn id="20" xr3:uid="{E0C56B36-41D5-4E63-90C0-BEF19D5CF307}" name="Colonna5" dataDxfId="167">
      <calculatedColumnFormula>Tabella8[[#This Row],[region fit]]*NOT(ISBLANK(Tabella8[[#This Row],[region data]]))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166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65">
      <calculatedColumnFormula>MAX(Ko*(TANH(psi_o*(Tabella8[[#This Row],[Day]]-po)-phi_o)+TANH(phi_o))/(1+TANH(phi_o)),0)</calculatedColumnFormula>
    </tableColumn>
    <tableColumn id="26" xr3:uid="{38CEE2F0-2DCF-4937-B752-21D39BEAB993}" name="rest of Italy fit (Norm.)" dataDxfId="164">
      <calculatedColumnFormula>Tabella8[[#This Row],[rest of Italy fit]]/Ko</calculatedColumnFormula>
    </tableColumn>
    <tableColumn id="22" xr3:uid="{D4BF3042-F3E5-4A11-865A-5C285EB3D460}" name="Colonna7" dataDxfId="163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162" dataDxfId="161">
  <autoFilter ref="AC7:AD17" xr:uid="{FE44A3F6-B4C2-400B-AA9A-283E33E9F7C7}"/>
  <tableColumns count="2">
    <tableColumn id="1" xr3:uid="{D2583FE2-794A-4D14-88A1-0EEE16DA7363}" name="Whole country sum" dataDxfId="160"/>
    <tableColumn id="2" xr3:uid="{7AD72336-12D4-4A52-8169-8B6FC2AAA773}" name="Italy sum" dataDxfId="15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158"/>
    <tableColumn id="2" xr3:uid="{4B3DF482-3E70-4077-90EF-F4C6D02D2F19}" name="region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157">
  <autoFilter ref="AC29:AD39" xr:uid="{4F62C887-D7E5-4422-A98B-007740B545EB}"/>
  <tableColumns count="2">
    <tableColumn id="1" xr3:uid="{BDF94A07-4A3B-4AEE-A628-F130488AED7A}" name="outside" dataDxfId="156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155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P281" totalsRowShown="0" headerRowDxfId="154">
  <autoFilter ref="B7:AP281" xr:uid="{5E78D83D-6C25-40E0-A2DB-B68F6AAB46EA}"/>
  <tableColumns count="41">
    <tableColumn id="1" xr3:uid="{AC9FAB61-B731-40E3-83D5-22123EF8AE0D}" name="Date" dataDxfId="153"/>
    <tableColumn id="2" xr3:uid="{AB3B8E39-CEE3-43EE-B1A6-8D28135CAFC6}" name="Day" dataDxfId="152"/>
    <tableColumn id="3" xr3:uid="{DDACA13A-A286-4F18-9A4D-05064582A36A}" name="Italy cumul. data"/>
    <tableColumn id="4" xr3:uid="{4A764917-3626-4415-9B41-E9B90EFD7FA4}" name="Italy remov. rate data" dataDxfId="151"/>
    <tableColumn id="21" xr3:uid="{C976B52B-2786-4CB4-B206-E98A3E1A4632}" name="Colonna1" dataDxfId="150">
      <calculatedColumnFormula>Tabella3[[#This Row],[Italy remov. rate data]]*NOT(ISBLANK(Tabella3[[#This Row],[Italy remov. rate data]]))</calculatedColumnFormula>
    </tableColumn>
    <tableColumn id="5" xr3:uid="{3DBA7757-647A-453D-A0D3-43B83465DD6F}" name="Italy cumul. fit" dataDxfId="149">
      <calculatedColumnFormula>Tabella3[[#This Row],[region cumul. fit]]+Tabella3[[#This Row],[rest of Italy cumul. fit]]</calculatedColumnFormula>
    </tableColumn>
    <tableColumn id="30" xr3:uid="{19173AC9-DD3B-48D8-BD27-B959B4943117}" name="Italy cum. fit (Norm.)" dataDxfId="148">
      <calculatedColumnFormula>Tabella3[[#This Row],[Italy cumul. fit]]/Kf</calculatedColumnFormula>
    </tableColumn>
    <tableColumn id="6" xr3:uid="{ADF84F98-C9B1-4D4E-965D-1E7BE56AE313}" name="Italy (fit of selected region + fitted sum of the other regions)" dataDxfId="147">
      <calculatedColumnFormula>Tabella3[[#This Row],[region fit]]+Tabella3[[#This Row],[rest of Italy fit]]</calculatedColumnFormula>
    </tableColumn>
    <tableColumn id="29" xr3:uid="{1E8CC91C-8367-45FE-8391-9AB293D222B5}" name="Italy sum of regions (Norm.)" dataDxfId="146">
      <calculatedColumnFormula>Tabella3[[#This Row],[Italy (fit of selected region + fitted sum of the other regions)]]/(y_l_peak+y_a_peak)</calculatedColumnFormula>
    </tableColumn>
    <tableColumn id="27" xr3:uid="{314DDD96-3EEF-47F6-A093-677CC3B78412}" name="Italy remov. rate fit" dataDxfId="145">
      <calculatedColumnFormula>IFERROR(Kf*psi_f*_xlfn.SECH(psi_f*(Tabella3[[#This Row],[Day]]-pf)-phi_f)^2/(1+TANH(phi_f)),0)</calculatedColumnFormula>
    </tableColumn>
    <tableColumn id="36" xr3:uid="{CC5B183D-632D-4A6C-B644-BB29F3D6869D}" name="rem. rate residuals" dataDxfId="144">
      <calculatedColumnFormula>Tabella3[[#This Row],[Italy remov. rate fit]]-Tabella3[[#This Row],[Italy remov. rate data]]</calculatedColumnFormula>
    </tableColumn>
    <tableColumn id="37" xr3:uid="{202404FC-9A44-4951-A150-753A34E6DFBC}" name="Colonna4" dataDxfId="143">
      <calculatedColumnFormula>Tabella3[[#This Row],[rem. rate residuals]]*NOT(ISBLANK(Tabella3[[#This Row],[Italy remov. rate data]]))</calculatedColumnFormula>
    </tableColumn>
    <tableColumn id="31" xr3:uid="{28B183A3-93B0-49AC-9B07-DFC3DA865465}" name="Italy remov. rate fit (Norm.)" dataDxfId="142">
      <calculatedColumnFormula>Tabella3[[#This Row],[Italy remov. rate fit]]/y_f_peak</calculatedColumnFormula>
    </tableColumn>
    <tableColumn id="22" xr3:uid="{7CB6D2CF-1488-45DF-B3D3-DA9FCE991397}" name="Colonna2" dataDxfId="141">
      <calculatedColumnFormula>Tabella3[[#This Row],[Italy (fit of selected region + fitted sum of the other regions)]]*NOT(ISBLANK(Tabella3[[#This Row],[Italy remov. rate data]]))</calculatedColumnFormula>
    </tableColumn>
    <tableColumn id="28" xr3:uid="{B7998AB9-1622-4307-B253-C5A912B69B6C}" name="Colonna22" dataDxfId="140">
      <calculatedColumnFormula>Tabella3[[#This Row],[Italy remov. rate fit]]*NOT(ISBLANK(Tabella3[[#This Row],[Italy remov. rate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region cumul. data"/>
    <tableColumn id="10" xr3:uid="{09663C31-3E7C-4611-8AF3-0C06B00BA6F1}" name="region data" dataDxfId="139"/>
    <tableColumn id="23" xr3:uid="{10082EA6-D10C-44B2-9A09-0B1409F1C373}" name="Colonna3" dataDxfId="138">
      <calculatedColumnFormula>Tabella3[[#This Row],[region data]]*NOT(ISBLANK(Tabella3[[#This Row],[region data]]))</calculatedColumnFormula>
    </tableColumn>
    <tableColumn id="38" xr3:uid="{100D5A38-841C-4E03-A48A-E21FFFCDBFFA}" name="6-days moving avg" dataDxfId="137"/>
    <tableColumn id="40" xr3:uid="{5FB18D02-28A1-41D7-B01E-DF3FB730450A}" name="Colonna5" dataDxfId="136">
      <calculatedColumnFormula>Tabella3[[#This Row],[6-days moving avg]]*NOT(ISBLANK(Tabella3[[#This Row],[6-days moving avg]]))</calculatedColumnFormula>
    </tableColumn>
    <tableColumn id="11" xr3:uid="{CDC351C1-18CE-4B4C-A65D-FD39DA8A5DED}" name="region cumul. fit" dataDxfId="135">
      <calculatedColumnFormula>Tabella8[[#This Row],[region fit]]</calculatedColumnFormula>
    </tableColumn>
    <tableColumn id="32" xr3:uid="{8289A475-5A3F-4D73-BFD0-199C82D3EFEB}" name="region cum. fit (Norm.)" dataDxfId="134">
      <calculatedColumnFormula>Tabella3[[#This Row],[region cumul. fit]]/Kl</calculatedColumnFormula>
    </tableColumn>
    <tableColumn id="12" xr3:uid="{442CC8F3-BD05-4FDA-B285-A701402ADF1D}" name="region fit" dataDxfId="133">
      <calculatedColumnFormula>IFERROR(Kl*psi_l*_xlfn.SECH(psi_l*(Tabella3[[#This Row],[Day]]-pl)-phi_l)^2/(1+TANH(phi_l)),0)</calculatedColumnFormula>
    </tableColumn>
    <tableColumn id="33" xr3:uid="{45D3EE4E-80BD-46C5-8651-F774F41813D9}" name="region fit (Norm.)" dataDxfId="132">
      <calculatedColumnFormula>Tabella3[[#This Row],[region fit]]/y_l_peak</calculatedColumnFormula>
    </tableColumn>
    <tableColumn id="24" xr3:uid="{3735E881-B76D-4343-A940-CD03F154AD8A}" name="Colonna32" dataDxfId="131">
      <calculatedColumnFormula>Tabella3[[#This Row],[region fit]]*NOT(ISBLANK(Tabella3[[#This Row],[region data]]))</calculatedColumnFormula>
    </tableColumn>
    <tableColumn id="39" xr3:uid="{D2E991DE-E8EB-4FCC-9910-B86BA3C206DA}" name="6-days moving avg fit" dataDxfId="130">
      <calculatedColumnFormula>IFERROR(kl_m*psi_l_m*_xlfn.SECH(psi_l_m*(Tabella3[[#This Row],[Day]]-pl_m)-phi_l_m)^2/(1+TANH(phi_l_m)),0)</calculatedColumnFormula>
    </tableColumn>
    <tableColumn id="41" xr3:uid="{A630EAFB-6FAE-4941-82BB-1B19DAEE9960}" name="Colonna6" dataDxfId="129">
      <calculatedColumnFormula>Tabella3[[#This Row],[6-days moving avg fit]]*NOT(ISBLANK(Tabella3[[#This Row],[6-days moving avg]]))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128"/>
    <tableColumn id="25" xr3:uid="{0DCF2D46-6281-4B7D-BB9E-222F69A41FF9}" name="Colonna33" dataDxfId="127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126">
      <calculatedColumnFormula>Tabella8[[#This Row],[rest of Italy fit]]</calculatedColumnFormula>
    </tableColumn>
    <tableColumn id="34" xr3:uid="{8DC03341-55D1-4FDB-BAB7-6F60F1EC5087}" name="rest of Italy com. fit (Norm.)" dataDxfId="125">
      <calculatedColumnFormula>Tabella3[[#This Row],[rest of Italy cumul. fit]]/Ka</calculatedColumnFormula>
    </tableColumn>
    <tableColumn id="18" xr3:uid="{84CE2F6C-88D6-4F6C-BCE7-AB2A3AB959DB}" name="rest of Italy fit" dataDxfId="124">
      <calculatedColumnFormula>IFERROR(Ka*psi_a*_xlfn.SECH(psi_a*(Tabella3[[#This Row],[Day]]-pa)-phi_a)^2/(1+TANH(phi_a)),0)</calculatedColumnFormula>
    </tableColumn>
    <tableColumn id="35" xr3:uid="{FAE138C2-83E3-4613-9501-2311745CFF47}" name="rest of Italy fit (Norm.)" dataDxfId="123">
      <calculatedColumnFormula>Tabella3[[#This Row],[rest of Italy fit]]/y_a_peak</calculatedColumnFormula>
    </tableColumn>
    <tableColumn id="26" xr3:uid="{09DF6F78-AD5E-4D2B-8B55-4D9808403ED3}" name="Colonna322" dataDxfId="122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R7:AS18" totalsRowShown="0" headerRowDxfId="121" dataDxfId="120">
  <autoFilter ref="AR7:AS18" xr:uid="{00766B7A-46BC-4E07-B4A9-02AE45892E82}"/>
  <tableColumns count="2">
    <tableColumn id="1" xr3:uid="{E4319721-3F80-4342-9D0A-B78DF39299B8}" name="Whole country sum" dataDxfId="119"/>
    <tableColumn id="2" xr3:uid="{B084DEAD-F4A7-4385-950A-B66123852865}" name="Italy sum" dataDxfId="118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R19:AS31" totalsRowShown="0">
  <autoFilter ref="AR19:AS31" xr:uid="{2E08838D-8BAF-42A1-B981-D6B449E7082E}"/>
  <tableColumns count="2">
    <tableColumn id="1" xr3:uid="{3FD0D38D-8842-4E6D-9882-984AB3BFADE1}" name="region"/>
    <tableColumn id="2" xr3:uid="{A2610841-2CD8-4F5A-829D-2493C4B73EC9}" name="region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R32:AS44" totalsRowShown="0" headerRowDxfId="117">
  <autoFilter ref="AR32:AS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R45:AS57" totalsRowShown="0" headerRowDxfId="116">
  <autoFilter ref="AR45:AS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5F510E1-A82E-4E37-A696-6F326C6D717C}" name="Tabella520" displayName="Tabella520" ref="AU19:AV31" totalsRowShown="0">
  <autoFilter ref="AU19:AV31" xr:uid="{A1FC66BC-D470-46E0-A1E8-94594C0159E5}"/>
  <tableColumns count="2">
    <tableColumn id="1" xr3:uid="{8C119177-3125-425A-9D13-51FA19E2D7A2}" name="region"/>
    <tableColumn id="2" xr3:uid="{D4C6CC96-9C7E-4579-890A-73F44EF3E4A2}" name="moving avg fit"/>
  </tableColumns>
  <tableStyleInfo name="TableStyleLight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115">
  <autoFilter ref="B7:BV184" xr:uid="{64CD1C81-4B90-4800-800E-C13D0F753BA9}"/>
  <tableColumns count="73">
    <tableColumn id="1" xr3:uid="{ACC60D23-F072-4D9D-A75D-B1915A814BB4}" name="Date" dataDxfId="114"/>
    <tableColumn id="2" xr3:uid="{C687C2CC-E8A7-4C24-B877-FA7EDDF0A632}" name="Day" dataDxfId="113"/>
    <tableColumn id="3" xr3:uid="{32CB9D95-D0A9-4333-A8CB-BAC8B460990E}" name="Italy cumul. data"/>
    <tableColumn id="4" xr3:uid="{76F600A8-728F-40AA-A2E9-DDB22120782F}" name="Italy rate data" dataDxfId="112"/>
    <tableColumn id="36" xr3:uid="{0884E98A-AEF8-472A-A5DA-4B24699AC0CF}" name="Italy accel. data " dataDxfId="111">
      <calculatedColumnFormula>Tabella34[[#This Row],[Italy rate data]]-E7</calculatedColumnFormula>
    </tableColumn>
    <tableColumn id="21" xr3:uid="{0D1481C4-9D87-4704-B0DE-8ACA0E994AC7}" name="Colonna1" dataDxfId="110">
      <calculatedColumnFormula>Tabella34[[#This Row],[Italy rate data]]*NOT(ISBLANK(Tabella34[[#This Row],[Italy rate data]]))</calculatedColumnFormula>
    </tableColumn>
    <tableColumn id="5" xr3:uid="{8D0CB0D2-92F2-41DA-A159-66625C9C7097}" name="Italy cumul. Fit" dataDxfId="109">
      <calculatedColumnFormula>Tabella8[[#This Row],[Italy fit]]</calculatedColumnFormula>
    </tableColumn>
    <tableColumn id="39" xr3:uid="{21F9B5CE-CC66-4D15-B76F-C86FB0BE1F82}" name="Italy d.t." dataDxfId="108">
      <calculatedColumnFormula>(ATANH(alpha*Tabella34[[#This Row],[Italy cumul. Fit]]/Kf-(1-alpha*Tabella34[[#This Row],[Italy cumul. Fit]]/Kf)*TANH(phi_f))+phi_f)/psi_f-(Tabella34[[#This Row],[Day]]-pf)</calculatedColumnFormula>
    </tableColumn>
    <tableColumn id="72" xr3:uid="{7E087130-7511-49DE-83D3-3176EC0124E7}" name="Italy d.t. (Norm. To val. at lockdown)" dataDxfId="107">
      <calculatedColumnFormula>Tabella34[[#This Row],[Italy d.t.]]/Italy_dt_at_lockdown</calculatedColumnFormula>
    </tableColumn>
    <tableColumn id="30" xr3:uid="{03F23D1E-85B6-40F6-8AA8-7DE1FFDE9589}" name="Italy cum. Fit (Norm.)" dataDxfId="106">
      <calculatedColumnFormula>Tabella34[[#This Row],[Italy cumul. Fit]]/Kf</calculatedColumnFormula>
    </tableColumn>
    <tableColumn id="6" xr3:uid="{740AA17C-023E-4C94-8E34-DB114AB971BF}" name="Italy (fit of selected region + fitted sum of the other regions)" dataDxfId="105">
      <calculatedColumnFormula>Tabella34[[#This Row],[sel. region acc. fit]]+Tabella34[[#This Row],[rest of Italy acc. fit]]</calculatedColumnFormula>
    </tableColumn>
    <tableColumn id="29" xr3:uid="{282446F5-0EDB-484A-94C3-294A06E68C77}" name="Italy sum of regions (Norm.)" dataDxfId="104">
      <calculatedColumnFormula>Tabella34[[#This Row],[Italy (fit of selected region + fitted sum of the other regions)]]/(y_l_peak+y_a_peak)</calculatedColumnFormula>
    </tableColumn>
    <tableColumn id="42" xr3:uid="{521E1297-D2DF-4AC6-8790-090D86C0E817}" name="Italy velocity" dataDxfId="103">
      <calculatedColumnFormula>Tabella3[[#This Row],[Italy remov. rate fit]]</calculatedColumnFormula>
    </tableColumn>
    <tableColumn id="53" xr3:uid="{FFC22A47-8D4D-40C2-8529-17883A408300}" name="verify" dataDxfId="102">
      <calculatedColumnFormula>Kt*EXP(-0.5*Tabella34[[#This Row],[x_t]]^2)/(psi_t*SQRTPI(2)*(Tabella34[[#This Row],[Day]]-D_bk))</calculatedColumnFormula>
    </tableColumn>
    <tableColumn id="43" xr3:uid="{B81E0C6D-6369-49C6-A7A3-351684E6DEBC}" name="Italy g.r." dataDxfId="101" dataCellStyle="Percentuale">
      <calculatedColumnFormula>Tabella34[[#This Row],[Italy velocity]]/Tabella34[[#This Row],[Italy cumul. Fit]]</calculatedColumnFormula>
    </tableColumn>
    <tableColumn id="48" xr3:uid="{B28CB71B-B535-4352-B4B7-0692A0793652}" name="x_t" dataDxfId="100" dataCellStyle="Percentuale">
      <calculatedColumnFormula>(LN(Tabella34[[#This Row],[Day]]-D_bk)-phi_t)/psi_t</calculatedColumnFormula>
    </tableColumn>
    <tableColumn id="56" xr3:uid="{864B7B5E-4044-4DCF-86B0-ACA478C568CC}" name="t_alpha_t+plus" dataDxfId="99" dataCellStyle="Percentuale">
      <calculatedColumnFormula>EXP(phi_t+psi_t*Tabella34[[#This Row],[x_t_alpha©+plus]])-(Tabella34[[#This Row],[Day]]-D_bk)</calculatedColumnFormula>
    </tableColumn>
    <tableColumn id="55" xr3:uid="{87BE6765-60DB-49BC-9BD3-D752B025B1AB}" name="t_alpha_t-minus" dataDxfId="98" dataCellStyle="Percentuale">
      <calculatedColumnFormula>EXP(phi_t+psi_t*Tabella34[[#This Row],[x_t_alpha©-minus]])-(Tabella34[[#This Row],[Day]]-D_bk)</calculatedColumnFormula>
    </tableColumn>
    <tableColumn id="57" xr3:uid="{225D971B-F72D-42DF-B7FB-6565CB2672A7}" name="x_t_alpha©+plus" dataDxfId="97" dataCellStyle="Percentuale">
      <calculatedColumnFormula>-psi_t+SQRT(psi_t^2-2*Tabella34[[#This Row],[c_t]])</calculatedColumnFormula>
    </tableColumn>
    <tableColumn id="54" xr3:uid="{53175594-C4E6-456E-B351-1AB48F823A7E}" name="x_t_alpha©-minus" dataDxfId="96" dataCellStyle="Percentuale">
      <calculatedColumnFormula>-psi_t-SQRT(psi_t^2-2*Tabella34[[#This Row],[c_t]])</calculatedColumnFormula>
    </tableColumn>
    <tableColumn id="49" xr3:uid="{EE228D2A-2CC1-4C57-82DB-85DBB998B89C}" name="c_t" dataDxfId="95" dataCellStyle="Percentuale">
      <calculatedColumnFormula>phi_t-LN(alpha*Kt/(Tabella34[[#This Row],[Italy velocity]]*psi_t*SQRTPI(2)))</calculatedColumnFormula>
    </tableColumn>
    <tableColumn id="73" xr3:uid="{5C057197-AE13-45BE-8938-A7EC86EABB4D}" name="Italy g.r. (Norm. To val. at lockdown)" dataDxfId="94" dataCellStyle="Percentuale">
      <calculatedColumnFormula>Tabella34[[#This Row],[Italy g.r.]]/Italy_gr_at_lockdown</calculatedColumnFormula>
    </tableColumn>
    <tableColumn id="52" xr3:uid="{9BBA6C11-95B1-4650-830D-F3B7BFD96860}" name="Italy h.t." dataDxfId="93" dataCellStyle="Percentuale">
      <calculatedColumnFormula>(ACOSH(SQRT(alpha*Kf*psi_f/(Tabella34[[#This Row],[Italy velocity]]*(1+TANH(phi_f)))))+phi_f)/psi_f-(Tabella34[[#This Row],[Day]]-pf)</calculatedColumnFormula>
    </tableColumn>
    <tableColumn id="74" xr3:uid="{7EC4ED15-BBED-465F-92F6-584BEA3C3158}" name="Italy h.t. (Norm. To val. at lockdown)" dataDxfId="92" dataCellStyle="Percentuale">
      <calculatedColumnFormula>Tabella34[[#This Row],[Italy h.t.]]/Italy_ht_at_lockdown</calculatedColumnFormula>
    </tableColumn>
    <tableColumn id="27" xr3:uid="{EC1FC797-F919-44E2-AA63-C942176919E9}" name="Italy acc. fit" dataDxfId="91">
      <calculatedColumnFormula>-2*$BY$48*TANH($BY$48*(Tabella34[[#This Row],[Day]]-$BY$57)-$BY$47)*Tabella34[[#This Row],[Italy velocity]]</calculatedColumnFormula>
    </tableColumn>
    <tableColumn id="71" xr3:uid="{16A5831C-A515-4976-B3C8-C5D426FD214B}" name="Italy acc. Fit (Norm. To val. at lockdown)" dataDxfId="90">
      <calculatedColumnFormula>Tabella34[[#This Row],[Italy acc. fit]]/Itali_acc_at_lockdown</calculatedColumnFormula>
    </tableColumn>
    <tableColumn id="31" xr3:uid="{A7B90458-3156-4C65-8D40-9C7ED79E6D1F}" name="Italy acc. fit (Norm.)" dataDxfId="89">
      <calculatedColumnFormula>Tabella34[[#This Row],[Italy acc. fit]]/y_f_peak</calculatedColumnFormula>
    </tableColumn>
    <tableColumn id="22" xr3:uid="{3454EAEC-2F0B-43EB-BAA5-786BDD84C222}" name="Colonna2" dataDxfId="88">
      <calculatedColumnFormula>Tabella34[[#This Row],[Italy (fit of selected region + fitted sum of the other regions)]]*NOT(ISBLANK(Tabella34[[#This Row],[Italy rate data]]))</calculatedColumnFormula>
    </tableColumn>
    <tableColumn id="28" xr3:uid="{B677F892-B1B7-4687-B36F-B412484B9F7F}" name="Colonna22" dataDxfId="87">
      <calculatedColumnFormula>Tabella34[[#This Row],[Italy acc. fit]]*NOT(ISBLANK(Tabella34[[#This Row],[Italy rate data]]))</calculatedColumnFormula>
    </tableColumn>
    <tableColumn id="7" xr3:uid="{1FB29A2A-9F78-468F-A44C-116109C9ABB2}" name="Upper CI" dataDxfId="86"/>
    <tableColumn id="8" xr3:uid="{F226004F-D369-46CF-809B-30849E1E6832}" name="Lower CI" dataDxfId="85"/>
    <tableColumn id="9" xr3:uid="{4CC4E10A-61F2-4C4D-9A4E-4E48FF420524}" name="selected region cumul. data"/>
    <tableColumn id="10" xr3:uid="{2C2C4B9F-3F34-417A-9946-756DE7F974E7}" name="selected region rate data" dataDxfId="84"/>
    <tableColumn id="37" xr3:uid="{BE294A1D-6168-4F3F-A0CA-6632C8ED5125}" name="selected region accel. data " dataDxfId="83">
      <calculatedColumnFormula>Tabella34[[#This Row],[selected region rate data]]-AH7</calculatedColumnFormula>
    </tableColumn>
    <tableColumn id="23" xr3:uid="{0816919E-6D08-4861-9F97-8BFFF3DFA6BA}" name="Colonna3" dataDxfId="82">
      <calculatedColumnFormula>Tabella34[[#This Row],[selected region rate data]]*NOT(ISBLANK(Tabella34[[#This Row],[selected region rate data]]))</calculatedColumnFormula>
    </tableColumn>
    <tableColumn id="11" xr3:uid="{32BBCC10-DEF5-4EDC-A383-055E405F03DF}" name="sel. region cumul. fit" dataDxfId="81">
      <calculatedColumnFormula>Tabella8[[#This Row],[region fit]]</calculatedColumnFormula>
    </tableColumn>
    <tableColumn id="40" xr3:uid="{C19CD861-CE71-4602-9F9B-59546032C192}" name="sel. region d.t." dataDxfId="80">
      <calculatedColumnFormula>(ATANH(alpha*Tabella34[[#This Row],[sel. region cumul. fit]]/Kl-(1-alpha*Tabella34[[#This Row],[sel. region cumul. fit]]/Kl)*TANH(phi_l))+phi_l)/psi_l-(Tabella34[[#This Row],[Day]]-pl)</calculatedColumnFormula>
    </tableColumn>
    <tableColumn id="32" xr3:uid="{16AAD297-3C82-48D2-9034-8421902336DF}" name="sel region cum. fit (Norm.)" dataDxfId="79">
      <calculatedColumnFormula>Tabella34[[#This Row],[sel. region cumul. fit]]/Kl</calculatedColumnFormula>
    </tableColumn>
    <tableColumn id="44" xr3:uid="{65D8D691-BDCF-4271-B781-17E6E9E74409}" name="sel. region velocity" dataDxfId="78">
      <calculatedColumnFormula>Tabella3[[#This Row],[region fit]]</calculatedColumnFormula>
    </tableColumn>
    <tableColumn id="45" xr3:uid="{325AFA39-6BAB-4C39-AF15-4C713744E763}" name="sel. region g.r." dataDxfId="77" dataCellStyle="Percentuale">
      <calculatedColumnFormula>Tabella34[[#This Row],[sel. region velocity]]/Tabella34[[#This Row],[sel. region cumul. fit]]</calculatedColumnFormula>
    </tableColumn>
    <tableColumn id="50" xr3:uid="{AEC629F5-F5B7-427A-A3BE-91164E174013}" name="Lombardy x=(ln(t-p)-mu)/sigma2" dataDxfId="76" dataCellStyle="Percentuale">
      <calculatedColumnFormula>(LN(Tabella34[[#This Row],[Day]]-pr)-phi_r)/psi_r</calculatedColumnFormula>
    </tableColumn>
    <tableColumn id="59" xr3:uid="{0101A73A-DD63-43C9-859D-92B4B22D7687}" name="t_alpha_r+plus" dataDxfId="75" dataCellStyle="Percentuale">
      <calculatedColumnFormula>EXP(phi_r+psi_r*Tabella34[[#This Row],[x_r_alpha©+plus]])-(Tabella34[[#This Row],[Day]]-pr)</calculatedColumnFormula>
    </tableColumn>
    <tableColumn id="60" xr3:uid="{BC4FB734-F354-4873-85D1-4E78CD72BFE2}" name="t_alpha_r-minus" dataDxfId="74" dataCellStyle="Percentuale">
      <calculatedColumnFormula>EXP(phi_r+psi_r*Tabella34[[#This Row],[x_r_alpha©-minus]])-(Tabella34[[#This Row],[Day]]-pr)</calculatedColumnFormula>
    </tableColumn>
    <tableColumn id="61" xr3:uid="{882F33D0-0BDB-4269-AB07-4396D7F159EC}" name="x_r_alpha©+plus" dataDxfId="73" dataCellStyle="Percentuale">
      <calculatedColumnFormula>-psi_r+SQRT(psi_r^2-2*Tabella34[[#This Row],[c_r]])</calculatedColumnFormula>
    </tableColumn>
    <tableColumn id="62" xr3:uid="{452B87DE-E21F-4856-B6F0-96140DEFAC55}" name="x_r_alpha©-minus" dataDxfId="72" dataCellStyle="Percentuale">
      <calculatedColumnFormula>-psi_r-SQRT(psi_r^2-2*Tabella34[[#This Row],[c_r]])</calculatedColumnFormula>
    </tableColumn>
    <tableColumn id="63" xr3:uid="{F7B802E0-8D03-4B23-953B-18C7737EDE16}" name="c_r" dataDxfId="71" dataCellStyle="Percentuale">
      <calculatedColumnFormula>phi_r-LN(alpha*Kr/(Tabella34[[#This Row],[sel. region velocity]]*psi_r*SQRTPI(2)))</calculatedColumnFormula>
    </tableColumn>
    <tableColumn id="64" xr3:uid="{77F0D52D-0A62-41AA-8CBF-4BD837FD2F95}" name="sel. region h.t." dataDxfId="70" dataCellStyle="Percentuale">
      <calculatedColumnFormula>(ACOSH(SQRT(alpha*Kl*psi_l/(Tabella34[[#This Row],[sel. region velocity]]*(1+TANH(phi_l)))))+phi_l)/psi_l-(Tabella34[[#This Row],[Day]]-pl)</calculatedColumnFormula>
    </tableColumn>
    <tableColumn id="12" xr3:uid="{EAFF3715-35A3-45D0-B237-ADA5691DA311}" name="sel. region acc. fit" dataDxfId="69">
      <calculatedColumnFormula>-2*$BY$22*TANH($BY$22*(Tabella34[[#This Row],[Day]]-$BY$31)-$BY$21)*Tabella34[[#This Row],[sel. region velocity]]</calculatedColumnFormula>
    </tableColumn>
    <tableColumn id="33" xr3:uid="{8861C221-9045-49BF-AB8F-0B4AE5B0B9BF}" name="sel. region fit (Norm.)" dataDxfId="68">
      <calculatedColumnFormula>Tabella34[[#This Row],[sel. region acc. fit]]/y_l_peak</calculatedColumnFormula>
    </tableColumn>
    <tableColumn id="24" xr3:uid="{4CD3476B-984B-421F-BE72-55E7CA95AD6A}" name="Colonna32" dataDxfId="67">
      <calculatedColumnFormula>Tabella34[[#This Row],[sel. region acc. fit]]*NOT(ISBLANK(Tabella34[[#This Row],[selected region rate data]]))</calculatedColumnFormula>
    </tableColumn>
    <tableColumn id="13" xr3:uid="{1D6140DA-E765-4F87-B873-41D83130E13B}" name="Upper CI_" dataDxfId="66"/>
    <tableColumn id="14" xr3:uid="{45890936-9464-4D51-96E1-04F3526F71B4}" name="Lower CI_" dataDxfId="65"/>
    <tableColumn id="15" xr3:uid="{D943E5B4-DA7B-4A71-AB6A-1E08D9228118}" name="rest of Italy cum. Data"/>
    <tableColumn id="16" xr3:uid="{8DB68116-02FF-4237-877B-747D4A0561AD}" name="rest of Italy rate data" dataDxfId="64"/>
    <tableColumn id="38" xr3:uid="{4827C410-B133-4944-B8DD-B8D81A258A65}" name="rest of Italy accel. data " dataDxfId="63">
      <calculatedColumnFormula>Tabella34[[#This Row],[rest of Italy rate data]]-BC7</calculatedColumnFormula>
    </tableColumn>
    <tableColumn id="25" xr3:uid="{E695BD70-C7AC-4500-BE66-A4E1D4935741}" name="74,24033469" dataDxfId="62">
      <calculatedColumnFormula>Tabella34[[#This Row],[rest of Italy rate data]]*NOT(ISBLANK(Tabella34[[#This Row],[rest of Italy rate data]]))</calculatedColumnFormula>
    </tableColumn>
    <tableColumn id="17" xr3:uid="{B4A3C8A3-9ACC-47B4-A063-AFD72D1D9450}" name="rest of Italy cumul. fit" dataDxfId="61">
      <calculatedColumnFormula>Tabella8[[#This Row],[rest of Italy fit]]</calculatedColumnFormula>
    </tableColumn>
    <tableColumn id="41" xr3:uid="{71DD744E-D643-4287-B141-1C22CD2F974E}" name="rest of Italy d.t." dataDxfId="60">
      <calculatedColumnFormula>(ATANH(alpha*Tabella34[[#This Row],[rest of Italy cumul. fit]]/Ka-(1-alpha*Tabella34[[#This Row],[rest of Italy cumul. fit]]/Ka)*TANH(phi_a))+phi_a)/psi_a-(Tabella34[[#This Row],[Day]]-pa)</calculatedColumnFormula>
    </tableColumn>
    <tableColumn id="34" xr3:uid="{E5A81988-8E83-41F6-891C-22529B961480}" name="rest of Italy cum. fit (Norm.)" dataDxfId="59">
      <calculatedColumnFormula>Tabella34[[#This Row],[rest of Italy cumul. fit]]/Ka</calculatedColumnFormula>
    </tableColumn>
    <tableColumn id="46" xr3:uid="{FEAD9E42-52F3-4D1C-9922-E2058FC97222}" name="rest of Italy velocity" dataDxfId="58">
      <calculatedColumnFormula>Tabella3[[#This Row],[rest of Italy fit]]</calculatedColumnFormula>
    </tableColumn>
    <tableColumn id="47" xr3:uid="{0AA7A7A0-22D9-47BE-91D2-C7574E413F2F}" name="rest of Italy g.r." dataDxfId="57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56" dataCellStyle="Percentuale">
      <calculatedColumnFormula>(LN(Tabella34[[#This Row],[Day]]-po)-phi_o)/psi_o</calculatedColumnFormula>
    </tableColumn>
    <tableColumn id="70" xr3:uid="{C6AB1831-7C1A-432B-A38D-178411AD6237}" name="t_alpha_o+plus" dataDxfId="55" dataCellStyle="Percentuale">
      <calculatedColumnFormula>EXP(phi_o+psi_o*Tabella34[[#This Row],[x_o_alpha©+plus]])-(Tabella34[[#This Row],[Day]]-po)</calculatedColumnFormula>
    </tableColumn>
    <tableColumn id="69" xr3:uid="{63266908-B7A0-4558-8981-5A1404F14612}" name="t_alpha_o-minus" dataDxfId="54" dataCellStyle="Percentuale">
      <calculatedColumnFormula>EXP(phi_o+psi_o*Tabella34[[#This Row],[x_o_alpha©-minus]])-(Tabella34[[#This Row],[Day]]-po)</calculatedColumnFormula>
    </tableColumn>
    <tableColumn id="68" xr3:uid="{D94FE56F-DDF3-46F8-B0ED-CCDA232007CC}" name="x_o_alpha©+plus" dataDxfId="53" dataCellStyle="Percentuale">
      <calculatedColumnFormula>-psi_o+SQRT(psi_o^2-2*Tabella34[[#This Row],[c_o]])</calculatedColumnFormula>
    </tableColumn>
    <tableColumn id="67" xr3:uid="{5A9CCD42-CF4B-4B1A-8E5D-FE5FE52DDADF}" name="x_o_alpha©-minus" dataDxfId="52" dataCellStyle="Percentuale">
      <calculatedColumnFormula>-psi_o-SQRT(psi_o^2-2*Tabella34[[#This Row],[c_o]])</calculatedColumnFormula>
    </tableColumn>
    <tableColumn id="66" xr3:uid="{FC0AC2AE-0158-4E21-9218-F3556443E8BC}" name="c_o" dataDxfId="51" dataCellStyle="Percentuale">
      <calculatedColumnFormula>phi_o-LN(alpha*Ko/(Tabella34[[#This Row],[rest of Italy velocity]]*psi_o*SQRTPI(2)))</calculatedColumnFormula>
    </tableColumn>
    <tableColumn id="65" xr3:uid="{9204EA2C-2432-4DF3-AFAD-DDCDC7C72CD3}" name="rest of Italy h.t." dataDxfId="50" dataCellStyle="Percentuale">
      <calculatedColumnFormula>(ACOSH(SQRT(alpha*Ka*psi_a/(Tabella34[[#This Row],[rest of Italy velocity]]*(1+TANH(phi_a)))))+phi_a)/psi_a-(Tabella34[[#This Row],[Day]]-pa)</calculatedColumnFormula>
    </tableColumn>
    <tableColumn id="18" xr3:uid="{FD6099F4-40ED-4723-BCFC-0515197E5411}" name="rest of Italy acc. fit" dataDxfId="49">
      <calculatedColumnFormula>-2*$BY$35*TANH($BY$35*(Tabella34[[#This Row],[Day]]-$BY$44)-$BY$34)*Tabella34[[#This Row],[rest of Italy velocity]]</calculatedColumnFormula>
    </tableColumn>
    <tableColumn id="35" xr3:uid="{A0A203B2-BAB1-4D07-BDD1-9652E898B6BE}" name="rest of Italy fit (Norm.)" dataDxfId="48">
      <calculatedColumnFormula>Tabella34[[#This Row],[rest of Italy acc. fit]]/y_a_peak</calculatedColumnFormula>
    </tableColumn>
    <tableColumn id="26" xr3:uid="{15F32069-D8D9-41EE-BAFA-377D6BE7DD5A}" name="Colonna322" dataDxfId="47">
      <calculatedColumnFormula>Tabella34[[#This Row],[rest of Italy acc. fit]]*NOT(ISBLANK(Tabella34[[#This Row],[rest of Italy rate data]]))</calculatedColumnFormula>
    </tableColumn>
    <tableColumn id="19" xr3:uid="{44B472C2-6348-4F9B-8B44-4ACD5F0A8631}" name="Upper CI__" dataDxfId="46"/>
    <tableColumn id="20" xr3:uid="{D884F6F9-76D1-4EEF-B3DD-7AC5018C1A4F}" name="Lower CI__" dataDxfId="4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44" dataDxfId="43">
  <autoFilter ref="BX7:BY18" xr:uid="{99FCECFF-7546-4E9F-BC9B-C608747C7992}"/>
  <tableColumns count="2">
    <tableColumn id="1" xr3:uid="{2C2EF1A0-FA01-4854-A48A-A3FC2CEBE484}" name="Whole country sum" dataDxfId="42"/>
    <tableColumn id="2" xr3:uid="{BBBCCB83-BCC4-4B61-BF70-F20B1DE5DD2E}" name="Italy sum" dataDxfId="41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40" dataDxfId="39">
  <autoFilter ref="BX19:BY31" xr:uid="{41723F04-8F3D-447E-986E-DDE7C4E185D6}"/>
  <tableColumns count="2">
    <tableColumn id="1" xr3:uid="{873A0FB9-23E1-4D7F-BF03-F96BAA97225C}" name="region" dataDxfId="38"/>
    <tableColumn id="2" xr3:uid="{685825AB-81E2-4751-B870-0CE101D6244D}" name="Lombardy fit" dataDxfId="37"/>
  </tableColumns>
  <tableStyleInfo name="TableStyleLight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36" dataDxfId="35">
  <autoFilter ref="BX32:BY44" xr:uid="{B7330CDA-797E-4AEE-8936-2CD475EF1182}"/>
  <tableColumns count="2">
    <tableColumn id="1" xr3:uid="{2AA5E278-91B2-4EF3-9265-1635E1F2D8C8}" name="outside" dataDxfId="34"/>
    <tableColumn id="2" xr3:uid="{6889DBC2-F373-4EA1-AB3D-93A01689A1F2}" name="rest of Italy fit" dataDxfId="33"/>
  </tableColumns>
  <tableStyleInfo name="TableStyleLight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32" dataDxfId="31">
  <autoFilter ref="BX45:BY57" xr:uid="{FBCC173C-E06A-4C12-9CC1-E8F46BF2DDE4}"/>
  <tableColumns count="2">
    <tableColumn id="1" xr3:uid="{F33654F0-155E-4DDE-8519-6857DFA9A7EF}" name="Whole contry fit" dataDxfId="30"/>
    <tableColumn id="2" xr3:uid="{9D52DE31-D71F-4C7A-B142-89C67D91A57E}" name="Italy fit" dataDxfId="29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T3" dT="2020-04-13T00:14:38.76" personId="{46504131-ADD3-4530-BCC7-16E4FED1C2C4}" id="{A31BDA61-CB03-4589-AEDD-5DBC77775160}">
    <text>Saturation value or carrying capalcity</text>
  </threadedComment>
  <threadedComment ref="AT4" dT="2020-04-13T00:15:06.31" personId="{46504131-ADD3-4530-BCC7-16E4FED1C2C4}" id="{7BE39CE0-31A0-4271-9AA0-823748DBF6B6}">
    <text>Point of inflection</text>
  </threadedComment>
  <threadedComment ref="AT5" dT="2020-04-13T00:16:48.93" personId="{46504131-ADD3-4530-BCC7-16E4FED1C2C4}" id="{6309FC12-6801-488A-98E6-0897E47B5D66}">
    <text>Slope or decay time</text>
  </threadedComment>
  <threadedComment ref="AT6" dT="2020-04-24T20:17:39.98" personId="{46504131-ADD3-4530-BCC7-16E4FED1C2C4}" id="{9F495C09-5724-4158-AA5F-E592AFE5A86E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BB0CE72B-86F5-40CC-A38D-61CE1AB51BF1}">
    <text>Saturation value or carrying capalcity</text>
  </threadedComment>
  <threadedComment ref="BZ4" dT="2020-04-13T00:15:06.31" personId="{46504131-ADD3-4530-BCC7-16E4FED1C2C4}" id="{0A75884C-28A9-44E8-B517-A5859A3D3EC5}">
    <text>Point of inflection</text>
  </threadedComment>
  <threadedComment ref="BZ5" dT="2020-04-13T00:16:48.93" personId="{46504131-ADD3-4530-BCC7-16E4FED1C2C4}" id="{9DA0AE34-ACAD-4BEE-AFA0-4063CA815C6D}">
    <text>Slope or decay time</text>
  </threadedComment>
  <threadedComment ref="BZ6" dT="2020-04-24T20:17:39.98" personId="{46504131-ADD3-4530-BCC7-16E4FED1C2C4}" id="{C0E20805-0FA1-4030-9D4B-CC20AC2CEB72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11" Type="http://schemas.microsoft.com/office/2017/10/relationships/threadedComment" Target="../threadedComments/threadedComment2.xml"/><Relationship Id="rId5" Type="http://schemas.openxmlformats.org/officeDocument/2006/relationships/table" Target="../tables/table10.xml"/><Relationship Id="rId10" Type="http://schemas.openxmlformats.org/officeDocument/2006/relationships/comments" Target="../comments2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5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379</v>
      </c>
      <c r="B1" t="s">
        <v>380</v>
      </c>
      <c r="C1" t="s">
        <v>381</v>
      </c>
      <c r="D1" t="s">
        <v>382</v>
      </c>
      <c r="E1" t="s">
        <v>383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  <c r="U1" t="s">
        <v>399</v>
      </c>
      <c r="V1" t="s">
        <v>400</v>
      </c>
      <c r="W1" t="s">
        <v>401</v>
      </c>
      <c r="X1" t="s">
        <v>402</v>
      </c>
      <c r="Y1" t="s">
        <v>403</v>
      </c>
      <c r="Z1" t="s">
        <v>404</v>
      </c>
      <c r="AA1" t="s">
        <v>405</v>
      </c>
      <c r="AB1" t="s">
        <v>406</v>
      </c>
      <c r="AC1" t="s">
        <v>407</v>
      </c>
      <c r="AD1" t="s">
        <v>408</v>
      </c>
      <c r="AE1" t="s">
        <v>409</v>
      </c>
      <c r="AF1" t="s">
        <v>410</v>
      </c>
      <c r="AG1" t="s">
        <v>411</v>
      </c>
      <c r="AH1" t="s">
        <v>412</v>
      </c>
      <c r="AI1" t="s">
        <v>413</v>
      </c>
      <c r="AJ1" t="s">
        <v>414</v>
      </c>
      <c r="AK1" t="s">
        <v>415</v>
      </c>
      <c r="AL1" t="s">
        <v>416</v>
      </c>
      <c r="AM1" t="s">
        <v>417</v>
      </c>
      <c r="AN1" t="s">
        <v>418</v>
      </c>
      <c r="AO1" t="s">
        <v>419</v>
      </c>
      <c r="AP1" t="s">
        <v>420</v>
      </c>
      <c r="AQ1" t="s">
        <v>421</v>
      </c>
      <c r="AR1" t="s">
        <v>422</v>
      </c>
      <c r="AS1" t="s">
        <v>423</v>
      </c>
      <c r="AT1" t="s">
        <v>424</v>
      </c>
      <c r="AU1" t="s">
        <v>425</v>
      </c>
      <c r="AV1" t="s">
        <v>426</v>
      </c>
      <c r="AW1" t="s">
        <v>427</v>
      </c>
      <c r="AX1" t="s">
        <v>428</v>
      </c>
      <c r="AY1" t="s">
        <v>429</v>
      </c>
      <c r="AZ1" t="s">
        <v>430</v>
      </c>
      <c r="BA1" t="s">
        <v>431</v>
      </c>
      <c r="BB1" t="s">
        <v>432</v>
      </c>
      <c r="BC1" t="s">
        <v>433</v>
      </c>
      <c r="BD1" t="s">
        <v>434</v>
      </c>
      <c r="BE1" t="s">
        <v>435</v>
      </c>
      <c r="BF1" t="s">
        <v>436</v>
      </c>
      <c r="BG1" t="s">
        <v>437</v>
      </c>
      <c r="BH1" t="s">
        <v>438</v>
      </c>
      <c r="BI1" t="s">
        <v>439</v>
      </c>
      <c r="BJ1" t="s">
        <v>440</v>
      </c>
      <c r="BK1" t="s">
        <v>441</v>
      </c>
      <c r="BL1" t="s">
        <v>442</v>
      </c>
      <c r="BM1" t="s">
        <v>443</v>
      </c>
      <c r="BN1" t="s">
        <v>444</v>
      </c>
      <c r="BO1" t="s">
        <v>445</v>
      </c>
      <c r="BP1" t="s">
        <v>446</v>
      </c>
      <c r="BQ1" t="s">
        <v>447</v>
      </c>
      <c r="BR1" t="s">
        <v>448</v>
      </c>
      <c r="BS1" t="s">
        <v>449</v>
      </c>
      <c r="BT1" t="s">
        <v>450</v>
      </c>
      <c r="BU1" t="s">
        <v>451</v>
      </c>
      <c r="BV1" t="s">
        <v>452</v>
      </c>
      <c r="BW1" t="s">
        <v>453</v>
      </c>
      <c r="BX1" t="s">
        <v>454</v>
      </c>
      <c r="BY1" t="s">
        <v>455</v>
      </c>
      <c r="BZ1" t="s">
        <v>456</v>
      </c>
      <c r="CA1" t="s">
        <v>457</v>
      </c>
      <c r="CB1" t="s">
        <v>458</v>
      </c>
      <c r="CC1" t="s">
        <v>459</v>
      </c>
      <c r="CD1" t="s">
        <v>460</v>
      </c>
      <c r="CE1" t="s">
        <v>461</v>
      </c>
      <c r="CF1" t="s">
        <v>462</v>
      </c>
      <c r="CG1" t="s">
        <v>463</v>
      </c>
      <c r="CH1" t="s">
        <v>464</v>
      </c>
      <c r="CI1" t="s">
        <v>465</v>
      </c>
      <c r="CJ1" t="s">
        <v>466</v>
      </c>
      <c r="CK1" t="s">
        <v>467</v>
      </c>
      <c r="CL1" t="s">
        <v>468</v>
      </c>
      <c r="CM1" t="s">
        <v>469</v>
      </c>
      <c r="CN1" t="s">
        <v>470</v>
      </c>
      <c r="CO1" t="s">
        <v>471</v>
      </c>
      <c r="CP1" t="s">
        <v>472</v>
      </c>
      <c r="CQ1" t="s">
        <v>473</v>
      </c>
      <c r="CR1" t="s">
        <v>474</v>
      </c>
      <c r="CS1" t="s">
        <v>475</v>
      </c>
      <c r="CT1" t="s">
        <v>476</v>
      </c>
    </row>
    <row r="2" spans="1:98" x14ac:dyDescent="0.3">
      <c r="A2" s="12" t="s">
        <v>477</v>
      </c>
      <c r="B2" s="12" t="s">
        <v>478</v>
      </c>
      <c r="C2" s="12" t="s">
        <v>479</v>
      </c>
      <c r="D2" s="12" t="s">
        <v>480</v>
      </c>
      <c r="E2" s="12" t="s">
        <v>481</v>
      </c>
      <c r="F2" s="12" t="s">
        <v>482</v>
      </c>
      <c r="G2" s="12" t="s">
        <v>483</v>
      </c>
      <c r="H2" s="12" t="s">
        <v>484</v>
      </c>
      <c r="I2" s="12" t="s">
        <v>485</v>
      </c>
      <c r="J2" s="12" t="s">
        <v>486</v>
      </c>
      <c r="K2" s="12" t="s">
        <v>487</v>
      </c>
      <c r="L2" s="12" t="s">
        <v>488</v>
      </c>
      <c r="M2" s="12" t="s">
        <v>489</v>
      </c>
      <c r="N2" s="12" t="s">
        <v>490</v>
      </c>
      <c r="O2" s="12" t="s">
        <v>491</v>
      </c>
      <c r="P2" s="12" t="s">
        <v>492</v>
      </c>
      <c r="Q2" s="12" t="s">
        <v>493</v>
      </c>
      <c r="R2" s="12" t="s">
        <v>494</v>
      </c>
      <c r="S2" s="12" t="s">
        <v>495</v>
      </c>
      <c r="T2" s="12" t="s">
        <v>496</v>
      </c>
      <c r="U2" s="12" t="s">
        <v>497</v>
      </c>
      <c r="V2" s="12" t="s">
        <v>498</v>
      </c>
      <c r="W2" s="12" t="s">
        <v>499</v>
      </c>
      <c r="X2" s="12" t="s">
        <v>500</v>
      </c>
      <c r="Y2" s="12" t="s">
        <v>501</v>
      </c>
      <c r="Z2" s="12" t="s">
        <v>502</v>
      </c>
      <c r="AA2" s="12" t="s">
        <v>503</v>
      </c>
      <c r="AB2" s="12" t="s">
        <v>504</v>
      </c>
      <c r="AC2" s="12" t="s">
        <v>505</v>
      </c>
      <c r="AD2" s="12" t="s">
        <v>506</v>
      </c>
      <c r="AE2" s="12" t="s">
        <v>507</v>
      </c>
      <c r="AF2" s="12" t="s">
        <v>508</v>
      </c>
      <c r="AG2" s="12" t="s">
        <v>509</v>
      </c>
      <c r="AH2" s="12" t="s">
        <v>510</v>
      </c>
      <c r="AI2" s="12" t="s">
        <v>511</v>
      </c>
      <c r="AJ2" s="12" t="s">
        <v>512</v>
      </c>
      <c r="AK2" s="12" t="s">
        <v>513</v>
      </c>
      <c r="AL2" s="12" t="s">
        <v>514</v>
      </c>
      <c r="AM2" s="12" t="s">
        <v>515</v>
      </c>
      <c r="AN2" s="12" t="s">
        <v>516</v>
      </c>
      <c r="AO2" s="12" t="s">
        <v>517</v>
      </c>
      <c r="AP2" s="12" t="s">
        <v>518</v>
      </c>
      <c r="AQ2" s="12" t="s">
        <v>519</v>
      </c>
      <c r="AR2" s="12" t="s">
        <v>520</v>
      </c>
      <c r="AS2" s="12" t="s">
        <v>521</v>
      </c>
      <c r="AT2" s="12" t="s">
        <v>522</v>
      </c>
      <c r="AU2" s="12" t="s">
        <v>523</v>
      </c>
      <c r="AV2" s="12" t="s">
        <v>524</v>
      </c>
      <c r="AW2" s="12" t="s">
        <v>525</v>
      </c>
      <c r="AX2" s="12" t="s">
        <v>526</v>
      </c>
      <c r="AY2" s="12" t="s">
        <v>527</v>
      </c>
      <c r="AZ2" s="12" t="s">
        <v>528</v>
      </c>
      <c r="BA2" s="12" t="s">
        <v>529</v>
      </c>
      <c r="BB2" s="12" t="s">
        <v>530</v>
      </c>
      <c r="BC2" s="12" t="s">
        <v>531</v>
      </c>
      <c r="BD2" s="12" t="s">
        <v>532</v>
      </c>
      <c r="BE2" s="12" t="s">
        <v>533</v>
      </c>
      <c r="BF2" s="12" t="s">
        <v>534</v>
      </c>
      <c r="BG2" s="12" t="s">
        <v>535</v>
      </c>
      <c r="BH2" s="12" t="s">
        <v>536</v>
      </c>
      <c r="BI2" s="12" t="s">
        <v>537</v>
      </c>
      <c r="BJ2" s="12" t="s">
        <v>538</v>
      </c>
      <c r="BK2" s="12" t="s">
        <v>539</v>
      </c>
      <c r="BL2" s="12" t="s">
        <v>540</v>
      </c>
      <c r="BM2" s="12" t="s">
        <v>541</v>
      </c>
      <c r="BN2" s="12" t="s">
        <v>542</v>
      </c>
      <c r="BO2" s="12" t="s">
        <v>543</v>
      </c>
      <c r="BP2" s="12" t="s">
        <v>544</v>
      </c>
      <c r="BQ2" s="12" t="s">
        <v>545</v>
      </c>
      <c r="BR2" s="12" t="s">
        <v>546</v>
      </c>
      <c r="BS2" s="12" t="s">
        <v>547</v>
      </c>
      <c r="BT2" s="12" t="s">
        <v>548</v>
      </c>
      <c r="BU2" s="12" t="s">
        <v>549</v>
      </c>
      <c r="BV2" s="12" t="s">
        <v>550</v>
      </c>
      <c r="BW2" s="12" t="s">
        <v>551</v>
      </c>
      <c r="BX2" s="12" t="s">
        <v>552</v>
      </c>
      <c r="BY2" s="12" t="s">
        <v>553</v>
      </c>
      <c r="BZ2" s="12" t="s">
        <v>554</v>
      </c>
      <c r="CA2" s="12" t="s">
        <v>555</v>
      </c>
      <c r="CB2" s="12" t="s">
        <v>556</v>
      </c>
      <c r="CC2" s="12" t="s">
        <v>557</v>
      </c>
      <c r="CD2" s="12" t="s">
        <v>558</v>
      </c>
      <c r="CE2" s="12" t="s">
        <v>559</v>
      </c>
      <c r="CF2" s="12" t="s">
        <v>560</v>
      </c>
      <c r="CG2" s="12" t="s">
        <v>561</v>
      </c>
      <c r="CH2" s="12" t="s">
        <v>562</v>
      </c>
      <c r="CI2" s="12" t="s">
        <v>563</v>
      </c>
      <c r="CJ2" s="12" t="s">
        <v>564</v>
      </c>
      <c r="CK2" s="12" t="s">
        <v>565</v>
      </c>
      <c r="CL2" s="12" t="s">
        <v>566</v>
      </c>
      <c r="CM2" s="12" t="s">
        <v>567</v>
      </c>
      <c r="CN2" s="12" t="s">
        <v>568</v>
      </c>
      <c r="CO2" s="12" t="s">
        <v>569</v>
      </c>
      <c r="CP2" s="12" t="s">
        <v>570</v>
      </c>
      <c r="CQ2" s="12" t="s">
        <v>571</v>
      </c>
      <c r="CR2" s="12" t="s">
        <v>572</v>
      </c>
      <c r="CS2" s="12" t="s">
        <v>573</v>
      </c>
      <c r="CT2" s="12" t="s">
        <v>574</v>
      </c>
    </row>
    <row r="3" spans="1:98" hidden="1" x14ac:dyDescent="0.3">
      <c r="A3" s="12" t="s">
        <v>25</v>
      </c>
      <c r="B3" s="12" t="s">
        <v>575</v>
      </c>
      <c r="C3" s="12" t="s">
        <v>576</v>
      </c>
      <c r="D3" s="12" t="s">
        <v>577</v>
      </c>
      <c r="E3" s="12" t="s">
        <v>578</v>
      </c>
      <c r="F3" s="12" t="s">
        <v>578</v>
      </c>
      <c r="G3" s="12" t="s">
        <v>578</v>
      </c>
      <c r="H3" s="12" t="s">
        <v>578</v>
      </c>
      <c r="I3" s="12" t="s">
        <v>578</v>
      </c>
      <c r="J3" s="12" t="s">
        <v>578</v>
      </c>
      <c r="K3" s="12" t="s">
        <v>578</v>
      </c>
      <c r="L3" s="12" t="s">
        <v>578</v>
      </c>
      <c r="M3" s="12" t="s">
        <v>578</v>
      </c>
      <c r="N3" s="12" t="s">
        <v>578</v>
      </c>
      <c r="O3" s="12" t="s">
        <v>578</v>
      </c>
      <c r="P3" s="12" t="s">
        <v>578</v>
      </c>
      <c r="Q3" s="12" t="s">
        <v>578</v>
      </c>
      <c r="R3" s="12" t="s">
        <v>578</v>
      </c>
      <c r="S3" s="12" t="s">
        <v>578</v>
      </c>
      <c r="T3" s="12" t="s">
        <v>578</v>
      </c>
      <c r="U3" s="12" t="s">
        <v>578</v>
      </c>
      <c r="V3" s="12" t="s">
        <v>578</v>
      </c>
      <c r="W3" s="12" t="s">
        <v>578</v>
      </c>
      <c r="X3" s="12" t="s">
        <v>578</v>
      </c>
      <c r="Y3" s="12" t="s">
        <v>578</v>
      </c>
      <c r="Z3" s="12" t="s">
        <v>578</v>
      </c>
      <c r="AA3" s="12" t="s">
        <v>578</v>
      </c>
      <c r="AB3" s="12" t="s">
        <v>578</v>
      </c>
      <c r="AC3" s="12" t="s">
        <v>578</v>
      </c>
      <c r="AD3" s="12" t="s">
        <v>578</v>
      </c>
      <c r="AE3" s="12" t="s">
        <v>578</v>
      </c>
      <c r="AF3" s="12" t="s">
        <v>578</v>
      </c>
      <c r="AG3" s="12" t="s">
        <v>578</v>
      </c>
      <c r="AH3" s="12" t="s">
        <v>578</v>
      </c>
      <c r="AI3" s="12" t="s">
        <v>578</v>
      </c>
      <c r="AJ3" s="12" t="s">
        <v>578</v>
      </c>
      <c r="AK3" s="12" t="s">
        <v>578</v>
      </c>
      <c r="AL3" s="12" t="s">
        <v>579</v>
      </c>
      <c r="AM3" s="12" t="s">
        <v>579</v>
      </c>
      <c r="AN3" s="12" t="s">
        <v>579</v>
      </c>
      <c r="AO3" s="12" t="s">
        <v>579</v>
      </c>
      <c r="AP3" s="12" t="s">
        <v>579</v>
      </c>
      <c r="AQ3" s="12" t="s">
        <v>579</v>
      </c>
      <c r="AR3" s="12" t="s">
        <v>579</v>
      </c>
      <c r="AS3" s="12" t="s">
        <v>579</v>
      </c>
      <c r="AT3" s="12" t="s">
        <v>579</v>
      </c>
      <c r="AU3" s="12" t="s">
        <v>579</v>
      </c>
      <c r="AV3" s="12" t="s">
        <v>579</v>
      </c>
      <c r="AW3" s="12" t="s">
        <v>579</v>
      </c>
      <c r="AX3" s="12" t="s">
        <v>579</v>
      </c>
      <c r="AY3" s="12" t="s">
        <v>580</v>
      </c>
      <c r="AZ3" s="12" t="s">
        <v>580</v>
      </c>
      <c r="BA3" s="12" t="s">
        <v>581</v>
      </c>
      <c r="BB3" s="12" t="s">
        <v>582</v>
      </c>
      <c r="BC3" s="12" t="s">
        <v>582</v>
      </c>
      <c r="BD3" s="12" t="s">
        <v>582</v>
      </c>
      <c r="BE3" s="12" t="s">
        <v>583</v>
      </c>
      <c r="BF3" s="12" t="s">
        <v>584</v>
      </c>
      <c r="BG3" s="12" t="s">
        <v>585</v>
      </c>
      <c r="BH3" s="12" t="s">
        <v>586</v>
      </c>
      <c r="BI3" s="12" t="s">
        <v>586</v>
      </c>
      <c r="BJ3" s="12" t="s">
        <v>586</v>
      </c>
      <c r="BK3" s="12" t="s">
        <v>587</v>
      </c>
      <c r="BL3" s="12" t="s">
        <v>587</v>
      </c>
      <c r="BM3" s="12" t="s">
        <v>588</v>
      </c>
      <c r="BN3" s="12" t="s">
        <v>588</v>
      </c>
      <c r="BO3" s="12" t="s">
        <v>589</v>
      </c>
      <c r="BP3" s="12" t="s">
        <v>590</v>
      </c>
      <c r="BQ3" s="12" t="s">
        <v>591</v>
      </c>
      <c r="BR3" s="12" t="s">
        <v>592</v>
      </c>
      <c r="BS3" s="12" t="s">
        <v>592</v>
      </c>
      <c r="BT3" s="12" t="s">
        <v>593</v>
      </c>
      <c r="BU3" s="12" t="s">
        <v>594</v>
      </c>
      <c r="BV3" s="12" t="s">
        <v>595</v>
      </c>
      <c r="BW3" s="12" t="s">
        <v>596</v>
      </c>
      <c r="BX3" s="12" t="s">
        <v>597</v>
      </c>
      <c r="BY3" s="12" t="s">
        <v>598</v>
      </c>
      <c r="BZ3" s="12" t="s">
        <v>599</v>
      </c>
      <c r="CA3" s="12" t="s">
        <v>600</v>
      </c>
      <c r="CB3" s="12" t="s">
        <v>601</v>
      </c>
      <c r="CC3" s="12" t="s">
        <v>602</v>
      </c>
      <c r="CD3" s="12" t="s">
        <v>603</v>
      </c>
      <c r="CE3" s="12" t="s">
        <v>604</v>
      </c>
      <c r="CF3" s="12" t="s">
        <v>605</v>
      </c>
      <c r="CG3" s="12" t="s">
        <v>606</v>
      </c>
      <c r="CH3" s="12" t="s">
        <v>607</v>
      </c>
      <c r="CI3" s="12" t="s">
        <v>608</v>
      </c>
      <c r="CJ3" s="12" t="s">
        <v>609</v>
      </c>
      <c r="CK3" s="12" t="s">
        <v>610</v>
      </c>
      <c r="CL3" s="12" t="s">
        <v>611</v>
      </c>
      <c r="CM3" s="12" t="s">
        <v>612</v>
      </c>
      <c r="CN3" s="12" t="s">
        <v>613</v>
      </c>
      <c r="CO3" s="12" t="s">
        <v>614</v>
      </c>
      <c r="CP3" s="12" t="s">
        <v>615</v>
      </c>
      <c r="CQ3" s="12" t="s">
        <v>616</v>
      </c>
      <c r="CR3" s="12" t="s">
        <v>617</v>
      </c>
      <c r="CS3" s="12" t="s">
        <v>618</v>
      </c>
      <c r="CT3" s="12" t="s">
        <v>619</v>
      </c>
    </row>
    <row r="4" spans="1:98" hidden="1" x14ac:dyDescent="0.3">
      <c r="A4" s="12" t="s">
        <v>25</v>
      </c>
      <c r="B4" s="12" t="s">
        <v>620</v>
      </c>
      <c r="C4" s="12" t="s">
        <v>621</v>
      </c>
      <c r="D4" s="12" t="s">
        <v>622</v>
      </c>
      <c r="E4" s="12" t="s">
        <v>578</v>
      </c>
      <c r="F4" s="12" t="s">
        <v>578</v>
      </c>
      <c r="G4" s="12" t="s">
        <v>578</v>
      </c>
      <c r="H4" s="12" t="s">
        <v>578</v>
      </c>
      <c r="I4" s="12" t="s">
        <v>578</v>
      </c>
      <c r="J4" s="12" t="s">
        <v>578</v>
      </c>
      <c r="K4" s="12" t="s">
        <v>578</v>
      </c>
      <c r="L4" s="12" t="s">
        <v>578</v>
      </c>
      <c r="M4" s="12" t="s">
        <v>578</v>
      </c>
      <c r="N4" s="12" t="s">
        <v>578</v>
      </c>
      <c r="O4" s="12" t="s">
        <v>578</v>
      </c>
      <c r="P4" s="12" t="s">
        <v>578</v>
      </c>
      <c r="Q4" s="12" t="s">
        <v>578</v>
      </c>
      <c r="R4" s="12" t="s">
        <v>578</v>
      </c>
      <c r="S4" s="12" t="s">
        <v>578</v>
      </c>
      <c r="T4" s="12" t="s">
        <v>578</v>
      </c>
      <c r="U4" s="12" t="s">
        <v>578</v>
      </c>
      <c r="V4" s="12" t="s">
        <v>578</v>
      </c>
      <c r="W4" s="12" t="s">
        <v>578</v>
      </c>
      <c r="X4" s="12" t="s">
        <v>578</v>
      </c>
      <c r="Y4" s="12" t="s">
        <v>578</v>
      </c>
      <c r="Z4" s="12" t="s">
        <v>578</v>
      </c>
      <c r="AA4" s="12" t="s">
        <v>578</v>
      </c>
      <c r="AB4" s="12" t="s">
        <v>578</v>
      </c>
      <c r="AC4" s="12" t="s">
        <v>578</v>
      </c>
      <c r="AD4" s="12" t="s">
        <v>578</v>
      </c>
      <c r="AE4" s="12" t="s">
        <v>578</v>
      </c>
      <c r="AF4" s="12" t="s">
        <v>578</v>
      </c>
      <c r="AG4" s="12" t="s">
        <v>578</v>
      </c>
      <c r="AH4" s="12" t="s">
        <v>578</v>
      </c>
      <c r="AI4" s="12" t="s">
        <v>578</v>
      </c>
      <c r="AJ4" s="12" t="s">
        <v>578</v>
      </c>
      <c r="AK4" s="12" t="s">
        <v>578</v>
      </c>
      <c r="AL4" s="12" t="s">
        <v>578</v>
      </c>
      <c r="AM4" s="12" t="s">
        <v>578</v>
      </c>
      <c r="AN4" s="12" t="s">
        <v>578</v>
      </c>
      <c r="AO4" s="12" t="s">
        <v>578</v>
      </c>
      <c r="AP4" s="12" t="s">
        <v>578</v>
      </c>
      <c r="AQ4" s="12" t="s">
        <v>578</v>
      </c>
      <c r="AR4" s="12" t="s">
        <v>578</v>
      </c>
      <c r="AS4" s="12" t="s">
        <v>578</v>
      </c>
      <c r="AT4" s="12" t="s">
        <v>578</v>
      </c>
      <c r="AU4" s="12" t="s">
        <v>578</v>
      </c>
      <c r="AV4" s="12" t="s">
        <v>578</v>
      </c>
      <c r="AW4" s="12" t="s">
        <v>578</v>
      </c>
      <c r="AX4" s="12" t="s">
        <v>578</v>
      </c>
      <c r="AY4" s="12" t="s">
        <v>578</v>
      </c>
      <c r="AZ4" s="12" t="s">
        <v>623</v>
      </c>
      <c r="BA4" s="12" t="s">
        <v>624</v>
      </c>
      <c r="BB4" s="12" t="s">
        <v>625</v>
      </c>
      <c r="BC4" s="12" t="s">
        <v>626</v>
      </c>
      <c r="BD4" s="12" t="s">
        <v>627</v>
      </c>
      <c r="BE4" s="12" t="s">
        <v>628</v>
      </c>
      <c r="BF4" s="12" t="s">
        <v>629</v>
      </c>
      <c r="BG4" s="12" t="s">
        <v>630</v>
      </c>
      <c r="BH4" s="12" t="s">
        <v>631</v>
      </c>
      <c r="BI4" s="12" t="s">
        <v>632</v>
      </c>
      <c r="BJ4" s="12" t="s">
        <v>633</v>
      </c>
      <c r="BK4" s="12" t="s">
        <v>634</v>
      </c>
      <c r="BL4" s="12" t="s">
        <v>635</v>
      </c>
      <c r="BM4" s="12" t="s">
        <v>636</v>
      </c>
      <c r="BN4" s="12" t="s">
        <v>637</v>
      </c>
      <c r="BO4" s="12" t="s">
        <v>638</v>
      </c>
      <c r="BP4" s="12" t="s">
        <v>639</v>
      </c>
      <c r="BQ4" s="12" t="s">
        <v>595</v>
      </c>
      <c r="BR4" s="12" t="s">
        <v>640</v>
      </c>
      <c r="BS4" s="12" t="s">
        <v>641</v>
      </c>
      <c r="BT4" s="12" t="s">
        <v>642</v>
      </c>
      <c r="BU4" s="12" t="s">
        <v>643</v>
      </c>
      <c r="BV4" s="12" t="s">
        <v>644</v>
      </c>
      <c r="BW4" s="12" t="s">
        <v>645</v>
      </c>
      <c r="BX4" s="12" t="s">
        <v>646</v>
      </c>
      <c r="BY4" s="12" t="s">
        <v>647</v>
      </c>
      <c r="BZ4" s="12" t="s">
        <v>648</v>
      </c>
      <c r="CA4" s="12" t="s">
        <v>649</v>
      </c>
      <c r="CB4" s="12" t="s">
        <v>650</v>
      </c>
      <c r="CC4" s="12" t="s">
        <v>651</v>
      </c>
      <c r="CD4" s="12" t="s">
        <v>652</v>
      </c>
      <c r="CE4" s="12" t="s">
        <v>653</v>
      </c>
      <c r="CF4" s="12" t="s">
        <v>654</v>
      </c>
      <c r="CG4" s="12" t="s">
        <v>655</v>
      </c>
      <c r="CH4" s="12" t="s">
        <v>656</v>
      </c>
      <c r="CI4" s="12" t="s">
        <v>657</v>
      </c>
      <c r="CJ4" s="12" t="s">
        <v>658</v>
      </c>
      <c r="CK4" s="12" t="s">
        <v>659</v>
      </c>
      <c r="CL4" s="12" t="s">
        <v>660</v>
      </c>
      <c r="CM4" s="12" t="s">
        <v>661</v>
      </c>
      <c r="CN4" s="12" t="s">
        <v>662</v>
      </c>
      <c r="CO4" s="12" t="s">
        <v>663</v>
      </c>
      <c r="CP4" s="12" t="s">
        <v>664</v>
      </c>
      <c r="CQ4" s="12" t="s">
        <v>665</v>
      </c>
      <c r="CR4" s="12" t="s">
        <v>666</v>
      </c>
      <c r="CS4" s="12" t="s">
        <v>667</v>
      </c>
      <c r="CT4" s="12" t="s">
        <v>668</v>
      </c>
    </row>
    <row r="5" spans="1:98" hidden="1" x14ac:dyDescent="0.3">
      <c r="A5" s="12" t="s">
        <v>25</v>
      </c>
      <c r="B5" s="12" t="s">
        <v>669</v>
      </c>
      <c r="C5" s="12" t="s">
        <v>670</v>
      </c>
      <c r="D5" s="12" t="s">
        <v>671</v>
      </c>
      <c r="E5" s="12" t="s">
        <v>578</v>
      </c>
      <c r="F5" s="12" t="s">
        <v>578</v>
      </c>
      <c r="G5" s="12" t="s">
        <v>578</v>
      </c>
      <c r="H5" s="12" t="s">
        <v>578</v>
      </c>
      <c r="I5" s="12" t="s">
        <v>578</v>
      </c>
      <c r="J5" s="12" t="s">
        <v>578</v>
      </c>
      <c r="K5" s="12" t="s">
        <v>578</v>
      </c>
      <c r="L5" s="12" t="s">
        <v>578</v>
      </c>
      <c r="M5" s="12" t="s">
        <v>578</v>
      </c>
      <c r="N5" s="12" t="s">
        <v>578</v>
      </c>
      <c r="O5" s="12" t="s">
        <v>578</v>
      </c>
      <c r="P5" s="12" t="s">
        <v>578</v>
      </c>
      <c r="Q5" s="12" t="s">
        <v>578</v>
      </c>
      <c r="R5" s="12" t="s">
        <v>578</v>
      </c>
      <c r="S5" s="12" t="s">
        <v>578</v>
      </c>
      <c r="T5" s="12" t="s">
        <v>578</v>
      </c>
      <c r="U5" s="12" t="s">
        <v>578</v>
      </c>
      <c r="V5" s="12" t="s">
        <v>578</v>
      </c>
      <c r="W5" s="12" t="s">
        <v>578</v>
      </c>
      <c r="X5" s="12" t="s">
        <v>578</v>
      </c>
      <c r="Y5" s="12" t="s">
        <v>578</v>
      </c>
      <c r="Z5" s="12" t="s">
        <v>578</v>
      </c>
      <c r="AA5" s="12" t="s">
        <v>578</v>
      </c>
      <c r="AB5" s="12" t="s">
        <v>578</v>
      </c>
      <c r="AC5" s="12" t="s">
        <v>578</v>
      </c>
      <c r="AD5" s="12" t="s">
        <v>578</v>
      </c>
      <c r="AE5" s="12" t="s">
        <v>578</v>
      </c>
      <c r="AF5" s="12" t="s">
        <v>578</v>
      </c>
      <c r="AG5" s="12" t="s">
        <v>578</v>
      </c>
      <c r="AH5" s="12" t="s">
        <v>578</v>
      </c>
      <c r="AI5" s="12" t="s">
        <v>578</v>
      </c>
      <c r="AJ5" s="12" t="s">
        <v>578</v>
      </c>
      <c r="AK5" s="12" t="s">
        <v>578</v>
      </c>
      <c r="AL5" s="12" t="s">
        <v>578</v>
      </c>
      <c r="AM5" s="12" t="s">
        <v>579</v>
      </c>
      <c r="AN5" s="12" t="s">
        <v>579</v>
      </c>
      <c r="AO5" s="12" t="s">
        <v>579</v>
      </c>
      <c r="AP5" s="12" t="s">
        <v>579</v>
      </c>
      <c r="AQ5" s="12" t="s">
        <v>579</v>
      </c>
      <c r="AR5" s="12" t="s">
        <v>579</v>
      </c>
      <c r="AS5" s="12" t="s">
        <v>672</v>
      </c>
      <c r="AT5" s="12" t="s">
        <v>581</v>
      </c>
      <c r="AU5" s="12" t="s">
        <v>625</v>
      </c>
      <c r="AV5" s="12" t="s">
        <v>625</v>
      </c>
      <c r="AW5" s="12" t="s">
        <v>673</v>
      </c>
      <c r="AX5" s="12" t="s">
        <v>673</v>
      </c>
      <c r="AY5" s="12" t="s">
        <v>674</v>
      </c>
      <c r="AZ5" s="12" t="s">
        <v>675</v>
      </c>
      <c r="BA5" s="12" t="s">
        <v>675</v>
      </c>
      <c r="BB5" s="12" t="s">
        <v>675</v>
      </c>
      <c r="BC5" s="12" t="s">
        <v>587</v>
      </c>
      <c r="BD5" s="12" t="s">
        <v>676</v>
      </c>
      <c r="BE5" s="12" t="s">
        <v>677</v>
      </c>
      <c r="BF5" s="12" t="s">
        <v>678</v>
      </c>
      <c r="BG5" s="12" t="s">
        <v>679</v>
      </c>
      <c r="BH5" s="12" t="s">
        <v>680</v>
      </c>
      <c r="BI5" s="12" t="s">
        <v>589</v>
      </c>
      <c r="BJ5" s="12" t="s">
        <v>681</v>
      </c>
      <c r="BK5" s="12" t="s">
        <v>682</v>
      </c>
      <c r="BL5" s="12" t="s">
        <v>683</v>
      </c>
      <c r="BM5" s="12" t="s">
        <v>684</v>
      </c>
      <c r="BN5" s="12" t="s">
        <v>685</v>
      </c>
      <c r="BO5" s="12" t="s">
        <v>686</v>
      </c>
      <c r="BP5" s="12" t="s">
        <v>687</v>
      </c>
      <c r="BQ5" s="12" t="s">
        <v>601</v>
      </c>
      <c r="BR5" s="12" t="s">
        <v>653</v>
      </c>
      <c r="BS5" s="12" t="s">
        <v>688</v>
      </c>
      <c r="BT5" s="12" t="s">
        <v>689</v>
      </c>
      <c r="BU5" s="12" t="s">
        <v>664</v>
      </c>
      <c r="BV5" s="12" t="s">
        <v>690</v>
      </c>
      <c r="BW5" s="12" t="s">
        <v>691</v>
      </c>
      <c r="BX5" s="12" t="s">
        <v>692</v>
      </c>
      <c r="BY5" s="12" t="s">
        <v>693</v>
      </c>
      <c r="BZ5" s="12" t="s">
        <v>694</v>
      </c>
      <c r="CA5" s="12" t="s">
        <v>695</v>
      </c>
      <c r="CB5" s="12" t="s">
        <v>696</v>
      </c>
      <c r="CC5" s="12" t="s">
        <v>697</v>
      </c>
      <c r="CD5" s="12" t="s">
        <v>698</v>
      </c>
      <c r="CE5" s="12" t="s">
        <v>699</v>
      </c>
      <c r="CF5" s="12" t="s">
        <v>700</v>
      </c>
      <c r="CG5" s="12" t="s">
        <v>701</v>
      </c>
      <c r="CH5" s="12" t="s">
        <v>702</v>
      </c>
      <c r="CI5" s="12" t="s">
        <v>703</v>
      </c>
      <c r="CJ5" s="12" t="s">
        <v>704</v>
      </c>
      <c r="CK5" s="12" t="s">
        <v>705</v>
      </c>
      <c r="CL5" s="12" t="s">
        <v>706</v>
      </c>
      <c r="CM5" s="12" t="s">
        <v>707</v>
      </c>
      <c r="CN5" s="12" t="s">
        <v>708</v>
      </c>
      <c r="CO5" s="12" t="s">
        <v>709</v>
      </c>
      <c r="CP5" s="12" t="s">
        <v>710</v>
      </c>
      <c r="CQ5" s="12" t="s">
        <v>711</v>
      </c>
      <c r="CR5" s="12" t="s">
        <v>712</v>
      </c>
      <c r="CS5" s="12" t="s">
        <v>713</v>
      </c>
      <c r="CT5" s="12" t="s">
        <v>714</v>
      </c>
    </row>
    <row r="6" spans="1:98" hidden="1" x14ac:dyDescent="0.3">
      <c r="A6" s="12" t="s">
        <v>25</v>
      </c>
      <c r="B6" s="12" t="s">
        <v>715</v>
      </c>
      <c r="C6" s="12" t="s">
        <v>716</v>
      </c>
      <c r="D6" s="12" t="s">
        <v>717</v>
      </c>
      <c r="E6" s="12" t="s">
        <v>578</v>
      </c>
      <c r="F6" s="12" t="s">
        <v>578</v>
      </c>
      <c r="G6" s="12" t="s">
        <v>578</v>
      </c>
      <c r="H6" s="12" t="s">
        <v>578</v>
      </c>
      <c r="I6" s="12" t="s">
        <v>578</v>
      </c>
      <c r="J6" s="12" t="s">
        <v>578</v>
      </c>
      <c r="K6" s="12" t="s">
        <v>578</v>
      </c>
      <c r="L6" s="12" t="s">
        <v>578</v>
      </c>
      <c r="M6" s="12" t="s">
        <v>578</v>
      </c>
      <c r="N6" s="12" t="s">
        <v>578</v>
      </c>
      <c r="O6" s="12" t="s">
        <v>578</v>
      </c>
      <c r="P6" s="12" t="s">
        <v>578</v>
      </c>
      <c r="Q6" s="12" t="s">
        <v>578</v>
      </c>
      <c r="R6" s="12" t="s">
        <v>578</v>
      </c>
      <c r="S6" s="12" t="s">
        <v>578</v>
      </c>
      <c r="T6" s="12" t="s">
        <v>578</v>
      </c>
      <c r="U6" s="12" t="s">
        <v>578</v>
      </c>
      <c r="V6" s="12" t="s">
        <v>578</v>
      </c>
      <c r="W6" s="12" t="s">
        <v>578</v>
      </c>
      <c r="X6" s="12" t="s">
        <v>578</v>
      </c>
      <c r="Y6" s="12" t="s">
        <v>578</v>
      </c>
      <c r="Z6" s="12" t="s">
        <v>578</v>
      </c>
      <c r="AA6" s="12" t="s">
        <v>578</v>
      </c>
      <c r="AB6" s="12" t="s">
        <v>578</v>
      </c>
      <c r="AC6" s="12" t="s">
        <v>578</v>
      </c>
      <c r="AD6" s="12" t="s">
        <v>578</v>
      </c>
      <c r="AE6" s="12" t="s">
        <v>578</v>
      </c>
      <c r="AF6" s="12" t="s">
        <v>578</v>
      </c>
      <c r="AG6" s="12" t="s">
        <v>578</v>
      </c>
      <c r="AH6" s="12" t="s">
        <v>578</v>
      </c>
      <c r="AI6" s="12" t="s">
        <v>578</v>
      </c>
      <c r="AJ6" s="12" t="s">
        <v>578</v>
      </c>
      <c r="AK6" s="12" t="s">
        <v>578</v>
      </c>
      <c r="AL6" s="12" t="s">
        <v>578</v>
      </c>
      <c r="AM6" s="12" t="s">
        <v>578</v>
      </c>
      <c r="AN6" s="12" t="s">
        <v>578</v>
      </c>
      <c r="AO6" s="12" t="s">
        <v>578</v>
      </c>
      <c r="AP6" s="12" t="s">
        <v>578</v>
      </c>
      <c r="AQ6" s="12" t="s">
        <v>578</v>
      </c>
      <c r="AR6" s="12" t="s">
        <v>578</v>
      </c>
      <c r="AS6" s="12" t="s">
        <v>579</v>
      </c>
      <c r="AT6" s="12" t="s">
        <v>579</v>
      </c>
      <c r="AU6" s="12" t="s">
        <v>579</v>
      </c>
      <c r="AV6" s="12" t="s">
        <v>579</v>
      </c>
      <c r="AW6" s="12" t="s">
        <v>579</v>
      </c>
      <c r="AX6" s="12" t="s">
        <v>579</v>
      </c>
      <c r="AY6" s="12" t="s">
        <v>579</v>
      </c>
      <c r="AZ6" s="12" t="s">
        <v>579</v>
      </c>
      <c r="BA6" s="12" t="s">
        <v>579</v>
      </c>
      <c r="BB6" s="12" t="s">
        <v>579</v>
      </c>
      <c r="BC6" s="12" t="s">
        <v>579</v>
      </c>
      <c r="BD6" s="12" t="s">
        <v>579</v>
      </c>
      <c r="BE6" s="12" t="s">
        <v>579</v>
      </c>
      <c r="BF6" s="12" t="s">
        <v>579</v>
      </c>
      <c r="BG6" s="12" t="s">
        <v>623</v>
      </c>
      <c r="BH6" s="12" t="s">
        <v>718</v>
      </c>
      <c r="BI6" s="12" t="s">
        <v>718</v>
      </c>
      <c r="BJ6" s="12" t="s">
        <v>719</v>
      </c>
      <c r="BK6" s="12" t="s">
        <v>720</v>
      </c>
      <c r="BL6" s="12" t="s">
        <v>721</v>
      </c>
      <c r="BM6" s="12" t="s">
        <v>722</v>
      </c>
      <c r="BN6" s="12" t="s">
        <v>723</v>
      </c>
      <c r="BO6" s="12" t="s">
        <v>724</v>
      </c>
      <c r="BP6" s="12" t="s">
        <v>725</v>
      </c>
      <c r="BQ6" s="12" t="s">
        <v>726</v>
      </c>
      <c r="BR6" s="12" t="s">
        <v>727</v>
      </c>
      <c r="BS6" s="12" t="s">
        <v>728</v>
      </c>
      <c r="BT6" s="12" t="s">
        <v>729</v>
      </c>
      <c r="BU6" s="12" t="s">
        <v>730</v>
      </c>
      <c r="BV6" s="12" t="s">
        <v>731</v>
      </c>
      <c r="BW6" s="12" t="s">
        <v>732</v>
      </c>
      <c r="BX6" s="12" t="s">
        <v>733</v>
      </c>
      <c r="BY6" s="12" t="s">
        <v>734</v>
      </c>
      <c r="BZ6" s="12" t="s">
        <v>735</v>
      </c>
      <c r="CA6" s="12" t="s">
        <v>736</v>
      </c>
      <c r="CB6" s="12" t="s">
        <v>737</v>
      </c>
      <c r="CC6" s="12" t="s">
        <v>738</v>
      </c>
      <c r="CD6" s="12" t="s">
        <v>739</v>
      </c>
      <c r="CE6" s="12" t="s">
        <v>740</v>
      </c>
      <c r="CF6" s="12" t="s">
        <v>741</v>
      </c>
      <c r="CG6" s="12" t="s">
        <v>741</v>
      </c>
      <c r="CH6" s="12" t="s">
        <v>742</v>
      </c>
      <c r="CI6" s="12" t="s">
        <v>743</v>
      </c>
      <c r="CJ6" s="12" t="s">
        <v>744</v>
      </c>
      <c r="CK6" s="12" t="s">
        <v>745</v>
      </c>
      <c r="CL6" s="12" t="s">
        <v>745</v>
      </c>
      <c r="CM6" s="12" t="s">
        <v>746</v>
      </c>
      <c r="CN6" s="12" t="s">
        <v>747</v>
      </c>
      <c r="CO6" s="12" t="s">
        <v>748</v>
      </c>
      <c r="CP6" s="12" t="s">
        <v>749</v>
      </c>
      <c r="CQ6" s="12" t="s">
        <v>749</v>
      </c>
      <c r="CR6" s="12" t="s">
        <v>750</v>
      </c>
      <c r="CS6" s="12" t="s">
        <v>750</v>
      </c>
      <c r="CT6" s="12" t="s">
        <v>751</v>
      </c>
    </row>
    <row r="7" spans="1:98" hidden="1" x14ac:dyDescent="0.3">
      <c r="A7" s="12" t="s">
        <v>25</v>
      </c>
      <c r="B7" s="12" t="s">
        <v>752</v>
      </c>
      <c r="C7" s="12" t="s">
        <v>753</v>
      </c>
      <c r="D7" s="12" t="s">
        <v>754</v>
      </c>
      <c r="E7" s="12" t="s">
        <v>578</v>
      </c>
      <c r="F7" s="12" t="s">
        <v>578</v>
      </c>
      <c r="G7" s="12" t="s">
        <v>578</v>
      </c>
      <c r="H7" s="12" t="s">
        <v>578</v>
      </c>
      <c r="I7" s="12" t="s">
        <v>578</v>
      </c>
      <c r="J7" s="12" t="s">
        <v>578</v>
      </c>
      <c r="K7" s="12" t="s">
        <v>578</v>
      </c>
      <c r="L7" s="12" t="s">
        <v>578</v>
      </c>
      <c r="M7" s="12" t="s">
        <v>578</v>
      </c>
      <c r="N7" s="12" t="s">
        <v>578</v>
      </c>
      <c r="O7" s="12" t="s">
        <v>578</v>
      </c>
      <c r="P7" s="12" t="s">
        <v>578</v>
      </c>
      <c r="Q7" s="12" t="s">
        <v>578</v>
      </c>
      <c r="R7" s="12" t="s">
        <v>578</v>
      </c>
      <c r="S7" s="12" t="s">
        <v>578</v>
      </c>
      <c r="T7" s="12" t="s">
        <v>578</v>
      </c>
      <c r="U7" s="12" t="s">
        <v>578</v>
      </c>
      <c r="V7" s="12" t="s">
        <v>578</v>
      </c>
      <c r="W7" s="12" t="s">
        <v>578</v>
      </c>
      <c r="X7" s="12" t="s">
        <v>578</v>
      </c>
      <c r="Y7" s="12" t="s">
        <v>578</v>
      </c>
      <c r="Z7" s="12" t="s">
        <v>578</v>
      </c>
      <c r="AA7" s="12" t="s">
        <v>578</v>
      </c>
      <c r="AB7" s="12" t="s">
        <v>578</v>
      </c>
      <c r="AC7" s="12" t="s">
        <v>578</v>
      </c>
      <c r="AD7" s="12" t="s">
        <v>578</v>
      </c>
      <c r="AE7" s="12" t="s">
        <v>578</v>
      </c>
      <c r="AF7" s="12" t="s">
        <v>578</v>
      </c>
      <c r="AG7" s="12" t="s">
        <v>578</v>
      </c>
      <c r="AH7" s="12" t="s">
        <v>578</v>
      </c>
      <c r="AI7" s="12" t="s">
        <v>578</v>
      </c>
      <c r="AJ7" s="12" t="s">
        <v>578</v>
      </c>
      <c r="AK7" s="12" t="s">
        <v>578</v>
      </c>
      <c r="AL7" s="12" t="s">
        <v>578</v>
      </c>
      <c r="AM7" s="12" t="s">
        <v>578</v>
      </c>
      <c r="AN7" s="12" t="s">
        <v>578</v>
      </c>
      <c r="AO7" s="12" t="s">
        <v>578</v>
      </c>
      <c r="AP7" s="12" t="s">
        <v>578</v>
      </c>
      <c r="AQ7" s="12" t="s">
        <v>578</v>
      </c>
      <c r="AR7" s="12" t="s">
        <v>578</v>
      </c>
      <c r="AS7" s="12" t="s">
        <v>578</v>
      </c>
      <c r="AT7" s="12" t="s">
        <v>578</v>
      </c>
      <c r="AU7" s="12" t="s">
        <v>578</v>
      </c>
      <c r="AV7" s="12" t="s">
        <v>578</v>
      </c>
      <c r="AW7" s="12" t="s">
        <v>578</v>
      </c>
      <c r="AX7" s="12" t="s">
        <v>578</v>
      </c>
      <c r="AY7" s="12" t="s">
        <v>578</v>
      </c>
      <c r="AZ7" s="12" t="s">
        <v>578</v>
      </c>
      <c r="BA7" s="12" t="s">
        <v>578</v>
      </c>
      <c r="BB7" s="12" t="s">
        <v>578</v>
      </c>
      <c r="BC7" s="12" t="s">
        <v>578</v>
      </c>
      <c r="BD7" s="12" t="s">
        <v>578</v>
      </c>
      <c r="BE7" s="12" t="s">
        <v>578</v>
      </c>
      <c r="BF7" s="12" t="s">
        <v>578</v>
      </c>
      <c r="BG7" s="12" t="s">
        <v>578</v>
      </c>
      <c r="BH7" s="12" t="s">
        <v>578</v>
      </c>
      <c r="BI7" s="12" t="s">
        <v>578</v>
      </c>
      <c r="BJ7" s="12" t="s">
        <v>578</v>
      </c>
      <c r="BK7" s="12" t="s">
        <v>579</v>
      </c>
      <c r="BL7" s="12" t="s">
        <v>623</v>
      </c>
      <c r="BM7" s="12" t="s">
        <v>623</v>
      </c>
      <c r="BN7" s="12" t="s">
        <v>672</v>
      </c>
      <c r="BO7" s="12" t="s">
        <v>672</v>
      </c>
      <c r="BP7" s="12" t="s">
        <v>672</v>
      </c>
      <c r="BQ7" s="12" t="s">
        <v>580</v>
      </c>
      <c r="BR7" s="12" t="s">
        <v>580</v>
      </c>
      <c r="BS7" s="12" t="s">
        <v>581</v>
      </c>
      <c r="BT7" s="12" t="s">
        <v>582</v>
      </c>
      <c r="BU7" s="12" t="s">
        <v>582</v>
      </c>
      <c r="BV7" s="12" t="s">
        <v>582</v>
      </c>
      <c r="BW7" s="12" t="s">
        <v>755</v>
      </c>
      <c r="BX7" s="12" t="s">
        <v>755</v>
      </c>
      <c r="BY7" s="12" t="s">
        <v>755</v>
      </c>
      <c r="BZ7" s="12" t="s">
        <v>624</v>
      </c>
      <c r="CA7" s="12" t="s">
        <v>756</v>
      </c>
      <c r="CB7" s="12" t="s">
        <v>584</v>
      </c>
      <c r="CC7" s="12" t="s">
        <v>673</v>
      </c>
      <c r="CD7" s="12" t="s">
        <v>674</v>
      </c>
      <c r="CE7" s="12" t="s">
        <v>674</v>
      </c>
      <c r="CF7" s="12" t="s">
        <v>674</v>
      </c>
      <c r="CG7" s="12" t="s">
        <v>674</v>
      </c>
      <c r="CH7" s="12" t="s">
        <v>674</v>
      </c>
      <c r="CI7" s="12" t="s">
        <v>674</v>
      </c>
      <c r="CJ7" s="12" t="s">
        <v>674</v>
      </c>
      <c r="CK7" s="12" t="s">
        <v>674</v>
      </c>
      <c r="CL7" s="12" t="s">
        <v>674</v>
      </c>
      <c r="CM7" s="12" t="s">
        <v>674</v>
      </c>
      <c r="CN7" s="12" t="s">
        <v>587</v>
      </c>
      <c r="CO7" s="12" t="s">
        <v>587</v>
      </c>
      <c r="CP7" s="12" t="s">
        <v>587</v>
      </c>
      <c r="CQ7" s="12" t="s">
        <v>587</v>
      </c>
      <c r="CR7" s="12" t="s">
        <v>757</v>
      </c>
      <c r="CS7" s="12" t="s">
        <v>757</v>
      </c>
      <c r="CT7" s="12" t="s">
        <v>757</v>
      </c>
    </row>
    <row r="8" spans="1:98" hidden="1" x14ac:dyDescent="0.3">
      <c r="A8" s="12" t="s">
        <v>25</v>
      </c>
      <c r="B8" s="12" t="s">
        <v>758</v>
      </c>
      <c r="C8" s="12" t="s">
        <v>759</v>
      </c>
      <c r="D8" s="12" t="s">
        <v>760</v>
      </c>
      <c r="E8" s="12" t="s">
        <v>578</v>
      </c>
      <c r="F8" s="12" t="s">
        <v>578</v>
      </c>
      <c r="G8" s="12" t="s">
        <v>578</v>
      </c>
      <c r="H8" s="12" t="s">
        <v>578</v>
      </c>
      <c r="I8" s="12" t="s">
        <v>578</v>
      </c>
      <c r="J8" s="12" t="s">
        <v>578</v>
      </c>
      <c r="K8" s="12" t="s">
        <v>578</v>
      </c>
      <c r="L8" s="12" t="s">
        <v>578</v>
      </c>
      <c r="M8" s="12" t="s">
        <v>578</v>
      </c>
      <c r="N8" s="12" t="s">
        <v>578</v>
      </c>
      <c r="O8" s="12" t="s">
        <v>578</v>
      </c>
      <c r="P8" s="12" t="s">
        <v>578</v>
      </c>
      <c r="Q8" s="12" t="s">
        <v>578</v>
      </c>
      <c r="R8" s="12" t="s">
        <v>578</v>
      </c>
      <c r="S8" s="12" t="s">
        <v>578</v>
      </c>
      <c r="T8" s="12" t="s">
        <v>578</v>
      </c>
      <c r="U8" s="12" t="s">
        <v>578</v>
      </c>
      <c r="V8" s="12" t="s">
        <v>578</v>
      </c>
      <c r="W8" s="12" t="s">
        <v>578</v>
      </c>
      <c r="X8" s="12" t="s">
        <v>578</v>
      </c>
      <c r="Y8" s="12" t="s">
        <v>578</v>
      </c>
      <c r="Z8" s="12" t="s">
        <v>578</v>
      </c>
      <c r="AA8" s="12" t="s">
        <v>578</v>
      </c>
      <c r="AB8" s="12" t="s">
        <v>578</v>
      </c>
      <c r="AC8" s="12" t="s">
        <v>578</v>
      </c>
      <c r="AD8" s="12" t="s">
        <v>578</v>
      </c>
      <c r="AE8" s="12" t="s">
        <v>578</v>
      </c>
      <c r="AF8" s="12" t="s">
        <v>578</v>
      </c>
      <c r="AG8" s="12" t="s">
        <v>578</v>
      </c>
      <c r="AH8" s="12" t="s">
        <v>578</v>
      </c>
      <c r="AI8" s="12" t="s">
        <v>578</v>
      </c>
      <c r="AJ8" s="12" t="s">
        <v>578</v>
      </c>
      <c r="AK8" s="12" t="s">
        <v>578</v>
      </c>
      <c r="AL8" s="12" t="s">
        <v>578</v>
      </c>
      <c r="AM8" s="12" t="s">
        <v>578</v>
      </c>
      <c r="AN8" s="12" t="s">
        <v>578</v>
      </c>
      <c r="AO8" s="12" t="s">
        <v>578</v>
      </c>
      <c r="AP8" s="12" t="s">
        <v>578</v>
      </c>
      <c r="AQ8" s="12" t="s">
        <v>578</v>
      </c>
      <c r="AR8" s="12" t="s">
        <v>578</v>
      </c>
      <c r="AS8" s="12" t="s">
        <v>578</v>
      </c>
      <c r="AT8" s="12" t="s">
        <v>578</v>
      </c>
      <c r="AU8" s="12" t="s">
        <v>578</v>
      </c>
      <c r="AV8" s="12" t="s">
        <v>578</v>
      </c>
      <c r="AW8" s="12" t="s">
        <v>578</v>
      </c>
      <c r="AX8" s="12" t="s">
        <v>578</v>
      </c>
      <c r="AY8" s="12" t="s">
        <v>578</v>
      </c>
      <c r="AZ8" s="12" t="s">
        <v>578</v>
      </c>
      <c r="BA8" s="12" t="s">
        <v>578</v>
      </c>
      <c r="BB8" s="12" t="s">
        <v>578</v>
      </c>
      <c r="BC8" s="12" t="s">
        <v>578</v>
      </c>
      <c r="BD8" s="12" t="s">
        <v>579</v>
      </c>
      <c r="BE8" s="12" t="s">
        <v>579</v>
      </c>
      <c r="BF8" s="12" t="s">
        <v>579</v>
      </c>
      <c r="BG8" s="12" t="s">
        <v>579</v>
      </c>
      <c r="BH8" s="12" t="s">
        <v>579</v>
      </c>
      <c r="BI8" s="12" t="s">
        <v>579</v>
      </c>
      <c r="BJ8" s="12" t="s">
        <v>579</v>
      </c>
      <c r="BK8" s="12" t="s">
        <v>579</v>
      </c>
      <c r="BL8" s="12" t="s">
        <v>579</v>
      </c>
      <c r="BM8" s="12" t="s">
        <v>579</v>
      </c>
      <c r="BN8" s="12" t="s">
        <v>672</v>
      </c>
      <c r="BO8" s="12" t="s">
        <v>672</v>
      </c>
      <c r="BP8" s="12" t="s">
        <v>672</v>
      </c>
      <c r="BQ8" s="12" t="s">
        <v>582</v>
      </c>
      <c r="BR8" s="12" t="s">
        <v>582</v>
      </c>
      <c r="BS8" s="12" t="s">
        <v>582</v>
      </c>
      <c r="BT8" s="12" t="s">
        <v>582</v>
      </c>
      <c r="BU8" s="12" t="s">
        <v>582</v>
      </c>
      <c r="BV8" s="12" t="s">
        <v>582</v>
      </c>
      <c r="BW8" s="12" t="s">
        <v>582</v>
      </c>
      <c r="BX8" s="12" t="s">
        <v>761</v>
      </c>
      <c r="BY8" s="12" t="s">
        <v>762</v>
      </c>
      <c r="BZ8" s="12" t="s">
        <v>762</v>
      </c>
      <c r="CA8" s="12" t="s">
        <v>762</v>
      </c>
      <c r="CB8" s="12" t="s">
        <v>762</v>
      </c>
      <c r="CC8" s="12" t="s">
        <v>674</v>
      </c>
      <c r="CD8" s="12" t="s">
        <v>674</v>
      </c>
      <c r="CE8" s="12" t="s">
        <v>674</v>
      </c>
      <c r="CF8" s="12" t="s">
        <v>674</v>
      </c>
      <c r="CG8" s="12" t="s">
        <v>585</v>
      </c>
      <c r="CH8" s="12" t="s">
        <v>585</v>
      </c>
      <c r="CI8" s="12" t="s">
        <v>626</v>
      </c>
      <c r="CJ8" s="12" t="s">
        <v>626</v>
      </c>
      <c r="CK8" s="12" t="s">
        <v>626</v>
      </c>
      <c r="CL8" s="12" t="s">
        <v>626</v>
      </c>
      <c r="CM8" s="12" t="s">
        <v>626</v>
      </c>
      <c r="CN8" s="12" t="s">
        <v>626</v>
      </c>
      <c r="CO8" s="12" t="s">
        <v>626</v>
      </c>
      <c r="CP8" s="12" t="s">
        <v>626</v>
      </c>
      <c r="CQ8" s="12" t="s">
        <v>626</v>
      </c>
      <c r="CR8" s="12" t="s">
        <v>587</v>
      </c>
      <c r="CS8" s="12" t="s">
        <v>587</v>
      </c>
      <c r="CT8" s="12" t="s">
        <v>587</v>
      </c>
    </row>
    <row r="9" spans="1:98" hidden="1" x14ac:dyDescent="0.3">
      <c r="A9" s="12" t="s">
        <v>25</v>
      </c>
      <c r="B9" s="12" t="s">
        <v>763</v>
      </c>
      <c r="C9" s="12" t="s">
        <v>764</v>
      </c>
      <c r="D9" s="12" t="s">
        <v>765</v>
      </c>
      <c r="E9" s="12" t="s">
        <v>578</v>
      </c>
      <c r="F9" s="12" t="s">
        <v>578</v>
      </c>
      <c r="G9" s="12" t="s">
        <v>578</v>
      </c>
      <c r="H9" s="12" t="s">
        <v>578</v>
      </c>
      <c r="I9" s="12" t="s">
        <v>578</v>
      </c>
      <c r="J9" s="12" t="s">
        <v>578</v>
      </c>
      <c r="K9" s="12" t="s">
        <v>578</v>
      </c>
      <c r="L9" s="12" t="s">
        <v>578</v>
      </c>
      <c r="M9" s="12" t="s">
        <v>578</v>
      </c>
      <c r="N9" s="12" t="s">
        <v>578</v>
      </c>
      <c r="O9" s="12" t="s">
        <v>578</v>
      </c>
      <c r="P9" s="12" t="s">
        <v>578</v>
      </c>
      <c r="Q9" s="12" t="s">
        <v>578</v>
      </c>
      <c r="R9" s="12" t="s">
        <v>578</v>
      </c>
      <c r="S9" s="12" t="s">
        <v>578</v>
      </c>
      <c r="T9" s="12" t="s">
        <v>578</v>
      </c>
      <c r="U9" s="12" t="s">
        <v>578</v>
      </c>
      <c r="V9" s="12" t="s">
        <v>578</v>
      </c>
      <c r="W9" s="12" t="s">
        <v>578</v>
      </c>
      <c r="X9" s="12" t="s">
        <v>578</v>
      </c>
      <c r="Y9" s="12" t="s">
        <v>578</v>
      </c>
      <c r="Z9" s="12" t="s">
        <v>578</v>
      </c>
      <c r="AA9" s="12" t="s">
        <v>578</v>
      </c>
      <c r="AB9" s="12" t="s">
        <v>578</v>
      </c>
      <c r="AC9" s="12" t="s">
        <v>578</v>
      </c>
      <c r="AD9" s="12" t="s">
        <v>578</v>
      </c>
      <c r="AE9" s="12" t="s">
        <v>578</v>
      </c>
      <c r="AF9" s="12" t="s">
        <v>578</v>
      </c>
      <c r="AG9" s="12" t="s">
        <v>578</v>
      </c>
      <c r="AH9" s="12" t="s">
        <v>578</v>
      </c>
      <c r="AI9" s="12" t="s">
        <v>578</v>
      </c>
      <c r="AJ9" s="12" t="s">
        <v>578</v>
      </c>
      <c r="AK9" s="12" t="s">
        <v>578</v>
      </c>
      <c r="AL9" s="12" t="s">
        <v>578</v>
      </c>
      <c r="AM9" s="12" t="s">
        <v>578</v>
      </c>
      <c r="AN9" s="12" t="s">
        <v>578</v>
      </c>
      <c r="AO9" s="12" t="s">
        <v>578</v>
      </c>
      <c r="AP9" s="12" t="s">
        <v>578</v>
      </c>
      <c r="AQ9" s="12" t="s">
        <v>578</v>
      </c>
      <c r="AR9" s="12" t="s">
        <v>578</v>
      </c>
      <c r="AS9" s="12" t="s">
        <v>578</v>
      </c>
      <c r="AT9" s="12" t="s">
        <v>579</v>
      </c>
      <c r="AU9" s="12" t="s">
        <v>579</v>
      </c>
      <c r="AV9" s="12" t="s">
        <v>579</v>
      </c>
      <c r="AW9" s="12" t="s">
        <v>623</v>
      </c>
      <c r="AX9" s="12" t="s">
        <v>755</v>
      </c>
      <c r="AY9" s="12" t="s">
        <v>625</v>
      </c>
      <c r="AZ9" s="12" t="s">
        <v>625</v>
      </c>
      <c r="BA9" s="12" t="s">
        <v>673</v>
      </c>
      <c r="BB9" s="12" t="s">
        <v>674</v>
      </c>
      <c r="BC9" s="12" t="s">
        <v>674</v>
      </c>
      <c r="BD9" s="12" t="s">
        <v>766</v>
      </c>
      <c r="BE9" s="12" t="s">
        <v>767</v>
      </c>
      <c r="BF9" s="12" t="s">
        <v>768</v>
      </c>
      <c r="BG9" s="12" t="s">
        <v>769</v>
      </c>
      <c r="BH9" s="12" t="s">
        <v>770</v>
      </c>
      <c r="BI9" s="12" t="s">
        <v>771</v>
      </c>
      <c r="BJ9" s="12" t="s">
        <v>772</v>
      </c>
      <c r="BK9" s="12" t="s">
        <v>773</v>
      </c>
      <c r="BL9" s="12" t="s">
        <v>774</v>
      </c>
      <c r="BM9" s="12" t="s">
        <v>775</v>
      </c>
      <c r="BN9" s="12" t="s">
        <v>776</v>
      </c>
      <c r="BO9" s="12" t="s">
        <v>777</v>
      </c>
      <c r="BP9" s="12" t="s">
        <v>777</v>
      </c>
      <c r="BQ9" s="12" t="s">
        <v>778</v>
      </c>
      <c r="BR9" s="12" t="s">
        <v>779</v>
      </c>
      <c r="BS9" s="12" t="s">
        <v>780</v>
      </c>
      <c r="BT9" s="12" t="s">
        <v>781</v>
      </c>
      <c r="BU9" s="12" t="s">
        <v>782</v>
      </c>
      <c r="BV9" s="12" t="s">
        <v>783</v>
      </c>
      <c r="BW9" s="12" t="s">
        <v>783</v>
      </c>
      <c r="BX9" s="12" t="s">
        <v>784</v>
      </c>
      <c r="BY9" s="12" t="s">
        <v>785</v>
      </c>
      <c r="BZ9" s="12" t="s">
        <v>786</v>
      </c>
      <c r="CA9" s="12" t="s">
        <v>786</v>
      </c>
      <c r="CB9" s="12" t="s">
        <v>787</v>
      </c>
      <c r="CC9" s="12" t="s">
        <v>788</v>
      </c>
      <c r="CD9" s="12" t="s">
        <v>789</v>
      </c>
      <c r="CE9" s="12" t="s">
        <v>790</v>
      </c>
      <c r="CF9" s="12" t="s">
        <v>791</v>
      </c>
      <c r="CG9" s="12" t="s">
        <v>791</v>
      </c>
      <c r="CH9" s="12" t="s">
        <v>792</v>
      </c>
      <c r="CI9" s="12" t="s">
        <v>793</v>
      </c>
      <c r="CJ9" s="12" t="s">
        <v>794</v>
      </c>
      <c r="CK9" s="12" t="s">
        <v>795</v>
      </c>
      <c r="CL9" s="12" t="s">
        <v>796</v>
      </c>
      <c r="CM9" s="12" t="s">
        <v>797</v>
      </c>
      <c r="CN9" s="12" t="s">
        <v>798</v>
      </c>
      <c r="CO9" s="12" t="s">
        <v>799</v>
      </c>
      <c r="CP9" s="12" t="s">
        <v>800</v>
      </c>
      <c r="CQ9" s="12" t="s">
        <v>801</v>
      </c>
      <c r="CR9" s="12" t="s">
        <v>802</v>
      </c>
      <c r="CS9" s="12" t="s">
        <v>803</v>
      </c>
      <c r="CT9" s="12" t="s">
        <v>804</v>
      </c>
    </row>
    <row r="10" spans="1:98" hidden="1" x14ac:dyDescent="0.3">
      <c r="A10" s="12" t="s">
        <v>25</v>
      </c>
      <c r="B10" s="12" t="s">
        <v>805</v>
      </c>
      <c r="C10" s="12" t="s">
        <v>806</v>
      </c>
      <c r="D10" s="12" t="s">
        <v>807</v>
      </c>
      <c r="E10" s="12" t="s">
        <v>578</v>
      </c>
      <c r="F10" s="12" t="s">
        <v>578</v>
      </c>
      <c r="G10" s="12" t="s">
        <v>578</v>
      </c>
      <c r="H10" s="12" t="s">
        <v>578</v>
      </c>
      <c r="I10" s="12" t="s">
        <v>578</v>
      </c>
      <c r="J10" s="12" t="s">
        <v>578</v>
      </c>
      <c r="K10" s="12" t="s">
        <v>578</v>
      </c>
      <c r="L10" s="12" t="s">
        <v>578</v>
      </c>
      <c r="M10" s="12" t="s">
        <v>578</v>
      </c>
      <c r="N10" s="12" t="s">
        <v>578</v>
      </c>
      <c r="O10" s="12" t="s">
        <v>578</v>
      </c>
      <c r="P10" s="12" t="s">
        <v>578</v>
      </c>
      <c r="Q10" s="12" t="s">
        <v>578</v>
      </c>
      <c r="R10" s="12" t="s">
        <v>578</v>
      </c>
      <c r="S10" s="12" t="s">
        <v>578</v>
      </c>
      <c r="T10" s="12" t="s">
        <v>578</v>
      </c>
      <c r="U10" s="12" t="s">
        <v>578</v>
      </c>
      <c r="V10" s="12" t="s">
        <v>578</v>
      </c>
      <c r="W10" s="12" t="s">
        <v>578</v>
      </c>
      <c r="X10" s="12" t="s">
        <v>578</v>
      </c>
      <c r="Y10" s="12" t="s">
        <v>578</v>
      </c>
      <c r="Z10" s="12" t="s">
        <v>578</v>
      </c>
      <c r="AA10" s="12" t="s">
        <v>578</v>
      </c>
      <c r="AB10" s="12" t="s">
        <v>578</v>
      </c>
      <c r="AC10" s="12" t="s">
        <v>578</v>
      </c>
      <c r="AD10" s="12" t="s">
        <v>578</v>
      </c>
      <c r="AE10" s="12" t="s">
        <v>578</v>
      </c>
      <c r="AF10" s="12" t="s">
        <v>578</v>
      </c>
      <c r="AG10" s="12" t="s">
        <v>578</v>
      </c>
      <c r="AH10" s="12" t="s">
        <v>578</v>
      </c>
      <c r="AI10" s="12" t="s">
        <v>578</v>
      </c>
      <c r="AJ10" s="12" t="s">
        <v>578</v>
      </c>
      <c r="AK10" s="12" t="s">
        <v>578</v>
      </c>
      <c r="AL10" s="12" t="s">
        <v>578</v>
      </c>
      <c r="AM10" s="12" t="s">
        <v>578</v>
      </c>
      <c r="AN10" s="12" t="s">
        <v>578</v>
      </c>
      <c r="AO10" s="12" t="s">
        <v>578</v>
      </c>
      <c r="AP10" s="12" t="s">
        <v>578</v>
      </c>
      <c r="AQ10" s="12" t="s">
        <v>578</v>
      </c>
      <c r="AR10" s="12" t="s">
        <v>579</v>
      </c>
      <c r="AS10" s="12" t="s">
        <v>579</v>
      </c>
      <c r="AT10" s="12" t="s">
        <v>579</v>
      </c>
      <c r="AU10" s="12" t="s">
        <v>579</v>
      </c>
      <c r="AV10" s="12" t="s">
        <v>579</v>
      </c>
      <c r="AW10" s="12" t="s">
        <v>579</v>
      </c>
      <c r="AX10" s="12" t="s">
        <v>579</v>
      </c>
      <c r="AY10" s="12" t="s">
        <v>579</v>
      </c>
      <c r="AZ10" s="12" t="s">
        <v>579</v>
      </c>
      <c r="BA10" s="12" t="s">
        <v>579</v>
      </c>
      <c r="BB10" s="12" t="s">
        <v>579</v>
      </c>
      <c r="BC10" s="12" t="s">
        <v>580</v>
      </c>
      <c r="BD10" s="12" t="s">
        <v>755</v>
      </c>
      <c r="BE10" s="12" t="s">
        <v>808</v>
      </c>
      <c r="BF10" s="12" t="s">
        <v>676</v>
      </c>
      <c r="BG10" s="12" t="s">
        <v>809</v>
      </c>
      <c r="BH10" s="12" t="s">
        <v>810</v>
      </c>
      <c r="BI10" s="12" t="s">
        <v>590</v>
      </c>
      <c r="BJ10" s="12" t="s">
        <v>811</v>
      </c>
      <c r="BK10" s="12" t="s">
        <v>812</v>
      </c>
      <c r="BL10" s="12" t="s">
        <v>813</v>
      </c>
      <c r="BM10" s="12" t="s">
        <v>814</v>
      </c>
      <c r="BN10" s="12" t="s">
        <v>815</v>
      </c>
      <c r="BO10" s="12" t="s">
        <v>816</v>
      </c>
      <c r="BP10" s="12" t="s">
        <v>817</v>
      </c>
      <c r="BQ10" s="12" t="s">
        <v>818</v>
      </c>
      <c r="BR10" s="12" t="s">
        <v>819</v>
      </c>
      <c r="BS10" s="12" t="s">
        <v>820</v>
      </c>
      <c r="BT10" s="12" t="s">
        <v>821</v>
      </c>
      <c r="BU10" s="12" t="s">
        <v>822</v>
      </c>
      <c r="BV10" s="12" t="s">
        <v>823</v>
      </c>
      <c r="BW10" s="12" t="s">
        <v>824</v>
      </c>
      <c r="BX10" s="12" t="s">
        <v>667</v>
      </c>
      <c r="BY10" s="12" t="s">
        <v>825</v>
      </c>
      <c r="BZ10" s="12" t="s">
        <v>826</v>
      </c>
      <c r="CA10" s="12" t="s">
        <v>827</v>
      </c>
      <c r="CB10" s="12" t="s">
        <v>828</v>
      </c>
      <c r="CC10" s="12" t="s">
        <v>829</v>
      </c>
      <c r="CD10" s="12" t="s">
        <v>830</v>
      </c>
      <c r="CE10" s="12" t="s">
        <v>831</v>
      </c>
      <c r="CF10" s="12" t="s">
        <v>832</v>
      </c>
      <c r="CG10" s="12" t="s">
        <v>833</v>
      </c>
      <c r="CH10" s="12" t="s">
        <v>834</v>
      </c>
      <c r="CI10" s="12" t="s">
        <v>835</v>
      </c>
      <c r="CJ10" s="12" t="s">
        <v>836</v>
      </c>
      <c r="CK10" s="12" t="s">
        <v>837</v>
      </c>
      <c r="CL10" s="12" t="s">
        <v>838</v>
      </c>
      <c r="CM10" s="12" t="s">
        <v>839</v>
      </c>
      <c r="CN10" s="12" t="s">
        <v>840</v>
      </c>
      <c r="CO10" s="12" t="s">
        <v>841</v>
      </c>
      <c r="CP10" s="12" t="s">
        <v>842</v>
      </c>
      <c r="CQ10" s="12" t="s">
        <v>843</v>
      </c>
      <c r="CR10" s="12" t="s">
        <v>844</v>
      </c>
      <c r="CS10" s="12" t="s">
        <v>845</v>
      </c>
      <c r="CT10" s="12" t="s">
        <v>846</v>
      </c>
    </row>
    <row r="11" spans="1:98" hidden="1" x14ac:dyDescent="0.3">
      <c r="A11" s="12" t="s">
        <v>847</v>
      </c>
      <c r="B11" s="12" t="s">
        <v>848</v>
      </c>
      <c r="C11" s="12" t="s">
        <v>849</v>
      </c>
      <c r="D11" s="12" t="s">
        <v>850</v>
      </c>
      <c r="E11" s="12" t="s">
        <v>578</v>
      </c>
      <c r="F11" s="12" t="s">
        <v>578</v>
      </c>
      <c r="G11" s="12" t="s">
        <v>578</v>
      </c>
      <c r="H11" s="12" t="s">
        <v>578</v>
      </c>
      <c r="I11" s="12" t="s">
        <v>578</v>
      </c>
      <c r="J11" s="12" t="s">
        <v>578</v>
      </c>
      <c r="K11" s="12" t="s">
        <v>578</v>
      </c>
      <c r="L11" s="12" t="s">
        <v>578</v>
      </c>
      <c r="M11" s="12" t="s">
        <v>578</v>
      </c>
      <c r="N11" s="12" t="s">
        <v>578</v>
      </c>
      <c r="O11" s="12" t="s">
        <v>578</v>
      </c>
      <c r="P11" s="12" t="s">
        <v>578</v>
      </c>
      <c r="Q11" s="12" t="s">
        <v>578</v>
      </c>
      <c r="R11" s="12" t="s">
        <v>578</v>
      </c>
      <c r="S11" s="12" t="s">
        <v>578</v>
      </c>
      <c r="T11" s="12" t="s">
        <v>578</v>
      </c>
      <c r="U11" s="12" t="s">
        <v>578</v>
      </c>
      <c r="V11" s="12" t="s">
        <v>578</v>
      </c>
      <c r="W11" s="12" t="s">
        <v>578</v>
      </c>
      <c r="X11" s="12" t="s">
        <v>578</v>
      </c>
      <c r="Y11" s="12" t="s">
        <v>578</v>
      </c>
      <c r="Z11" s="12" t="s">
        <v>578</v>
      </c>
      <c r="AA11" s="12" t="s">
        <v>578</v>
      </c>
      <c r="AB11" s="12" t="s">
        <v>578</v>
      </c>
      <c r="AC11" s="12" t="s">
        <v>578</v>
      </c>
      <c r="AD11" s="12" t="s">
        <v>578</v>
      </c>
      <c r="AE11" s="12" t="s">
        <v>578</v>
      </c>
      <c r="AF11" s="12" t="s">
        <v>578</v>
      </c>
      <c r="AG11" s="12" t="s">
        <v>578</v>
      </c>
      <c r="AH11" s="12" t="s">
        <v>578</v>
      </c>
      <c r="AI11" s="12" t="s">
        <v>578</v>
      </c>
      <c r="AJ11" s="12" t="s">
        <v>578</v>
      </c>
      <c r="AK11" s="12" t="s">
        <v>578</v>
      </c>
      <c r="AL11" s="12" t="s">
        <v>578</v>
      </c>
      <c r="AM11" s="12" t="s">
        <v>578</v>
      </c>
      <c r="AN11" s="12" t="s">
        <v>578</v>
      </c>
      <c r="AO11" s="12" t="s">
        <v>578</v>
      </c>
      <c r="AP11" s="12" t="s">
        <v>578</v>
      </c>
      <c r="AQ11" s="12" t="s">
        <v>578</v>
      </c>
      <c r="AR11" s="12" t="s">
        <v>578</v>
      </c>
      <c r="AS11" s="12" t="s">
        <v>578</v>
      </c>
      <c r="AT11" s="12" t="s">
        <v>578</v>
      </c>
      <c r="AU11" s="12" t="s">
        <v>578</v>
      </c>
      <c r="AV11" s="12" t="s">
        <v>578</v>
      </c>
      <c r="AW11" s="12" t="s">
        <v>578</v>
      </c>
      <c r="AX11" s="12" t="s">
        <v>578</v>
      </c>
      <c r="AY11" s="12" t="s">
        <v>578</v>
      </c>
      <c r="AZ11" s="12" t="s">
        <v>578</v>
      </c>
      <c r="BA11" s="12" t="s">
        <v>578</v>
      </c>
      <c r="BB11" s="12" t="s">
        <v>578</v>
      </c>
      <c r="BC11" s="12" t="s">
        <v>578</v>
      </c>
      <c r="BD11" s="12" t="s">
        <v>579</v>
      </c>
      <c r="BE11" s="12" t="s">
        <v>579</v>
      </c>
      <c r="BF11" s="12" t="s">
        <v>579</v>
      </c>
      <c r="BG11" s="12" t="s">
        <v>623</v>
      </c>
      <c r="BH11" s="12" t="s">
        <v>623</v>
      </c>
      <c r="BI11" s="12" t="s">
        <v>672</v>
      </c>
      <c r="BJ11" s="12" t="s">
        <v>580</v>
      </c>
      <c r="BK11" s="12" t="s">
        <v>851</v>
      </c>
      <c r="BL11" s="12" t="s">
        <v>761</v>
      </c>
      <c r="BM11" s="12" t="s">
        <v>674</v>
      </c>
      <c r="BN11" s="12" t="s">
        <v>852</v>
      </c>
      <c r="BO11" s="12" t="s">
        <v>718</v>
      </c>
      <c r="BP11" s="12" t="s">
        <v>718</v>
      </c>
      <c r="BQ11" s="12" t="s">
        <v>719</v>
      </c>
      <c r="BR11" s="12" t="s">
        <v>853</v>
      </c>
      <c r="BS11" s="12" t="s">
        <v>854</v>
      </c>
      <c r="BT11" s="12" t="s">
        <v>855</v>
      </c>
      <c r="BU11" s="12" t="s">
        <v>810</v>
      </c>
      <c r="BV11" s="12" t="s">
        <v>856</v>
      </c>
      <c r="BW11" s="12" t="s">
        <v>590</v>
      </c>
      <c r="BX11" s="12" t="s">
        <v>681</v>
      </c>
      <c r="BY11" s="12" t="s">
        <v>857</v>
      </c>
      <c r="BZ11" s="12" t="s">
        <v>858</v>
      </c>
      <c r="CA11" s="12" t="s">
        <v>859</v>
      </c>
      <c r="CB11" s="12" t="s">
        <v>859</v>
      </c>
      <c r="CC11" s="12" t="s">
        <v>859</v>
      </c>
      <c r="CD11" s="12" t="s">
        <v>860</v>
      </c>
      <c r="CE11" s="12" t="s">
        <v>861</v>
      </c>
      <c r="CF11" s="12" t="s">
        <v>862</v>
      </c>
      <c r="CG11" s="12" t="s">
        <v>862</v>
      </c>
      <c r="CH11" s="12" t="s">
        <v>862</v>
      </c>
      <c r="CI11" s="12" t="s">
        <v>863</v>
      </c>
      <c r="CJ11" s="12" t="s">
        <v>862</v>
      </c>
      <c r="CK11" s="12" t="s">
        <v>862</v>
      </c>
      <c r="CL11" s="12" t="s">
        <v>862</v>
      </c>
      <c r="CM11" s="12" t="s">
        <v>862</v>
      </c>
      <c r="CN11" s="12" t="s">
        <v>862</v>
      </c>
      <c r="CO11" s="12" t="s">
        <v>862</v>
      </c>
      <c r="CP11" s="12" t="s">
        <v>637</v>
      </c>
      <c r="CQ11" s="12" t="s">
        <v>637</v>
      </c>
      <c r="CR11" s="12" t="s">
        <v>637</v>
      </c>
      <c r="CS11" s="12" t="s">
        <v>637</v>
      </c>
      <c r="CT11" s="12" t="s">
        <v>864</v>
      </c>
    </row>
    <row r="12" spans="1:98" hidden="1" x14ac:dyDescent="0.3">
      <c r="A12" s="12" t="s">
        <v>865</v>
      </c>
      <c r="B12" s="12" t="s">
        <v>848</v>
      </c>
      <c r="C12" s="12" t="s">
        <v>866</v>
      </c>
      <c r="D12" s="12" t="s">
        <v>867</v>
      </c>
      <c r="E12" s="12" t="s">
        <v>578</v>
      </c>
      <c r="F12" s="12" t="s">
        <v>578</v>
      </c>
      <c r="G12" s="12" t="s">
        <v>578</v>
      </c>
      <c r="H12" s="12" t="s">
        <v>578</v>
      </c>
      <c r="I12" s="12" t="s">
        <v>672</v>
      </c>
      <c r="J12" s="12" t="s">
        <v>580</v>
      </c>
      <c r="K12" s="12" t="s">
        <v>580</v>
      </c>
      <c r="L12" s="12" t="s">
        <v>580</v>
      </c>
      <c r="M12" s="12" t="s">
        <v>580</v>
      </c>
      <c r="N12" s="12" t="s">
        <v>580</v>
      </c>
      <c r="O12" s="12" t="s">
        <v>580</v>
      </c>
      <c r="P12" s="12" t="s">
        <v>580</v>
      </c>
      <c r="Q12" s="12" t="s">
        <v>580</v>
      </c>
      <c r="R12" s="12" t="s">
        <v>580</v>
      </c>
      <c r="S12" s="12" t="s">
        <v>580</v>
      </c>
      <c r="T12" s="12" t="s">
        <v>580</v>
      </c>
      <c r="U12" s="12" t="s">
        <v>580</v>
      </c>
      <c r="V12" s="12" t="s">
        <v>580</v>
      </c>
      <c r="W12" s="12" t="s">
        <v>580</v>
      </c>
      <c r="X12" s="12" t="s">
        <v>580</v>
      </c>
      <c r="Y12" s="12" t="s">
        <v>580</v>
      </c>
      <c r="Z12" s="12" t="s">
        <v>580</v>
      </c>
      <c r="AA12" s="12" t="s">
        <v>580</v>
      </c>
      <c r="AB12" s="12" t="s">
        <v>580</v>
      </c>
      <c r="AC12" s="12" t="s">
        <v>580</v>
      </c>
      <c r="AD12" s="12" t="s">
        <v>580</v>
      </c>
      <c r="AE12" s="12" t="s">
        <v>580</v>
      </c>
      <c r="AF12" s="12" t="s">
        <v>580</v>
      </c>
      <c r="AG12" s="12" t="s">
        <v>580</v>
      </c>
      <c r="AH12" s="12" t="s">
        <v>580</v>
      </c>
      <c r="AI12" s="12" t="s">
        <v>580</v>
      </c>
      <c r="AJ12" s="12" t="s">
        <v>580</v>
      </c>
      <c r="AK12" s="12" t="s">
        <v>580</v>
      </c>
      <c r="AL12" s="12" t="s">
        <v>580</v>
      </c>
      <c r="AM12" s="12" t="s">
        <v>580</v>
      </c>
      <c r="AN12" s="12" t="s">
        <v>580</v>
      </c>
      <c r="AO12" s="12" t="s">
        <v>580</v>
      </c>
      <c r="AP12" s="12" t="s">
        <v>580</v>
      </c>
      <c r="AQ12" s="12" t="s">
        <v>580</v>
      </c>
      <c r="AR12" s="12" t="s">
        <v>851</v>
      </c>
      <c r="AS12" s="12" t="s">
        <v>851</v>
      </c>
      <c r="AT12" s="12" t="s">
        <v>868</v>
      </c>
      <c r="AU12" s="12" t="s">
        <v>586</v>
      </c>
      <c r="AV12" s="12" t="s">
        <v>586</v>
      </c>
      <c r="AW12" s="12" t="s">
        <v>676</v>
      </c>
      <c r="AX12" s="12" t="s">
        <v>869</v>
      </c>
      <c r="AY12" s="12" t="s">
        <v>628</v>
      </c>
      <c r="AZ12" s="12" t="s">
        <v>678</v>
      </c>
      <c r="BA12" s="12" t="s">
        <v>631</v>
      </c>
      <c r="BB12" s="12" t="s">
        <v>870</v>
      </c>
      <c r="BC12" s="12" t="s">
        <v>870</v>
      </c>
      <c r="BD12" s="12" t="s">
        <v>871</v>
      </c>
      <c r="BE12" s="12" t="s">
        <v>872</v>
      </c>
      <c r="BF12" s="12" t="s">
        <v>873</v>
      </c>
      <c r="BG12" s="12" t="s">
        <v>874</v>
      </c>
      <c r="BH12" s="12" t="s">
        <v>875</v>
      </c>
      <c r="BI12" s="12" t="s">
        <v>727</v>
      </c>
      <c r="BJ12" s="12" t="s">
        <v>876</v>
      </c>
      <c r="BK12" s="12" t="s">
        <v>877</v>
      </c>
      <c r="BL12" s="12" t="s">
        <v>878</v>
      </c>
      <c r="BM12" s="12" t="s">
        <v>879</v>
      </c>
      <c r="BN12" s="12" t="s">
        <v>879</v>
      </c>
      <c r="BO12" s="12" t="s">
        <v>880</v>
      </c>
      <c r="BP12" s="12" t="s">
        <v>881</v>
      </c>
      <c r="BQ12" s="12" t="s">
        <v>882</v>
      </c>
      <c r="BR12" s="12" t="s">
        <v>883</v>
      </c>
      <c r="BS12" s="12" t="s">
        <v>884</v>
      </c>
      <c r="BT12" s="12" t="s">
        <v>885</v>
      </c>
      <c r="BU12" s="12" t="s">
        <v>886</v>
      </c>
      <c r="BV12" s="12" t="s">
        <v>886</v>
      </c>
      <c r="BW12" s="12" t="s">
        <v>887</v>
      </c>
      <c r="BX12" s="12" t="s">
        <v>888</v>
      </c>
      <c r="BY12" s="12" t="s">
        <v>889</v>
      </c>
      <c r="BZ12" s="12" t="s">
        <v>890</v>
      </c>
      <c r="CA12" s="12" t="s">
        <v>891</v>
      </c>
      <c r="CB12" s="12" t="s">
        <v>892</v>
      </c>
      <c r="CC12" s="12" t="s">
        <v>893</v>
      </c>
      <c r="CD12" s="12" t="s">
        <v>894</v>
      </c>
      <c r="CE12" s="12" t="s">
        <v>895</v>
      </c>
      <c r="CF12" s="12" t="s">
        <v>896</v>
      </c>
      <c r="CG12" s="12" t="s">
        <v>897</v>
      </c>
      <c r="CH12" s="12" t="s">
        <v>897</v>
      </c>
      <c r="CI12" s="12" t="s">
        <v>898</v>
      </c>
      <c r="CJ12" s="12" t="s">
        <v>899</v>
      </c>
      <c r="CK12" s="12" t="s">
        <v>900</v>
      </c>
      <c r="CL12" s="12" t="s">
        <v>901</v>
      </c>
      <c r="CM12" s="12" t="s">
        <v>902</v>
      </c>
      <c r="CN12" s="12" t="s">
        <v>903</v>
      </c>
      <c r="CO12" s="12" t="s">
        <v>904</v>
      </c>
      <c r="CP12" s="12" t="s">
        <v>905</v>
      </c>
      <c r="CQ12" s="12" t="s">
        <v>906</v>
      </c>
      <c r="CR12" s="12" t="s">
        <v>907</v>
      </c>
      <c r="CS12" s="12" t="s">
        <v>908</v>
      </c>
      <c r="CT12" s="12" t="s">
        <v>909</v>
      </c>
    </row>
    <row r="13" spans="1:98" hidden="1" x14ac:dyDescent="0.3">
      <c r="A13" s="12" t="s">
        <v>910</v>
      </c>
      <c r="B13" s="12" t="s">
        <v>848</v>
      </c>
      <c r="C13" s="12" t="s">
        <v>911</v>
      </c>
      <c r="D13" s="12" t="s">
        <v>912</v>
      </c>
      <c r="E13" s="12" t="s">
        <v>578</v>
      </c>
      <c r="F13" s="12" t="s">
        <v>578</v>
      </c>
      <c r="G13" s="12" t="s">
        <v>578</v>
      </c>
      <c r="H13" s="12" t="s">
        <v>578</v>
      </c>
      <c r="I13" s="12" t="s">
        <v>578</v>
      </c>
      <c r="J13" s="12" t="s">
        <v>578</v>
      </c>
      <c r="K13" s="12" t="s">
        <v>578</v>
      </c>
      <c r="L13" s="12" t="s">
        <v>578</v>
      </c>
      <c r="M13" s="12" t="s">
        <v>578</v>
      </c>
      <c r="N13" s="12" t="s">
        <v>578</v>
      </c>
      <c r="O13" s="12" t="s">
        <v>578</v>
      </c>
      <c r="P13" s="12" t="s">
        <v>578</v>
      </c>
      <c r="Q13" s="12" t="s">
        <v>578</v>
      </c>
      <c r="R13" s="12" t="s">
        <v>578</v>
      </c>
      <c r="S13" s="12" t="s">
        <v>578</v>
      </c>
      <c r="T13" s="12" t="s">
        <v>578</v>
      </c>
      <c r="U13" s="12" t="s">
        <v>578</v>
      </c>
      <c r="V13" s="12" t="s">
        <v>578</v>
      </c>
      <c r="W13" s="12" t="s">
        <v>578</v>
      </c>
      <c r="X13" s="12" t="s">
        <v>578</v>
      </c>
      <c r="Y13" s="12" t="s">
        <v>578</v>
      </c>
      <c r="Z13" s="12" t="s">
        <v>578</v>
      </c>
      <c r="AA13" s="12" t="s">
        <v>578</v>
      </c>
      <c r="AB13" s="12" t="s">
        <v>578</v>
      </c>
      <c r="AC13" s="12" t="s">
        <v>578</v>
      </c>
      <c r="AD13" s="12" t="s">
        <v>578</v>
      </c>
      <c r="AE13" s="12" t="s">
        <v>578</v>
      </c>
      <c r="AF13" s="12" t="s">
        <v>578</v>
      </c>
      <c r="AG13" s="12" t="s">
        <v>578</v>
      </c>
      <c r="AH13" s="12" t="s">
        <v>578</v>
      </c>
      <c r="AI13" s="12" t="s">
        <v>578</v>
      </c>
      <c r="AJ13" s="12" t="s">
        <v>578</v>
      </c>
      <c r="AK13" s="12" t="s">
        <v>578</v>
      </c>
      <c r="AL13" s="12" t="s">
        <v>578</v>
      </c>
      <c r="AM13" s="12" t="s">
        <v>578</v>
      </c>
      <c r="AN13" s="12" t="s">
        <v>578</v>
      </c>
      <c r="AO13" s="12" t="s">
        <v>578</v>
      </c>
      <c r="AP13" s="12" t="s">
        <v>578</v>
      </c>
      <c r="AQ13" s="12" t="s">
        <v>578</v>
      </c>
      <c r="AR13" s="12" t="s">
        <v>578</v>
      </c>
      <c r="AS13" s="12" t="s">
        <v>578</v>
      </c>
      <c r="AT13" s="12" t="s">
        <v>578</v>
      </c>
      <c r="AU13" s="12" t="s">
        <v>579</v>
      </c>
      <c r="AV13" s="12" t="s">
        <v>579</v>
      </c>
      <c r="AW13" s="12" t="s">
        <v>578</v>
      </c>
      <c r="AX13" s="12" t="s">
        <v>578</v>
      </c>
      <c r="AY13" s="12" t="s">
        <v>578</v>
      </c>
      <c r="AZ13" s="12" t="s">
        <v>578</v>
      </c>
      <c r="BA13" s="12" t="s">
        <v>579</v>
      </c>
      <c r="BB13" s="12" t="s">
        <v>579</v>
      </c>
      <c r="BC13" s="12" t="s">
        <v>579</v>
      </c>
      <c r="BD13" s="12" t="s">
        <v>579</v>
      </c>
      <c r="BE13" s="12" t="s">
        <v>579</v>
      </c>
      <c r="BF13" s="12" t="s">
        <v>579</v>
      </c>
      <c r="BG13" s="12" t="s">
        <v>579</v>
      </c>
      <c r="BH13" s="12" t="s">
        <v>579</v>
      </c>
      <c r="BI13" s="12" t="s">
        <v>579</v>
      </c>
      <c r="BJ13" s="12" t="s">
        <v>579</v>
      </c>
      <c r="BK13" s="12" t="s">
        <v>672</v>
      </c>
      <c r="BL13" s="12" t="s">
        <v>672</v>
      </c>
      <c r="BM13" s="12" t="s">
        <v>581</v>
      </c>
      <c r="BN13" s="12" t="s">
        <v>581</v>
      </c>
      <c r="BO13" s="12" t="s">
        <v>851</v>
      </c>
      <c r="BP13" s="12" t="s">
        <v>851</v>
      </c>
      <c r="BQ13" s="12" t="s">
        <v>625</v>
      </c>
      <c r="BR13" s="12" t="s">
        <v>625</v>
      </c>
      <c r="BS13" s="12" t="s">
        <v>762</v>
      </c>
      <c r="BT13" s="12" t="s">
        <v>762</v>
      </c>
      <c r="BU13" s="12" t="s">
        <v>762</v>
      </c>
      <c r="BV13" s="12" t="s">
        <v>673</v>
      </c>
      <c r="BW13" s="12" t="s">
        <v>674</v>
      </c>
      <c r="BX13" s="12" t="s">
        <v>585</v>
      </c>
      <c r="BY13" s="12" t="s">
        <v>586</v>
      </c>
      <c r="BZ13" s="12" t="s">
        <v>676</v>
      </c>
      <c r="CA13" s="12" t="s">
        <v>913</v>
      </c>
      <c r="CB13" s="12" t="s">
        <v>869</v>
      </c>
      <c r="CC13" s="12" t="s">
        <v>869</v>
      </c>
      <c r="CD13" s="12" t="s">
        <v>869</v>
      </c>
      <c r="CE13" s="12" t="s">
        <v>869</v>
      </c>
      <c r="CF13" s="12" t="s">
        <v>869</v>
      </c>
      <c r="CG13" s="12" t="s">
        <v>869</v>
      </c>
      <c r="CH13" s="12" t="s">
        <v>869</v>
      </c>
      <c r="CI13" s="12" t="s">
        <v>869</v>
      </c>
      <c r="CJ13" s="12" t="s">
        <v>869</v>
      </c>
      <c r="CK13" s="12" t="s">
        <v>869</v>
      </c>
      <c r="CL13" s="12" t="s">
        <v>869</v>
      </c>
      <c r="CM13" s="12" t="s">
        <v>869</v>
      </c>
      <c r="CN13" s="12" t="s">
        <v>869</v>
      </c>
      <c r="CO13" s="12" t="s">
        <v>869</v>
      </c>
      <c r="CP13" s="12" t="s">
        <v>869</v>
      </c>
      <c r="CQ13" s="12" t="s">
        <v>869</v>
      </c>
      <c r="CR13" s="12" t="s">
        <v>869</v>
      </c>
      <c r="CS13" s="12" t="s">
        <v>869</v>
      </c>
      <c r="CT13" s="12" t="s">
        <v>869</v>
      </c>
    </row>
    <row r="14" spans="1:98" hidden="1" x14ac:dyDescent="0.3">
      <c r="A14" s="12" t="s">
        <v>914</v>
      </c>
      <c r="B14" s="12" t="s">
        <v>848</v>
      </c>
      <c r="C14" s="12" t="s">
        <v>915</v>
      </c>
      <c r="D14" s="12" t="s">
        <v>916</v>
      </c>
      <c r="E14" s="12" t="s">
        <v>578</v>
      </c>
      <c r="F14" s="12" t="s">
        <v>578</v>
      </c>
      <c r="G14" s="12" t="s">
        <v>578</v>
      </c>
      <c r="H14" s="12" t="s">
        <v>578</v>
      </c>
      <c r="I14" s="12" t="s">
        <v>578</v>
      </c>
      <c r="J14" s="12" t="s">
        <v>578</v>
      </c>
      <c r="K14" s="12" t="s">
        <v>578</v>
      </c>
      <c r="L14" s="12" t="s">
        <v>579</v>
      </c>
      <c r="M14" s="12" t="s">
        <v>672</v>
      </c>
      <c r="N14" s="12" t="s">
        <v>623</v>
      </c>
      <c r="O14" s="12" t="s">
        <v>672</v>
      </c>
      <c r="P14" s="12" t="s">
        <v>623</v>
      </c>
      <c r="Q14" s="12" t="s">
        <v>623</v>
      </c>
      <c r="R14" s="12" t="s">
        <v>672</v>
      </c>
      <c r="S14" s="12" t="s">
        <v>672</v>
      </c>
      <c r="T14" s="12" t="s">
        <v>580</v>
      </c>
      <c r="U14" s="12" t="s">
        <v>581</v>
      </c>
      <c r="V14" s="12" t="s">
        <v>581</v>
      </c>
      <c r="W14" s="12" t="s">
        <v>581</v>
      </c>
      <c r="X14" s="12" t="s">
        <v>581</v>
      </c>
      <c r="Y14" s="12" t="s">
        <v>581</v>
      </c>
      <c r="Z14" s="12" t="s">
        <v>581</v>
      </c>
      <c r="AA14" s="12" t="s">
        <v>581</v>
      </c>
      <c r="AB14" s="12" t="s">
        <v>581</v>
      </c>
      <c r="AC14" s="12" t="s">
        <v>581</v>
      </c>
      <c r="AD14" s="12" t="s">
        <v>581</v>
      </c>
      <c r="AE14" s="12" t="s">
        <v>581</v>
      </c>
      <c r="AF14" s="12" t="s">
        <v>581</v>
      </c>
      <c r="AG14" s="12" t="s">
        <v>581</v>
      </c>
      <c r="AH14" s="12" t="s">
        <v>581</v>
      </c>
      <c r="AI14" s="12" t="s">
        <v>581</v>
      </c>
      <c r="AJ14" s="12" t="s">
        <v>581</v>
      </c>
      <c r="AK14" s="12" t="s">
        <v>581</v>
      </c>
      <c r="AL14" s="12" t="s">
        <v>581</v>
      </c>
      <c r="AM14" s="12" t="s">
        <v>581</v>
      </c>
      <c r="AN14" s="12" t="s">
        <v>581</v>
      </c>
      <c r="AO14" s="12" t="s">
        <v>581</v>
      </c>
      <c r="AP14" s="12" t="s">
        <v>581</v>
      </c>
      <c r="AQ14" s="12" t="s">
        <v>761</v>
      </c>
      <c r="AR14" s="12" t="s">
        <v>761</v>
      </c>
      <c r="AS14" s="12" t="s">
        <v>761</v>
      </c>
      <c r="AT14" s="12" t="s">
        <v>583</v>
      </c>
      <c r="AU14" s="12" t="s">
        <v>583</v>
      </c>
      <c r="AV14" s="12" t="s">
        <v>868</v>
      </c>
      <c r="AW14" s="12" t="s">
        <v>868</v>
      </c>
      <c r="AX14" s="12" t="s">
        <v>868</v>
      </c>
      <c r="AY14" s="12" t="s">
        <v>762</v>
      </c>
      <c r="AZ14" s="12" t="s">
        <v>762</v>
      </c>
      <c r="BA14" s="12" t="s">
        <v>808</v>
      </c>
      <c r="BB14" s="12" t="s">
        <v>675</v>
      </c>
      <c r="BC14" s="12" t="s">
        <v>675</v>
      </c>
      <c r="BD14" s="12" t="s">
        <v>917</v>
      </c>
      <c r="BE14" s="12" t="s">
        <v>918</v>
      </c>
      <c r="BF14" s="12" t="s">
        <v>919</v>
      </c>
      <c r="BG14" s="12" t="s">
        <v>770</v>
      </c>
      <c r="BH14" s="12" t="s">
        <v>810</v>
      </c>
      <c r="BI14" s="12" t="s">
        <v>591</v>
      </c>
      <c r="BJ14" s="12" t="s">
        <v>920</v>
      </c>
      <c r="BK14" s="12" t="s">
        <v>921</v>
      </c>
      <c r="BL14" s="12" t="s">
        <v>922</v>
      </c>
      <c r="BM14" s="12" t="s">
        <v>645</v>
      </c>
      <c r="BN14" s="12" t="s">
        <v>923</v>
      </c>
      <c r="BO14" s="12" t="s">
        <v>924</v>
      </c>
      <c r="BP14" s="12" t="s">
        <v>925</v>
      </c>
      <c r="BQ14" s="12" t="s">
        <v>926</v>
      </c>
      <c r="BR14" s="12" t="s">
        <v>606</v>
      </c>
      <c r="BS14" s="12" t="s">
        <v>927</v>
      </c>
      <c r="BT14" s="12" t="s">
        <v>928</v>
      </c>
      <c r="BU14" s="12" t="s">
        <v>929</v>
      </c>
      <c r="BV14" s="12" t="s">
        <v>930</v>
      </c>
      <c r="BW14" s="12" t="s">
        <v>931</v>
      </c>
      <c r="BX14" s="12" t="s">
        <v>932</v>
      </c>
      <c r="BY14" s="12" t="s">
        <v>933</v>
      </c>
      <c r="BZ14" s="12" t="s">
        <v>934</v>
      </c>
      <c r="CA14" s="12" t="s">
        <v>935</v>
      </c>
      <c r="CB14" s="12" t="s">
        <v>831</v>
      </c>
      <c r="CC14" s="12" t="s">
        <v>936</v>
      </c>
      <c r="CD14" s="12" t="s">
        <v>937</v>
      </c>
      <c r="CE14" s="12" t="s">
        <v>938</v>
      </c>
      <c r="CF14" s="12" t="s">
        <v>939</v>
      </c>
      <c r="CG14" s="12" t="s">
        <v>940</v>
      </c>
      <c r="CH14" s="12" t="s">
        <v>941</v>
      </c>
      <c r="CI14" s="12" t="s">
        <v>942</v>
      </c>
      <c r="CJ14" s="12" t="s">
        <v>943</v>
      </c>
      <c r="CK14" s="12" t="s">
        <v>944</v>
      </c>
      <c r="CL14" s="12" t="s">
        <v>945</v>
      </c>
      <c r="CM14" s="12" t="s">
        <v>946</v>
      </c>
      <c r="CN14" s="12" t="s">
        <v>947</v>
      </c>
      <c r="CO14" s="12" t="s">
        <v>948</v>
      </c>
      <c r="CP14" s="12" t="s">
        <v>948</v>
      </c>
      <c r="CQ14" s="12" t="s">
        <v>949</v>
      </c>
      <c r="CR14" s="12" t="s">
        <v>949</v>
      </c>
      <c r="CS14" s="12" t="s">
        <v>615</v>
      </c>
      <c r="CT14" s="12" t="s">
        <v>615</v>
      </c>
    </row>
    <row r="15" spans="1:98" hidden="1" x14ac:dyDescent="0.3">
      <c r="A15" s="12" t="s">
        <v>950</v>
      </c>
      <c r="B15" s="12" t="s">
        <v>848</v>
      </c>
      <c r="C15" s="12" t="s">
        <v>951</v>
      </c>
      <c r="D15" s="12" t="s">
        <v>952</v>
      </c>
      <c r="E15" s="12" t="s">
        <v>578</v>
      </c>
      <c r="F15" s="12" t="s">
        <v>578</v>
      </c>
      <c r="G15" s="12" t="s">
        <v>578</v>
      </c>
      <c r="H15" s="12" t="s">
        <v>578</v>
      </c>
      <c r="I15" s="12" t="s">
        <v>578</v>
      </c>
      <c r="J15" s="12" t="s">
        <v>578</v>
      </c>
      <c r="K15" s="12" t="s">
        <v>578</v>
      </c>
      <c r="L15" s="12" t="s">
        <v>578</v>
      </c>
      <c r="M15" s="12" t="s">
        <v>578</v>
      </c>
      <c r="N15" s="12" t="s">
        <v>578</v>
      </c>
      <c r="O15" s="12" t="s">
        <v>579</v>
      </c>
      <c r="P15" s="12" t="s">
        <v>623</v>
      </c>
      <c r="Q15" s="12" t="s">
        <v>623</v>
      </c>
      <c r="R15" s="12" t="s">
        <v>623</v>
      </c>
      <c r="S15" s="12" t="s">
        <v>623</v>
      </c>
      <c r="T15" s="12" t="s">
        <v>623</v>
      </c>
      <c r="U15" s="12" t="s">
        <v>623</v>
      </c>
      <c r="V15" s="12" t="s">
        <v>623</v>
      </c>
      <c r="W15" s="12" t="s">
        <v>623</v>
      </c>
      <c r="X15" s="12" t="s">
        <v>623</v>
      </c>
      <c r="Y15" s="12" t="s">
        <v>623</v>
      </c>
      <c r="Z15" s="12" t="s">
        <v>623</v>
      </c>
      <c r="AA15" s="12" t="s">
        <v>623</v>
      </c>
      <c r="AB15" s="12" t="s">
        <v>623</v>
      </c>
      <c r="AC15" s="12" t="s">
        <v>623</v>
      </c>
      <c r="AD15" s="12" t="s">
        <v>623</v>
      </c>
      <c r="AE15" s="12" t="s">
        <v>623</v>
      </c>
      <c r="AF15" s="12" t="s">
        <v>623</v>
      </c>
      <c r="AG15" s="12" t="s">
        <v>623</v>
      </c>
      <c r="AH15" s="12" t="s">
        <v>623</v>
      </c>
      <c r="AI15" s="12" t="s">
        <v>623</v>
      </c>
      <c r="AJ15" s="12" t="s">
        <v>623</v>
      </c>
      <c r="AK15" s="12" t="s">
        <v>623</v>
      </c>
      <c r="AL15" s="12" t="s">
        <v>623</v>
      </c>
      <c r="AM15" s="12" t="s">
        <v>623</v>
      </c>
      <c r="AN15" s="12" t="s">
        <v>623</v>
      </c>
      <c r="AO15" s="12" t="s">
        <v>623</v>
      </c>
      <c r="AP15" s="12" t="s">
        <v>623</v>
      </c>
      <c r="AQ15" s="12" t="s">
        <v>672</v>
      </c>
      <c r="AR15" s="12" t="s">
        <v>672</v>
      </c>
      <c r="AS15" s="12" t="s">
        <v>672</v>
      </c>
      <c r="AT15" s="12" t="s">
        <v>672</v>
      </c>
      <c r="AU15" s="12" t="s">
        <v>581</v>
      </c>
      <c r="AV15" s="12" t="s">
        <v>581</v>
      </c>
      <c r="AW15" s="12" t="s">
        <v>582</v>
      </c>
      <c r="AX15" s="12" t="s">
        <v>582</v>
      </c>
      <c r="AY15" s="12" t="s">
        <v>582</v>
      </c>
      <c r="AZ15" s="12" t="s">
        <v>582</v>
      </c>
      <c r="BA15" s="12" t="s">
        <v>582</v>
      </c>
      <c r="BB15" s="12" t="s">
        <v>761</v>
      </c>
      <c r="BC15" s="12" t="s">
        <v>761</v>
      </c>
      <c r="BD15" s="12" t="s">
        <v>584</v>
      </c>
      <c r="BE15" s="12" t="s">
        <v>674</v>
      </c>
      <c r="BF15" s="12" t="s">
        <v>675</v>
      </c>
      <c r="BG15" s="12" t="s">
        <v>953</v>
      </c>
      <c r="BH15" s="12" t="s">
        <v>953</v>
      </c>
      <c r="BI15" s="12" t="s">
        <v>677</v>
      </c>
      <c r="BJ15" s="12" t="s">
        <v>629</v>
      </c>
      <c r="BK15" s="12" t="s">
        <v>954</v>
      </c>
      <c r="BL15" s="12" t="s">
        <v>955</v>
      </c>
      <c r="BM15" s="12" t="s">
        <v>861</v>
      </c>
      <c r="BN15" s="12" t="s">
        <v>873</v>
      </c>
      <c r="BO15" s="12" t="s">
        <v>594</v>
      </c>
      <c r="BP15" s="12" t="s">
        <v>594</v>
      </c>
      <c r="BQ15" s="12" t="s">
        <v>815</v>
      </c>
      <c r="BR15" s="12" t="s">
        <v>956</v>
      </c>
      <c r="BS15" s="12" t="s">
        <v>957</v>
      </c>
      <c r="BT15" s="12" t="s">
        <v>599</v>
      </c>
      <c r="BU15" s="12" t="s">
        <v>958</v>
      </c>
      <c r="BV15" s="12" t="s">
        <v>959</v>
      </c>
      <c r="BW15" s="12" t="s">
        <v>601</v>
      </c>
      <c r="BX15" s="12" t="s">
        <v>601</v>
      </c>
      <c r="BY15" s="12" t="s">
        <v>960</v>
      </c>
      <c r="BZ15" s="12" t="s">
        <v>820</v>
      </c>
      <c r="CA15" s="12" t="s">
        <v>820</v>
      </c>
      <c r="CB15" s="12" t="s">
        <v>961</v>
      </c>
      <c r="CC15" s="12" t="s">
        <v>961</v>
      </c>
      <c r="CD15" s="12" t="s">
        <v>962</v>
      </c>
      <c r="CE15" s="12" t="s">
        <v>963</v>
      </c>
      <c r="CF15" s="12" t="s">
        <v>733</v>
      </c>
      <c r="CG15" s="12" t="s">
        <v>964</v>
      </c>
      <c r="CH15" s="12" t="s">
        <v>964</v>
      </c>
      <c r="CI15" s="12" t="s">
        <v>964</v>
      </c>
      <c r="CJ15" s="12" t="s">
        <v>655</v>
      </c>
      <c r="CK15" s="12" t="s">
        <v>655</v>
      </c>
      <c r="CL15" s="12" t="s">
        <v>655</v>
      </c>
      <c r="CM15" s="12" t="s">
        <v>965</v>
      </c>
      <c r="CN15" s="12" t="s">
        <v>965</v>
      </c>
      <c r="CO15" s="12" t="s">
        <v>965</v>
      </c>
      <c r="CP15" s="12" t="s">
        <v>965</v>
      </c>
      <c r="CQ15" s="12" t="s">
        <v>966</v>
      </c>
      <c r="CR15" s="12" t="s">
        <v>967</v>
      </c>
      <c r="CS15" s="12" t="s">
        <v>967</v>
      </c>
      <c r="CT15" s="12" t="s">
        <v>967</v>
      </c>
    </row>
    <row r="16" spans="1:98" hidden="1" x14ac:dyDescent="0.3">
      <c r="A16" s="12" t="s">
        <v>968</v>
      </c>
      <c r="B16" s="12" t="s">
        <v>848</v>
      </c>
      <c r="C16" s="12" t="s">
        <v>969</v>
      </c>
      <c r="D16" s="12" t="s">
        <v>970</v>
      </c>
      <c r="E16" s="12" t="s">
        <v>578</v>
      </c>
      <c r="F16" s="12" t="s">
        <v>578</v>
      </c>
      <c r="G16" s="12" t="s">
        <v>578</v>
      </c>
      <c r="H16" s="12" t="s">
        <v>578</v>
      </c>
      <c r="I16" s="12" t="s">
        <v>578</v>
      </c>
      <c r="J16" s="12" t="s">
        <v>578</v>
      </c>
      <c r="K16" s="12" t="s">
        <v>578</v>
      </c>
      <c r="L16" s="12" t="s">
        <v>578</v>
      </c>
      <c r="M16" s="12" t="s">
        <v>578</v>
      </c>
      <c r="N16" s="12" t="s">
        <v>578</v>
      </c>
      <c r="O16" s="12" t="s">
        <v>578</v>
      </c>
      <c r="P16" s="12" t="s">
        <v>578</v>
      </c>
      <c r="Q16" s="12" t="s">
        <v>578</v>
      </c>
      <c r="R16" s="12" t="s">
        <v>578</v>
      </c>
      <c r="S16" s="12" t="s">
        <v>578</v>
      </c>
      <c r="T16" s="12" t="s">
        <v>578</v>
      </c>
      <c r="U16" s="12" t="s">
        <v>578</v>
      </c>
      <c r="V16" s="12" t="s">
        <v>578</v>
      </c>
      <c r="W16" s="12" t="s">
        <v>578</v>
      </c>
      <c r="X16" s="12" t="s">
        <v>578</v>
      </c>
      <c r="Y16" s="12" t="s">
        <v>578</v>
      </c>
      <c r="Z16" s="12" t="s">
        <v>578</v>
      </c>
      <c r="AA16" s="12" t="s">
        <v>578</v>
      </c>
      <c r="AB16" s="12" t="s">
        <v>578</v>
      </c>
      <c r="AC16" s="12" t="s">
        <v>578</v>
      </c>
      <c r="AD16" s="12" t="s">
        <v>578</v>
      </c>
      <c r="AE16" s="12" t="s">
        <v>578</v>
      </c>
      <c r="AF16" s="12" t="s">
        <v>578</v>
      </c>
      <c r="AG16" s="12" t="s">
        <v>578</v>
      </c>
      <c r="AH16" s="12" t="s">
        <v>578</v>
      </c>
      <c r="AI16" s="12" t="s">
        <v>578</v>
      </c>
      <c r="AJ16" s="12" t="s">
        <v>578</v>
      </c>
      <c r="AK16" s="12" t="s">
        <v>578</v>
      </c>
      <c r="AL16" s="12" t="s">
        <v>578</v>
      </c>
      <c r="AM16" s="12" t="s">
        <v>578</v>
      </c>
      <c r="AN16" s="12" t="s">
        <v>578</v>
      </c>
      <c r="AO16" s="12" t="s">
        <v>578</v>
      </c>
      <c r="AP16" s="12" t="s">
        <v>578</v>
      </c>
      <c r="AQ16" s="12" t="s">
        <v>578</v>
      </c>
      <c r="AR16" s="12" t="s">
        <v>578</v>
      </c>
      <c r="AS16" s="12" t="s">
        <v>579</v>
      </c>
      <c r="AT16" s="12" t="s">
        <v>579</v>
      </c>
      <c r="AU16" s="12" t="s">
        <v>579</v>
      </c>
      <c r="AV16" s="12" t="s">
        <v>579</v>
      </c>
      <c r="AW16" s="12" t="s">
        <v>579</v>
      </c>
      <c r="AX16" s="12" t="s">
        <v>579</v>
      </c>
      <c r="AY16" s="12" t="s">
        <v>623</v>
      </c>
      <c r="AZ16" s="12" t="s">
        <v>623</v>
      </c>
      <c r="BA16" s="12" t="s">
        <v>623</v>
      </c>
      <c r="BB16" s="12" t="s">
        <v>672</v>
      </c>
      <c r="BC16" s="12" t="s">
        <v>672</v>
      </c>
      <c r="BD16" s="12" t="s">
        <v>581</v>
      </c>
      <c r="BE16" s="12" t="s">
        <v>581</v>
      </c>
      <c r="BF16" s="12" t="s">
        <v>851</v>
      </c>
      <c r="BG16" s="12" t="s">
        <v>582</v>
      </c>
      <c r="BH16" s="12" t="s">
        <v>582</v>
      </c>
      <c r="BI16" s="12" t="s">
        <v>624</v>
      </c>
      <c r="BJ16" s="12" t="s">
        <v>624</v>
      </c>
      <c r="BK16" s="12" t="s">
        <v>624</v>
      </c>
      <c r="BL16" s="12" t="s">
        <v>584</v>
      </c>
      <c r="BM16" s="12" t="s">
        <v>586</v>
      </c>
      <c r="BN16" s="12" t="s">
        <v>869</v>
      </c>
      <c r="BO16" s="12" t="s">
        <v>869</v>
      </c>
      <c r="BP16" s="12" t="s">
        <v>971</v>
      </c>
      <c r="BQ16" s="12" t="s">
        <v>972</v>
      </c>
      <c r="BR16" s="12" t="s">
        <v>972</v>
      </c>
      <c r="BS16" s="12" t="s">
        <v>853</v>
      </c>
      <c r="BT16" s="12" t="s">
        <v>973</v>
      </c>
      <c r="BU16" s="12" t="s">
        <v>973</v>
      </c>
      <c r="BV16" s="12" t="s">
        <v>974</v>
      </c>
      <c r="BW16" s="12" t="s">
        <v>974</v>
      </c>
      <c r="BX16" s="12" t="s">
        <v>975</v>
      </c>
      <c r="BY16" s="12" t="s">
        <v>589</v>
      </c>
      <c r="BZ16" s="12" t="s">
        <v>856</v>
      </c>
      <c r="CA16" s="12" t="s">
        <v>976</v>
      </c>
      <c r="CB16" s="12" t="s">
        <v>977</v>
      </c>
      <c r="CC16" s="12" t="s">
        <v>636</v>
      </c>
      <c r="CD16" s="12" t="s">
        <v>978</v>
      </c>
      <c r="CE16" s="12" t="s">
        <v>979</v>
      </c>
      <c r="CF16" s="12" t="s">
        <v>980</v>
      </c>
      <c r="CG16" s="12" t="s">
        <v>723</v>
      </c>
      <c r="CH16" s="12" t="s">
        <v>723</v>
      </c>
      <c r="CI16" s="12" t="s">
        <v>920</v>
      </c>
      <c r="CJ16" s="12" t="s">
        <v>981</v>
      </c>
      <c r="CK16" s="12" t="s">
        <v>981</v>
      </c>
      <c r="CL16" s="12" t="s">
        <v>982</v>
      </c>
      <c r="CM16" s="12" t="s">
        <v>983</v>
      </c>
      <c r="CN16" s="12" t="s">
        <v>725</v>
      </c>
      <c r="CO16" s="12" t="s">
        <v>984</v>
      </c>
      <c r="CP16" s="12" t="s">
        <v>985</v>
      </c>
      <c r="CQ16" s="12" t="s">
        <v>684</v>
      </c>
      <c r="CR16" s="12" t="s">
        <v>986</v>
      </c>
      <c r="CS16" s="12" t="s">
        <v>987</v>
      </c>
      <c r="CT16" s="12" t="s">
        <v>987</v>
      </c>
    </row>
    <row r="17" spans="1:98" hidden="1" x14ac:dyDescent="0.3">
      <c r="A17" s="12" t="s">
        <v>988</v>
      </c>
      <c r="B17" s="12" t="s">
        <v>848</v>
      </c>
      <c r="C17" s="12" t="s">
        <v>989</v>
      </c>
      <c r="D17" s="12" t="s">
        <v>990</v>
      </c>
      <c r="E17" s="12" t="s">
        <v>578</v>
      </c>
      <c r="F17" s="12" t="s">
        <v>578</v>
      </c>
      <c r="G17" s="12" t="s">
        <v>578</v>
      </c>
      <c r="H17" s="12" t="s">
        <v>578</v>
      </c>
      <c r="I17" s="12" t="s">
        <v>579</v>
      </c>
      <c r="J17" s="12" t="s">
        <v>579</v>
      </c>
      <c r="K17" s="12" t="s">
        <v>579</v>
      </c>
      <c r="L17" s="12" t="s">
        <v>579</v>
      </c>
      <c r="M17" s="12" t="s">
        <v>623</v>
      </c>
      <c r="N17" s="12" t="s">
        <v>672</v>
      </c>
      <c r="O17" s="12" t="s">
        <v>580</v>
      </c>
      <c r="P17" s="12" t="s">
        <v>580</v>
      </c>
      <c r="Q17" s="12" t="s">
        <v>580</v>
      </c>
      <c r="R17" s="12" t="s">
        <v>580</v>
      </c>
      <c r="S17" s="12" t="s">
        <v>580</v>
      </c>
      <c r="T17" s="12" t="s">
        <v>580</v>
      </c>
      <c r="U17" s="12" t="s">
        <v>580</v>
      </c>
      <c r="V17" s="12" t="s">
        <v>580</v>
      </c>
      <c r="W17" s="12" t="s">
        <v>580</v>
      </c>
      <c r="X17" s="12" t="s">
        <v>580</v>
      </c>
      <c r="Y17" s="12" t="s">
        <v>580</v>
      </c>
      <c r="Z17" s="12" t="s">
        <v>580</v>
      </c>
      <c r="AA17" s="12" t="s">
        <v>580</v>
      </c>
      <c r="AB17" s="12" t="s">
        <v>580</v>
      </c>
      <c r="AC17" s="12" t="s">
        <v>580</v>
      </c>
      <c r="AD17" s="12" t="s">
        <v>580</v>
      </c>
      <c r="AE17" s="12" t="s">
        <v>580</v>
      </c>
      <c r="AF17" s="12" t="s">
        <v>580</v>
      </c>
      <c r="AG17" s="12" t="s">
        <v>580</v>
      </c>
      <c r="AH17" s="12" t="s">
        <v>580</v>
      </c>
      <c r="AI17" s="12" t="s">
        <v>580</v>
      </c>
      <c r="AJ17" s="12" t="s">
        <v>580</v>
      </c>
      <c r="AK17" s="12" t="s">
        <v>580</v>
      </c>
      <c r="AL17" s="12" t="s">
        <v>580</v>
      </c>
      <c r="AM17" s="12" t="s">
        <v>580</v>
      </c>
      <c r="AN17" s="12" t="s">
        <v>580</v>
      </c>
      <c r="AO17" s="12" t="s">
        <v>580</v>
      </c>
      <c r="AP17" s="12" t="s">
        <v>580</v>
      </c>
      <c r="AQ17" s="12" t="s">
        <v>582</v>
      </c>
      <c r="AR17" s="12" t="s">
        <v>582</v>
      </c>
      <c r="AS17" s="12" t="s">
        <v>761</v>
      </c>
      <c r="AT17" s="12" t="s">
        <v>761</v>
      </c>
      <c r="AU17" s="12" t="s">
        <v>624</v>
      </c>
      <c r="AV17" s="12" t="s">
        <v>624</v>
      </c>
      <c r="AW17" s="12" t="s">
        <v>624</v>
      </c>
      <c r="AX17" s="12" t="s">
        <v>583</v>
      </c>
      <c r="AY17" s="12" t="s">
        <v>583</v>
      </c>
      <c r="AZ17" s="12" t="s">
        <v>762</v>
      </c>
      <c r="BA17" s="12" t="s">
        <v>808</v>
      </c>
      <c r="BB17" s="12" t="s">
        <v>585</v>
      </c>
      <c r="BC17" s="12" t="s">
        <v>585</v>
      </c>
      <c r="BD17" s="12" t="s">
        <v>971</v>
      </c>
      <c r="BE17" s="12" t="s">
        <v>991</v>
      </c>
      <c r="BF17" s="12" t="s">
        <v>992</v>
      </c>
      <c r="BG17" s="12" t="s">
        <v>854</v>
      </c>
      <c r="BH17" s="12" t="s">
        <v>591</v>
      </c>
      <c r="BI17" s="12" t="s">
        <v>993</v>
      </c>
      <c r="BJ17" s="12" t="s">
        <v>993</v>
      </c>
      <c r="BK17" s="12" t="s">
        <v>993</v>
      </c>
      <c r="BL17" s="12" t="s">
        <v>994</v>
      </c>
      <c r="BM17" s="12" t="s">
        <v>995</v>
      </c>
      <c r="BN17" s="12" t="s">
        <v>995</v>
      </c>
      <c r="BO17" s="12" t="s">
        <v>961</v>
      </c>
      <c r="BP17" s="12" t="s">
        <v>735</v>
      </c>
      <c r="BQ17" s="12" t="s">
        <v>996</v>
      </c>
      <c r="BR17" s="12" t="s">
        <v>997</v>
      </c>
      <c r="BS17" s="12" t="s">
        <v>998</v>
      </c>
      <c r="BT17" s="12" t="s">
        <v>999</v>
      </c>
      <c r="BU17" s="12" t="s">
        <v>1000</v>
      </c>
      <c r="BV17" s="12" t="s">
        <v>1001</v>
      </c>
      <c r="BW17" s="12" t="s">
        <v>1002</v>
      </c>
      <c r="BX17" s="12" t="s">
        <v>1003</v>
      </c>
      <c r="BY17" s="12" t="s">
        <v>1004</v>
      </c>
      <c r="BZ17" s="12" t="s">
        <v>1005</v>
      </c>
      <c r="CA17" s="12" t="s">
        <v>1006</v>
      </c>
      <c r="CB17" s="12" t="s">
        <v>1007</v>
      </c>
      <c r="CC17" s="12" t="s">
        <v>1008</v>
      </c>
      <c r="CD17" s="12" t="s">
        <v>1009</v>
      </c>
      <c r="CE17" s="12" t="s">
        <v>1010</v>
      </c>
      <c r="CF17" s="12" t="s">
        <v>1011</v>
      </c>
      <c r="CG17" s="12" t="s">
        <v>785</v>
      </c>
      <c r="CH17" s="12" t="s">
        <v>1012</v>
      </c>
      <c r="CI17" s="12" t="s">
        <v>1013</v>
      </c>
      <c r="CJ17" s="12" t="s">
        <v>841</v>
      </c>
      <c r="CK17" s="12" t="s">
        <v>1014</v>
      </c>
      <c r="CL17" s="12" t="s">
        <v>1014</v>
      </c>
      <c r="CM17" s="12" t="s">
        <v>1015</v>
      </c>
      <c r="CN17" s="12" t="s">
        <v>1016</v>
      </c>
      <c r="CO17" s="12" t="s">
        <v>1017</v>
      </c>
      <c r="CP17" s="12" t="s">
        <v>1018</v>
      </c>
      <c r="CQ17" s="12" t="s">
        <v>1019</v>
      </c>
      <c r="CR17" s="12" t="s">
        <v>1019</v>
      </c>
      <c r="CS17" s="12" t="s">
        <v>1020</v>
      </c>
      <c r="CT17" s="12" t="s">
        <v>1021</v>
      </c>
    </row>
    <row r="18" spans="1:98" hidden="1" x14ac:dyDescent="0.3">
      <c r="A18" s="12" t="s">
        <v>1022</v>
      </c>
      <c r="B18" s="12" t="s">
        <v>848</v>
      </c>
      <c r="C18" s="12" t="s">
        <v>1023</v>
      </c>
      <c r="D18" s="12" t="s">
        <v>1024</v>
      </c>
      <c r="E18" s="12" t="s">
        <v>578</v>
      </c>
      <c r="F18" s="12" t="s">
        <v>578</v>
      </c>
      <c r="G18" s="12" t="s">
        <v>578</v>
      </c>
      <c r="H18" s="12" t="s">
        <v>578</v>
      </c>
      <c r="I18" s="12" t="s">
        <v>578</v>
      </c>
      <c r="J18" s="12" t="s">
        <v>578</v>
      </c>
      <c r="K18" s="12" t="s">
        <v>578</v>
      </c>
      <c r="L18" s="12" t="s">
        <v>578</v>
      </c>
      <c r="M18" s="12" t="s">
        <v>578</v>
      </c>
      <c r="N18" s="12" t="s">
        <v>578</v>
      </c>
      <c r="O18" s="12" t="s">
        <v>578</v>
      </c>
      <c r="P18" s="12" t="s">
        <v>578</v>
      </c>
      <c r="Q18" s="12" t="s">
        <v>578</v>
      </c>
      <c r="R18" s="12" t="s">
        <v>578</v>
      </c>
      <c r="S18" s="12" t="s">
        <v>578</v>
      </c>
      <c r="T18" s="12" t="s">
        <v>578</v>
      </c>
      <c r="U18" s="12" t="s">
        <v>578</v>
      </c>
      <c r="V18" s="12" t="s">
        <v>578</v>
      </c>
      <c r="W18" s="12" t="s">
        <v>578</v>
      </c>
      <c r="X18" s="12" t="s">
        <v>578</v>
      </c>
      <c r="Y18" s="12" t="s">
        <v>578</v>
      </c>
      <c r="Z18" s="12" t="s">
        <v>578</v>
      </c>
      <c r="AA18" s="12" t="s">
        <v>578</v>
      </c>
      <c r="AB18" s="12" t="s">
        <v>578</v>
      </c>
      <c r="AC18" s="12" t="s">
        <v>578</v>
      </c>
      <c r="AD18" s="12" t="s">
        <v>578</v>
      </c>
      <c r="AE18" s="12" t="s">
        <v>578</v>
      </c>
      <c r="AF18" s="12" t="s">
        <v>578</v>
      </c>
      <c r="AG18" s="12" t="s">
        <v>578</v>
      </c>
      <c r="AH18" s="12" t="s">
        <v>578</v>
      </c>
      <c r="AI18" s="12" t="s">
        <v>578</v>
      </c>
      <c r="AJ18" s="12" t="s">
        <v>578</v>
      </c>
      <c r="AK18" s="12" t="s">
        <v>578</v>
      </c>
      <c r="AL18" s="12" t="s">
        <v>578</v>
      </c>
      <c r="AM18" s="12" t="s">
        <v>578</v>
      </c>
      <c r="AN18" s="12" t="s">
        <v>578</v>
      </c>
      <c r="AO18" s="12" t="s">
        <v>578</v>
      </c>
      <c r="AP18" s="12" t="s">
        <v>578</v>
      </c>
      <c r="AQ18" s="12" t="s">
        <v>623</v>
      </c>
      <c r="AR18" s="12" t="s">
        <v>623</v>
      </c>
      <c r="AS18" s="12" t="s">
        <v>623</v>
      </c>
      <c r="AT18" s="12" t="s">
        <v>623</v>
      </c>
      <c r="AU18" s="12" t="s">
        <v>623</v>
      </c>
      <c r="AV18" s="12" t="s">
        <v>672</v>
      </c>
      <c r="AW18" s="12" t="s">
        <v>672</v>
      </c>
      <c r="AX18" s="12" t="s">
        <v>672</v>
      </c>
      <c r="AY18" s="12" t="s">
        <v>672</v>
      </c>
      <c r="AZ18" s="12" t="s">
        <v>580</v>
      </c>
      <c r="BA18" s="12" t="s">
        <v>851</v>
      </c>
      <c r="BB18" s="12" t="s">
        <v>761</v>
      </c>
      <c r="BC18" s="12" t="s">
        <v>761</v>
      </c>
      <c r="BD18" s="12" t="s">
        <v>756</v>
      </c>
      <c r="BE18" s="12" t="s">
        <v>673</v>
      </c>
      <c r="BF18" s="12" t="s">
        <v>673</v>
      </c>
      <c r="BG18" s="12" t="s">
        <v>869</v>
      </c>
      <c r="BH18" s="12" t="s">
        <v>766</v>
      </c>
      <c r="BI18" s="12" t="s">
        <v>917</v>
      </c>
      <c r="BJ18" s="12" t="s">
        <v>809</v>
      </c>
      <c r="BK18" s="12" t="s">
        <v>633</v>
      </c>
      <c r="BL18" s="12" t="s">
        <v>682</v>
      </c>
      <c r="BM18" s="12" t="s">
        <v>593</v>
      </c>
      <c r="BN18" s="12" t="s">
        <v>1025</v>
      </c>
      <c r="BO18" s="12" t="s">
        <v>1026</v>
      </c>
      <c r="BP18" s="12" t="s">
        <v>1026</v>
      </c>
      <c r="BQ18" s="12" t="s">
        <v>1027</v>
      </c>
      <c r="BR18" s="12" t="s">
        <v>1027</v>
      </c>
      <c r="BS18" s="12" t="s">
        <v>1028</v>
      </c>
      <c r="BT18" s="12" t="s">
        <v>1029</v>
      </c>
      <c r="BU18" s="12" t="s">
        <v>995</v>
      </c>
      <c r="BV18" s="12" t="s">
        <v>1030</v>
      </c>
      <c r="BW18" s="12" t="s">
        <v>1031</v>
      </c>
      <c r="BX18" s="12" t="s">
        <v>652</v>
      </c>
      <c r="BY18" s="12" t="s">
        <v>652</v>
      </c>
      <c r="BZ18" s="12" t="s">
        <v>878</v>
      </c>
      <c r="CA18" s="12" t="s">
        <v>1032</v>
      </c>
      <c r="CB18" s="12" t="s">
        <v>1033</v>
      </c>
      <c r="CC18" s="12" t="s">
        <v>1033</v>
      </c>
      <c r="CD18" s="12" t="s">
        <v>1034</v>
      </c>
      <c r="CE18" s="12" t="s">
        <v>1035</v>
      </c>
      <c r="CF18" s="12" t="s">
        <v>1036</v>
      </c>
      <c r="CG18" s="12" t="s">
        <v>1037</v>
      </c>
      <c r="CH18" s="12" t="s">
        <v>1037</v>
      </c>
      <c r="CI18" s="12" t="s">
        <v>1038</v>
      </c>
      <c r="CJ18" s="12" t="s">
        <v>1039</v>
      </c>
      <c r="CK18" s="12" t="s">
        <v>1039</v>
      </c>
      <c r="CL18" s="12" t="s">
        <v>823</v>
      </c>
      <c r="CM18" s="12" t="s">
        <v>1040</v>
      </c>
      <c r="CN18" s="12" t="s">
        <v>1041</v>
      </c>
      <c r="CO18" s="12" t="s">
        <v>738</v>
      </c>
      <c r="CP18" s="12" t="s">
        <v>738</v>
      </c>
      <c r="CQ18" s="12" t="s">
        <v>1042</v>
      </c>
      <c r="CR18" s="12" t="s">
        <v>1042</v>
      </c>
      <c r="CS18" s="12" t="s">
        <v>1042</v>
      </c>
      <c r="CT18" s="12" t="s">
        <v>662</v>
      </c>
    </row>
    <row r="19" spans="1:98" hidden="1" x14ac:dyDescent="0.3">
      <c r="A19" s="12" t="s">
        <v>25</v>
      </c>
      <c r="B19" s="12" t="s">
        <v>1043</v>
      </c>
      <c r="C19" s="12" t="s">
        <v>1044</v>
      </c>
      <c r="D19" s="12" t="s">
        <v>1045</v>
      </c>
      <c r="E19" s="12" t="s">
        <v>578</v>
      </c>
      <c r="F19" s="12" t="s">
        <v>578</v>
      </c>
      <c r="G19" s="12" t="s">
        <v>578</v>
      </c>
      <c r="H19" s="12" t="s">
        <v>578</v>
      </c>
      <c r="I19" s="12" t="s">
        <v>578</v>
      </c>
      <c r="J19" s="12" t="s">
        <v>578</v>
      </c>
      <c r="K19" s="12" t="s">
        <v>578</v>
      </c>
      <c r="L19" s="12" t="s">
        <v>578</v>
      </c>
      <c r="M19" s="12" t="s">
        <v>578</v>
      </c>
      <c r="N19" s="12" t="s">
        <v>578</v>
      </c>
      <c r="O19" s="12" t="s">
        <v>578</v>
      </c>
      <c r="P19" s="12" t="s">
        <v>578</v>
      </c>
      <c r="Q19" s="12" t="s">
        <v>578</v>
      </c>
      <c r="R19" s="12" t="s">
        <v>578</v>
      </c>
      <c r="S19" s="12" t="s">
        <v>578</v>
      </c>
      <c r="T19" s="12" t="s">
        <v>578</v>
      </c>
      <c r="U19" s="12" t="s">
        <v>578</v>
      </c>
      <c r="V19" s="12" t="s">
        <v>578</v>
      </c>
      <c r="W19" s="12" t="s">
        <v>578</v>
      </c>
      <c r="X19" s="12" t="s">
        <v>578</v>
      </c>
      <c r="Y19" s="12" t="s">
        <v>578</v>
      </c>
      <c r="Z19" s="12" t="s">
        <v>578</v>
      </c>
      <c r="AA19" s="12" t="s">
        <v>578</v>
      </c>
      <c r="AB19" s="12" t="s">
        <v>578</v>
      </c>
      <c r="AC19" s="12" t="s">
        <v>578</v>
      </c>
      <c r="AD19" s="12" t="s">
        <v>578</v>
      </c>
      <c r="AE19" s="12" t="s">
        <v>578</v>
      </c>
      <c r="AF19" s="12" t="s">
        <v>578</v>
      </c>
      <c r="AG19" s="12" t="s">
        <v>578</v>
      </c>
      <c r="AH19" s="12" t="s">
        <v>578</v>
      </c>
      <c r="AI19" s="12" t="s">
        <v>578</v>
      </c>
      <c r="AJ19" s="12" t="s">
        <v>578</v>
      </c>
      <c r="AK19" s="12" t="s">
        <v>578</v>
      </c>
      <c r="AL19" s="12" t="s">
        <v>578</v>
      </c>
      <c r="AM19" s="12" t="s">
        <v>623</v>
      </c>
      <c r="AN19" s="12" t="s">
        <v>623</v>
      </c>
      <c r="AO19" s="12" t="s">
        <v>672</v>
      </c>
      <c r="AP19" s="12" t="s">
        <v>672</v>
      </c>
      <c r="AQ19" s="12" t="s">
        <v>761</v>
      </c>
      <c r="AR19" s="12" t="s">
        <v>756</v>
      </c>
      <c r="AS19" s="12" t="s">
        <v>808</v>
      </c>
      <c r="AT19" s="12" t="s">
        <v>585</v>
      </c>
      <c r="AU19" s="12" t="s">
        <v>953</v>
      </c>
      <c r="AV19" s="12" t="s">
        <v>1046</v>
      </c>
      <c r="AW19" s="12" t="s">
        <v>631</v>
      </c>
      <c r="AX19" s="12" t="s">
        <v>771</v>
      </c>
      <c r="AY19" s="12" t="s">
        <v>637</v>
      </c>
      <c r="AZ19" s="12" t="s">
        <v>1047</v>
      </c>
      <c r="BA19" s="12" t="s">
        <v>1048</v>
      </c>
      <c r="BB19" s="12" t="s">
        <v>1049</v>
      </c>
      <c r="BC19" s="12" t="s">
        <v>687</v>
      </c>
      <c r="BD19" s="12" t="s">
        <v>1050</v>
      </c>
      <c r="BE19" s="12" t="s">
        <v>1051</v>
      </c>
      <c r="BF19" s="12" t="s">
        <v>1052</v>
      </c>
      <c r="BG19" s="12" t="s">
        <v>1053</v>
      </c>
      <c r="BH19" s="12" t="s">
        <v>1054</v>
      </c>
      <c r="BI19" s="12" t="s">
        <v>1055</v>
      </c>
      <c r="BJ19" s="12" t="s">
        <v>1056</v>
      </c>
      <c r="BK19" s="12" t="s">
        <v>1057</v>
      </c>
      <c r="BL19" s="12" t="s">
        <v>1058</v>
      </c>
      <c r="BM19" s="12" t="s">
        <v>1059</v>
      </c>
      <c r="BN19" s="12" t="s">
        <v>1060</v>
      </c>
      <c r="BO19" s="12" t="s">
        <v>1061</v>
      </c>
      <c r="BP19" s="12" t="s">
        <v>1062</v>
      </c>
      <c r="BQ19" s="12" t="s">
        <v>1063</v>
      </c>
      <c r="BR19" s="12" t="s">
        <v>1064</v>
      </c>
      <c r="BS19" s="12" t="s">
        <v>1065</v>
      </c>
      <c r="BT19" s="12" t="s">
        <v>1066</v>
      </c>
      <c r="BU19" s="12" t="s">
        <v>1067</v>
      </c>
      <c r="BV19" s="12" t="s">
        <v>1068</v>
      </c>
      <c r="BW19" s="12" t="s">
        <v>1069</v>
      </c>
      <c r="BX19" s="12" t="s">
        <v>1070</v>
      </c>
      <c r="BY19" s="12" t="s">
        <v>1071</v>
      </c>
      <c r="BZ19" s="12" t="s">
        <v>1072</v>
      </c>
      <c r="CA19" s="12" t="s">
        <v>1073</v>
      </c>
      <c r="CB19" s="12" t="s">
        <v>1074</v>
      </c>
      <c r="CC19" s="12" t="s">
        <v>1075</v>
      </c>
      <c r="CD19" s="12" t="s">
        <v>1076</v>
      </c>
      <c r="CE19" s="12" t="s">
        <v>1077</v>
      </c>
      <c r="CF19" s="12" t="s">
        <v>1078</v>
      </c>
      <c r="CG19" s="12" t="s">
        <v>1079</v>
      </c>
      <c r="CH19" s="12" t="s">
        <v>1080</v>
      </c>
      <c r="CI19" s="12" t="s">
        <v>1081</v>
      </c>
      <c r="CJ19" s="12" t="s">
        <v>1082</v>
      </c>
      <c r="CK19" s="12" t="s">
        <v>1083</v>
      </c>
      <c r="CL19" s="12" t="s">
        <v>1084</v>
      </c>
      <c r="CM19" s="12" t="s">
        <v>1085</v>
      </c>
      <c r="CN19" s="12" t="s">
        <v>1086</v>
      </c>
      <c r="CO19" s="12" t="s">
        <v>1087</v>
      </c>
      <c r="CP19" s="12" t="s">
        <v>1088</v>
      </c>
      <c r="CQ19" s="12" t="s">
        <v>1089</v>
      </c>
      <c r="CR19" s="12" t="s">
        <v>1090</v>
      </c>
      <c r="CS19" s="12" t="s">
        <v>1091</v>
      </c>
      <c r="CT19" s="12" t="s">
        <v>1092</v>
      </c>
    </row>
    <row r="20" spans="1:98" hidden="1" x14ac:dyDescent="0.3">
      <c r="A20" s="12" t="s">
        <v>25</v>
      </c>
      <c r="B20" s="12" t="s">
        <v>1093</v>
      </c>
      <c r="C20" s="12" t="s">
        <v>1094</v>
      </c>
      <c r="D20" s="12" t="s">
        <v>1095</v>
      </c>
      <c r="E20" s="12" t="s">
        <v>578</v>
      </c>
      <c r="F20" s="12" t="s">
        <v>578</v>
      </c>
      <c r="G20" s="12" t="s">
        <v>578</v>
      </c>
      <c r="H20" s="12" t="s">
        <v>578</v>
      </c>
      <c r="I20" s="12" t="s">
        <v>578</v>
      </c>
      <c r="J20" s="12" t="s">
        <v>578</v>
      </c>
      <c r="K20" s="12" t="s">
        <v>578</v>
      </c>
      <c r="L20" s="12" t="s">
        <v>578</v>
      </c>
      <c r="M20" s="12" t="s">
        <v>578</v>
      </c>
      <c r="N20" s="12" t="s">
        <v>578</v>
      </c>
      <c r="O20" s="12" t="s">
        <v>578</v>
      </c>
      <c r="P20" s="12" t="s">
        <v>578</v>
      </c>
      <c r="Q20" s="12" t="s">
        <v>578</v>
      </c>
      <c r="R20" s="12" t="s">
        <v>578</v>
      </c>
      <c r="S20" s="12" t="s">
        <v>578</v>
      </c>
      <c r="T20" s="12" t="s">
        <v>578</v>
      </c>
      <c r="U20" s="12" t="s">
        <v>578</v>
      </c>
      <c r="V20" s="12" t="s">
        <v>578</v>
      </c>
      <c r="W20" s="12" t="s">
        <v>578</v>
      </c>
      <c r="X20" s="12" t="s">
        <v>578</v>
      </c>
      <c r="Y20" s="12" t="s">
        <v>578</v>
      </c>
      <c r="Z20" s="12" t="s">
        <v>578</v>
      </c>
      <c r="AA20" s="12" t="s">
        <v>578</v>
      </c>
      <c r="AB20" s="12" t="s">
        <v>578</v>
      </c>
      <c r="AC20" s="12" t="s">
        <v>578</v>
      </c>
      <c r="AD20" s="12" t="s">
        <v>578</v>
      </c>
      <c r="AE20" s="12" t="s">
        <v>578</v>
      </c>
      <c r="AF20" s="12" t="s">
        <v>578</v>
      </c>
      <c r="AG20" s="12" t="s">
        <v>578</v>
      </c>
      <c r="AH20" s="12" t="s">
        <v>578</v>
      </c>
      <c r="AI20" s="12" t="s">
        <v>578</v>
      </c>
      <c r="AJ20" s="12" t="s">
        <v>578</v>
      </c>
      <c r="AK20" s="12" t="s">
        <v>578</v>
      </c>
      <c r="AL20" s="12" t="s">
        <v>578</v>
      </c>
      <c r="AM20" s="12" t="s">
        <v>578</v>
      </c>
      <c r="AN20" s="12" t="s">
        <v>578</v>
      </c>
      <c r="AO20" s="12" t="s">
        <v>578</v>
      </c>
      <c r="AP20" s="12" t="s">
        <v>578</v>
      </c>
      <c r="AQ20" s="12" t="s">
        <v>578</v>
      </c>
      <c r="AR20" s="12" t="s">
        <v>672</v>
      </c>
      <c r="AS20" s="12" t="s">
        <v>672</v>
      </c>
      <c r="AT20" s="12" t="s">
        <v>672</v>
      </c>
      <c r="AU20" s="12" t="s">
        <v>672</v>
      </c>
      <c r="AV20" s="12" t="s">
        <v>851</v>
      </c>
      <c r="AW20" s="12" t="s">
        <v>851</v>
      </c>
      <c r="AX20" s="12" t="s">
        <v>761</v>
      </c>
      <c r="AY20" s="12" t="s">
        <v>761</v>
      </c>
      <c r="AZ20" s="12" t="s">
        <v>761</v>
      </c>
      <c r="BA20" s="12" t="s">
        <v>583</v>
      </c>
      <c r="BB20" s="12" t="s">
        <v>583</v>
      </c>
      <c r="BC20" s="12" t="s">
        <v>583</v>
      </c>
      <c r="BD20" s="12" t="s">
        <v>762</v>
      </c>
      <c r="BE20" s="12" t="s">
        <v>762</v>
      </c>
      <c r="BF20" s="12" t="s">
        <v>626</v>
      </c>
      <c r="BG20" s="12" t="s">
        <v>869</v>
      </c>
      <c r="BH20" s="12" t="s">
        <v>869</v>
      </c>
      <c r="BI20" s="12" t="s">
        <v>869</v>
      </c>
      <c r="BJ20" s="12" t="s">
        <v>1096</v>
      </c>
      <c r="BK20" s="12" t="s">
        <v>1096</v>
      </c>
      <c r="BL20" s="12" t="s">
        <v>719</v>
      </c>
      <c r="BM20" s="12" t="s">
        <v>870</v>
      </c>
      <c r="BN20" s="12" t="s">
        <v>975</v>
      </c>
      <c r="BO20" s="12" t="s">
        <v>681</v>
      </c>
      <c r="BP20" s="12" t="s">
        <v>858</v>
      </c>
      <c r="BQ20" s="12" t="s">
        <v>980</v>
      </c>
      <c r="BR20" s="12" t="s">
        <v>981</v>
      </c>
      <c r="BS20" s="12" t="s">
        <v>1048</v>
      </c>
      <c r="BT20" s="12" t="s">
        <v>1097</v>
      </c>
      <c r="BU20" s="12" t="s">
        <v>597</v>
      </c>
      <c r="BV20" s="12" t="s">
        <v>1098</v>
      </c>
      <c r="BW20" s="12" t="s">
        <v>1099</v>
      </c>
      <c r="BX20" s="12" t="s">
        <v>652</v>
      </c>
      <c r="BY20" s="12" t="s">
        <v>925</v>
      </c>
      <c r="BZ20" s="12" t="s">
        <v>605</v>
      </c>
      <c r="CA20" s="12" t="s">
        <v>664</v>
      </c>
      <c r="CB20" s="12" t="s">
        <v>1100</v>
      </c>
      <c r="CC20" s="12" t="s">
        <v>749</v>
      </c>
      <c r="CD20" s="12" t="s">
        <v>827</v>
      </c>
      <c r="CE20" s="12" t="s">
        <v>1101</v>
      </c>
      <c r="CF20" s="12" t="s">
        <v>1102</v>
      </c>
      <c r="CG20" s="12" t="s">
        <v>1103</v>
      </c>
      <c r="CH20" s="12" t="s">
        <v>1104</v>
      </c>
      <c r="CI20" s="12" t="s">
        <v>1105</v>
      </c>
      <c r="CJ20" s="12" t="s">
        <v>1106</v>
      </c>
      <c r="CK20" s="12" t="s">
        <v>1107</v>
      </c>
      <c r="CL20" s="12" t="s">
        <v>1108</v>
      </c>
      <c r="CM20" s="12" t="s">
        <v>1109</v>
      </c>
      <c r="CN20" s="12" t="s">
        <v>1110</v>
      </c>
      <c r="CO20" s="12" t="s">
        <v>1111</v>
      </c>
      <c r="CP20" s="12" t="s">
        <v>1112</v>
      </c>
      <c r="CQ20" s="12" t="s">
        <v>1113</v>
      </c>
      <c r="CR20" s="12" t="s">
        <v>1114</v>
      </c>
      <c r="CS20" s="12" t="s">
        <v>1115</v>
      </c>
      <c r="CT20" s="12" t="s">
        <v>1116</v>
      </c>
    </row>
    <row r="21" spans="1:98" hidden="1" x14ac:dyDescent="0.3">
      <c r="A21" s="12" t="s">
        <v>25</v>
      </c>
      <c r="B21" s="12" t="s">
        <v>1117</v>
      </c>
      <c r="C21" s="12" t="s">
        <v>1118</v>
      </c>
      <c r="D21" s="12" t="s">
        <v>1119</v>
      </c>
      <c r="E21" s="12" t="s">
        <v>578</v>
      </c>
      <c r="F21" s="12" t="s">
        <v>578</v>
      </c>
      <c r="G21" s="12" t="s">
        <v>578</v>
      </c>
      <c r="H21" s="12" t="s">
        <v>578</v>
      </c>
      <c r="I21" s="12" t="s">
        <v>578</v>
      </c>
      <c r="J21" s="12" t="s">
        <v>578</v>
      </c>
      <c r="K21" s="12" t="s">
        <v>578</v>
      </c>
      <c r="L21" s="12" t="s">
        <v>578</v>
      </c>
      <c r="M21" s="12" t="s">
        <v>578</v>
      </c>
      <c r="N21" s="12" t="s">
        <v>578</v>
      </c>
      <c r="O21" s="12" t="s">
        <v>578</v>
      </c>
      <c r="P21" s="12" t="s">
        <v>578</v>
      </c>
      <c r="Q21" s="12" t="s">
        <v>578</v>
      </c>
      <c r="R21" s="12" t="s">
        <v>578</v>
      </c>
      <c r="S21" s="12" t="s">
        <v>578</v>
      </c>
      <c r="T21" s="12" t="s">
        <v>578</v>
      </c>
      <c r="U21" s="12" t="s">
        <v>578</v>
      </c>
      <c r="V21" s="12" t="s">
        <v>578</v>
      </c>
      <c r="W21" s="12" t="s">
        <v>578</v>
      </c>
      <c r="X21" s="12" t="s">
        <v>578</v>
      </c>
      <c r="Y21" s="12" t="s">
        <v>578</v>
      </c>
      <c r="Z21" s="12" t="s">
        <v>578</v>
      </c>
      <c r="AA21" s="12" t="s">
        <v>578</v>
      </c>
      <c r="AB21" s="12" t="s">
        <v>578</v>
      </c>
      <c r="AC21" s="12" t="s">
        <v>578</v>
      </c>
      <c r="AD21" s="12" t="s">
        <v>578</v>
      </c>
      <c r="AE21" s="12" t="s">
        <v>578</v>
      </c>
      <c r="AF21" s="12" t="s">
        <v>578</v>
      </c>
      <c r="AG21" s="12" t="s">
        <v>578</v>
      </c>
      <c r="AH21" s="12" t="s">
        <v>578</v>
      </c>
      <c r="AI21" s="12" t="s">
        <v>578</v>
      </c>
      <c r="AJ21" s="12" t="s">
        <v>578</v>
      </c>
      <c r="AK21" s="12" t="s">
        <v>578</v>
      </c>
      <c r="AL21" s="12" t="s">
        <v>578</v>
      </c>
      <c r="AM21" s="12" t="s">
        <v>578</v>
      </c>
      <c r="AN21" s="12" t="s">
        <v>578</v>
      </c>
      <c r="AO21" s="12" t="s">
        <v>578</v>
      </c>
      <c r="AP21" s="12" t="s">
        <v>578</v>
      </c>
      <c r="AQ21" s="12" t="s">
        <v>578</v>
      </c>
      <c r="AR21" s="12" t="s">
        <v>578</v>
      </c>
      <c r="AS21" s="12" t="s">
        <v>578</v>
      </c>
      <c r="AT21" s="12" t="s">
        <v>578</v>
      </c>
      <c r="AU21" s="12" t="s">
        <v>578</v>
      </c>
      <c r="AV21" s="12" t="s">
        <v>578</v>
      </c>
      <c r="AW21" s="12" t="s">
        <v>578</v>
      </c>
      <c r="AX21" s="12" t="s">
        <v>578</v>
      </c>
      <c r="AY21" s="12" t="s">
        <v>578</v>
      </c>
      <c r="AZ21" s="12" t="s">
        <v>578</v>
      </c>
      <c r="BA21" s="12" t="s">
        <v>578</v>
      </c>
      <c r="BB21" s="12" t="s">
        <v>578</v>
      </c>
      <c r="BC21" s="12" t="s">
        <v>578</v>
      </c>
      <c r="BD21" s="12" t="s">
        <v>578</v>
      </c>
      <c r="BE21" s="12" t="s">
        <v>578</v>
      </c>
      <c r="BF21" s="12" t="s">
        <v>578</v>
      </c>
      <c r="BG21" s="12" t="s">
        <v>579</v>
      </c>
      <c r="BH21" s="12" t="s">
        <v>579</v>
      </c>
      <c r="BI21" s="12" t="s">
        <v>579</v>
      </c>
      <c r="BJ21" s="12" t="s">
        <v>672</v>
      </c>
      <c r="BK21" s="12" t="s">
        <v>672</v>
      </c>
      <c r="BL21" s="12" t="s">
        <v>580</v>
      </c>
      <c r="BM21" s="12" t="s">
        <v>580</v>
      </c>
      <c r="BN21" s="12" t="s">
        <v>580</v>
      </c>
      <c r="BO21" s="12" t="s">
        <v>581</v>
      </c>
      <c r="BP21" s="12" t="s">
        <v>581</v>
      </c>
      <c r="BQ21" s="12" t="s">
        <v>761</v>
      </c>
      <c r="BR21" s="12" t="s">
        <v>624</v>
      </c>
      <c r="BS21" s="12" t="s">
        <v>624</v>
      </c>
      <c r="BT21" s="12" t="s">
        <v>583</v>
      </c>
      <c r="BU21" s="12" t="s">
        <v>756</v>
      </c>
      <c r="BV21" s="12" t="s">
        <v>756</v>
      </c>
      <c r="BW21" s="12" t="s">
        <v>585</v>
      </c>
      <c r="BX21" s="12" t="s">
        <v>587</v>
      </c>
      <c r="BY21" s="12" t="s">
        <v>587</v>
      </c>
      <c r="BZ21" s="12" t="s">
        <v>869</v>
      </c>
      <c r="CA21" s="12" t="s">
        <v>869</v>
      </c>
      <c r="CB21" s="12" t="s">
        <v>953</v>
      </c>
      <c r="CC21" s="12" t="s">
        <v>627</v>
      </c>
      <c r="CD21" s="12" t="s">
        <v>588</v>
      </c>
      <c r="CE21" s="12" t="s">
        <v>1046</v>
      </c>
      <c r="CF21" s="12" t="s">
        <v>629</v>
      </c>
      <c r="CG21" s="12" t="s">
        <v>918</v>
      </c>
      <c r="CH21" s="12" t="s">
        <v>918</v>
      </c>
      <c r="CI21" s="12" t="s">
        <v>972</v>
      </c>
      <c r="CJ21" s="12" t="s">
        <v>991</v>
      </c>
      <c r="CK21" s="12" t="s">
        <v>991</v>
      </c>
      <c r="CL21" s="12" t="s">
        <v>719</v>
      </c>
      <c r="CM21" s="12" t="s">
        <v>679</v>
      </c>
      <c r="CN21" s="12" t="s">
        <v>631</v>
      </c>
      <c r="CO21" s="12" t="s">
        <v>631</v>
      </c>
      <c r="CP21" s="12" t="s">
        <v>680</v>
      </c>
      <c r="CQ21" s="12" t="s">
        <v>870</v>
      </c>
      <c r="CR21" s="12" t="s">
        <v>870</v>
      </c>
      <c r="CS21" s="12" t="s">
        <v>975</v>
      </c>
      <c r="CT21" s="12" t="s">
        <v>1120</v>
      </c>
    </row>
    <row r="22" spans="1:98" hidden="1" x14ac:dyDescent="0.3">
      <c r="A22" s="12" t="s">
        <v>25</v>
      </c>
      <c r="B22" s="12" t="s">
        <v>1121</v>
      </c>
      <c r="C22" s="12" t="s">
        <v>1122</v>
      </c>
      <c r="D22" s="12" t="s">
        <v>1123</v>
      </c>
      <c r="E22" s="12" t="s">
        <v>578</v>
      </c>
      <c r="F22" s="12" t="s">
        <v>578</v>
      </c>
      <c r="G22" s="12" t="s">
        <v>578</v>
      </c>
      <c r="H22" s="12" t="s">
        <v>578</v>
      </c>
      <c r="I22" s="12" t="s">
        <v>578</v>
      </c>
      <c r="J22" s="12" t="s">
        <v>578</v>
      </c>
      <c r="K22" s="12" t="s">
        <v>578</v>
      </c>
      <c r="L22" s="12" t="s">
        <v>578</v>
      </c>
      <c r="M22" s="12" t="s">
        <v>578</v>
      </c>
      <c r="N22" s="12" t="s">
        <v>578</v>
      </c>
      <c r="O22" s="12" t="s">
        <v>578</v>
      </c>
      <c r="P22" s="12" t="s">
        <v>578</v>
      </c>
      <c r="Q22" s="12" t="s">
        <v>578</v>
      </c>
      <c r="R22" s="12" t="s">
        <v>578</v>
      </c>
      <c r="S22" s="12" t="s">
        <v>578</v>
      </c>
      <c r="T22" s="12" t="s">
        <v>578</v>
      </c>
      <c r="U22" s="12" t="s">
        <v>578</v>
      </c>
      <c r="V22" s="12" t="s">
        <v>578</v>
      </c>
      <c r="W22" s="12" t="s">
        <v>578</v>
      </c>
      <c r="X22" s="12" t="s">
        <v>578</v>
      </c>
      <c r="Y22" s="12" t="s">
        <v>578</v>
      </c>
      <c r="Z22" s="12" t="s">
        <v>578</v>
      </c>
      <c r="AA22" s="12" t="s">
        <v>578</v>
      </c>
      <c r="AB22" s="12" t="s">
        <v>578</v>
      </c>
      <c r="AC22" s="12" t="s">
        <v>578</v>
      </c>
      <c r="AD22" s="12" t="s">
        <v>578</v>
      </c>
      <c r="AE22" s="12" t="s">
        <v>578</v>
      </c>
      <c r="AF22" s="12" t="s">
        <v>578</v>
      </c>
      <c r="AG22" s="12" t="s">
        <v>578</v>
      </c>
      <c r="AH22" s="12" t="s">
        <v>578</v>
      </c>
      <c r="AI22" s="12" t="s">
        <v>578</v>
      </c>
      <c r="AJ22" s="12" t="s">
        <v>578</v>
      </c>
      <c r="AK22" s="12" t="s">
        <v>578</v>
      </c>
      <c r="AL22" s="12" t="s">
        <v>579</v>
      </c>
      <c r="AM22" s="12" t="s">
        <v>626</v>
      </c>
      <c r="AN22" s="12" t="s">
        <v>627</v>
      </c>
      <c r="AO22" s="12" t="s">
        <v>627</v>
      </c>
      <c r="AP22" s="12" t="s">
        <v>971</v>
      </c>
      <c r="AQ22" s="12" t="s">
        <v>1046</v>
      </c>
      <c r="AR22" s="12" t="s">
        <v>972</v>
      </c>
      <c r="AS22" s="12" t="s">
        <v>991</v>
      </c>
      <c r="AT22" s="12" t="s">
        <v>991</v>
      </c>
      <c r="AU22" s="12" t="s">
        <v>809</v>
      </c>
      <c r="AV22" s="12" t="s">
        <v>631</v>
      </c>
      <c r="AW22" s="12" t="s">
        <v>680</v>
      </c>
      <c r="AX22" s="12" t="s">
        <v>1124</v>
      </c>
      <c r="AY22" s="12" t="s">
        <v>1124</v>
      </c>
      <c r="AZ22" s="12" t="s">
        <v>1125</v>
      </c>
      <c r="BA22" s="12" t="s">
        <v>592</v>
      </c>
      <c r="BB22" s="12" t="s">
        <v>984</v>
      </c>
      <c r="BC22" s="12" t="s">
        <v>984</v>
      </c>
      <c r="BD22" s="12" t="s">
        <v>984</v>
      </c>
      <c r="BE22" s="12" t="s">
        <v>875</v>
      </c>
      <c r="BF22" s="12" t="s">
        <v>1126</v>
      </c>
      <c r="BG22" s="12" t="s">
        <v>1126</v>
      </c>
      <c r="BH22" s="12" t="s">
        <v>1127</v>
      </c>
      <c r="BI22" s="12" t="s">
        <v>1128</v>
      </c>
      <c r="BJ22" s="12" t="s">
        <v>1028</v>
      </c>
      <c r="BK22" s="12" t="s">
        <v>1129</v>
      </c>
      <c r="BL22" s="12" t="s">
        <v>958</v>
      </c>
      <c r="BM22" s="12" t="s">
        <v>729</v>
      </c>
      <c r="BN22" s="12" t="s">
        <v>650</v>
      </c>
      <c r="BO22" s="12" t="s">
        <v>1031</v>
      </c>
      <c r="BP22" s="12" t="s">
        <v>1130</v>
      </c>
      <c r="BQ22" s="12" t="s">
        <v>1131</v>
      </c>
      <c r="BR22" s="12" t="s">
        <v>735</v>
      </c>
      <c r="BS22" s="12" t="s">
        <v>1132</v>
      </c>
      <c r="BT22" s="12" t="s">
        <v>1133</v>
      </c>
      <c r="BU22" s="12" t="s">
        <v>1134</v>
      </c>
      <c r="BV22" s="12" t="s">
        <v>1135</v>
      </c>
      <c r="BW22" s="12" t="s">
        <v>1136</v>
      </c>
      <c r="BX22" s="12" t="s">
        <v>1137</v>
      </c>
      <c r="BY22" s="12" t="s">
        <v>1138</v>
      </c>
      <c r="BZ22" s="12" t="s">
        <v>1139</v>
      </c>
      <c r="CA22" s="12" t="s">
        <v>1140</v>
      </c>
      <c r="CB22" s="12" t="s">
        <v>1141</v>
      </c>
      <c r="CC22" s="12" t="s">
        <v>1142</v>
      </c>
      <c r="CD22" s="12" t="s">
        <v>1143</v>
      </c>
      <c r="CE22" s="12" t="s">
        <v>1144</v>
      </c>
      <c r="CF22" s="12" t="s">
        <v>1145</v>
      </c>
      <c r="CG22" s="12" t="s">
        <v>1146</v>
      </c>
      <c r="CH22" s="12" t="s">
        <v>1147</v>
      </c>
      <c r="CI22" s="12" t="s">
        <v>1148</v>
      </c>
      <c r="CJ22" s="12" t="s">
        <v>1149</v>
      </c>
      <c r="CK22" s="12" t="s">
        <v>1150</v>
      </c>
      <c r="CL22" s="12" t="s">
        <v>1151</v>
      </c>
      <c r="CM22" s="12" t="s">
        <v>1152</v>
      </c>
      <c r="CN22" s="12" t="s">
        <v>1153</v>
      </c>
      <c r="CO22" s="12" t="s">
        <v>1154</v>
      </c>
      <c r="CP22" s="12" t="s">
        <v>1155</v>
      </c>
      <c r="CQ22" s="12" t="s">
        <v>1156</v>
      </c>
      <c r="CR22" s="12" t="s">
        <v>1157</v>
      </c>
      <c r="CS22" s="12" t="s">
        <v>1158</v>
      </c>
      <c r="CT22" s="12" t="s">
        <v>1159</v>
      </c>
    </row>
    <row r="23" spans="1:98" hidden="1" x14ac:dyDescent="0.3">
      <c r="A23" s="12" t="s">
        <v>25</v>
      </c>
      <c r="B23" s="12" t="s">
        <v>1160</v>
      </c>
      <c r="C23" s="12" t="s">
        <v>1161</v>
      </c>
      <c r="D23" s="12" t="s">
        <v>1162</v>
      </c>
      <c r="E23" s="12" t="s">
        <v>578</v>
      </c>
      <c r="F23" s="12" t="s">
        <v>578</v>
      </c>
      <c r="G23" s="12" t="s">
        <v>578</v>
      </c>
      <c r="H23" s="12" t="s">
        <v>578</v>
      </c>
      <c r="I23" s="12" t="s">
        <v>578</v>
      </c>
      <c r="J23" s="12" t="s">
        <v>578</v>
      </c>
      <c r="K23" s="12" t="s">
        <v>578</v>
      </c>
      <c r="L23" s="12" t="s">
        <v>578</v>
      </c>
      <c r="M23" s="12" t="s">
        <v>578</v>
      </c>
      <c r="N23" s="12" t="s">
        <v>578</v>
      </c>
      <c r="O23" s="12" t="s">
        <v>578</v>
      </c>
      <c r="P23" s="12" t="s">
        <v>578</v>
      </c>
      <c r="Q23" s="12" t="s">
        <v>578</v>
      </c>
      <c r="R23" s="12" t="s">
        <v>578</v>
      </c>
      <c r="S23" s="12" t="s">
        <v>578</v>
      </c>
      <c r="T23" s="12" t="s">
        <v>578</v>
      </c>
      <c r="U23" s="12" t="s">
        <v>578</v>
      </c>
      <c r="V23" s="12" t="s">
        <v>578</v>
      </c>
      <c r="W23" s="12" t="s">
        <v>578</v>
      </c>
      <c r="X23" s="12" t="s">
        <v>578</v>
      </c>
      <c r="Y23" s="12" t="s">
        <v>578</v>
      </c>
      <c r="Z23" s="12" t="s">
        <v>578</v>
      </c>
      <c r="AA23" s="12" t="s">
        <v>578</v>
      </c>
      <c r="AB23" s="12" t="s">
        <v>578</v>
      </c>
      <c r="AC23" s="12" t="s">
        <v>578</v>
      </c>
      <c r="AD23" s="12" t="s">
        <v>578</v>
      </c>
      <c r="AE23" s="12" t="s">
        <v>578</v>
      </c>
      <c r="AF23" s="12" t="s">
        <v>578</v>
      </c>
      <c r="AG23" s="12" t="s">
        <v>578</v>
      </c>
      <c r="AH23" s="12" t="s">
        <v>578</v>
      </c>
      <c r="AI23" s="12" t="s">
        <v>578</v>
      </c>
      <c r="AJ23" s="12" t="s">
        <v>578</v>
      </c>
      <c r="AK23" s="12" t="s">
        <v>578</v>
      </c>
      <c r="AL23" s="12" t="s">
        <v>578</v>
      </c>
      <c r="AM23" s="12" t="s">
        <v>578</v>
      </c>
      <c r="AN23" s="12" t="s">
        <v>578</v>
      </c>
      <c r="AO23" s="12" t="s">
        <v>578</v>
      </c>
      <c r="AP23" s="12" t="s">
        <v>578</v>
      </c>
      <c r="AQ23" s="12" t="s">
        <v>578</v>
      </c>
      <c r="AR23" s="12" t="s">
        <v>578</v>
      </c>
      <c r="AS23" s="12" t="s">
        <v>578</v>
      </c>
      <c r="AT23" s="12" t="s">
        <v>578</v>
      </c>
      <c r="AU23" s="12" t="s">
        <v>578</v>
      </c>
      <c r="AV23" s="12" t="s">
        <v>578</v>
      </c>
      <c r="AW23" s="12" t="s">
        <v>578</v>
      </c>
      <c r="AX23" s="12" t="s">
        <v>578</v>
      </c>
      <c r="AY23" s="12" t="s">
        <v>672</v>
      </c>
      <c r="AZ23" s="12" t="s">
        <v>672</v>
      </c>
      <c r="BA23" s="12" t="s">
        <v>672</v>
      </c>
      <c r="BB23" s="12" t="s">
        <v>672</v>
      </c>
      <c r="BC23" s="12" t="s">
        <v>672</v>
      </c>
      <c r="BD23" s="12" t="s">
        <v>672</v>
      </c>
      <c r="BE23" s="12" t="s">
        <v>672</v>
      </c>
      <c r="BF23" s="12" t="s">
        <v>581</v>
      </c>
      <c r="BG23" s="12" t="s">
        <v>755</v>
      </c>
      <c r="BH23" s="12" t="s">
        <v>624</v>
      </c>
      <c r="BI23" s="12" t="s">
        <v>756</v>
      </c>
      <c r="BJ23" s="12" t="s">
        <v>673</v>
      </c>
      <c r="BK23" s="12" t="s">
        <v>675</v>
      </c>
      <c r="BL23" s="12" t="s">
        <v>757</v>
      </c>
      <c r="BM23" s="12" t="s">
        <v>913</v>
      </c>
      <c r="BN23" s="12" t="s">
        <v>627</v>
      </c>
      <c r="BO23" s="12" t="s">
        <v>718</v>
      </c>
      <c r="BP23" s="12" t="s">
        <v>718</v>
      </c>
      <c r="BQ23" s="12" t="s">
        <v>1096</v>
      </c>
      <c r="BR23" s="12" t="s">
        <v>678</v>
      </c>
      <c r="BS23" s="12" t="s">
        <v>678</v>
      </c>
      <c r="BT23" s="12" t="s">
        <v>678</v>
      </c>
      <c r="BU23" s="12" t="s">
        <v>991</v>
      </c>
      <c r="BV23" s="12" t="s">
        <v>630</v>
      </c>
      <c r="BW23" s="12" t="s">
        <v>679</v>
      </c>
      <c r="BX23" s="12" t="s">
        <v>769</v>
      </c>
      <c r="BY23" s="12" t="s">
        <v>919</v>
      </c>
      <c r="BZ23" s="12" t="s">
        <v>634</v>
      </c>
      <c r="CA23" s="12" t="s">
        <v>721</v>
      </c>
      <c r="CB23" s="12" t="s">
        <v>638</v>
      </c>
      <c r="CC23" s="12" t="s">
        <v>724</v>
      </c>
      <c r="CD23" s="12" t="s">
        <v>1163</v>
      </c>
      <c r="CE23" s="12" t="s">
        <v>1164</v>
      </c>
      <c r="CF23" s="12" t="s">
        <v>821</v>
      </c>
      <c r="CG23" s="12" t="s">
        <v>822</v>
      </c>
      <c r="CH23" s="12" t="s">
        <v>1165</v>
      </c>
      <c r="CI23" s="12" t="s">
        <v>1166</v>
      </c>
      <c r="CJ23" s="12" t="s">
        <v>1167</v>
      </c>
      <c r="CK23" s="12" t="s">
        <v>1168</v>
      </c>
      <c r="CL23" s="12" t="s">
        <v>698</v>
      </c>
      <c r="CM23" s="12" t="s">
        <v>1169</v>
      </c>
      <c r="CN23" s="12" t="s">
        <v>1170</v>
      </c>
      <c r="CO23" s="12" t="s">
        <v>1171</v>
      </c>
      <c r="CP23" s="12" t="s">
        <v>1172</v>
      </c>
      <c r="CQ23" s="12" t="s">
        <v>1173</v>
      </c>
      <c r="CR23" s="12" t="s">
        <v>1174</v>
      </c>
      <c r="CS23" s="12" t="s">
        <v>1175</v>
      </c>
      <c r="CT23" s="12" t="s">
        <v>1176</v>
      </c>
    </row>
    <row r="24" spans="1:98" hidden="1" x14ac:dyDescent="0.3">
      <c r="A24" s="12" t="s">
        <v>25</v>
      </c>
      <c r="B24" s="12" t="s">
        <v>1177</v>
      </c>
      <c r="C24" s="12" t="s">
        <v>1178</v>
      </c>
      <c r="D24" s="12" t="s">
        <v>1179</v>
      </c>
      <c r="E24" s="12" t="s">
        <v>578</v>
      </c>
      <c r="F24" s="12" t="s">
        <v>578</v>
      </c>
      <c r="G24" s="12" t="s">
        <v>578</v>
      </c>
      <c r="H24" s="12" t="s">
        <v>578</v>
      </c>
      <c r="I24" s="12" t="s">
        <v>578</v>
      </c>
      <c r="J24" s="12" t="s">
        <v>578</v>
      </c>
      <c r="K24" s="12" t="s">
        <v>578</v>
      </c>
      <c r="L24" s="12" t="s">
        <v>578</v>
      </c>
      <c r="M24" s="12" t="s">
        <v>578</v>
      </c>
      <c r="N24" s="12" t="s">
        <v>578</v>
      </c>
      <c r="O24" s="12" t="s">
        <v>578</v>
      </c>
      <c r="P24" s="12" t="s">
        <v>578</v>
      </c>
      <c r="Q24" s="12" t="s">
        <v>578</v>
      </c>
      <c r="R24" s="12" t="s">
        <v>578</v>
      </c>
      <c r="S24" s="12" t="s">
        <v>578</v>
      </c>
      <c r="T24" s="12" t="s">
        <v>578</v>
      </c>
      <c r="U24" s="12" t="s">
        <v>578</v>
      </c>
      <c r="V24" s="12" t="s">
        <v>578</v>
      </c>
      <c r="W24" s="12" t="s">
        <v>578</v>
      </c>
      <c r="X24" s="12" t="s">
        <v>578</v>
      </c>
      <c r="Y24" s="12" t="s">
        <v>578</v>
      </c>
      <c r="Z24" s="12" t="s">
        <v>578</v>
      </c>
      <c r="AA24" s="12" t="s">
        <v>578</v>
      </c>
      <c r="AB24" s="12" t="s">
        <v>578</v>
      </c>
      <c r="AC24" s="12" t="s">
        <v>578</v>
      </c>
      <c r="AD24" s="12" t="s">
        <v>578</v>
      </c>
      <c r="AE24" s="12" t="s">
        <v>578</v>
      </c>
      <c r="AF24" s="12" t="s">
        <v>578</v>
      </c>
      <c r="AG24" s="12" t="s">
        <v>578</v>
      </c>
      <c r="AH24" s="12" t="s">
        <v>578</v>
      </c>
      <c r="AI24" s="12" t="s">
        <v>578</v>
      </c>
      <c r="AJ24" s="12" t="s">
        <v>578</v>
      </c>
      <c r="AK24" s="12" t="s">
        <v>578</v>
      </c>
      <c r="AL24" s="12" t="s">
        <v>578</v>
      </c>
      <c r="AM24" s="12" t="s">
        <v>578</v>
      </c>
      <c r="AN24" s="12" t="s">
        <v>578</v>
      </c>
      <c r="AO24" s="12" t="s">
        <v>578</v>
      </c>
      <c r="AP24" s="12" t="s">
        <v>578</v>
      </c>
      <c r="AQ24" s="12" t="s">
        <v>578</v>
      </c>
      <c r="AR24" s="12" t="s">
        <v>578</v>
      </c>
      <c r="AS24" s="12" t="s">
        <v>578</v>
      </c>
      <c r="AT24" s="12" t="s">
        <v>578</v>
      </c>
      <c r="AU24" s="12" t="s">
        <v>578</v>
      </c>
      <c r="AV24" s="12" t="s">
        <v>578</v>
      </c>
      <c r="AW24" s="12" t="s">
        <v>578</v>
      </c>
      <c r="AX24" s="12" t="s">
        <v>578</v>
      </c>
      <c r="AY24" s="12" t="s">
        <v>578</v>
      </c>
      <c r="AZ24" s="12" t="s">
        <v>578</v>
      </c>
      <c r="BA24" s="12" t="s">
        <v>578</v>
      </c>
      <c r="BB24" s="12" t="s">
        <v>578</v>
      </c>
      <c r="BC24" s="12" t="s">
        <v>578</v>
      </c>
      <c r="BD24" s="12" t="s">
        <v>578</v>
      </c>
      <c r="BE24" s="12" t="s">
        <v>578</v>
      </c>
      <c r="BF24" s="12" t="s">
        <v>578</v>
      </c>
      <c r="BG24" s="12" t="s">
        <v>578</v>
      </c>
      <c r="BH24" s="12" t="s">
        <v>623</v>
      </c>
      <c r="BI24" s="12" t="s">
        <v>623</v>
      </c>
      <c r="BJ24" s="12" t="s">
        <v>581</v>
      </c>
      <c r="BK24" s="12" t="s">
        <v>581</v>
      </c>
      <c r="BL24" s="12" t="s">
        <v>851</v>
      </c>
      <c r="BM24" s="12" t="s">
        <v>756</v>
      </c>
      <c r="BN24" s="12" t="s">
        <v>673</v>
      </c>
      <c r="BO24" s="12" t="s">
        <v>808</v>
      </c>
      <c r="BP24" s="12" t="s">
        <v>808</v>
      </c>
      <c r="BQ24" s="12" t="s">
        <v>808</v>
      </c>
      <c r="BR24" s="12" t="s">
        <v>587</v>
      </c>
      <c r="BS24" s="12" t="s">
        <v>676</v>
      </c>
      <c r="BT24" s="12" t="s">
        <v>627</v>
      </c>
      <c r="BU24" s="12" t="s">
        <v>627</v>
      </c>
      <c r="BV24" s="12" t="s">
        <v>767</v>
      </c>
      <c r="BW24" s="12" t="s">
        <v>767</v>
      </c>
      <c r="BX24" s="12" t="s">
        <v>918</v>
      </c>
      <c r="BY24" s="12" t="s">
        <v>630</v>
      </c>
      <c r="BZ24" s="12" t="s">
        <v>809</v>
      </c>
      <c r="CA24" s="12" t="s">
        <v>769</v>
      </c>
      <c r="CB24" s="12" t="s">
        <v>680</v>
      </c>
      <c r="CC24" s="12" t="s">
        <v>1180</v>
      </c>
      <c r="CD24" s="12" t="s">
        <v>1180</v>
      </c>
      <c r="CE24" s="12" t="s">
        <v>973</v>
      </c>
      <c r="CF24" s="12" t="s">
        <v>955</v>
      </c>
      <c r="CG24" s="12" t="s">
        <v>770</v>
      </c>
      <c r="CH24" s="12" t="s">
        <v>854</v>
      </c>
      <c r="CI24" s="12" t="s">
        <v>975</v>
      </c>
      <c r="CJ24" s="12" t="s">
        <v>975</v>
      </c>
      <c r="CK24" s="12" t="s">
        <v>1120</v>
      </c>
      <c r="CL24" s="12" t="s">
        <v>720</v>
      </c>
      <c r="CM24" s="12" t="s">
        <v>720</v>
      </c>
      <c r="CN24" s="12" t="s">
        <v>720</v>
      </c>
      <c r="CO24" s="12" t="s">
        <v>720</v>
      </c>
      <c r="CP24" s="12" t="s">
        <v>720</v>
      </c>
      <c r="CQ24" s="12" t="s">
        <v>720</v>
      </c>
      <c r="CR24" s="12" t="s">
        <v>720</v>
      </c>
      <c r="CS24" s="12" t="s">
        <v>635</v>
      </c>
      <c r="CT24" s="12" t="s">
        <v>855</v>
      </c>
    </row>
    <row r="25" spans="1:98" hidden="1" x14ac:dyDescent="0.3">
      <c r="A25" s="12" t="s">
        <v>25</v>
      </c>
      <c r="B25" s="12" t="s">
        <v>1181</v>
      </c>
      <c r="C25" s="12" t="s">
        <v>1182</v>
      </c>
      <c r="D25" s="12" t="s">
        <v>1183</v>
      </c>
      <c r="E25" s="12" t="s">
        <v>578</v>
      </c>
      <c r="F25" s="12" t="s">
        <v>578</v>
      </c>
      <c r="G25" s="12" t="s">
        <v>578</v>
      </c>
      <c r="H25" s="12" t="s">
        <v>578</v>
      </c>
      <c r="I25" s="12" t="s">
        <v>578</v>
      </c>
      <c r="J25" s="12" t="s">
        <v>578</v>
      </c>
      <c r="K25" s="12" t="s">
        <v>578</v>
      </c>
      <c r="L25" s="12" t="s">
        <v>578</v>
      </c>
      <c r="M25" s="12" t="s">
        <v>578</v>
      </c>
      <c r="N25" s="12" t="s">
        <v>578</v>
      </c>
      <c r="O25" s="12" t="s">
        <v>578</v>
      </c>
      <c r="P25" s="12" t="s">
        <v>578</v>
      </c>
      <c r="Q25" s="12" t="s">
        <v>578</v>
      </c>
      <c r="R25" s="12" t="s">
        <v>578</v>
      </c>
      <c r="S25" s="12" t="s">
        <v>578</v>
      </c>
      <c r="T25" s="12" t="s">
        <v>578</v>
      </c>
      <c r="U25" s="12" t="s">
        <v>578</v>
      </c>
      <c r="V25" s="12" t="s">
        <v>578</v>
      </c>
      <c r="W25" s="12" t="s">
        <v>578</v>
      </c>
      <c r="X25" s="12" t="s">
        <v>578</v>
      </c>
      <c r="Y25" s="12" t="s">
        <v>578</v>
      </c>
      <c r="Z25" s="12" t="s">
        <v>578</v>
      </c>
      <c r="AA25" s="12" t="s">
        <v>578</v>
      </c>
      <c r="AB25" s="12" t="s">
        <v>578</v>
      </c>
      <c r="AC25" s="12" t="s">
        <v>578</v>
      </c>
      <c r="AD25" s="12" t="s">
        <v>578</v>
      </c>
      <c r="AE25" s="12" t="s">
        <v>578</v>
      </c>
      <c r="AF25" s="12" t="s">
        <v>578</v>
      </c>
      <c r="AG25" s="12" t="s">
        <v>578</v>
      </c>
      <c r="AH25" s="12" t="s">
        <v>578</v>
      </c>
      <c r="AI25" s="12" t="s">
        <v>578</v>
      </c>
      <c r="AJ25" s="12" t="s">
        <v>578</v>
      </c>
      <c r="AK25" s="12" t="s">
        <v>578</v>
      </c>
      <c r="AL25" s="12" t="s">
        <v>578</v>
      </c>
      <c r="AM25" s="12" t="s">
        <v>578</v>
      </c>
      <c r="AN25" s="12" t="s">
        <v>578</v>
      </c>
      <c r="AO25" s="12" t="s">
        <v>578</v>
      </c>
      <c r="AP25" s="12" t="s">
        <v>579</v>
      </c>
      <c r="AQ25" s="12" t="s">
        <v>579</v>
      </c>
      <c r="AR25" s="12" t="s">
        <v>579</v>
      </c>
      <c r="AS25" s="12" t="s">
        <v>579</v>
      </c>
      <c r="AT25" s="12" t="s">
        <v>579</v>
      </c>
      <c r="AU25" s="12" t="s">
        <v>851</v>
      </c>
      <c r="AV25" s="12" t="s">
        <v>851</v>
      </c>
      <c r="AW25" s="12" t="s">
        <v>851</v>
      </c>
      <c r="AX25" s="12" t="s">
        <v>851</v>
      </c>
      <c r="AY25" s="12" t="s">
        <v>851</v>
      </c>
      <c r="AZ25" s="12" t="s">
        <v>851</v>
      </c>
      <c r="BA25" s="12" t="s">
        <v>761</v>
      </c>
      <c r="BB25" s="12" t="s">
        <v>761</v>
      </c>
      <c r="BC25" s="12" t="s">
        <v>625</v>
      </c>
      <c r="BD25" s="12" t="s">
        <v>913</v>
      </c>
      <c r="BE25" s="12" t="s">
        <v>913</v>
      </c>
      <c r="BF25" s="12" t="s">
        <v>913</v>
      </c>
      <c r="BG25" s="12" t="s">
        <v>971</v>
      </c>
      <c r="BH25" s="12" t="s">
        <v>971</v>
      </c>
      <c r="BI25" s="12" t="s">
        <v>630</v>
      </c>
      <c r="BJ25" s="12" t="s">
        <v>630</v>
      </c>
      <c r="BK25" s="12" t="s">
        <v>974</v>
      </c>
      <c r="BL25" s="12" t="s">
        <v>635</v>
      </c>
      <c r="BM25" s="12" t="s">
        <v>635</v>
      </c>
      <c r="BN25" s="12" t="s">
        <v>1184</v>
      </c>
      <c r="BO25" s="12" t="s">
        <v>1184</v>
      </c>
      <c r="BP25" s="12" t="s">
        <v>977</v>
      </c>
      <c r="BQ25" s="12" t="s">
        <v>977</v>
      </c>
      <c r="BR25" s="12" t="s">
        <v>591</v>
      </c>
      <c r="BS25" s="12" t="s">
        <v>591</v>
      </c>
      <c r="BT25" s="12" t="s">
        <v>591</v>
      </c>
      <c r="BU25" s="12" t="s">
        <v>1185</v>
      </c>
      <c r="BV25" s="12" t="s">
        <v>1185</v>
      </c>
      <c r="BW25" s="12" t="s">
        <v>1186</v>
      </c>
      <c r="BX25" s="12" t="s">
        <v>647</v>
      </c>
      <c r="BY25" s="12" t="s">
        <v>1187</v>
      </c>
      <c r="BZ25" s="12" t="s">
        <v>1188</v>
      </c>
      <c r="CA25" s="12" t="s">
        <v>663</v>
      </c>
      <c r="CB25" s="12" t="s">
        <v>1140</v>
      </c>
      <c r="CC25" s="12" t="s">
        <v>1189</v>
      </c>
      <c r="CD25" s="12" t="s">
        <v>1190</v>
      </c>
      <c r="CE25" s="12" t="s">
        <v>1191</v>
      </c>
      <c r="CF25" s="12" t="s">
        <v>1192</v>
      </c>
      <c r="CG25" s="12" t="s">
        <v>1193</v>
      </c>
      <c r="CH25" s="12" t="s">
        <v>1194</v>
      </c>
      <c r="CI25" s="12" t="s">
        <v>1195</v>
      </c>
      <c r="CJ25" s="12" t="s">
        <v>1196</v>
      </c>
      <c r="CK25" s="12" t="s">
        <v>1197</v>
      </c>
      <c r="CL25" s="12" t="s">
        <v>1198</v>
      </c>
      <c r="CM25" s="12" t="s">
        <v>1199</v>
      </c>
      <c r="CN25" s="12" t="s">
        <v>1199</v>
      </c>
      <c r="CO25" s="12" t="s">
        <v>1199</v>
      </c>
      <c r="CP25" s="12" t="s">
        <v>1200</v>
      </c>
      <c r="CQ25" s="12" t="s">
        <v>1201</v>
      </c>
      <c r="CR25" s="12" t="s">
        <v>1202</v>
      </c>
      <c r="CS25" s="12" t="s">
        <v>1203</v>
      </c>
      <c r="CT25" s="12" t="s">
        <v>1204</v>
      </c>
    </row>
    <row r="26" spans="1:98" hidden="1" x14ac:dyDescent="0.3">
      <c r="A26" s="12" t="s">
        <v>25</v>
      </c>
      <c r="B26" s="12" t="s">
        <v>1205</v>
      </c>
      <c r="C26" s="12" t="s">
        <v>1206</v>
      </c>
      <c r="D26" s="12" t="s">
        <v>1207</v>
      </c>
      <c r="E26" s="12" t="s">
        <v>578</v>
      </c>
      <c r="F26" s="12" t="s">
        <v>578</v>
      </c>
      <c r="G26" s="12" t="s">
        <v>578</v>
      </c>
      <c r="H26" s="12" t="s">
        <v>578</v>
      </c>
      <c r="I26" s="12" t="s">
        <v>578</v>
      </c>
      <c r="J26" s="12" t="s">
        <v>578</v>
      </c>
      <c r="K26" s="12" t="s">
        <v>578</v>
      </c>
      <c r="L26" s="12" t="s">
        <v>578</v>
      </c>
      <c r="M26" s="12" t="s">
        <v>578</v>
      </c>
      <c r="N26" s="12" t="s">
        <v>578</v>
      </c>
      <c r="O26" s="12" t="s">
        <v>578</v>
      </c>
      <c r="P26" s="12" t="s">
        <v>578</v>
      </c>
      <c r="Q26" s="12" t="s">
        <v>578</v>
      </c>
      <c r="R26" s="12" t="s">
        <v>579</v>
      </c>
      <c r="S26" s="12" t="s">
        <v>579</v>
      </c>
      <c r="T26" s="12" t="s">
        <v>579</v>
      </c>
      <c r="U26" s="12" t="s">
        <v>579</v>
      </c>
      <c r="V26" s="12" t="s">
        <v>579</v>
      </c>
      <c r="W26" s="12" t="s">
        <v>579</v>
      </c>
      <c r="X26" s="12" t="s">
        <v>579</v>
      </c>
      <c r="Y26" s="12" t="s">
        <v>579</v>
      </c>
      <c r="Z26" s="12" t="s">
        <v>579</v>
      </c>
      <c r="AA26" s="12" t="s">
        <v>579</v>
      </c>
      <c r="AB26" s="12" t="s">
        <v>579</v>
      </c>
      <c r="AC26" s="12" t="s">
        <v>579</v>
      </c>
      <c r="AD26" s="12" t="s">
        <v>579</v>
      </c>
      <c r="AE26" s="12" t="s">
        <v>579</v>
      </c>
      <c r="AF26" s="12" t="s">
        <v>579</v>
      </c>
      <c r="AG26" s="12" t="s">
        <v>579</v>
      </c>
      <c r="AH26" s="12" t="s">
        <v>579</v>
      </c>
      <c r="AI26" s="12" t="s">
        <v>579</v>
      </c>
      <c r="AJ26" s="12" t="s">
        <v>579</v>
      </c>
      <c r="AK26" s="12" t="s">
        <v>579</v>
      </c>
      <c r="AL26" s="12" t="s">
        <v>579</v>
      </c>
      <c r="AM26" s="12" t="s">
        <v>579</v>
      </c>
      <c r="AN26" s="12" t="s">
        <v>579</v>
      </c>
      <c r="AO26" s="12" t="s">
        <v>579</v>
      </c>
      <c r="AP26" s="12" t="s">
        <v>579</v>
      </c>
      <c r="AQ26" s="12" t="s">
        <v>579</v>
      </c>
      <c r="AR26" s="12" t="s">
        <v>623</v>
      </c>
      <c r="AS26" s="12" t="s">
        <v>755</v>
      </c>
      <c r="AT26" s="12" t="s">
        <v>868</v>
      </c>
      <c r="AU26" s="12" t="s">
        <v>626</v>
      </c>
      <c r="AV26" s="12" t="s">
        <v>954</v>
      </c>
      <c r="AW26" s="12" t="s">
        <v>1208</v>
      </c>
      <c r="AX26" s="12" t="s">
        <v>982</v>
      </c>
      <c r="AY26" s="12" t="s">
        <v>985</v>
      </c>
      <c r="AZ26" s="12" t="s">
        <v>1209</v>
      </c>
      <c r="BA26" s="12" t="s">
        <v>727</v>
      </c>
      <c r="BB26" s="12" t="s">
        <v>1210</v>
      </c>
      <c r="BC26" s="12" t="s">
        <v>1210</v>
      </c>
      <c r="BD26" s="12" t="s">
        <v>1211</v>
      </c>
      <c r="BE26" s="12" t="s">
        <v>929</v>
      </c>
      <c r="BF26" s="12" t="s">
        <v>1212</v>
      </c>
      <c r="BG26" s="12" t="s">
        <v>1103</v>
      </c>
      <c r="BH26" s="12" t="s">
        <v>1213</v>
      </c>
      <c r="BI26" s="12" t="s">
        <v>1191</v>
      </c>
      <c r="BJ26" s="12" t="s">
        <v>790</v>
      </c>
      <c r="BK26" s="12" t="s">
        <v>1214</v>
      </c>
      <c r="BL26" s="12" t="s">
        <v>1215</v>
      </c>
      <c r="BM26" s="12" t="s">
        <v>1216</v>
      </c>
      <c r="BN26" s="12" t="s">
        <v>1217</v>
      </c>
      <c r="BO26" s="12" t="s">
        <v>1218</v>
      </c>
      <c r="BP26" s="12" t="s">
        <v>1219</v>
      </c>
      <c r="BQ26" s="12" t="s">
        <v>1220</v>
      </c>
      <c r="BR26" s="12" t="s">
        <v>1221</v>
      </c>
      <c r="BS26" s="12" t="s">
        <v>1222</v>
      </c>
      <c r="BT26" s="12" t="s">
        <v>1223</v>
      </c>
      <c r="BU26" s="12" t="s">
        <v>1224</v>
      </c>
      <c r="BV26" s="12" t="s">
        <v>1225</v>
      </c>
      <c r="BW26" s="12" t="s">
        <v>1226</v>
      </c>
      <c r="BX26" s="12" t="s">
        <v>1227</v>
      </c>
      <c r="BY26" s="12" t="s">
        <v>1228</v>
      </c>
      <c r="BZ26" s="12" t="s">
        <v>1229</v>
      </c>
      <c r="CA26" s="12" t="s">
        <v>1230</v>
      </c>
      <c r="CB26" s="12" t="s">
        <v>1231</v>
      </c>
      <c r="CC26" s="12" t="s">
        <v>1232</v>
      </c>
      <c r="CD26" s="12" t="s">
        <v>1233</v>
      </c>
      <c r="CE26" s="12" t="s">
        <v>1234</v>
      </c>
      <c r="CF26" s="12" t="s">
        <v>1235</v>
      </c>
      <c r="CG26" s="12" t="s">
        <v>1236</v>
      </c>
      <c r="CH26" s="12" t="s">
        <v>1237</v>
      </c>
      <c r="CI26" s="12" t="s">
        <v>1238</v>
      </c>
      <c r="CJ26" s="12" t="s">
        <v>1239</v>
      </c>
      <c r="CK26" s="12" t="s">
        <v>1240</v>
      </c>
      <c r="CL26" s="12" t="s">
        <v>1241</v>
      </c>
      <c r="CM26" s="12" t="s">
        <v>1242</v>
      </c>
      <c r="CN26" s="12" t="s">
        <v>1243</v>
      </c>
      <c r="CO26" s="12" t="s">
        <v>1244</v>
      </c>
      <c r="CP26" s="12" t="s">
        <v>1245</v>
      </c>
      <c r="CQ26" s="12" t="s">
        <v>1246</v>
      </c>
      <c r="CR26" s="12" t="s">
        <v>1247</v>
      </c>
      <c r="CS26" s="12" t="s">
        <v>1248</v>
      </c>
      <c r="CT26" s="12" t="s">
        <v>1249</v>
      </c>
    </row>
    <row r="27" spans="1:98" hidden="1" x14ac:dyDescent="0.3">
      <c r="A27" s="12" t="s">
        <v>25</v>
      </c>
      <c r="B27" s="12" t="s">
        <v>1250</v>
      </c>
      <c r="C27" s="12" t="s">
        <v>1251</v>
      </c>
      <c r="D27" s="12" t="s">
        <v>1252</v>
      </c>
      <c r="E27" s="12" t="s">
        <v>578</v>
      </c>
      <c r="F27" s="12" t="s">
        <v>578</v>
      </c>
      <c r="G27" s="12" t="s">
        <v>578</v>
      </c>
      <c r="H27" s="12" t="s">
        <v>578</v>
      </c>
      <c r="I27" s="12" t="s">
        <v>578</v>
      </c>
      <c r="J27" s="12" t="s">
        <v>578</v>
      </c>
      <c r="K27" s="12" t="s">
        <v>578</v>
      </c>
      <c r="L27" s="12" t="s">
        <v>578</v>
      </c>
      <c r="M27" s="12" t="s">
        <v>578</v>
      </c>
      <c r="N27" s="12" t="s">
        <v>578</v>
      </c>
      <c r="O27" s="12" t="s">
        <v>578</v>
      </c>
      <c r="P27" s="12" t="s">
        <v>578</v>
      </c>
      <c r="Q27" s="12" t="s">
        <v>578</v>
      </c>
      <c r="R27" s="12" t="s">
        <v>578</v>
      </c>
      <c r="S27" s="12" t="s">
        <v>578</v>
      </c>
      <c r="T27" s="12" t="s">
        <v>578</v>
      </c>
      <c r="U27" s="12" t="s">
        <v>578</v>
      </c>
      <c r="V27" s="12" t="s">
        <v>578</v>
      </c>
      <c r="W27" s="12" t="s">
        <v>578</v>
      </c>
      <c r="X27" s="12" t="s">
        <v>578</v>
      </c>
      <c r="Y27" s="12" t="s">
        <v>578</v>
      </c>
      <c r="Z27" s="12" t="s">
        <v>578</v>
      </c>
      <c r="AA27" s="12" t="s">
        <v>578</v>
      </c>
      <c r="AB27" s="12" t="s">
        <v>578</v>
      </c>
      <c r="AC27" s="12" t="s">
        <v>578</v>
      </c>
      <c r="AD27" s="12" t="s">
        <v>578</v>
      </c>
      <c r="AE27" s="12" t="s">
        <v>578</v>
      </c>
      <c r="AF27" s="12" t="s">
        <v>578</v>
      </c>
      <c r="AG27" s="12" t="s">
        <v>578</v>
      </c>
      <c r="AH27" s="12" t="s">
        <v>578</v>
      </c>
      <c r="AI27" s="12" t="s">
        <v>578</v>
      </c>
      <c r="AJ27" s="12" t="s">
        <v>578</v>
      </c>
      <c r="AK27" s="12" t="s">
        <v>578</v>
      </c>
      <c r="AL27" s="12" t="s">
        <v>578</v>
      </c>
      <c r="AM27" s="12" t="s">
        <v>578</v>
      </c>
      <c r="AN27" s="12" t="s">
        <v>578</v>
      </c>
      <c r="AO27" s="12" t="s">
        <v>578</v>
      </c>
      <c r="AP27" s="12" t="s">
        <v>578</v>
      </c>
      <c r="AQ27" s="12" t="s">
        <v>578</v>
      </c>
      <c r="AR27" s="12" t="s">
        <v>578</v>
      </c>
      <c r="AS27" s="12" t="s">
        <v>578</v>
      </c>
      <c r="AT27" s="12" t="s">
        <v>578</v>
      </c>
      <c r="AU27" s="12" t="s">
        <v>578</v>
      </c>
      <c r="AV27" s="12" t="s">
        <v>578</v>
      </c>
      <c r="AW27" s="12" t="s">
        <v>578</v>
      </c>
      <c r="AX27" s="12" t="s">
        <v>578</v>
      </c>
      <c r="AY27" s="12" t="s">
        <v>578</v>
      </c>
      <c r="AZ27" s="12" t="s">
        <v>578</v>
      </c>
      <c r="BA27" s="12" t="s">
        <v>578</v>
      </c>
      <c r="BB27" s="12" t="s">
        <v>578</v>
      </c>
      <c r="BC27" s="12" t="s">
        <v>578</v>
      </c>
      <c r="BD27" s="12" t="s">
        <v>578</v>
      </c>
      <c r="BE27" s="12" t="s">
        <v>578</v>
      </c>
      <c r="BF27" s="12" t="s">
        <v>578</v>
      </c>
      <c r="BG27" s="12" t="s">
        <v>579</v>
      </c>
      <c r="BH27" s="12" t="s">
        <v>579</v>
      </c>
      <c r="BI27" s="12" t="s">
        <v>623</v>
      </c>
      <c r="BJ27" s="12" t="s">
        <v>623</v>
      </c>
      <c r="BK27" s="12" t="s">
        <v>623</v>
      </c>
      <c r="BL27" s="12" t="s">
        <v>623</v>
      </c>
      <c r="BM27" s="12" t="s">
        <v>623</v>
      </c>
      <c r="BN27" s="12" t="s">
        <v>581</v>
      </c>
      <c r="BO27" s="12" t="s">
        <v>851</v>
      </c>
      <c r="BP27" s="12" t="s">
        <v>851</v>
      </c>
      <c r="BQ27" s="12" t="s">
        <v>851</v>
      </c>
      <c r="BR27" s="12" t="s">
        <v>851</v>
      </c>
      <c r="BS27" s="12" t="s">
        <v>851</v>
      </c>
      <c r="BT27" s="12" t="s">
        <v>851</v>
      </c>
      <c r="BU27" s="12" t="s">
        <v>851</v>
      </c>
      <c r="BV27" s="12" t="s">
        <v>761</v>
      </c>
      <c r="BW27" s="12" t="s">
        <v>868</v>
      </c>
      <c r="BX27" s="12" t="s">
        <v>868</v>
      </c>
      <c r="BY27" s="12" t="s">
        <v>584</v>
      </c>
      <c r="BZ27" s="12" t="s">
        <v>584</v>
      </c>
      <c r="CA27" s="12" t="s">
        <v>586</v>
      </c>
      <c r="CB27" s="12" t="s">
        <v>676</v>
      </c>
      <c r="CC27" s="12" t="s">
        <v>676</v>
      </c>
      <c r="CD27" s="12" t="s">
        <v>676</v>
      </c>
      <c r="CE27" s="12" t="s">
        <v>676</v>
      </c>
      <c r="CF27" s="12" t="s">
        <v>917</v>
      </c>
      <c r="CG27" s="12" t="s">
        <v>917</v>
      </c>
      <c r="CH27" s="12" t="s">
        <v>917</v>
      </c>
      <c r="CI27" s="12" t="s">
        <v>917</v>
      </c>
      <c r="CJ27" s="12" t="s">
        <v>917</v>
      </c>
      <c r="CK27" s="12" t="s">
        <v>917</v>
      </c>
      <c r="CL27" s="12" t="s">
        <v>917</v>
      </c>
      <c r="CM27" s="12" t="s">
        <v>917</v>
      </c>
      <c r="CN27" s="12" t="s">
        <v>917</v>
      </c>
      <c r="CO27" s="12" t="s">
        <v>917</v>
      </c>
      <c r="CP27" s="12" t="s">
        <v>679</v>
      </c>
      <c r="CQ27" s="12" t="s">
        <v>679</v>
      </c>
      <c r="CR27" s="12" t="s">
        <v>679</v>
      </c>
      <c r="CS27" s="12" t="s">
        <v>679</v>
      </c>
      <c r="CT27" s="12" t="s">
        <v>679</v>
      </c>
    </row>
    <row r="28" spans="1:98" hidden="1" x14ac:dyDescent="0.3">
      <c r="A28" s="12" t="s">
        <v>25</v>
      </c>
      <c r="B28" s="12" t="s">
        <v>1253</v>
      </c>
      <c r="C28" s="12" t="s">
        <v>1254</v>
      </c>
      <c r="D28" s="12" t="s">
        <v>1255</v>
      </c>
      <c r="E28" s="12" t="s">
        <v>578</v>
      </c>
      <c r="F28" s="12" t="s">
        <v>578</v>
      </c>
      <c r="G28" s="12" t="s">
        <v>578</v>
      </c>
      <c r="H28" s="12" t="s">
        <v>578</v>
      </c>
      <c r="I28" s="12" t="s">
        <v>578</v>
      </c>
      <c r="J28" s="12" t="s">
        <v>578</v>
      </c>
      <c r="K28" s="12" t="s">
        <v>578</v>
      </c>
      <c r="L28" s="12" t="s">
        <v>578</v>
      </c>
      <c r="M28" s="12" t="s">
        <v>578</v>
      </c>
      <c r="N28" s="12" t="s">
        <v>578</v>
      </c>
      <c r="O28" s="12" t="s">
        <v>578</v>
      </c>
      <c r="P28" s="12" t="s">
        <v>578</v>
      </c>
      <c r="Q28" s="12" t="s">
        <v>578</v>
      </c>
      <c r="R28" s="12" t="s">
        <v>578</v>
      </c>
      <c r="S28" s="12" t="s">
        <v>578</v>
      </c>
      <c r="T28" s="12" t="s">
        <v>578</v>
      </c>
      <c r="U28" s="12" t="s">
        <v>578</v>
      </c>
      <c r="V28" s="12" t="s">
        <v>578</v>
      </c>
      <c r="W28" s="12" t="s">
        <v>578</v>
      </c>
      <c r="X28" s="12" t="s">
        <v>578</v>
      </c>
      <c r="Y28" s="12" t="s">
        <v>578</v>
      </c>
      <c r="Z28" s="12" t="s">
        <v>578</v>
      </c>
      <c r="AA28" s="12" t="s">
        <v>578</v>
      </c>
      <c r="AB28" s="12" t="s">
        <v>578</v>
      </c>
      <c r="AC28" s="12" t="s">
        <v>578</v>
      </c>
      <c r="AD28" s="12" t="s">
        <v>578</v>
      </c>
      <c r="AE28" s="12" t="s">
        <v>578</v>
      </c>
      <c r="AF28" s="12" t="s">
        <v>578</v>
      </c>
      <c r="AG28" s="12" t="s">
        <v>578</v>
      </c>
      <c r="AH28" s="12" t="s">
        <v>578</v>
      </c>
      <c r="AI28" s="12" t="s">
        <v>578</v>
      </c>
      <c r="AJ28" s="12" t="s">
        <v>578</v>
      </c>
      <c r="AK28" s="12" t="s">
        <v>578</v>
      </c>
      <c r="AL28" s="12" t="s">
        <v>578</v>
      </c>
      <c r="AM28" s="12" t="s">
        <v>578</v>
      </c>
      <c r="AN28" s="12" t="s">
        <v>578</v>
      </c>
      <c r="AO28" s="12" t="s">
        <v>578</v>
      </c>
      <c r="AP28" s="12" t="s">
        <v>578</v>
      </c>
      <c r="AQ28" s="12" t="s">
        <v>578</v>
      </c>
      <c r="AR28" s="12" t="s">
        <v>578</v>
      </c>
      <c r="AS28" s="12" t="s">
        <v>578</v>
      </c>
      <c r="AT28" s="12" t="s">
        <v>578</v>
      </c>
      <c r="AU28" s="12" t="s">
        <v>578</v>
      </c>
      <c r="AV28" s="12" t="s">
        <v>578</v>
      </c>
      <c r="AW28" s="12" t="s">
        <v>579</v>
      </c>
      <c r="AX28" s="12" t="s">
        <v>579</v>
      </c>
      <c r="AY28" s="12" t="s">
        <v>579</v>
      </c>
      <c r="AZ28" s="12" t="s">
        <v>579</v>
      </c>
      <c r="BA28" s="12" t="s">
        <v>579</v>
      </c>
      <c r="BB28" s="12" t="s">
        <v>579</v>
      </c>
      <c r="BC28" s="12" t="s">
        <v>579</v>
      </c>
      <c r="BD28" s="12" t="s">
        <v>579</v>
      </c>
      <c r="BE28" s="12" t="s">
        <v>579</v>
      </c>
      <c r="BF28" s="12" t="s">
        <v>579</v>
      </c>
      <c r="BG28" s="12" t="s">
        <v>579</v>
      </c>
      <c r="BH28" s="12" t="s">
        <v>579</v>
      </c>
      <c r="BI28" s="12" t="s">
        <v>579</v>
      </c>
      <c r="BJ28" s="12" t="s">
        <v>579</v>
      </c>
      <c r="BK28" s="12" t="s">
        <v>623</v>
      </c>
      <c r="BL28" s="12" t="s">
        <v>623</v>
      </c>
      <c r="BM28" s="12" t="s">
        <v>623</v>
      </c>
      <c r="BN28" s="12" t="s">
        <v>623</v>
      </c>
      <c r="BO28" s="12" t="s">
        <v>623</v>
      </c>
      <c r="BP28" s="12" t="s">
        <v>623</v>
      </c>
      <c r="BQ28" s="12" t="s">
        <v>623</v>
      </c>
      <c r="BR28" s="12" t="s">
        <v>672</v>
      </c>
      <c r="BS28" s="12" t="s">
        <v>672</v>
      </c>
      <c r="BT28" s="12" t="s">
        <v>580</v>
      </c>
      <c r="BU28" s="12" t="s">
        <v>580</v>
      </c>
      <c r="BV28" s="12" t="s">
        <v>580</v>
      </c>
      <c r="BW28" s="12" t="s">
        <v>580</v>
      </c>
      <c r="BX28" s="12" t="s">
        <v>581</v>
      </c>
      <c r="BY28" s="12" t="s">
        <v>581</v>
      </c>
      <c r="BZ28" s="12" t="s">
        <v>581</v>
      </c>
      <c r="CA28" s="12" t="s">
        <v>581</v>
      </c>
      <c r="CB28" s="12" t="s">
        <v>581</v>
      </c>
      <c r="CC28" s="12" t="s">
        <v>581</v>
      </c>
      <c r="CD28" s="12" t="s">
        <v>581</v>
      </c>
      <c r="CE28" s="12" t="s">
        <v>581</v>
      </c>
      <c r="CF28" s="12" t="s">
        <v>581</v>
      </c>
      <c r="CG28" s="12" t="s">
        <v>581</v>
      </c>
      <c r="CH28" s="12" t="s">
        <v>581</v>
      </c>
      <c r="CI28" s="12" t="s">
        <v>581</v>
      </c>
      <c r="CJ28" s="12" t="s">
        <v>581</v>
      </c>
      <c r="CK28" s="12" t="s">
        <v>581</v>
      </c>
      <c r="CL28" s="12" t="s">
        <v>581</v>
      </c>
      <c r="CM28" s="12" t="s">
        <v>581</v>
      </c>
      <c r="CN28" s="12" t="s">
        <v>581</v>
      </c>
      <c r="CO28" s="12" t="s">
        <v>581</v>
      </c>
      <c r="CP28" s="12" t="s">
        <v>581</v>
      </c>
      <c r="CQ28" s="12" t="s">
        <v>851</v>
      </c>
      <c r="CR28" s="12" t="s">
        <v>851</v>
      </c>
      <c r="CS28" s="12" t="s">
        <v>582</v>
      </c>
      <c r="CT28" s="12" t="s">
        <v>582</v>
      </c>
    </row>
    <row r="29" spans="1:98" hidden="1" x14ac:dyDescent="0.3">
      <c r="A29" s="12" t="s">
        <v>25</v>
      </c>
      <c r="B29" s="12" t="s">
        <v>1256</v>
      </c>
      <c r="C29" s="12" t="s">
        <v>1257</v>
      </c>
      <c r="D29" s="12" t="s">
        <v>1258</v>
      </c>
      <c r="E29" s="12" t="s">
        <v>578</v>
      </c>
      <c r="F29" s="12" t="s">
        <v>578</v>
      </c>
      <c r="G29" s="12" t="s">
        <v>578</v>
      </c>
      <c r="H29" s="12" t="s">
        <v>578</v>
      </c>
      <c r="I29" s="12" t="s">
        <v>578</v>
      </c>
      <c r="J29" s="12" t="s">
        <v>578</v>
      </c>
      <c r="K29" s="12" t="s">
        <v>578</v>
      </c>
      <c r="L29" s="12" t="s">
        <v>578</v>
      </c>
      <c r="M29" s="12" t="s">
        <v>578</v>
      </c>
      <c r="N29" s="12" t="s">
        <v>578</v>
      </c>
      <c r="O29" s="12" t="s">
        <v>578</v>
      </c>
      <c r="P29" s="12" t="s">
        <v>578</v>
      </c>
      <c r="Q29" s="12" t="s">
        <v>578</v>
      </c>
      <c r="R29" s="12" t="s">
        <v>578</v>
      </c>
      <c r="S29" s="12" t="s">
        <v>578</v>
      </c>
      <c r="T29" s="12" t="s">
        <v>578</v>
      </c>
      <c r="U29" s="12" t="s">
        <v>578</v>
      </c>
      <c r="V29" s="12" t="s">
        <v>578</v>
      </c>
      <c r="W29" s="12" t="s">
        <v>578</v>
      </c>
      <c r="X29" s="12" t="s">
        <v>578</v>
      </c>
      <c r="Y29" s="12" t="s">
        <v>578</v>
      </c>
      <c r="Z29" s="12" t="s">
        <v>578</v>
      </c>
      <c r="AA29" s="12" t="s">
        <v>578</v>
      </c>
      <c r="AB29" s="12" t="s">
        <v>578</v>
      </c>
      <c r="AC29" s="12" t="s">
        <v>578</v>
      </c>
      <c r="AD29" s="12" t="s">
        <v>578</v>
      </c>
      <c r="AE29" s="12" t="s">
        <v>578</v>
      </c>
      <c r="AF29" s="12" t="s">
        <v>578</v>
      </c>
      <c r="AG29" s="12" t="s">
        <v>578</v>
      </c>
      <c r="AH29" s="12" t="s">
        <v>578</v>
      </c>
      <c r="AI29" s="12" t="s">
        <v>578</v>
      </c>
      <c r="AJ29" s="12" t="s">
        <v>578</v>
      </c>
      <c r="AK29" s="12" t="s">
        <v>578</v>
      </c>
      <c r="AL29" s="12" t="s">
        <v>578</v>
      </c>
      <c r="AM29" s="12" t="s">
        <v>578</v>
      </c>
      <c r="AN29" s="12" t="s">
        <v>578</v>
      </c>
      <c r="AO29" s="12" t="s">
        <v>578</v>
      </c>
      <c r="AP29" s="12" t="s">
        <v>578</v>
      </c>
      <c r="AQ29" s="12" t="s">
        <v>578</v>
      </c>
      <c r="AR29" s="12" t="s">
        <v>578</v>
      </c>
      <c r="AS29" s="12" t="s">
        <v>578</v>
      </c>
      <c r="AT29" s="12" t="s">
        <v>578</v>
      </c>
      <c r="AU29" s="12" t="s">
        <v>578</v>
      </c>
      <c r="AV29" s="12" t="s">
        <v>578</v>
      </c>
      <c r="AW29" s="12" t="s">
        <v>578</v>
      </c>
      <c r="AX29" s="12" t="s">
        <v>578</v>
      </c>
      <c r="AY29" s="12" t="s">
        <v>578</v>
      </c>
      <c r="AZ29" s="12" t="s">
        <v>578</v>
      </c>
      <c r="BA29" s="12" t="s">
        <v>578</v>
      </c>
      <c r="BB29" s="12" t="s">
        <v>623</v>
      </c>
      <c r="BC29" s="12" t="s">
        <v>623</v>
      </c>
      <c r="BD29" s="12" t="s">
        <v>672</v>
      </c>
      <c r="BE29" s="12" t="s">
        <v>624</v>
      </c>
      <c r="BF29" s="12" t="s">
        <v>624</v>
      </c>
      <c r="BG29" s="12" t="s">
        <v>583</v>
      </c>
      <c r="BH29" s="12" t="s">
        <v>583</v>
      </c>
      <c r="BI29" s="12" t="s">
        <v>625</v>
      </c>
      <c r="BJ29" s="12" t="s">
        <v>625</v>
      </c>
      <c r="BK29" s="12" t="s">
        <v>762</v>
      </c>
      <c r="BL29" s="12" t="s">
        <v>674</v>
      </c>
      <c r="BM29" s="12" t="s">
        <v>587</v>
      </c>
      <c r="BN29" s="12" t="s">
        <v>913</v>
      </c>
      <c r="BO29" s="12" t="s">
        <v>953</v>
      </c>
      <c r="BP29" s="12" t="s">
        <v>852</v>
      </c>
      <c r="BQ29" s="12" t="s">
        <v>1259</v>
      </c>
      <c r="BR29" s="12" t="s">
        <v>919</v>
      </c>
      <c r="BS29" s="12" t="s">
        <v>589</v>
      </c>
      <c r="BT29" s="12" t="s">
        <v>1184</v>
      </c>
      <c r="BU29" s="12" t="s">
        <v>772</v>
      </c>
      <c r="BV29" s="12" t="s">
        <v>1260</v>
      </c>
      <c r="BW29" s="12" t="s">
        <v>811</v>
      </c>
      <c r="BX29" s="12" t="s">
        <v>638</v>
      </c>
      <c r="BY29" s="12" t="s">
        <v>1261</v>
      </c>
      <c r="BZ29" s="12" t="s">
        <v>683</v>
      </c>
      <c r="CA29" s="12" t="s">
        <v>1262</v>
      </c>
      <c r="CB29" s="12" t="s">
        <v>1263</v>
      </c>
      <c r="CC29" s="12" t="s">
        <v>814</v>
      </c>
      <c r="CD29" s="12" t="s">
        <v>875</v>
      </c>
      <c r="CE29" s="12" t="s">
        <v>686</v>
      </c>
      <c r="CF29" s="12" t="s">
        <v>1264</v>
      </c>
      <c r="CG29" s="12" t="s">
        <v>1265</v>
      </c>
      <c r="CH29" s="12" t="s">
        <v>1266</v>
      </c>
      <c r="CI29" s="12" t="s">
        <v>1164</v>
      </c>
      <c r="CJ29" s="12" t="s">
        <v>1267</v>
      </c>
      <c r="CK29" s="12" t="s">
        <v>924</v>
      </c>
      <c r="CL29" s="12" t="s">
        <v>1268</v>
      </c>
      <c r="CM29" s="12" t="s">
        <v>1269</v>
      </c>
      <c r="CN29" s="12" t="s">
        <v>926</v>
      </c>
      <c r="CO29" s="12" t="s">
        <v>996</v>
      </c>
      <c r="CP29" s="12" t="s">
        <v>739</v>
      </c>
      <c r="CQ29" s="12" t="s">
        <v>1270</v>
      </c>
      <c r="CR29" s="12" t="s">
        <v>665</v>
      </c>
      <c r="CS29" s="12" t="s">
        <v>1271</v>
      </c>
      <c r="CT29" s="12" t="s">
        <v>1272</v>
      </c>
    </row>
    <row r="30" spans="1:98" hidden="1" x14ac:dyDescent="0.3">
      <c r="A30" s="12" t="s">
        <v>25</v>
      </c>
      <c r="B30" s="12" t="s">
        <v>1273</v>
      </c>
      <c r="C30" s="12" t="s">
        <v>1274</v>
      </c>
      <c r="D30" s="12" t="s">
        <v>1275</v>
      </c>
      <c r="E30" s="12" t="s">
        <v>578</v>
      </c>
      <c r="F30" s="12" t="s">
        <v>578</v>
      </c>
      <c r="G30" s="12" t="s">
        <v>578</v>
      </c>
      <c r="H30" s="12" t="s">
        <v>578</v>
      </c>
      <c r="I30" s="12" t="s">
        <v>578</v>
      </c>
      <c r="J30" s="12" t="s">
        <v>578</v>
      </c>
      <c r="K30" s="12" t="s">
        <v>578</v>
      </c>
      <c r="L30" s="12" t="s">
        <v>578</v>
      </c>
      <c r="M30" s="12" t="s">
        <v>578</v>
      </c>
      <c r="N30" s="12" t="s">
        <v>578</v>
      </c>
      <c r="O30" s="12" t="s">
        <v>578</v>
      </c>
      <c r="P30" s="12" t="s">
        <v>578</v>
      </c>
      <c r="Q30" s="12" t="s">
        <v>578</v>
      </c>
      <c r="R30" s="12" t="s">
        <v>578</v>
      </c>
      <c r="S30" s="12" t="s">
        <v>578</v>
      </c>
      <c r="T30" s="12" t="s">
        <v>578</v>
      </c>
      <c r="U30" s="12" t="s">
        <v>578</v>
      </c>
      <c r="V30" s="12" t="s">
        <v>578</v>
      </c>
      <c r="W30" s="12" t="s">
        <v>578</v>
      </c>
      <c r="X30" s="12" t="s">
        <v>578</v>
      </c>
      <c r="Y30" s="12" t="s">
        <v>578</v>
      </c>
      <c r="Z30" s="12" t="s">
        <v>578</v>
      </c>
      <c r="AA30" s="12" t="s">
        <v>578</v>
      </c>
      <c r="AB30" s="12" t="s">
        <v>578</v>
      </c>
      <c r="AC30" s="12" t="s">
        <v>578</v>
      </c>
      <c r="AD30" s="12" t="s">
        <v>578</v>
      </c>
      <c r="AE30" s="12" t="s">
        <v>578</v>
      </c>
      <c r="AF30" s="12" t="s">
        <v>578</v>
      </c>
      <c r="AG30" s="12" t="s">
        <v>578</v>
      </c>
      <c r="AH30" s="12" t="s">
        <v>578</v>
      </c>
      <c r="AI30" s="12" t="s">
        <v>578</v>
      </c>
      <c r="AJ30" s="12" t="s">
        <v>578</v>
      </c>
      <c r="AK30" s="12" t="s">
        <v>578</v>
      </c>
      <c r="AL30" s="12" t="s">
        <v>578</v>
      </c>
      <c r="AM30" s="12" t="s">
        <v>578</v>
      </c>
      <c r="AN30" s="12" t="s">
        <v>578</v>
      </c>
      <c r="AO30" s="12" t="s">
        <v>578</v>
      </c>
      <c r="AP30" s="12" t="s">
        <v>578</v>
      </c>
      <c r="AQ30" s="12" t="s">
        <v>578</v>
      </c>
      <c r="AR30" s="12" t="s">
        <v>578</v>
      </c>
      <c r="AS30" s="12" t="s">
        <v>578</v>
      </c>
      <c r="AT30" s="12" t="s">
        <v>578</v>
      </c>
      <c r="AU30" s="12" t="s">
        <v>578</v>
      </c>
      <c r="AV30" s="12" t="s">
        <v>623</v>
      </c>
      <c r="AW30" s="12" t="s">
        <v>623</v>
      </c>
      <c r="AX30" s="12" t="s">
        <v>672</v>
      </c>
      <c r="AY30" s="12" t="s">
        <v>672</v>
      </c>
      <c r="AZ30" s="12" t="s">
        <v>672</v>
      </c>
      <c r="BA30" s="12" t="s">
        <v>581</v>
      </c>
      <c r="BB30" s="12" t="s">
        <v>582</v>
      </c>
      <c r="BC30" s="12" t="s">
        <v>583</v>
      </c>
      <c r="BD30" s="12" t="s">
        <v>868</v>
      </c>
      <c r="BE30" s="12" t="s">
        <v>808</v>
      </c>
      <c r="BF30" s="12" t="s">
        <v>587</v>
      </c>
      <c r="BG30" s="12" t="s">
        <v>757</v>
      </c>
      <c r="BH30" s="12" t="s">
        <v>676</v>
      </c>
      <c r="BI30" s="12" t="s">
        <v>628</v>
      </c>
      <c r="BJ30" s="12" t="s">
        <v>1180</v>
      </c>
      <c r="BK30" s="12" t="s">
        <v>636</v>
      </c>
      <c r="BL30" s="12" t="s">
        <v>858</v>
      </c>
      <c r="BM30" s="12" t="s">
        <v>1276</v>
      </c>
      <c r="BN30" s="12" t="s">
        <v>812</v>
      </c>
      <c r="BO30" s="12" t="s">
        <v>1277</v>
      </c>
      <c r="BP30" s="12" t="s">
        <v>1278</v>
      </c>
      <c r="BQ30" s="12" t="s">
        <v>1279</v>
      </c>
      <c r="BR30" s="12" t="s">
        <v>596</v>
      </c>
      <c r="BS30" s="12" t="s">
        <v>1280</v>
      </c>
      <c r="BT30" s="12" t="s">
        <v>1281</v>
      </c>
      <c r="BU30" s="12" t="s">
        <v>1282</v>
      </c>
      <c r="BV30" s="12" t="s">
        <v>963</v>
      </c>
      <c r="BW30" s="12" t="s">
        <v>1283</v>
      </c>
      <c r="BX30" s="12" t="s">
        <v>1284</v>
      </c>
      <c r="BY30" s="12" t="s">
        <v>1285</v>
      </c>
      <c r="BZ30" s="12" t="s">
        <v>1286</v>
      </c>
      <c r="CA30" s="12" t="s">
        <v>1287</v>
      </c>
      <c r="CB30" s="12" t="s">
        <v>1288</v>
      </c>
      <c r="CC30" s="12" t="s">
        <v>1289</v>
      </c>
      <c r="CD30" s="12" t="s">
        <v>1290</v>
      </c>
      <c r="CE30" s="12" t="s">
        <v>1291</v>
      </c>
      <c r="CF30" s="12" t="s">
        <v>1292</v>
      </c>
      <c r="CG30" s="12" t="s">
        <v>1293</v>
      </c>
      <c r="CH30" s="12" t="s">
        <v>1294</v>
      </c>
      <c r="CI30" s="12" t="s">
        <v>1295</v>
      </c>
      <c r="CJ30" s="12" t="s">
        <v>1296</v>
      </c>
      <c r="CK30" s="12" t="s">
        <v>1297</v>
      </c>
      <c r="CL30" s="12" t="s">
        <v>1298</v>
      </c>
      <c r="CM30" s="12" t="s">
        <v>1299</v>
      </c>
      <c r="CN30" s="12" t="s">
        <v>1012</v>
      </c>
      <c r="CO30" s="12" t="s">
        <v>1300</v>
      </c>
      <c r="CP30" s="12" t="s">
        <v>1301</v>
      </c>
      <c r="CQ30" s="12" t="s">
        <v>1302</v>
      </c>
      <c r="CR30" s="12" t="s">
        <v>1303</v>
      </c>
      <c r="CS30" s="12" t="s">
        <v>1304</v>
      </c>
      <c r="CT30" s="12" t="s">
        <v>1305</v>
      </c>
    </row>
    <row r="31" spans="1:98" hidden="1" x14ac:dyDescent="0.3">
      <c r="A31" s="12" t="s">
        <v>25</v>
      </c>
      <c r="B31" s="12" t="s">
        <v>1306</v>
      </c>
      <c r="C31" s="12" t="s">
        <v>1307</v>
      </c>
      <c r="D31" s="12" t="s">
        <v>1308</v>
      </c>
      <c r="E31" s="12" t="s">
        <v>578</v>
      </c>
      <c r="F31" s="12" t="s">
        <v>578</v>
      </c>
      <c r="G31" s="12" t="s">
        <v>578</v>
      </c>
      <c r="H31" s="12" t="s">
        <v>578</v>
      </c>
      <c r="I31" s="12" t="s">
        <v>578</v>
      </c>
      <c r="J31" s="12" t="s">
        <v>578</v>
      </c>
      <c r="K31" s="12" t="s">
        <v>578</v>
      </c>
      <c r="L31" s="12" t="s">
        <v>578</v>
      </c>
      <c r="M31" s="12" t="s">
        <v>578</v>
      </c>
      <c r="N31" s="12" t="s">
        <v>578</v>
      </c>
      <c r="O31" s="12" t="s">
        <v>578</v>
      </c>
      <c r="P31" s="12" t="s">
        <v>578</v>
      </c>
      <c r="Q31" s="12" t="s">
        <v>578</v>
      </c>
      <c r="R31" s="12" t="s">
        <v>578</v>
      </c>
      <c r="S31" s="12" t="s">
        <v>578</v>
      </c>
      <c r="T31" s="12" t="s">
        <v>578</v>
      </c>
      <c r="U31" s="12" t="s">
        <v>578</v>
      </c>
      <c r="V31" s="12" t="s">
        <v>578</v>
      </c>
      <c r="W31" s="12" t="s">
        <v>578</v>
      </c>
      <c r="X31" s="12" t="s">
        <v>578</v>
      </c>
      <c r="Y31" s="12" t="s">
        <v>578</v>
      </c>
      <c r="Z31" s="12" t="s">
        <v>578</v>
      </c>
      <c r="AA31" s="12" t="s">
        <v>578</v>
      </c>
      <c r="AB31" s="12" t="s">
        <v>578</v>
      </c>
      <c r="AC31" s="12" t="s">
        <v>578</v>
      </c>
      <c r="AD31" s="12" t="s">
        <v>578</v>
      </c>
      <c r="AE31" s="12" t="s">
        <v>578</v>
      </c>
      <c r="AF31" s="12" t="s">
        <v>578</v>
      </c>
      <c r="AG31" s="12" t="s">
        <v>578</v>
      </c>
      <c r="AH31" s="12" t="s">
        <v>578</v>
      </c>
      <c r="AI31" s="12" t="s">
        <v>578</v>
      </c>
      <c r="AJ31" s="12" t="s">
        <v>578</v>
      </c>
      <c r="AK31" s="12" t="s">
        <v>578</v>
      </c>
      <c r="AL31" s="12" t="s">
        <v>578</v>
      </c>
      <c r="AM31" s="12" t="s">
        <v>578</v>
      </c>
      <c r="AN31" s="12" t="s">
        <v>579</v>
      </c>
      <c r="AO31" s="12" t="s">
        <v>579</v>
      </c>
      <c r="AP31" s="12" t="s">
        <v>579</v>
      </c>
      <c r="AQ31" s="12" t="s">
        <v>623</v>
      </c>
      <c r="AR31" s="12" t="s">
        <v>623</v>
      </c>
      <c r="AS31" s="12" t="s">
        <v>623</v>
      </c>
      <c r="AT31" s="12" t="s">
        <v>623</v>
      </c>
      <c r="AU31" s="12" t="s">
        <v>580</v>
      </c>
      <c r="AV31" s="12" t="s">
        <v>580</v>
      </c>
      <c r="AW31" s="12" t="s">
        <v>868</v>
      </c>
      <c r="AX31" s="12" t="s">
        <v>868</v>
      </c>
      <c r="AY31" s="12" t="s">
        <v>675</v>
      </c>
      <c r="AZ31" s="12" t="s">
        <v>757</v>
      </c>
      <c r="BA31" s="12" t="s">
        <v>766</v>
      </c>
      <c r="BB31" s="12" t="s">
        <v>628</v>
      </c>
      <c r="BC31" s="12" t="s">
        <v>809</v>
      </c>
      <c r="BD31" s="12" t="s">
        <v>1309</v>
      </c>
      <c r="BE31" s="12" t="s">
        <v>1309</v>
      </c>
      <c r="BF31" s="12" t="s">
        <v>1310</v>
      </c>
      <c r="BG31" s="12" t="s">
        <v>985</v>
      </c>
      <c r="BH31" s="12" t="s">
        <v>1311</v>
      </c>
      <c r="BI31" s="12" t="s">
        <v>1312</v>
      </c>
      <c r="BJ31" s="12" t="s">
        <v>1165</v>
      </c>
      <c r="BK31" s="12" t="s">
        <v>1313</v>
      </c>
      <c r="BL31" s="12" t="s">
        <v>1314</v>
      </c>
      <c r="BM31" s="12" t="s">
        <v>1315</v>
      </c>
      <c r="BN31" s="12" t="s">
        <v>1316</v>
      </c>
      <c r="BO31" s="12" t="s">
        <v>1317</v>
      </c>
      <c r="BP31" s="12" t="s">
        <v>1318</v>
      </c>
      <c r="BQ31" s="12" t="s">
        <v>1319</v>
      </c>
      <c r="BR31" s="12" t="s">
        <v>1320</v>
      </c>
      <c r="BS31" s="12" t="s">
        <v>1321</v>
      </c>
      <c r="BT31" s="12" t="s">
        <v>1322</v>
      </c>
      <c r="BU31" s="12" t="s">
        <v>1323</v>
      </c>
      <c r="BV31" s="12" t="s">
        <v>1324</v>
      </c>
      <c r="BW31" s="12" t="s">
        <v>1325</v>
      </c>
      <c r="BX31" s="12" t="s">
        <v>1326</v>
      </c>
      <c r="BY31" s="12" t="s">
        <v>1327</v>
      </c>
      <c r="BZ31" s="12" t="s">
        <v>1328</v>
      </c>
      <c r="CA31" s="12" t="s">
        <v>1329</v>
      </c>
      <c r="CB31" s="12" t="s">
        <v>1330</v>
      </c>
      <c r="CC31" s="12" t="s">
        <v>1331</v>
      </c>
      <c r="CD31" s="12" t="s">
        <v>1332</v>
      </c>
      <c r="CE31" s="12" t="s">
        <v>1333</v>
      </c>
      <c r="CF31" s="12" t="s">
        <v>1334</v>
      </c>
      <c r="CG31" s="12" t="s">
        <v>1335</v>
      </c>
      <c r="CH31" s="12" t="s">
        <v>1336</v>
      </c>
      <c r="CI31" s="12" t="s">
        <v>1337</v>
      </c>
      <c r="CJ31" s="12" t="s">
        <v>1338</v>
      </c>
      <c r="CK31" s="12" t="s">
        <v>1339</v>
      </c>
      <c r="CL31" s="12" t="s">
        <v>1340</v>
      </c>
      <c r="CM31" s="12" t="s">
        <v>1341</v>
      </c>
      <c r="CN31" s="12" t="s">
        <v>1342</v>
      </c>
      <c r="CO31" s="12" t="s">
        <v>1343</v>
      </c>
      <c r="CP31" s="12" t="s">
        <v>1344</v>
      </c>
      <c r="CQ31" s="12" t="s">
        <v>1345</v>
      </c>
      <c r="CR31" s="12" t="s">
        <v>1346</v>
      </c>
      <c r="CS31" s="12" t="s">
        <v>1347</v>
      </c>
      <c r="CT31" s="12" t="s">
        <v>1348</v>
      </c>
    </row>
    <row r="32" spans="1:98" hidden="1" x14ac:dyDescent="0.3">
      <c r="A32" s="12" t="s">
        <v>25</v>
      </c>
      <c r="B32" s="12" t="s">
        <v>1349</v>
      </c>
      <c r="C32" s="12" t="s">
        <v>1350</v>
      </c>
      <c r="D32" s="12" t="s">
        <v>1351</v>
      </c>
      <c r="E32" s="12" t="s">
        <v>578</v>
      </c>
      <c r="F32" s="12" t="s">
        <v>578</v>
      </c>
      <c r="G32" s="12" t="s">
        <v>578</v>
      </c>
      <c r="H32" s="12" t="s">
        <v>578</v>
      </c>
      <c r="I32" s="12" t="s">
        <v>578</v>
      </c>
      <c r="J32" s="12" t="s">
        <v>578</v>
      </c>
      <c r="K32" s="12" t="s">
        <v>578</v>
      </c>
      <c r="L32" s="12" t="s">
        <v>578</v>
      </c>
      <c r="M32" s="12" t="s">
        <v>578</v>
      </c>
      <c r="N32" s="12" t="s">
        <v>578</v>
      </c>
      <c r="O32" s="12" t="s">
        <v>578</v>
      </c>
      <c r="P32" s="12" t="s">
        <v>578</v>
      </c>
      <c r="Q32" s="12" t="s">
        <v>578</v>
      </c>
      <c r="R32" s="12" t="s">
        <v>578</v>
      </c>
      <c r="S32" s="12" t="s">
        <v>578</v>
      </c>
      <c r="T32" s="12" t="s">
        <v>578</v>
      </c>
      <c r="U32" s="12" t="s">
        <v>578</v>
      </c>
      <c r="V32" s="12" t="s">
        <v>578</v>
      </c>
      <c r="W32" s="12" t="s">
        <v>578</v>
      </c>
      <c r="X32" s="12" t="s">
        <v>578</v>
      </c>
      <c r="Y32" s="12" t="s">
        <v>578</v>
      </c>
      <c r="Z32" s="12" t="s">
        <v>578</v>
      </c>
      <c r="AA32" s="12" t="s">
        <v>578</v>
      </c>
      <c r="AB32" s="12" t="s">
        <v>578</v>
      </c>
      <c r="AC32" s="12" t="s">
        <v>578</v>
      </c>
      <c r="AD32" s="12" t="s">
        <v>578</v>
      </c>
      <c r="AE32" s="12" t="s">
        <v>578</v>
      </c>
      <c r="AF32" s="12" t="s">
        <v>578</v>
      </c>
      <c r="AG32" s="12" t="s">
        <v>578</v>
      </c>
      <c r="AH32" s="12" t="s">
        <v>578</v>
      </c>
      <c r="AI32" s="12" t="s">
        <v>578</v>
      </c>
      <c r="AJ32" s="12" t="s">
        <v>578</v>
      </c>
      <c r="AK32" s="12" t="s">
        <v>578</v>
      </c>
      <c r="AL32" s="12" t="s">
        <v>578</v>
      </c>
      <c r="AM32" s="12" t="s">
        <v>578</v>
      </c>
      <c r="AN32" s="12" t="s">
        <v>578</v>
      </c>
      <c r="AO32" s="12" t="s">
        <v>578</v>
      </c>
      <c r="AP32" s="12" t="s">
        <v>578</v>
      </c>
      <c r="AQ32" s="12" t="s">
        <v>578</v>
      </c>
      <c r="AR32" s="12" t="s">
        <v>578</v>
      </c>
      <c r="AS32" s="12" t="s">
        <v>578</v>
      </c>
      <c r="AT32" s="12" t="s">
        <v>578</v>
      </c>
      <c r="AU32" s="12" t="s">
        <v>578</v>
      </c>
      <c r="AV32" s="12" t="s">
        <v>578</v>
      </c>
      <c r="AW32" s="12" t="s">
        <v>578</v>
      </c>
      <c r="AX32" s="12" t="s">
        <v>578</v>
      </c>
      <c r="AY32" s="12" t="s">
        <v>578</v>
      </c>
      <c r="AZ32" s="12" t="s">
        <v>579</v>
      </c>
      <c r="BA32" s="12" t="s">
        <v>579</v>
      </c>
      <c r="BB32" s="12" t="s">
        <v>583</v>
      </c>
      <c r="BC32" s="12" t="s">
        <v>583</v>
      </c>
      <c r="BD32" s="12" t="s">
        <v>677</v>
      </c>
      <c r="BE32" s="12" t="s">
        <v>588</v>
      </c>
      <c r="BF32" s="12" t="s">
        <v>954</v>
      </c>
      <c r="BG32" s="12" t="s">
        <v>679</v>
      </c>
      <c r="BH32" s="12" t="s">
        <v>769</v>
      </c>
      <c r="BI32" s="12" t="s">
        <v>770</v>
      </c>
      <c r="BJ32" s="12" t="s">
        <v>720</v>
      </c>
      <c r="BK32" s="12" t="s">
        <v>810</v>
      </c>
      <c r="BL32" s="12" t="s">
        <v>1352</v>
      </c>
      <c r="BM32" s="12" t="s">
        <v>721</v>
      </c>
      <c r="BN32" s="12" t="s">
        <v>857</v>
      </c>
      <c r="BO32" s="12" t="s">
        <v>637</v>
      </c>
      <c r="BP32" s="12" t="s">
        <v>1208</v>
      </c>
      <c r="BQ32" s="12" t="s">
        <v>1353</v>
      </c>
      <c r="BR32" s="12" t="s">
        <v>811</v>
      </c>
      <c r="BS32" s="12" t="s">
        <v>593</v>
      </c>
      <c r="BT32" s="12" t="s">
        <v>1276</v>
      </c>
      <c r="BU32" s="12" t="s">
        <v>1354</v>
      </c>
      <c r="BV32" s="12" t="s">
        <v>1355</v>
      </c>
      <c r="BW32" s="12" t="s">
        <v>1047</v>
      </c>
      <c r="BX32" s="12" t="s">
        <v>723</v>
      </c>
      <c r="BY32" s="12" t="s">
        <v>873</v>
      </c>
      <c r="BZ32" s="12" t="s">
        <v>1356</v>
      </c>
      <c r="CA32" s="12" t="s">
        <v>1356</v>
      </c>
      <c r="CB32" s="12" t="s">
        <v>1356</v>
      </c>
      <c r="CC32" s="12" t="s">
        <v>1356</v>
      </c>
      <c r="CD32" s="12" t="s">
        <v>1356</v>
      </c>
      <c r="CE32" s="12" t="s">
        <v>1356</v>
      </c>
      <c r="CF32" s="12" t="s">
        <v>812</v>
      </c>
      <c r="CG32" s="12" t="s">
        <v>812</v>
      </c>
      <c r="CH32" s="12" t="s">
        <v>812</v>
      </c>
      <c r="CI32" s="12" t="s">
        <v>812</v>
      </c>
      <c r="CJ32" s="12" t="s">
        <v>812</v>
      </c>
      <c r="CK32" s="12" t="s">
        <v>812</v>
      </c>
      <c r="CL32" s="12" t="s">
        <v>812</v>
      </c>
      <c r="CM32" s="12" t="s">
        <v>812</v>
      </c>
      <c r="CN32" s="12" t="s">
        <v>1357</v>
      </c>
      <c r="CO32" s="12" t="s">
        <v>1358</v>
      </c>
      <c r="CP32" s="12" t="s">
        <v>1358</v>
      </c>
      <c r="CQ32" s="12" t="s">
        <v>1358</v>
      </c>
      <c r="CR32" s="12" t="s">
        <v>1358</v>
      </c>
      <c r="CS32" s="12" t="s">
        <v>1358</v>
      </c>
      <c r="CT32" s="12" t="s">
        <v>1358</v>
      </c>
    </row>
    <row r="33" spans="1:98" hidden="1" x14ac:dyDescent="0.3">
      <c r="A33" s="12" t="s">
        <v>25</v>
      </c>
      <c r="B33" s="12" t="s">
        <v>1359</v>
      </c>
      <c r="C33" s="12" t="s">
        <v>1360</v>
      </c>
      <c r="D33" s="12" t="s">
        <v>1361</v>
      </c>
      <c r="E33" s="12" t="s">
        <v>578</v>
      </c>
      <c r="F33" s="12" t="s">
        <v>578</v>
      </c>
      <c r="G33" s="12" t="s">
        <v>578</v>
      </c>
      <c r="H33" s="12" t="s">
        <v>578</v>
      </c>
      <c r="I33" s="12" t="s">
        <v>578</v>
      </c>
      <c r="J33" s="12" t="s">
        <v>578</v>
      </c>
      <c r="K33" s="12" t="s">
        <v>578</v>
      </c>
      <c r="L33" s="12" t="s">
        <v>578</v>
      </c>
      <c r="M33" s="12" t="s">
        <v>578</v>
      </c>
      <c r="N33" s="12" t="s">
        <v>578</v>
      </c>
      <c r="O33" s="12" t="s">
        <v>578</v>
      </c>
      <c r="P33" s="12" t="s">
        <v>578</v>
      </c>
      <c r="Q33" s="12" t="s">
        <v>578</v>
      </c>
      <c r="R33" s="12" t="s">
        <v>578</v>
      </c>
      <c r="S33" s="12" t="s">
        <v>578</v>
      </c>
      <c r="T33" s="12" t="s">
        <v>578</v>
      </c>
      <c r="U33" s="12" t="s">
        <v>578</v>
      </c>
      <c r="V33" s="12" t="s">
        <v>578</v>
      </c>
      <c r="W33" s="12" t="s">
        <v>578</v>
      </c>
      <c r="X33" s="12" t="s">
        <v>578</v>
      </c>
      <c r="Y33" s="12" t="s">
        <v>578</v>
      </c>
      <c r="Z33" s="12" t="s">
        <v>578</v>
      </c>
      <c r="AA33" s="12" t="s">
        <v>578</v>
      </c>
      <c r="AB33" s="12" t="s">
        <v>578</v>
      </c>
      <c r="AC33" s="12" t="s">
        <v>578</v>
      </c>
      <c r="AD33" s="12" t="s">
        <v>578</v>
      </c>
      <c r="AE33" s="12" t="s">
        <v>578</v>
      </c>
      <c r="AF33" s="12" t="s">
        <v>578</v>
      </c>
      <c r="AG33" s="12" t="s">
        <v>578</v>
      </c>
      <c r="AH33" s="12" t="s">
        <v>578</v>
      </c>
      <c r="AI33" s="12" t="s">
        <v>578</v>
      </c>
      <c r="AJ33" s="12" t="s">
        <v>578</v>
      </c>
      <c r="AK33" s="12" t="s">
        <v>578</v>
      </c>
      <c r="AL33" s="12" t="s">
        <v>578</v>
      </c>
      <c r="AM33" s="12" t="s">
        <v>578</v>
      </c>
      <c r="AN33" s="12" t="s">
        <v>578</v>
      </c>
      <c r="AO33" s="12" t="s">
        <v>578</v>
      </c>
      <c r="AP33" s="12" t="s">
        <v>578</v>
      </c>
      <c r="AQ33" s="12" t="s">
        <v>578</v>
      </c>
      <c r="AR33" s="12" t="s">
        <v>578</v>
      </c>
      <c r="AS33" s="12" t="s">
        <v>578</v>
      </c>
      <c r="AT33" s="12" t="s">
        <v>578</v>
      </c>
      <c r="AU33" s="12" t="s">
        <v>578</v>
      </c>
      <c r="AV33" s="12" t="s">
        <v>578</v>
      </c>
      <c r="AW33" s="12" t="s">
        <v>578</v>
      </c>
      <c r="AX33" s="12" t="s">
        <v>578</v>
      </c>
      <c r="AY33" s="12" t="s">
        <v>580</v>
      </c>
      <c r="AZ33" s="12" t="s">
        <v>580</v>
      </c>
      <c r="BA33" s="12" t="s">
        <v>580</v>
      </c>
      <c r="BB33" s="12" t="s">
        <v>582</v>
      </c>
      <c r="BC33" s="12" t="s">
        <v>582</v>
      </c>
      <c r="BD33" s="12" t="s">
        <v>626</v>
      </c>
      <c r="BE33" s="12" t="s">
        <v>1046</v>
      </c>
      <c r="BF33" s="12" t="s">
        <v>630</v>
      </c>
      <c r="BG33" s="12" t="s">
        <v>809</v>
      </c>
      <c r="BH33" s="12" t="s">
        <v>955</v>
      </c>
      <c r="BI33" s="12" t="s">
        <v>871</v>
      </c>
      <c r="BJ33" s="12" t="s">
        <v>591</v>
      </c>
      <c r="BK33" s="12" t="s">
        <v>1354</v>
      </c>
      <c r="BL33" s="12" t="s">
        <v>1186</v>
      </c>
      <c r="BM33" s="12" t="s">
        <v>1362</v>
      </c>
      <c r="BN33" s="12" t="s">
        <v>684</v>
      </c>
      <c r="BO33" s="12" t="s">
        <v>1163</v>
      </c>
      <c r="BP33" s="12" t="s">
        <v>1363</v>
      </c>
      <c r="BQ33" s="12" t="s">
        <v>686</v>
      </c>
      <c r="BR33" s="12" t="s">
        <v>1364</v>
      </c>
      <c r="BS33" s="12" t="s">
        <v>1365</v>
      </c>
      <c r="BT33" s="12" t="s">
        <v>1366</v>
      </c>
      <c r="BU33" s="12" t="s">
        <v>1099</v>
      </c>
      <c r="BV33" s="12" t="s">
        <v>1367</v>
      </c>
      <c r="BW33" s="12" t="s">
        <v>1368</v>
      </c>
      <c r="BX33" s="12" t="s">
        <v>1369</v>
      </c>
      <c r="BY33" s="12" t="s">
        <v>1370</v>
      </c>
      <c r="BZ33" s="12" t="s">
        <v>1371</v>
      </c>
      <c r="CA33" s="12" t="s">
        <v>1372</v>
      </c>
      <c r="CB33" s="12" t="s">
        <v>1373</v>
      </c>
      <c r="CC33" s="12" t="s">
        <v>1374</v>
      </c>
      <c r="CD33" s="12" t="s">
        <v>1375</v>
      </c>
      <c r="CE33" s="12" t="s">
        <v>1376</v>
      </c>
      <c r="CF33" s="12" t="s">
        <v>1377</v>
      </c>
      <c r="CG33" s="12" t="s">
        <v>1378</v>
      </c>
      <c r="CH33" s="12" t="s">
        <v>1379</v>
      </c>
      <c r="CI33" s="12" t="s">
        <v>998</v>
      </c>
      <c r="CJ33" s="12" t="s">
        <v>748</v>
      </c>
      <c r="CK33" s="12" t="s">
        <v>1380</v>
      </c>
      <c r="CL33" s="12" t="s">
        <v>1381</v>
      </c>
      <c r="CM33" s="12" t="s">
        <v>1382</v>
      </c>
      <c r="CN33" s="12" t="s">
        <v>1383</v>
      </c>
      <c r="CO33" s="12" t="s">
        <v>1384</v>
      </c>
      <c r="CP33" s="12" t="s">
        <v>1385</v>
      </c>
      <c r="CQ33" s="12" t="s">
        <v>1386</v>
      </c>
      <c r="CR33" s="12" t="s">
        <v>949</v>
      </c>
      <c r="CS33" s="12" t="s">
        <v>1387</v>
      </c>
      <c r="CT33" s="12" t="s">
        <v>1388</v>
      </c>
    </row>
    <row r="34" spans="1:98" hidden="1" x14ac:dyDescent="0.3">
      <c r="A34" s="12" t="s">
        <v>25</v>
      </c>
      <c r="B34" s="12" t="s">
        <v>1389</v>
      </c>
      <c r="C34" s="12" t="s">
        <v>1390</v>
      </c>
      <c r="D34" s="12" t="s">
        <v>1391</v>
      </c>
      <c r="E34" s="12" t="s">
        <v>578</v>
      </c>
      <c r="F34" s="12" t="s">
        <v>578</v>
      </c>
      <c r="G34" s="12" t="s">
        <v>578</v>
      </c>
      <c r="H34" s="12" t="s">
        <v>578</v>
      </c>
      <c r="I34" s="12" t="s">
        <v>578</v>
      </c>
      <c r="J34" s="12" t="s">
        <v>578</v>
      </c>
      <c r="K34" s="12" t="s">
        <v>578</v>
      </c>
      <c r="L34" s="12" t="s">
        <v>578</v>
      </c>
      <c r="M34" s="12" t="s">
        <v>578</v>
      </c>
      <c r="N34" s="12" t="s">
        <v>578</v>
      </c>
      <c r="O34" s="12" t="s">
        <v>578</v>
      </c>
      <c r="P34" s="12" t="s">
        <v>578</v>
      </c>
      <c r="Q34" s="12" t="s">
        <v>578</v>
      </c>
      <c r="R34" s="12" t="s">
        <v>578</v>
      </c>
      <c r="S34" s="12" t="s">
        <v>578</v>
      </c>
      <c r="T34" s="12" t="s">
        <v>578</v>
      </c>
      <c r="U34" s="12" t="s">
        <v>578</v>
      </c>
      <c r="V34" s="12" t="s">
        <v>578</v>
      </c>
      <c r="W34" s="12" t="s">
        <v>578</v>
      </c>
      <c r="X34" s="12" t="s">
        <v>578</v>
      </c>
      <c r="Y34" s="12" t="s">
        <v>578</v>
      </c>
      <c r="Z34" s="12" t="s">
        <v>578</v>
      </c>
      <c r="AA34" s="12" t="s">
        <v>578</v>
      </c>
      <c r="AB34" s="12" t="s">
        <v>578</v>
      </c>
      <c r="AC34" s="12" t="s">
        <v>578</v>
      </c>
      <c r="AD34" s="12" t="s">
        <v>578</v>
      </c>
      <c r="AE34" s="12" t="s">
        <v>578</v>
      </c>
      <c r="AF34" s="12" t="s">
        <v>578</v>
      </c>
      <c r="AG34" s="12" t="s">
        <v>578</v>
      </c>
      <c r="AH34" s="12" t="s">
        <v>578</v>
      </c>
      <c r="AI34" s="12" t="s">
        <v>578</v>
      </c>
      <c r="AJ34" s="12" t="s">
        <v>578</v>
      </c>
      <c r="AK34" s="12" t="s">
        <v>578</v>
      </c>
      <c r="AL34" s="12" t="s">
        <v>578</v>
      </c>
      <c r="AM34" s="12" t="s">
        <v>578</v>
      </c>
      <c r="AN34" s="12" t="s">
        <v>578</v>
      </c>
      <c r="AO34" s="12" t="s">
        <v>578</v>
      </c>
      <c r="AP34" s="12" t="s">
        <v>578</v>
      </c>
      <c r="AQ34" s="12" t="s">
        <v>578</v>
      </c>
      <c r="AR34" s="12" t="s">
        <v>578</v>
      </c>
      <c r="AS34" s="12" t="s">
        <v>578</v>
      </c>
      <c r="AT34" s="12" t="s">
        <v>578</v>
      </c>
      <c r="AU34" s="12" t="s">
        <v>578</v>
      </c>
      <c r="AV34" s="12" t="s">
        <v>578</v>
      </c>
      <c r="AW34" s="12" t="s">
        <v>578</v>
      </c>
      <c r="AX34" s="12" t="s">
        <v>578</v>
      </c>
      <c r="AY34" s="12" t="s">
        <v>578</v>
      </c>
      <c r="AZ34" s="12" t="s">
        <v>578</v>
      </c>
      <c r="BA34" s="12" t="s">
        <v>579</v>
      </c>
      <c r="BB34" s="12" t="s">
        <v>623</v>
      </c>
      <c r="BC34" s="12" t="s">
        <v>623</v>
      </c>
      <c r="BD34" s="12" t="s">
        <v>623</v>
      </c>
      <c r="BE34" s="12" t="s">
        <v>623</v>
      </c>
      <c r="BF34" s="12" t="s">
        <v>672</v>
      </c>
      <c r="BG34" s="12" t="s">
        <v>762</v>
      </c>
      <c r="BH34" s="12" t="s">
        <v>762</v>
      </c>
      <c r="BI34" s="12" t="s">
        <v>675</v>
      </c>
      <c r="BJ34" s="12" t="s">
        <v>627</v>
      </c>
      <c r="BK34" s="12" t="s">
        <v>588</v>
      </c>
      <c r="BL34" s="12" t="s">
        <v>633</v>
      </c>
      <c r="BM34" s="12" t="s">
        <v>720</v>
      </c>
      <c r="BN34" s="12" t="s">
        <v>860</v>
      </c>
      <c r="BO34" s="12" t="s">
        <v>1353</v>
      </c>
      <c r="BP34" s="12" t="s">
        <v>639</v>
      </c>
      <c r="BQ34" s="12" t="s">
        <v>1185</v>
      </c>
      <c r="BR34" s="12" t="s">
        <v>983</v>
      </c>
      <c r="BS34" s="12" t="s">
        <v>987</v>
      </c>
      <c r="BT34" s="12" t="s">
        <v>1392</v>
      </c>
      <c r="BU34" s="12" t="s">
        <v>1049</v>
      </c>
      <c r="BV34" s="12" t="s">
        <v>1393</v>
      </c>
      <c r="BW34" s="12" t="s">
        <v>1394</v>
      </c>
      <c r="BX34" s="12" t="s">
        <v>1395</v>
      </c>
      <c r="BY34" s="12" t="s">
        <v>687</v>
      </c>
      <c r="BZ34" s="12" t="s">
        <v>1396</v>
      </c>
      <c r="CA34" s="12" t="s">
        <v>1397</v>
      </c>
      <c r="CB34" s="12" t="s">
        <v>1030</v>
      </c>
      <c r="CC34" s="12" t="s">
        <v>1398</v>
      </c>
      <c r="CD34" s="12" t="s">
        <v>1399</v>
      </c>
      <c r="CE34" s="12" t="s">
        <v>925</v>
      </c>
      <c r="CF34" s="12" t="s">
        <v>925</v>
      </c>
      <c r="CG34" s="12" t="s">
        <v>604</v>
      </c>
      <c r="CH34" s="12" t="s">
        <v>1400</v>
      </c>
      <c r="CI34" s="12" t="s">
        <v>1400</v>
      </c>
      <c r="CJ34" s="12" t="s">
        <v>1401</v>
      </c>
      <c r="CK34" s="12" t="s">
        <v>1402</v>
      </c>
      <c r="CL34" s="12" t="s">
        <v>1042</v>
      </c>
      <c r="CM34" s="12" t="s">
        <v>1403</v>
      </c>
      <c r="CN34" s="12" t="s">
        <v>1404</v>
      </c>
      <c r="CO34" s="12" t="s">
        <v>1405</v>
      </c>
      <c r="CP34" s="12" t="s">
        <v>1406</v>
      </c>
      <c r="CQ34" s="12" t="s">
        <v>1407</v>
      </c>
      <c r="CR34" s="12" t="s">
        <v>665</v>
      </c>
      <c r="CS34" s="12" t="s">
        <v>1408</v>
      </c>
      <c r="CT34" s="12" t="s">
        <v>1409</v>
      </c>
    </row>
    <row r="35" spans="1:98" hidden="1" x14ac:dyDescent="0.3">
      <c r="A35" s="12" t="s">
        <v>25</v>
      </c>
      <c r="B35" s="12" t="s">
        <v>1410</v>
      </c>
      <c r="C35" s="12" t="s">
        <v>1411</v>
      </c>
      <c r="D35" s="12" t="s">
        <v>1412</v>
      </c>
      <c r="E35" s="12" t="s">
        <v>578</v>
      </c>
      <c r="F35" s="12" t="s">
        <v>578</v>
      </c>
      <c r="G35" s="12" t="s">
        <v>578</v>
      </c>
      <c r="H35" s="12" t="s">
        <v>578</v>
      </c>
      <c r="I35" s="12" t="s">
        <v>578</v>
      </c>
      <c r="J35" s="12" t="s">
        <v>578</v>
      </c>
      <c r="K35" s="12" t="s">
        <v>578</v>
      </c>
      <c r="L35" s="12" t="s">
        <v>578</v>
      </c>
      <c r="M35" s="12" t="s">
        <v>578</v>
      </c>
      <c r="N35" s="12" t="s">
        <v>578</v>
      </c>
      <c r="O35" s="12" t="s">
        <v>578</v>
      </c>
      <c r="P35" s="12" t="s">
        <v>578</v>
      </c>
      <c r="Q35" s="12" t="s">
        <v>578</v>
      </c>
      <c r="R35" s="12" t="s">
        <v>578</v>
      </c>
      <c r="S35" s="12" t="s">
        <v>578</v>
      </c>
      <c r="T35" s="12" t="s">
        <v>578</v>
      </c>
      <c r="U35" s="12" t="s">
        <v>578</v>
      </c>
      <c r="V35" s="12" t="s">
        <v>578</v>
      </c>
      <c r="W35" s="12" t="s">
        <v>578</v>
      </c>
      <c r="X35" s="12" t="s">
        <v>578</v>
      </c>
      <c r="Y35" s="12" t="s">
        <v>578</v>
      </c>
      <c r="Z35" s="12" t="s">
        <v>578</v>
      </c>
      <c r="AA35" s="12" t="s">
        <v>578</v>
      </c>
      <c r="AB35" s="12" t="s">
        <v>578</v>
      </c>
      <c r="AC35" s="12" t="s">
        <v>578</v>
      </c>
      <c r="AD35" s="12" t="s">
        <v>578</v>
      </c>
      <c r="AE35" s="12" t="s">
        <v>578</v>
      </c>
      <c r="AF35" s="12" t="s">
        <v>578</v>
      </c>
      <c r="AG35" s="12" t="s">
        <v>578</v>
      </c>
      <c r="AH35" s="12" t="s">
        <v>578</v>
      </c>
      <c r="AI35" s="12" t="s">
        <v>578</v>
      </c>
      <c r="AJ35" s="12" t="s">
        <v>578</v>
      </c>
      <c r="AK35" s="12" t="s">
        <v>578</v>
      </c>
      <c r="AL35" s="12" t="s">
        <v>578</v>
      </c>
      <c r="AM35" s="12" t="s">
        <v>578</v>
      </c>
      <c r="AN35" s="12" t="s">
        <v>578</v>
      </c>
      <c r="AO35" s="12" t="s">
        <v>578</v>
      </c>
      <c r="AP35" s="12" t="s">
        <v>578</v>
      </c>
      <c r="AQ35" s="12" t="s">
        <v>578</v>
      </c>
      <c r="AR35" s="12" t="s">
        <v>578</v>
      </c>
      <c r="AS35" s="12" t="s">
        <v>578</v>
      </c>
      <c r="AT35" s="12" t="s">
        <v>578</v>
      </c>
      <c r="AU35" s="12" t="s">
        <v>578</v>
      </c>
      <c r="AV35" s="12" t="s">
        <v>578</v>
      </c>
      <c r="AW35" s="12" t="s">
        <v>578</v>
      </c>
      <c r="AX35" s="12" t="s">
        <v>578</v>
      </c>
      <c r="AY35" s="12" t="s">
        <v>578</v>
      </c>
      <c r="AZ35" s="12" t="s">
        <v>578</v>
      </c>
      <c r="BA35" s="12" t="s">
        <v>578</v>
      </c>
      <c r="BB35" s="12" t="s">
        <v>578</v>
      </c>
      <c r="BC35" s="12" t="s">
        <v>578</v>
      </c>
      <c r="BD35" s="12" t="s">
        <v>578</v>
      </c>
      <c r="BE35" s="12" t="s">
        <v>578</v>
      </c>
      <c r="BF35" s="12" t="s">
        <v>578</v>
      </c>
      <c r="BG35" s="12" t="s">
        <v>578</v>
      </c>
      <c r="BH35" s="12" t="s">
        <v>578</v>
      </c>
      <c r="BI35" s="12" t="s">
        <v>578</v>
      </c>
      <c r="BJ35" s="12" t="s">
        <v>578</v>
      </c>
      <c r="BK35" s="12" t="s">
        <v>579</v>
      </c>
      <c r="BL35" s="12" t="s">
        <v>672</v>
      </c>
      <c r="BM35" s="12" t="s">
        <v>672</v>
      </c>
      <c r="BN35" s="12" t="s">
        <v>672</v>
      </c>
      <c r="BO35" s="12" t="s">
        <v>672</v>
      </c>
      <c r="BP35" s="12" t="s">
        <v>580</v>
      </c>
      <c r="BQ35" s="12" t="s">
        <v>580</v>
      </c>
      <c r="BR35" s="12" t="s">
        <v>581</v>
      </c>
      <c r="BS35" s="12" t="s">
        <v>581</v>
      </c>
      <c r="BT35" s="12" t="s">
        <v>851</v>
      </c>
      <c r="BU35" s="12" t="s">
        <v>851</v>
      </c>
      <c r="BV35" s="12" t="s">
        <v>851</v>
      </c>
      <c r="BW35" s="12" t="s">
        <v>851</v>
      </c>
      <c r="BX35" s="12" t="s">
        <v>851</v>
      </c>
      <c r="BY35" s="12" t="s">
        <v>851</v>
      </c>
      <c r="BZ35" s="12" t="s">
        <v>582</v>
      </c>
      <c r="CA35" s="12" t="s">
        <v>582</v>
      </c>
      <c r="CB35" s="12" t="s">
        <v>582</v>
      </c>
      <c r="CC35" s="12" t="s">
        <v>582</v>
      </c>
      <c r="CD35" s="12" t="s">
        <v>582</v>
      </c>
      <c r="CE35" s="12" t="s">
        <v>582</v>
      </c>
      <c r="CF35" s="12" t="s">
        <v>582</v>
      </c>
      <c r="CG35" s="12" t="s">
        <v>755</v>
      </c>
      <c r="CH35" s="12" t="s">
        <v>755</v>
      </c>
      <c r="CI35" s="12" t="s">
        <v>624</v>
      </c>
      <c r="CJ35" s="12" t="s">
        <v>583</v>
      </c>
      <c r="CK35" s="12" t="s">
        <v>769</v>
      </c>
      <c r="CL35" s="12" t="s">
        <v>769</v>
      </c>
      <c r="CM35" s="12" t="s">
        <v>769</v>
      </c>
      <c r="CN35" s="12" t="s">
        <v>1413</v>
      </c>
      <c r="CO35" s="12" t="s">
        <v>919</v>
      </c>
      <c r="CP35" s="12" t="s">
        <v>955</v>
      </c>
      <c r="CQ35" s="12" t="s">
        <v>770</v>
      </c>
      <c r="CR35" s="12" t="s">
        <v>1120</v>
      </c>
      <c r="CS35" s="12" t="s">
        <v>976</v>
      </c>
      <c r="CT35" s="12" t="s">
        <v>721</v>
      </c>
    </row>
    <row r="36" spans="1:98" hidden="1" x14ac:dyDescent="0.3">
      <c r="A36" s="12" t="s">
        <v>25</v>
      </c>
      <c r="B36" s="12" t="s">
        <v>1414</v>
      </c>
      <c r="C36" s="12" t="s">
        <v>1415</v>
      </c>
      <c r="D36" s="12" t="s">
        <v>1416</v>
      </c>
      <c r="E36" s="12" t="s">
        <v>578</v>
      </c>
      <c r="F36" s="12" t="s">
        <v>578</v>
      </c>
      <c r="G36" s="12" t="s">
        <v>578</v>
      </c>
      <c r="H36" s="12" t="s">
        <v>578</v>
      </c>
      <c r="I36" s="12" t="s">
        <v>578</v>
      </c>
      <c r="J36" s="12" t="s">
        <v>579</v>
      </c>
      <c r="K36" s="12" t="s">
        <v>579</v>
      </c>
      <c r="L36" s="12" t="s">
        <v>579</v>
      </c>
      <c r="M36" s="12" t="s">
        <v>579</v>
      </c>
      <c r="N36" s="12" t="s">
        <v>579</v>
      </c>
      <c r="O36" s="12" t="s">
        <v>579</v>
      </c>
      <c r="P36" s="12" t="s">
        <v>579</v>
      </c>
      <c r="Q36" s="12" t="s">
        <v>579</v>
      </c>
      <c r="R36" s="12" t="s">
        <v>579</v>
      </c>
      <c r="S36" s="12" t="s">
        <v>579</v>
      </c>
      <c r="T36" s="12" t="s">
        <v>579</v>
      </c>
      <c r="U36" s="12" t="s">
        <v>579</v>
      </c>
      <c r="V36" s="12" t="s">
        <v>579</v>
      </c>
      <c r="W36" s="12" t="s">
        <v>579</v>
      </c>
      <c r="X36" s="12" t="s">
        <v>579</v>
      </c>
      <c r="Y36" s="12" t="s">
        <v>579</v>
      </c>
      <c r="Z36" s="12" t="s">
        <v>579</v>
      </c>
      <c r="AA36" s="12" t="s">
        <v>579</v>
      </c>
      <c r="AB36" s="12" t="s">
        <v>579</v>
      </c>
      <c r="AC36" s="12" t="s">
        <v>579</v>
      </c>
      <c r="AD36" s="12" t="s">
        <v>579</v>
      </c>
      <c r="AE36" s="12" t="s">
        <v>579</v>
      </c>
      <c r="AF36" s="12" t="s">
        <v>579</v>
      </c>
      <c r="AG36" s="12" t="s">
        <v>579</v>
      </c>
      <c r="AH36" s="12" t="s">
        <v>579</v>
      </c>
      <c r="AI36" s="12" t="s">
        <v>579</v>
      </c>
      <c r="AJ36" s="12" t="s">
        <v>579</v>
      </c>
      <c r="AK36" s="12" t="s">
        <v>579</v>
      </c>
      <c r="AL36" s="12" t="s">
        <v>579</v>
      </c>
      <c r="AM36" s="12" t="s">
        <v>579</v>
      </c>
      <c r="AN36" s="12" t="s">
        <v>579</v>
      </c>
      <c r="AO36" s="12" t="s">
        <v>579</v>
      </c>
      <c r="AP36" s="12" t="s">
        <v>579</v>
      </c>
      <c r="AQ36" s="12" t="s">
        <v>579</v>
      </c>
      <c r="AR36" s="12" t="s">
        <v>579</v>
      </c>
      <c r="AS36" s="12" t="s">
        <v>579</v>
      </c>
      <c r="AT36" s="12" t="s">
        <v>579</v>
      </c>
      <c r="AU36" s="12" t="s">
        <v>579</v>
      </c>
      <c r="AV36" s="12" t="s">
        <v>579</v>
      </c>
      <c r="AW36" s="12" t="s">
        <v>579</v>
      </c>
      <c r="AX36" s="12" t="s">
        <v>579</v>
      </c>
      <c r="AY36" s="12" t="s">
        <v>623</v>
      </c>
      <c r="AZ36" s="12" t="s">
        <v>623</v>
      </c>
      <c r="BA36" s="12" t="s">
        <v>623</v>
      </c>
      <c r="BB36" s="12" t="s">
        <v>672</v>
      </c>
      <c r="BC36" s="12" t="s">
        <v>672</v>
      </c>
      <c r="BD36" s="12" t="s">
        <v>581</v>
      </c>
      <c r="BE36" s="12" t="s">
        <v>582</v>
      </c>
      <c r="BF36" s="12" t="s">
        <v>582</v>
      </c>
      <c r="BG36" s="12" t="s">
        <v>582</v>
      </c>
      <c r="BH36" s="12" t="s">
        <v>627</v>
      </c>
      <c r="BI36" s="12" t="s">
        <v>917</v>
      </c>
      <c r="BJ36" s="12" t="s">
        <v>677</v>
      </c>
      <c r="BK36" s="12" t="s">
        <v>630</v>
      </c>
      <c r="BL36" s="12" t="s">
        <v>719</v>
      </c>
      <c r="BM36" s="12" t="s">
        <v>590</v>
      </c>
      <c r="BN36" s="12" t="s">
        <v>681</v>
      </c>
      <c r="BO36" s="12" t="s">
        <v>857</v>
      </c>
      <c r="BP36" s="12" t="s">
        <v>859</v>
      </c>
      <c r="BQ36" s="12" t="s">
        <v>859</v>
      </c>
      <c r="BR36" s="12" t="s">
        <v>860</v>
      </c>
      <c r="BS36" s="12" t="s">
        <v>860</v>
      </c>
      <c r="BT36" s="12" t="s">
        <v>862</v>
      </c>
      <c r="BU36" s="12" t="s">
        <v>1260</v>
      </c>
      <c r="BV36" s="12" t="s">
        <v>1208</v>
      </c>
      <c r="BW36" s="12" t="s">
        <v>1208</v>
      </c>
      <c r="BX36" s="12" t="s">
        <v>592</v>
      </c>
      <c r="BY36" s="12" t="s">
        <v>1353</v>
      </c>
      <c r="BZ36" s="12" t="s">
        <v>1353</v>
      </c>
      <c r="CA36" s="12" t="s">
        <v>1353</v>
      </c>
      <c r="CB36" s="12" t="s">
        <v>1353</v>
      </c>
      <c r="CC36" s="12" t="s">
        <v>811</v>
      </c>
      <c r="CD36" s="12" t="s">
        <v>1417</v>
      </c>
      <c r="CE36" s="12" t="s">
        <v>1418</v>
      </c>
      <c r="CF36" s="12" t="s">
        <v>1418</v>
      </c>
      <c r="CG36" s="12" t="s">
        <v>593</v>
      </c>
      <c r="CH36" s="12" t="s">
        <v>980</v>
      </c>
      <c r="CI36" s="12" t="s">
        <v>980</v>
      </c>
      <c r="CJ36" s="12" t="s">
        <v>980</v>
      </c>
      <c r="CK36" s="12" t="s">
        <v>980</v>
      </c>
      <c r="CL36" s="12" t="s">
        <v>980</v>
      </c>
      <c r="CM36" s="12" t="s">
        <v>980</v>
      </c>
      <c r="CN36" s="12" t="s">
        <v>980</v>
      </c>
      <c r="CO36" s="12" t="s">
        <v>980</v>
      </c>
      <c r="CP36" s="12" t="s">
        <v>980</v>
      </c>
      <c r="CQ36" s="12" t="s">
        <v>980</v>
      </c>
      <c r="CR36" s="12" t="s">
        <v>980</v>
      </c>
      <c r="CS36" s="12" t="s">
        <v>980</v>
      </c>
      <c r="CT36" s="12" t="s">
        <v>980</v>
      </c>
    </row>
    <row r="37" spans="1:98" hidden="1" x14ac:dyDescent="0.3">
      <c r="A37" s="12" t="s">
        <v>25</v>
      </c>
      <c r="B37" s="12" t="s">
        <v>1419</v>
      </c>
      <c r="C37" s="12" t="s">
        <v>1420</v>
      </c>
      <c r="D37" s="12" t="s">
        <v>1421</v>
      </c>
      <c r="E37" s="12" t="s">
        <v>578</v>
      </c>
      <c r="F37" s="12" t="s">
        <v>578</v>
      </c>
      <c r="G37" s="12" t="s">
        <v>578</v>
      </c>
      <c r="H37" s="12" t="s">
        <v>578</v>
      </c>
      <c r="I37" s="12" t="s">
        <v>578</v>
      </c>
      <c r="J37" s="12" t="s">
        <v>578</v>
      </c>
      <c r="K37" s="12" t="s">
        <v>578</v>
      </c>
      <c r="L37" s="12" t="s">
        <v>578</v>
      </c>
      <c r="M37" s="12" t="s">
        <v>578</v>
      </c>
      <c r="N37" s="12" t="s">
        <v>578</v>
      </c>
      <c r="O37" s="12" t="s">
        <v>578</v>
      </c>
      <c r="P37" s="12" t="s">
        <v>578</v>
      </c>
      <c r="Q37" s="12" t="s">
        <v>578</v>
      </c>
      <c r="R37" s="12" t="s">
        <v>578</v>
      </c>
      <c r="S37" s="12" t="s">
        <v>578</v>
      </c>
      <c r="T37" s="12" t="s">
        <v>578</v>
      </c>
      <c r="U37" s="12" t="s">
        <v>578</v>
      </c>
      <c r="V37" s="12" t="s">
        <v>578</v>
      </c>
      <c r="W37" s="12" t="s">
        <v>578</v>
      </c>
      <c r="X37" s="12" t="s">
        <v>578</v>
      </c>
      <c r="Y37" s="12" t="s">
        <v>578</v>
      </c>
      <c r="Z37" s="12" t="s">
        <v>578</v>
      </c>
      <c r="AA37" s="12" t="s">
        <v>578</v>
      </c>
      <c r="AB37" s="12" t="s">
        <v>578</v>
      </c>
      <c r="AC37" s="12" t="s">
        <v>578</v>
      </c>
      <c r="AD37" s="12" t="s">
        <v>578</v>
      </c>
      <c r="AE37" s="12" t="s">
        <v>578</v>
      </c>
      <c r="AF37" s="12" t="s">
        <v>578</v>
      </c>
      <c r="AG37" s="12" t="s">
        <v>578</v>
      </c>
      <c r="AH37" s="12" t="s">
        <v>578</v>
      </c>
      <c r="AI37" s="12" t="s">
        <v>578</v>
      </c>
      <c r="AJ37" s="12" t="s">
        <v>578</v>
      </c>
      <c r="AK37" s="12" t="s">
        <v>578</v>
      </c>
      <c r="AL37" s="12" t="s">
        <v>578</v>
      </c>
      <c r="AM37" s="12" t="s">
        <v>578</v>
      </c>
      <c r="AN37" s="12" t="s">
        <v>578</v>
      </c>
      <c r="AO37" s="12" t="s">
        <v>578</v>
      </c>
      <c r="AP37" s="12" t="s">
        <v>578</v>
      </c>
      <c r="AQ37" s="12" t="s">
        <v>578</v>
      </c>
      <c r="AR37" s="12" t="s">
        <v>578</v>
      </c>
      <c r="AS37" s="12" t="s">
        <v>578</v>
      </c>
      <c r="AT37" s="12" t="s">
        <v>578</v>
      </c>
      <c r="AU37" s="12" t="s">
        <v>578</v>
      </c>
      <c r="AV37" s="12" t="s">
        <v>578</v>
      </c>
      <c r="AW37" s="12" t="s">
        <v>579</v>
      </c>
      <c r="AX37" s="12" t="s">
        <v>579</v>
      </c>
      <c r="AY37" s="12" t="s">
        <v>623</v>
      </c>
      <c r="AZ37" s="12" t="s">
        <v>623</v>
      </c>
      <c r="BA37" s="12" t="s">
        <v>623</v>
      </c>
      <c r="BB37" s="12" t="s">
        <v>623</v>
      </c>
      <c r="BC37" s="12" t="s">
        <v>623</v>
      </c>
      <c r="BD37" s="12" t="s">
        <v>623</v>
      </c>
      <c r="BE37" s="12" t="s">
        <v>623</v>
      </c>
      <c r="BF37" s="12" t="s">
        <v>623</v>
      </c>
      <c r="BG37" s="12" t="s">
        <v>580</v>
      </c>
      <c r="BH37" s="12" t="s">
        <v>624</v>
      </c>
      <c r="BI37" s="12" t="s">
        <v>624</v>
      </c>
      <c r="BJ37" s="12" t="s">
        <v>868</v>
      </c>
      <c r="BK37" s="12" t="s">
        <v>675</v>
      </c>
      <c r="BL37" s="12" t="s">
        <v>913</v>
      </c>
      <c r="BM37" s="12" t="s">
        <v>588</v>
      </c>
      <c r="BN37" s="12" t="s">
        <v>769</v>
      </c>
      <c r="BO37" s="12" t="s">
        <v>973</v>
      </c>
      <c r="BP37" s="12" t="s">
        <v>720</v>
      </c>
      <c r="BQ37" s="12" t="s">
        <v>720</v>
      </c>
      <c r="BR37" s="12" t="s">
        <v>857</v>
      </c>
      <c r="BS37" s="12" t="s">
        <v>857</v>
      </c>
      <c r="BT37" s="12" t="s">
        <v>683</v>
      </c>
      <c r="BU37" s="12" t="s">
        <v>683</v>
      </c>
      <c r="BV37" s="12" t="s">
        <v>1422</v>
      </c>
      <c r="BW37" s="12" t="s">
        <v>1423</v>
      </c>
      <c r="BX37" s="12" t="s">
        <v>1424</v>
      </c>
      <c r="BY37" s="12" t="s">
        <v>1425</v>
      </c>
      <c r="BZ37" s="12" t="s">
        <v>606</v>
      </c>
      <c r="CA37" s="12" t="s">
        <v>1426</v>
      </c>
      <c r="CB37" s="12" t="s">
        <v>1427</v>
      </c>
      <c r="CC37" s="12" t="s">
        <v>1427</v>
      </c>
      <c r="CD37" s="12" t="s">
        <v>1428</v>
      </c>
      <c r="CE37" s="12" t="s">
        <v>1428</v>
      </c>
      <c r="CF37" s="12" t="s">
        <v>782</v>
      </c>
      <c r="CG37" s="12" t="s">
        <v>782</v>
      </c>
      <c r="CH37" s="12" t="s">
        <v>782</v>
      </c>
      <c r="CI37" s="12" t="s">
        <v>782</v>
      </c>
      <c r="CJ37" s="12" t="s">
        <v>1429</v>
      </c>
      <c r="CK37" s="12" t="s">
        <v>1429</v>
      </c>
      <c r="CL37" s="12" t="s">
        <v>614</v>
      </c>
      <c r="CM37" s="12" t="s">
        <v>614</v>
      </c>
      <c r="CN37" s="12" t="s">
        <v>1430</v>
      </c>
      <c r="CO37" s="12" t="s">
        <v>1430</v>
      </c>
      <c r="CP37" s="12" t="s">
        <v>1431</v>
      </c>
      <c r="CQ37" s="12" t="s">
        <v>1431</v>
      </c>
      <c r="CR37" s="12" t="s">
        <v>1431</v>
      </c>
      <c r="CS37" s="12" t="s">
        <v>1432</v>
      </c>
      <c r="CT37" s="12" t="s">
        <v>1433</v>
      </c>
    </row>
    <row r="38" spans="1:98" hidden="1" x14ac:dyDescent="0.3">
      <c r="A38" s="12" t="s">
        <v>1434</v>
      </c>
      <c r="B38" s="12" t="s">
        <v>1435</v>
      </c>
      <c r="C38" s="12" t="s">
        <v>1436</v>
      </c>
      <c r="D38" s="12" t="s">
        <v>1437</v>
      </c>
      <c r="E38" s="12" t="s">
        <v>578</v>
      </c>
      <c r="F38" s="12" t="s">
        <v>578</v>
      </c>
      <c r="G38" s="12" t="s">
        <v>578</v>
      </c>
      <c r="H38" s="12" t="s">
        <v>578</v>
      </c>
      <c r="I38" s="12" t="s">
        <v>578</v>
      </c>
      <c r="J38" s="12" t="s">
        <v>578</v>
      </c>
      <c r="K38" s="12" t="s">
        <v>578</v>
      </c>
      <c r="L38" s="12" t="s">
        <v>578</v>
      </c>
      <c r="M38" s="12" t="s">
        <v>578</v>
      </c>
      <c r="N38" s="12" t="s">
        <v>578</v>
      </c>
      <c r="O38" s="12" t="s">
        <v>578</v>
      </c>
      <c r="P38" s="12" t="s">
        <v>578</v>
      </c>
      <c r="Q38" s="12" t="s">
        <v>578</v>
      </c>
      <c r="R38" s="12" t="s">
        <v>578</v>
      </c>
      <c r="S38" s="12" t="s">
        <v>578</v>
      </c>
      <c r="T38" s="12" t="s">
        <v>578</v>
      </c>
      <c r="U38" s="12" t="s">
        <v>578</v>
      </c>
      <c r="V38" s="12" t="s">
        <v>578</v>
      </c>
      <c r="W38" s="12" t="s">
        <v>578</v>
      </c>
      <c r="X38" s="12" t="s">
        <v>578</v>
      </c>
      <c r="Y38" s="12" t="s">
        <v>578</v>
      </c>
      <c r="Z38" s="12" t="s">
        <v>578</v>
      </c>
      <c r="AA38" s="12" t="s">
        <v>578</v>
      </c>
      <c r="AB38" s="12" t="s">
        <v>578</v>
      </c>
      <c r="AC38" s="12" t="s">
        <v>578</v>
      </c>
      <c r="AD38" s="12" t="s">
        <v>578</v>
      </c>
      <c r="AE38" s="12" t="s">
        <v>578</v>
      </c>
      <c r="AF38" s="12" t="s">
        <v>578</v>
      </c>
      <c r="AG38" s="12" t="s">
        <v>578</v>
      </c>
      <c r="AH38" s="12" t="s">
        <v>578</v>
      </c>
      <c r="AI38" s="12" t="s">
        <v>578</v>
      </c>
      <c r="AJ38" s="12" t="s">
        <v>578</v>
      </c>
      <c r="AK38" s="12" t="s">
        <v>578</v>
      </c>
      <c r="AL38" s="12" t="s">
        <v>578</v>
      </c>
      <c r="AM38" s="12" t="s">
        <v>578</v>
      </c>
      <c r="AN38" s="12" t="s">
        <v>578</v>
      </c>
      <c r="AO38" s="12" t="s">
        <v>578</v>
      </c>
      <c r="AP38" s="12" t="s">
        <v>578</v>
      </c>
      <c r="AQ38" s="12" t="s">
        <v>578</v>
      </c>
      <c r="AR38" s="12" t="s">
        <v>578</v>
      </c>
      <c r="AS38" s="12" t="s">
        <v>578</v>
      </c>
      <c r="AT38" s="12" t="s">
        <v>578</v>
      </c>
      <c r="AU38" s="12" t="s">
        <v>578</v>
      </c>
      <c r="AV38" s="12" t="s">
        <v>578</v>
      </c>
      <c r="AW38" s="12" t="s">
        <v>579</v>
      </c>
      <c r="AX38" s="12" t="s">
        <v>623</v>
      </c>
      <c r="AY38" s="12" t="s">
        <v>580</v>
      </c>
      <c r="AZ38" s="12" t="s">
        <v>582</v>
      </c>
      <c r="BA38" s="12" t="s">
        <v>582</v>
      </c>
      <c r="BB38" s="12" t="s">
        <v>674</v>
      </c>
      <c r="BC38" s="12" t="s">
        <v>674</v>
      </c>
      <c r="BD38" s="12" t="s">
        <v>953</v>
      </c>
      <c r="BE38" s="12" t="s">
        <v>953</v>
      </c>
      <c r="BF38" s="12" t="s">
        <v>718</v>
      </c>
      <c r="BG38" s="12" t="s">
        <v>769</v>
      </c>
      <c r="BH38" s="12" t="s">
        <v>589</v>
      </c>
      <c r="BI38" s="12" t="s">
        <v>772</v>
      </c>
      <c r="BJ38" s="12" t="s">
        <v>1418</v>
      </c>
      <c r="BK38" s="12" t="s">
        <v>639</v>
      </c>
      <c r="BL38" s="12" t="s">
        <v>984</v>
      </c>
      <c r="BM38" s="12" t="s">
        <v>645</v>
      </c>
      <c r="BN38" s="12" t="s">
        <v>776</v>
      </c>
      <c r="BO38" s="12" t="s">
        <v>1099</v>
      </c>
      <c r="BP38" s="12" t="s">
        <v>1438</v>
      </c>
      <c r="BQ38" s="12" t="s">
        <v>1439</v>
      </c>
      <c r="BR38" s="12" t="s">
        <v>1402</v>
      </c>
      <c r="BS38" s="12" t="s">
        <v>1402</v>
      </c>
      <c r="BT38" s="12" t="s">
        <v>1165</v>
      </c>
      <c r="BU38" s="12" t="s">
        <v>1378</v>
      </c>
      <c r="BV38" s="12" t="s">
        <v>780</v>
      </c>
      <c r="BW38" s="12" t="s">
        <v>1440</v>
      </c>
      <c r="BX38" s="12" t="s">
        <v>1441</v>
      </c>
      <c r="BY38" s="12" t="s">
        <v>1441</v>
      </c>
      <c r="BZ38" s="12" t="s">
        <v>1442</v>
      </c>
      <c r="CA38" s="12" t="s">
        <v>1443</v>
      </c>
      <c r="CB38" s="12" t="s">
        <v>1444</v>
      </c>
      <c r="CC38" s="12" t="s">
        <v>1110</v>
      </c>
      <c r="CD38" s="12" t="s">
        <v>1110</v>
      </c>
      <c r="CE38" s="12" t="s">
        <v>696</v>
      </c>
      <c r="CF38" s="12" t="s">
        <v>786</v>
      </c>
      <c r="CG38" s="12" t="s">
        <v>1445</v>
      </c>
      <c r="CH38" s="12" t="s">
        <v>1445</v>
      </c>
      <c r="CI38" s="12" t="s">
        <v>1446</v>
      </c>
      <c r="CJ38" s="12" t="s">
        <v>1447</v>
      </c>
      <c r="CK38" s="12" t="s">
        <v>1447</v>
      </c>
      <c r="CL38" s="12" t="s">
        <v>1448</v>
      </c>
      <c r="CM38" s="12" t="s">
        <v>1449</v>
      </c>
      <c r="CN38" s="12" t="s">
        <v>1450</v>
      </c>
      <c r="CO38" s="12" t="s">
        <v>1451</v>
      </c>
      <c r="CP38" s="12" t="s">
        <v>1452</v>
      </c>
      <c r="CQ38" s="12" t="s">
        <v>1453</v>
      </c>
      <c r="CR38" s="12" t="s">
        <v>1216</v>
      </c>
      <c r="CS38" s="12" t="s">
        <v>1454</v>
      </c>
      <c r="CT38" s="12" t="s">
        <v>1455</v>
      </c>
    </row>
    <row r="39" spans="1:98" hidden="1" x14ac:dyDescent="0.3">
      <c r="A39" s="12" t="s">
        <v>1456</v>
      </c>
      <c r="B39" s="12" t="s">
        <v>1435</v>
      </c>
      <c r="C39" s="12" t="s">
        <v>1457</v>
      </c>
      <c r="D39" s="12" t="s">
        <v>1458</v>
      </c>
      <c r="E39" s="12" t="s">
        <v>578</v>
      </c>
      <c r="F39" s="12" t="s">
        <v>578</v>
      </c>
      <c r="G39" s="12" t="s">
        <v>578</v>
      </c>
      <c r="H39" s="12" t="s">
        <v>578</v>
      </c>
      <c r="I39" s="12" t="s">
        <v>578</v>
      </c>
      <c r="J39" s="12" t="s">
        <v>578</v>
      </c>
      <c r="K39" s="12" t="s">
        <v>579</v>
      </c>
      <c r="L39" s="12" t="s">
        <v>579</v>
      </c>
      <c r="M39" s="12" t="s">
        <v>579</v>
      </c>
      <c r="N39" s="12" t="s">
        <v>579</v>
      </c>
      <c r="O39" s="12" t="s">
        <v>579</v>
      </c>
      <c r="P39" s="12" t="s">
        <v>579</v>
      </c>
      <c r="Q39" s="12" t="s">
        <v>579</v>
      </c>
      <c r="R39" s="12" t="s">
        <v>579</v>
      </c>
      <c r="S39" s="12" t="s">
        <v>623</v>
      </c>
      <c r="T39" s="12" t="s">
        <v>623</v>
      </c>
      <c r="U39" s="12" t="s">
        <v>580</v>
      </c>
      <c r="V39" s="12" t="s">
        <v>580</v>
      </c>
      <c r="W39" s="12" t="s">
        <v>580</v>
      </c>
      <c r="X39" s="12" t="s">
        <v>580</v>
      </c>
      <c r="Y39" s="12" t="s">
        <v>580</v>
      </c>
      <c r="Z39" s="12" t="s">
        <v>580</v>
      </c>
      <c r="AA39" s="12" t="s">
        <v>580</v>
      </c>
      <c r="AB39" s="12" t="s">
        <v>580</v>
      </c>
      <c r="AC39" s="12" t="s">
        <v>580</v>
      </c>
      <c r="AD39" s="12" t="s">
        <v>580</v>
      </c>
      <c r="AE39" s="12" t="s">
        <v>581</v>
      </c>
      <c r="AF39" s="12" t="s">
        <v>581</v>
      </c>
      <c r="AG39" s="12" t="s">
        <v>581</v>
      </c>
      <c r="AH39" s="12" t="s">
        <v>581</v>
      </c>
      <c r="AI39" s="12" t="s">
        <v>851</v>
      </c>
      <c r="AJ39" s="12" t="s">
        <v>851</v>
      </c>
      <c r="AK39" s="12" t="s">
        <v>851</v>
      </c>
      <c r="AL39" s="12" t="s">
        <v>851</v>
      </c>
      <c r="AM39" s="12" t="s">
        <v>582</v>
      </c>
      <c r="AN39" s="12" t="s">
        <v>582</v>
      </c>
      <c r="AO39" s="12" t="s">
        <v>582</v>
      </c>
      <c r="AP39" s="12" t="s">
        <v>582</v>
      </c>
      <c r="AQ39" s="12" t="s">
        <v>755</v>
      </c>
      <c r="AR39" s="12" t="s">
        <v>755</v>
      </c>
      <c r="AS39" s="12" t="s">
        <v>755</v>
      </c>
      <c r="AT39" s="12" t="s">
        <v>761</v>
      </c>
      <c r="AU39" s="12" t="s">
        <v>625</v>
      </c>
      <c r="AV39" s="12" t="s">
        <v>868</v>
      </c>
      <c r="AW39" s="12" t="s">
        <v>585</v>
      </c>
      <c r="AX39" s="12" t="s">
        <v>585</v>
      </c>
      <c r="AY39" s="12" t="s">
        <v>913</v>
      </c>
      <c r="AZ39" s="12" t="s">
        <v>852</v>
      </c>
      <c r="BA39" s="12" t="s">
        <v>852</v>
      </c>
      <c r="BB39" s="12" t="s">
        <v>718</v>
      </c>
      <c r="BC39" s="12" t="s">
        <v>918</v>
      </c>
      <c r="BD39" s="12" t="s">
        <v>633</v>
      </c>
      <c r="BE39" s="12" t="s">
        <v>633</v>
      </c>
      <c r="BF39" s="12" t="s">
        <v>1120</v>
      </c>
      <c r="BG39" s="12" t="s">
        <v>862</v>
      </c>
      <c r="BH39" s="12" t="s">
        <v>862</v>
      </c>
      <c r="BI39" s="12" t="s">
        <v>640</v>
      </c>
      <c r="BJ39" s="12" t="s">
        <v>1027</v>
      </c>
      <c r="BK39" s="12" t="s">
        <v>1459</v>
      </c>
      <c r="BL39" s="12" t="s">
        <v>821</v>
      </c>
      <c r="BM39" s="12" t="s">
        <v>821</v>
      </c>
      <c r="BN39" s="12" t="s">
        <v>1460</v>
      </c>
      <c r="BO39" s="12" t="s">
        <v>1461</v>
      </c>
      <c r="BP39" s="12" t="s">
        <v>1461</v>
      </c>
      <c r="BQ39" s="12" t="s">
        <v>1462</v>
      </c>
      <c r="BR39" s="12" t="s">
        <v>1462</v>
      </c>
      <c r="BS39" s="12" t="s">
        <v>1463</v>
      </c>
      <c r="BT39" s="12" t="s">
        <v>1463</v>
      </c>
      <c r="BU39" s="12" t="s">
        <v>1464</v>
      </c>
      <c r="BV39" s="12" t="s">
        <v>834</v>
      </c>
      <c r="BW39" s="12" t="s">
        <v>834</v>
      </c>
      <c r="BX39" s="12" t="s">
        <v>1465</v>
      </c>
      <c r="BY39" s="12" t="s">
        <v>1466</v>
      </c>
      <c r="BZ39" s="12" t="s">
        <v>1467</v>
      </c>
      <c r="CA39" s="12" t="s">
        <v>1467</v>
      </c>
      <c r="CB39" s="12" t="s">
        <v>1468</v>
      </c>
      <c r="CC39" s="12" t="s">
        <v>1468</v>
      </c>
      <c r="CD39" s="12" t="s">
        <v>841</v>
      </c>
      <c r="CE39" s="12" t="s">
        <v>1019</v>
      </c>
      <c r="CF39" s="12" t="s">
        <v>1469</v>
      </c>
      <c r="CG39" s="12" t="s">
        <v>1470</v>
      </c>
      <c r="CH39" s="12" t="s">
        <v>1470</v>
      </c>
      <c r="CI39" s="12" t="s">
        <v>1471</v>
      </c>
      <c r="CJ39" s="12" t="s">
        <v>1471</v>
      </c>
      <c r="CK39" s="12" t="s">
        <v>1472</v>
      </c>
      <c r="CL39" s="12" t="s">
        <v>1473</v>
      </c>
      <c r="CM39" s="12" t="s">
        <v>1474</v>
      </c>
      <c r="CN39" s="12" t="s">
        <v>1475</v>
      </c>
      <c r="CO39" s="12" t="s">
        <v>1476</v>
      </c>
      <c r="CP39" s="12" t="s">
        <v>1476</v>
      </c>
      <c r="CQ39" s="12" t="s">
        <v>1477</v>
      </c>
      <c r="CR39" s="12" t="s">
        <v>790</v>
      </c>
      <c r="CS39" s="12" t="s">
        <v>1478</v>
      </c>
      <c r="CT39" s="12" t="s">
        <v>1479</v>
      </c>
    </row>
    <row r="40" spans="1:98" hidden="1" x14ac:dyDescent="0.3">
      <c r="A40" s="12" t="s">
        <v>1480</v>
      </c>
      <c r="B40" s="12" t="s">
        <v>1435</v>
      </c>
      <c r="C40" s="12" t="s">
        <v>1481</v>
      </c>
      <c r="D40" s="12" t="s">
        <v>1482</v>
      </c>
      <c r="E40" s="12" t="s">
        <v>578</v>
      </c>
      <c r="F40" s="12" t="s">
        <v>578</v>
      </c>
      <c r="G40" s="12" t="s">
        <v>578</v>
      </c>
      <c r="H40" s="12" t="s">
        <v>578</v>
      </c>
      <c r="I40" s="12" t="s">
        <v>578</v>
      </c>
      <c r="J40" s="12" t="s">
        <v>578</v>
      </c>
      <c r="K40" s="12" t="s">
        <v>578</v>
      </c>
      <c r="L40" s="12" t="s">
        <v>578</v>
      </c>
      <c r="M40" s="12" t="s">
        <v>578</v>
      </c>
      <c r="N40" s="12" t="s">
        <v>578</v>
      </c>
      <c r="O40" s="12" t="s">
        <v>578</v>
      </c>
      <c r="P40" s="12" t="s">
        <v>578</v>
      </c>
      <c r="Q40" s="12" t="s">
        <v>578</v>
      </c>
      <c r="R40" s="12" t="s">
        <v>578</v>
      </c>
      <c r="S40" s="12" t="s">
        <v>578</v>
      </c>
      <c r="T40" s="12" t="s">
        <v>578</v>
      </c>
      <c r="U40" s="12" t="s">
        <v>578</v>
      </c>
      <c r="V40" s="12" t="s">
        <v>578</v>
      </c>
      <c r="W40" s="12" t="s">
        <v>578</v>
      </c>
      <c r="X40" s="12" t="s">
        <v>578</v>
      </c>
      <c r="Y40" s="12" t="s">
        <v>578</v>
      </c>
      <c r="Z40" s="12" t="s">
        <v>578</v>
      </c>
      <c r="AA40" s="12" t="s">
        <v>578</v>
      </c>
      <c r="AB40" s="12" t="s">
        <v>578</v>
      </c>
      <c r="AC40" s="12" t="s">
        <v>578</v>
      </c>
      <c r="AD40" s="12" t="s">
        <v>578</v>
      </c>
      <c r="AE40" s="12" t="s">
        <v>578</v>
      </c>
      <c r="AF40" s="12" t="s">
        <v>578</v>
      </c>
      <c r="AG40" s="12" t="s">
        <v>578</v>
      </c>
      <c r="AH40" s="12" t="s">
        <v>578</v>
      </c>
      <c r="AI40" s="12" t="s">
        <v>578</v>
      </c>
      <c r="AJ40" s="12" t="s">
        <v>578</v>
      </c>
      <c r="AK40" s="12" t="s">
        <v>578</v>
      </c>
      <c r="AL40" s="12" t="s">
        <v>578</v>
      </c>
      <c r="AM40" s="12" t="s">
        <v>578</v>
      </c>
      <c r="AN40" s="12" t="s">
        <v>578</v>
      </c>
      <c r="AO40" s="12" t="s">
        <v>578</v>
      </c>
      <c r="AP40" s="12" t="s">
        <v>578</v>
      </c>
      <c r="AQ40" s="12" t="s">
        <v>578</v>
      </c>
      <c r="AR40" s="12" t="s">
        <v>578</v>
      </c>
      <c r="AS40" s="12" t="s">
        <v>578</v>
      </c>
      <c r="AT40" s="12" t="s">
        <v>578</v>
      </c>
      <c r="AU40" s="12" t="s">
        <v>578</v>
      </c>
      <c r="AV40" s="12" t="s">
        <v>578</v>
      </c>
      <c r="AW40" s="12" t="s">
        <v>578</v>
      </c>
      <c r="AX40" s="12" t="s">
        <v>578</v>
      </c>
      <c r="AY40" s="12" t="s">
        <v>578</v>
      </c>
      <c r="AZ40" s="12" t="s">
        <v>578</v>
      </c>
      <c r="BA40" s="12" t="s">
        <v>578</v>
      </c>
      <c r="BB40" s="12" t="s">
        <v>578</v>
      </c>
      <c r="BC40" s="12" t="s">
        <v>578</v>
      </c>
      <c r="BD40" s="12" t="s">
        <v>623</v>
      </c>
      <c r="BE40" s="12" t="s">
        <v>623</v>
      </c>
      <c r="BF40" s="12" t="s">
        <v>623</v>
      </c>
      <c r="BG40" s="12" t="s">
        <v>623</v>
      </c>
      <c r="BH40" s="12" t="s">
        <v>755</v>
      </c>
      <c r="BI40" s="12" t="s">
        <v>761</v>
      </c>
      <c r="BJ40" s="12" t="s">
        <v>761</v>
      </c>
      <c r="BK40" s="12" t="s">
        <v>624</v>
      </c>
      <c r="BL40" s="12" t="s">
        <v>624</v>
      </c>
      <c r="BM40" s="12" t="s">
        <v>868</v>
      </c>
      <c r="BN40" s="12" t="s">
        <v>868</v>
      </c>
      <c r="BO40" s="12" t="s">
        <v>868</v>
      </c>
      <c r="BP40" s="12" t="s">
        <v>868</v>
      </c>
      <c r="BQ40" s="12" t="s">
        <v>868</v>
      </c>
      <c r="BR40" s="12" t="s">
        <v>868</v>
      </c>
      <c r="BS40" s="12" t="s">
        <v>868</v>
      </c>
      <c r="BT40" s="12" t="s">
        <v>868</v>
      </c>
      <c r="BU40" s="12" t="s">
        <v>868</v>
      </c>
      <c r="BV40" s="12" t="s">
        <v>868</v>
      </c>
      <c r="BW40" s="12" t="s">
        <v>868</v>
      </c>
      <c r="BX40" s="12" t="s">
        <v>868</v>
      </c>
      <c r="BY40" s="12" t="s">
        <v>868</v>
      </c>
      <c r="BZ40" s="12" t="s">
        <v>868</v>
      </c>
      <c r="CA40" s="12" t="s">
        <v>868</v>
      </c>
      <c r="CB40" s="12" t="s">
        <v>868</v>
      </c>
      <c r="CC40" s="12" t="s">
        <v>868</v>
      </c>
      <c r="CD40" s="12" t="s">
        <v>868</v>
      </c>
      <c r="CE40" s="12" t="s">
        <v>868</v>
      </c>
      <c r="CF40" s="12" t="s">
        <v>868</v>
      </c>
      <c r="CG40" s="12" t="s">
        <v>868</v>
      </c>
      <c r="CH40" s="12" t="s">
        <v>868</v>
      </c>
      <c r="CI40" s="12" t="s">
        <v>868</v>
      </c>
      <c r="CJ40" s="12" t="s">
        <v>868</v>
      </c>
      <c r="CK40" s="12" t="s">
        <v>868</v>
      </c>
      <c r="CL40" s="12" t="s">
        <v>868</v>
      </c>
      <c r="CM40" s="12" t="s">
        <v>868</v>
      </c>
      <c r="CN40" s="12" t="s">
        <v>868</v>
      </c>
      <c r="CO40" s="12" t="s">
        <v>868</v>
      </c>
      <c r="CP40" s="12" t="s">
        <v>868</v>
      </c>
      <c r="CQ40" s="12" t="s">
        <v>868</v>
      </c>
      <c r="CR40" s="12" t="s">
        <v>1483</v>
      </c>
      <c r="CS40" s="12" t="s">
        <v>1483</v>
      </c>
      <c r="CT40" s="12" t="s">
        <v>1483</v>
      </c>
    </row>
    <row r="41" spans="1:98" hidden="1" x14ac:dyDescent="0.3">
      <c r="A41" s="12" t="s">
        <v>1484</v>
      </c>
      <c r="B41" s="12" t="s">
        <v>1435</v>
      </c>
      <c r="C41" s="12" t="s">
        <v>1485</v>
      </c>
      <c r="D41" s="12" t="s">
        <v>1486</v>
      </c>
      <c r="E41" s="12" t="s">
        <v>578</v>
      </c>
      <c r="F41" s="12" t="s">
        <v>578</v>
      </c>
      <c r="G41" s="12" t="s">
        <v>578</v>
      </c>
      <c r="H41" s="12" t="s">
        <v>578</v>
      </c>
      <c r="I41" s="12" t="s">
        <v>578</v>
      </c>
      <c r="J41" s="12" t="s">
        <v>578</v>
      </c>
      <c r="K41" s="12" t="s">
        <v>578</v>
      </c>
      <c r="L41" s="12" t="s">
        <v>578</v>
      </c>
      <c r="M41" s="12" t="s">
        <v>578</v>
      </c>
      <c r="N41" s="12" t="s">
        <v>578</v>
      </c>
      <c r="O41" s="12" t="s">
        <v>578</v>
      </c>
      <c r="P41" s="12" t="s">
        <v>578</v>
      </c>
      <c r="Q41" s="12" t="s">
        <v>578</v>
      </c>
      <c r="R41" s="12" t="s">
        <v>578</v>
      </c>
      <c r="S41" s="12" t="s">
        <v>578</v>
      </c>
      <c r="T41" s="12" t="s">
        <v>578</v>
      </c>
      <c r="U41" s="12" t="s">
        <v>578</v>
      </c>
      <c r="V41" s="12" t="s">
        <v>578</v>
      </c>
      <c r="W41" s="12" t="s">
        <v>578</v>
      </c>
      <c r="X41" s="12" t="s">
        <v>578</v>
      </c>
      <c r="Y41" s="12" t="s">
        <v>578</v>
      </c>
      <c r="Z41" s="12" t="s">
        <v>578</v>
      </c>
      <c r="AA41" s="12" t="s">
        <v>578</v>
      </c>
      <c r="AB41" s="12" t="s">
        <v>578</v>
      </c>
      <c r="AC41" s="12" t="s">
        <v>578</v>
      </c>
      <c r="AD41" s="12" t="s">
        <v>578</v>
      </c>
      <c r="AE41" s="12" t="s">
        <v>578</v>
      </c>
      <c r="AF41" s="12" t="s">
        <v>578</v>
      </c>
      <c r="AG41" s="12" t="s">
        <v>578</v>
      </c>
      <c r="AH41" s="12" t="s">
        <v>578</v>
      </c>
      <c r="AI41" s="12" t="s">
        <v>578</v>
      </c>
      <c r="AJ41" s="12" t="s">
        <v>578</v>
      </c>
      <c r="AK41" s="12" t="s">
        <v>578</v>
      </c>
      <c r="AL41" s="12" t="s">
        <v>578</v>
      </c>
      <c r="AM41" s="12" t="s">
        <v>578</v>
      </c>
      <c r="AN41" s="12" t="s">
        <v>578</v>
      </c>
      <c r="AO41" s="12" t="s">
        <v>578</v>
      </c>
      <c r="AP41" s="12" t="s">
        <v>578</v>
      </c>
      <c r="AQ41" s="12" t="s">
        <v>578</v>
      </c>
      <c r="AR41" s="12" t="s">
        <v>578</v>
      </c>
      <c r="AS41" s="12" t="s">
        <v>578</v>
      </c>
      <c r="AT41" s="12" t="s">
        <v>578</v>
      </c>
      <c r="AU41" s="12" t="s">
        <v>578</v>
      </c>
      <c r="AV41" s="12" t="s">
        <v>578</v>
      </c>
      <c r="AW41" s="12" t="s">
        <v>578</v>
      </c>
      <c r="AX41" s="12" t="s">
        <v>578</v>
      </c>
      <c r="AY41" s="12" t="s">
        <v>578</v>
      </c>
      <c r="AZ41" s="12" t="s">
        <v>578</v>
      </c>
      <c r="BA41" s="12" t="s">
        <v>578</v>
      </c>
      <c r="BB41" s="12" t="s">
        <v>578</v>
      </c>
      <c r="BC41" s="12" t="s">
        <v>578</v>
      </c>
      <c r="BD41" s="12" t="s">
        <v>580</v>
      </c>
      <c r="BE41" s="12" t="s">
        <v>580</v>
      </c>
      <c r="BF41" s="12" t="s">
        <v>580</v>
      </c>
      <c r="BG41" s="12" t="s">
        <v>582</v>
      </c>
      <c r="BH41" s="12" t="s">
        <v>755</v>
      </c>
      <c r="BI41" s="12" t="s">
        <v>762</v>
      </c>
      <c r="BJ41" s="12" t="s">
        <v>673</v>
      </c>
      <c r="BK41" s="12" t="s">
        <v>673</v>
      </c>
      <c r="BL41" s="12" t="s">
        <v>808</v>
      </c>
      <c r="BM41" s="12" t="s">
        <v>675</v>
      </c>
      <c r="BN41" s="12" t="s">
        <v>675</v>
      </c>
      <c r="BO41" s="12" t="s">
        <v>585</v>
      </c>
      <c r="BP41" s="12" t="s">
        <v>917</v>
      </c>
      <c r="BQ41" s="12" t="s">
        <v>971</v>
      </c>
      <c r="BR41" s="12" t="s">
        <v>718</v>
      </c>
      <c r="BS41" s="12" t="s">
        <v>633</v>
      </c>
      <c r="BT41" s="12" t="s">
        <v>975</v>
      </c>
      <c r="BU41" s="12" t="s">
        <v>859</v>
      </c>
      <c r="BV41" s="12" t="s">
        <v>862</v>
      </c>
      <c r="BW41" s="12" t="s">
        <v>1354</v>
      </c>
      <c r="BX41" s="12" t="s">
        <v>1487</v>
      </c>
      <c r="BY41" s="12" t="s">
        <v>1048</v>
      </c>
      <c r="BZ41" s="12" t="s">
        <v>1048</v>
      </c>
      <c r="CA41" s="12" t="s">
        <v>1488</v>
      </c>
      <c r="CB41" s="12" t="s">
        <v>1488</v>
      </c>
      <c r="CC41" s="12" t="s">
        <v>1489</v>
      </c>
      <c r="CD41" s="12" t="s">
        <v>1489</v>
      </c>
      <c r="CE41" s="12" t="s">
        <v>922</v>
      </c>
      <c r="CF41" s="12" t="s">
        <v>685</v>
      </c>
      <c r="CG41" s="12" t="s">
        <v>644</v>
      </c>
      <c r="CH41" s="12" t="s">
        <v>1363</v>
      </c>
      <c r="CI41" s="12" t="s">
        <v>1049</v>
      </c>
      <c r="CJ41" s="12" t="s">
        <v>1049</v>
      </c>
      <c r="CK41" s="12" t="s">
        <v>1049</v>
      </c>
      <c r="CL41" s="12" t="s">
        <v>1490</v>
      </c>
      <c r="CM41" s="12" t="s">
        <v>1490</v>
      </c>
      <c r="CN41" s="12" t="s">
        <v>1491</v>
      </c>
      <c r="CO41" s="12" t="s">
        <v>1492</v>
      </c>
      <c r="CP41" s="12" t="s">
        <v>1492</v>
      </c>
      <c r="CQ41" s="12" t="s">
        <v>1493</v>
      </c>
      <c r="CR41" s="12" t="s">
        <v>956</v>
      </c>
      <c r="CS41" s="12" t="s">
        <v>1494</v>
      </c>
      <c r="CT41" s="12" t="s">
        <v>1495</v>
      </c>
    </row>
    <row r="42" spans="1:98" hidden="1" x14ac:dyDescent="0.3">
      <c r="A42" s="12" t="s">
        <v>1496</v>
      </c>
      <c r="B42" s="12" t="s">
        <v>1435</v>
      </c>
      <c r="C42" s="12" t="s">
        <v>1497</v>
      </c>
      <c r="D42" s="12" t="s">
        <v>1498</v>
      </c>
      <c r="E42" s="12" t="s">
        <v>578</v>
      </c>
      <c r="F42" s="12" t="s">
        <v>578</v>
      </c>
      <c r="G42" s="12" t="s">
        <v>578</v>
      </c>
      <c r="H42" s="12" t="s">
        <v>578</v>
      </c>
      <c r="I42" s="12" t="s">
        <v>578</v>
      </c>
      <c r="J42" s="12" t="s">
        <v>578</v>
      </c>
      <c r="K42" s="12" t="s">
        <v>578</v>
      </c>
      <c r="L42" s="12" t="s">
        <v>578</v>
      </c>
      <c r="M42" s="12" t="s">
        <v>578</v>
      </c>
      <c r="N42" s="12" t="s">
        <v>578</v>
      </c>
      <c r="O42" s="12" t="s">
        <v>578</v>
      </c>
      <c r="P42" s="12" t="s">
        <v>578</v>
      </c>
      <c r="Q42" s="12" t="s">
        <v>578</v>
      </c>
      <c r="R42" s="12" t="s">
        <v>578</v>
      </c>
      <c r="S42" s="12" t="s">
        <v>578</v>
      </c>
      <c r="T42" s="12" t="s">
        <v>578</v>
      </c>
      <c r="U42" s="12" t="s">
        <v>578</v>
      </c>
      <c r="V42" s="12" t="s">
        <v>578</v>
      </c>
      <c r="W42" s="12" t="s">
        <v>578</v>
      </c>
      <c r="X42" s="12" t="s">
        <v>578</v>
      </c>
      <c r="Y42" s="12" t="s">
        <v>578</v>
      </c>
      <c r="Z42" s="12" t="s">
        <v>578</v>
      </c>
      <c r="AA42" s="12" t="s">
        <v>578</v>
      </c>
      <c r="AB42" s="12" t="s">
        <v>578</v>
      </c>
      <c r="AC42" s="12" t="s">
        <v>578</v>
      </c>
      <c r="AD42" s="12" t="s">
        <v>578</v>
      </c>
      <c r="AE42" s="12" t="s">
        <v>578</v>
      </c>
      <c r="AF42" s="12" t="s">
        <v>578</v>
      </c>
      <c r="AG42" s="12" t="s">
        <v>578</v>
      </c>
      <c r="AH42" s="12" t="s">
        <v>578</v>
      </c>
      <c r="AI42" s="12" t="s">
        <v>578</v>
      </c>
      <c r="AJ42" s="12" t="s">
        <v>578</v>
      </c>
      <c r="AK42" s="12" t="s">
        <v>578</v>
      </c>
      <c r="AL42" s="12" t="s">
        <v>578</v>
      </c>
      <c r="AM42" s="12" t="s">
        <v>578</v>
      </c>
      <c r="AN42" s="12" t="s">
        <v>578</v>
      </c>
      <c r="AO42" s="12" t="s">
        <v>578</v>
      </c>
      <c r="AP42" s="12" t="s">
        <v>578</v>
      </c>
      <c r="AQ42" s="12" t="s">
        <v>578</v>
      </c>
      <c r="AR42" s="12" t="s">
        <v>578</v>
      </c>
      <c r="AS42" s="12" t="s">
        <v>578</v>
      </c>
      <c r="AT42" s="12" t="s">
        <v>578</v>
      </c>
      <c r="AU42" s="12" t="s">
        <v>578</v>
      </c>
      <c r="AV42" s="12" t="s">
        <v>578</v>
      </c>
      <c r="AW42" s="12" t="s">
        <v>578</v>
      </c>
      <c r="AX42" s="12" t="s">
        <v>578</v>
      </c>
      <c r="AY42" s="12" t="s">
        <v>578</v>
      </c>
      <c r="AZ42" s="12" t="s">
        <v>578</v>
      </c>
      <c r="BA42" s="12" t="s">
        <v>578</v>
      </c>
      <c r="BB42" s="12" t="s">
        <v>579</v>
      </c>
      <c r="BC42" s="12" t="s">
        <v>579</v>
      </c>
      <c r="BD42" s="12" t="s">
        <v>579</v>
      </c>
      <c r="BE42" s="12" t="s">
        <v>579</v>
      </c>
      <c r="BF42" s="12" t="s">
        <v>623</v>
      </c>
      <c r="BG42" s="12" t="s">
        <v>851</v>
      </c>
      <c r="BH42" s="12" t="s">
        <v>755</v>
      </c>
      <c r="BI42" s="12" t="s">
        <v>583</v>
      </c>
      <c r="BJ42" s="12" t="s">
        <v>583</v>
      </c>
      <c r="BK42" s="12" t="s">
        <v>583</v>
      </c>
      <c r="BL42" s="12" t="s">
        <v>673</v>
      </c>
      <c r="BM42" s="12" t="s">
        <v>673</v>
      </c>
      <c r="BN42" s="12" t="s">
        <v>673</v>
      </c>
      <c r="BO42" s="12" t="s">
        <v>808</v>
      </c>
      <c r="BP42" s="12" t="s">
        <v>808</v>
      </c>
      <c r="BQ42" s="12" t="s">
        <v>627</v>
      </c>
      <c r="BR42" s="12" t="s">
        <v>768</v>
      </c>
      <c r="BS42" s="12" t="s">
        <v>630</v>
      </c>
      <c r="BT42" s="12" t="s">
        <v>973</v>
      </c>
      <c r="BU42" s="12" t="s">
        <v>770</v>
      </c>
      <c r="BV42" s="12" t="s">
        <v>634</v>
      </c>
      <c r="BW42" s="12" t="s">
        <v>1184</v>
      </c>
      <c r="BX42" s="12" t="s">
        <v>857</v>
      </c>
      <c r="BY42" s="12" t="s">
        <v>857</v>
      </c>
      <c r="BZ42" s="12" t="s">
        <v>857</v>
      </c>
      <c r="CA42" s="12" t="s">
        <v>978</v>
      </c>
      <c r="CB42" s="12" t="s">
        <v>862</v>
      </c>
      <c r="CC42" s="12" t="s">
        <v>864</v>
      </c>
      <c r="CD42" s="12" t="s">
        <v>864</v>
      </c>
      <c r="CE42" s="12" t="s">
        <v>1499</v>
      </c>
      <c r="CF42" s="12" t="s">
        <v>872</v>
      </c>
      <c r="CG42" s="12" t="s">
        <v>872</v>
      </c>
      <c r="CH42" s="12" t="s">
        <v>1353</v>
      </c>
      <c r="CI42" s="12" t="s">
        <v>1500</v>
      </c>
      <c r="CJ42" s="12" t="s">
        <v>1500</v>
      </c>
      <c r="CK42" s="12" t="s">
        <v>1417</v>
      </c>
      <c r="CL42" s="12" t="s">
        <v>1417</v>
      </c>
      <c r="CM42" s="12" t="s">
        <v>1417</v>
      </c>
      <c r="CN42" s="12" t="s">
        <v>1417</v>
      </c>
      <c r="CO42" s="12" t="s">
        <v>1501</v>
      </c>
      <c r="CP42" s="12" t="s">
        <v>1501</v>
      </c>
      <c r="CQ42" s="12" t="s">
        <v>1501</v>
      </c>
      <c r="CR42" s="12" t="s">
        <v>1501</v>
      </c>
      <c r="CS42" s="12" t="s">
        <v>1501</v>
      </c>
      <c r="CT42" s="12" t="s">
        <v>1501</v>
      </c>
    </row>
    <row r="43" spans="1:98" hidden="1" x14ac:dyDescent="0.3">
      <c r="A43" s="12" t="s">
        <v>1502</v>
      </c>
      <c r="B43" s="12" t="s">
        <v>1435</v>
      </c>
      <c r="C43" s="12" t="s">
        <v>1503</v>
      </c>
      <c r="D43" s="12" t="s">
        <v>1504</v>
      </c>
      <c r="E43" s="12" t="s">
        <v>578</v>
      </c>
      <c r="F43" s="12" t="s">
        <v>578</v>
      </c>
      <c r="G43" s="12" t="s">
        <v>578</v>
      </c>
      <c r="H43" s="12" t="s">
        <v>578</v>
      </c>
      <c r="I43" s="12" t="s">
        <v>578</v>
      </c>
      <c r="J43" s="12" t="s">
        <v>578</v>
      </c>
      <c r="K43" s="12" t="s">
        <v>578</v>
      </c>
      <c r="L43" s="12" t="s">
        <v>578</v>
      </c>
      <c r="M43" s="12" t="s">
        <v>578</v>
      </c>
      <c r="N43" s="12" t="s">
        <v>578</v>
      </c>
      <c r="O43" s="12" t="s">
        <v>578</v>
      </c>
      <c r="P43" s="12" t="s">
        <v>578</v>
      </c>
      <c r="Q43" s="12" t="s">
        <v>578</v>
      </c>
      <c r="R43" s="12" t="s">
        <v>578</v>
      </c>
      <c r="S43" s="12" t="s">
        <v>578</v>
      </c>
      <c r="T43" s="12" t="s">
        <v>578</v>
      </c>
      <c r="U43" s="12" t="s">
        <v>578</v>
      </c>
      <c r="V43" s="12" t="s">
        <v>578</v>
      </c>
      <c r="W43" s="12" t="s">
        <v>578</v>
      </c>
      <c r="X43" s="12" t="s">
        <v>578</v>
      </c>
      <c r="Y43" s="12" t="s">
        <v>578</v>
      </c>
      <c r="Z43" s="12" t="s">
        <v>578</v>
      </c>
      <c r="AA43" s="12" t="s">
        <v>578</v>
      </c>
      <c r="AB43" s="12" t="s">
        <v>578</v>
      </c>
      <c r="AC43" s="12" t="s">
        <v>578</v>
      </c>
      <c r="AD43" s="12" t="s">
        <v>578</v>
      </c>
      <c r="AE43" s="12" t="s">
        <v>578</v>
      </c>
      <c r="AF43" s="12" t="s">
        <v>578</v>
      </c>
      <c r="AG43" s="12" t="s">
        <v>578</v>
      </c>
      <c r="AH43" s="12" t="s">
        <v>578</v>
      </c>
      <c r="AI43" s="12" t="s">
        <v>578</v>
      </c>
      <c r="AJ43" s="12" t="s">
        <v>578</v>
      </c>
      <c r="AK43" s="12" t="s">
        <v>578</v>
      </c>
      <c r="AL43" s="12" t="s">
        <v>578</v>
      </c>
      <c r="AM43" s="12" t="s">
        <v>578</v>
      </c>
      <c r="AN43" s="12" t="s">
        <v>578</v>
      </c>
      <c r="AO43" s="12" t="s">
        <v>578</v>
      </c>
      <c r="AP43" s="12" t="s">
        <v>578</v>
      </c>
      <c r="AQ43" s="12" t="s">
        <v>578</v>
      </c>
      <c r="AR43" s="12" t="s">
        <v>578</v>
      </c>
      <c r="AS43" s="12" t="s">
        <v>578</v>
      </c>
      <c r="AT43" s="12" t="s">
        <v>578</v>
      </c>
      <c r="AU43" s="12" t="s">
        <v>578</v>
      </c>
      <c r="AV43" s="12" t="s">
        <v>578</v>
      </c>
      <c r="AW43" s="12" t="s">
        <v>578</v>
      </c>
      <c r="AX43" s="12" t="s">
        <v>578</v>
      </c>
      <c r="AY43" s="12" t="s">
        <v>578</v>
      </c>
      <c r="AZ43" s="12" t="s">
        <v>578</v>
      </c>
      <c r="BA43" s="12" t="s">
        <v>578</v>
      </c>
      <c r="BB43" s="12" t="s">
        <v>578</v>
      </c>
      <c r="BC43" s="12" t="s">
        <v>578</v>
      </c>
      <c r="BD43" s="12" t="s">
        <v>578</v>
      </c>
      <c r="BE43" s="12" t="s">
        <v>578</v>
      </c>
      <c r="BF43" s="12" t="s">
        <v>579</v>
      </c>
      <c r="BG43" s="12" t="s">
        <v>579</v>
      </c>
      <c r="BH43" s="12" t="s">
        <v>672</v>
      </c>
      <c r="BI43" s="12" t="s">
        <v>672</v>
      </c>
      <c r="BJ43" s="12" t="s">
        <v>672</v>
      </c>
      <c r="BK43" s="12" t="s">
        <v>580</v>
      </c>
      <c r="BL43" s="12" t="s">
        <v>851</v>
      </c>
      <c r="BM43" s="12" t="s">
        <v>761</v>
      </c>
      <c r="BN43" s="12" t="s">
        <v>587</v>
      </c>
      <c r="BO43" s="12" t="s">
        <v>917</v>
      </c>
      <c r="BP43" s="12" t="s">
        <v>917</v>
      </c>
      <c r="BQ43" s="12" t="s">
        <v>976</v>
      </c>
      <c r="BR43" s="12" t="s">
        <v>863</v>
      </c>
      <c r="BS43" s="12" t="s">
        <v>593</v>
      </c>
      <c r="BT43" s="12" t="s">
        <v>1356</v>
      </c>
      <c r="BU43" s="12" t="s">
        <v>1505</v>
      </c>
      <c r="BV43" s="12" t="s">
        <v>1185</v>
      </c>
      <c r="BW43" s="12" t="s">
        <v>1026</v>
      </c>
      <c r="BX43" s="12" t="s">
        <v>1263</v>
      </c>
      <c r="BY43" s="12" t="s">
        <v>984</v>
      </c>
      <c r="BZ43" s="12" t="s">
        <v>984</v>
      </c>
      <c r="CA43" s="12" t="s">
        <v>1489</v>
      </c>
      <c r="CB43" s="12" t="s">
        <v>1506</v>
      </c>
      <c r="CC43" s="12" t="s">
        <v>1127</v>
      </c>
      <c r="CD43" s="12" t="s">
        <v>1127</v>
      </c>
      <c r="CE43" s="12" t="s">
        <v>1507</v>
      </c>
      <c r="CF43" s="12" t="s">
        <v>1209</v>
      </c>
      <c r="CG43" s="12" t="s">
        <v>1508</v>
      </c>
      <c r="CH43" s="12" t="s">
        <v>1363</v>
      </c>
      <c r="CI43" s="12" t="s">
        <v>1509</v>
      </c>
      <c r="CJ43" s="12" t="s">
        <v>1509</v>
      </c>
      <c r="CK43" s="12" t="s">
        <v>1510</v>
      </c>
      <c r="CL43" s="12" t="s">
        <v>1511</v>
      </c>
      <c r="CM43" s="12" t="s">
        <v>1128</v>
      </c>
      <c r="CN43" s="12" t="s">
        <v>956</v>
      </c>
      <c r="CO43" s="12" t="s">
        <v>956</v>
      </c>
      <c r="CP43" s="12" t="s">
        <v>956</v>
      </c>
      <c r="CQ43" s="12" t="s">
        <v>956</v>
      </c>
      <c r="CR43" s="12" t="s">
        <v>1128</v>
      </c>
      <c r="CS43" s="12" t="s">
        <v>1128</v>
      </c>
      <c r="CT43" s="12" t="s">
        <v>1128</v>
      </c>
    </row>
    <row r="44" spans="1:98" hidden="1" x14ac:dyDescent="0.3">
      <c r="A44" s="12" t="s">
        <v>1512</v>
      </c>
      <c r="B44" s="12" t="s">
        <v>1435</v>
      </c>
      <c r="C44" s="12" t="s">
        <v>1513</v>
      </c>
      <c r="D44" s="12" t="s">
        <v>1514</v>
      </c>
      <c r="E44" s="12" t="s">
        <v>578</v>
      </c>
      <c r="F44" s="12" t="s">
        <v>578</v>
      </c>
      <c r="G44" s="12" t="s">
        <v>578</v>
      </c>
      <c r="H44" s="12" t="s">
        <v>578</v>
      </c>
      <c r="I44" s="12" t="s">
        <v>578</v>
      </c>
      <c r="J44" s="12" t="s">
        <v>578</v>
      </c>
      <c r="K44" s="12" t="s">
        <v>578</v>
      </c>
      <c r="L44" s="12" t="s">
        <v>578</v>
      </c>
      <c r="M44" s="12" t="s">
        <v>578</v>
      </c>
      <c r="N44" s="12" t="s">
        <v>578</v>
      </c>
      <c r="O44" s="12" t="s">
        <v>578</v>
      </c>
      <c r="P44" s="12" t="s">
        <v>578</v>
      </c>
      <c r="Q44" s="12" t="s">
        <v>578</v>
      </c>
      <c r="R44" s="12" t="s">
        <v>578</v>
      </c>
      <c r="S44" s="12" t="s">
        <v>578</v>
      </c>
      <c r="T44" s="12" t="s">
        <v>578</v>
      </c>
      <c r="U44" s="12" t="s">
        <v>578</v>
      </c>
      <c r="V44" s="12" t="s">
        <v>578</v>
      </c>
      <c r="W44" s="12" t="s">
        <v>578</v>
      </c>
      <c r="X44" s="12" t="s">
        <v>578</v>
      </c>
      <c r="Y44" s="12" t="s">
        <v>578</v>
      </c>
      <c r="Z44" s="12" t="s">
        <v>578</v>
      </c>
      <c r="AA44" s="12" t="s">
        <v>578</v>
      </c>
      <c r="AB44" s="12" t="s">
        <v>578</v>
      </c>
      <c r="AC44" s="12" t="s">
        <v>578</v>
      </c>
      <c r="AD44" s="12" t="s">
        <v>578</v>
      </c>
      <c r="AE44" s="12" t="s">
        <v>578</v>
      </c>
      <c r="AF44" s="12" t="s">
        <v>578</v>
      </c>
      <c r="AG44" s="12" t="s">
        <v>578</v>
      </c>
      <c r="AH44" s="12" t="s">
        <v>578</v>
      </c>
      <c r="AI44" s="12" t="s">
        <v>578</v>
      </c>
      <c r="AJ44" s="12" t="s">
        <v>578</v>
      </c>
      <c r="AK44" s="12" t="s">
        <v>578</v>
      </c>
      <c r="AL44" s="12" t="s">
        <v>578</v>
      </c>
      <c r="AM44" s="12" t="s">
        <v>578</v>
      </c>
      <c r="AN44" s="12" t="s">
        <v>578</v>
      </c>
      <c r="AO44" s="12" t="s">
        <v>578</v>
      </c>
      <c r="AP44" s="12" t="s">
        <v>578</v>
      </c>
      <c r="AQ44" s="12" t="s">
        <v>578</v>
      </c>
      <c r="AR44" s="12" t="s">
        <v>578</v>
      </c>
      <c r="AS44" s="12" t="s">
        <v>578</v>
      </c>
      <c r="AT44" s="12" t="s">
        <v>578</v>
      </c>
      <c r="AU44" s="12" t="s">
        <v>578</v>
      </c>
      <c r="AV44" s="12" t="s">
        <v>578</v>
      </c>
      <c r="AW44" s="12" t="s">
        <v>578</v>
      </c>
      <c r="AX44" s="12" t="s">
        <v>578</v>
      </c>
      <c r="AY44" s="12" t="s">
        <v>578</v>
      </c>
      <c r="AZ44" s="12" t="s">
        <v>578</v>
      </c>
      <c r="BA44" s="12" t="s">
        <v>578</v>
      </c>
      <c r="BB44" s="12" t="s">
        <v>578</v>
      </c>
      <c r="BC44" s="12" t="s">
        <v>578</v>
      </c>
      <c r="BD44" s="12" t="s">
        <v>578</v>
      </c>
      <c r="BE44" s="12" t="s">
        <v>578</v>
      </c>
      <c r="BF44" s="12" t="s">
        <v>578</v>
      </c>
      <c r="BG44" s="12" t="s">
        <v>581</v>
      </c>
      <c r="BH44" s="12" t="s">
        <v>582</v>
      </c>
      <c r="BI44" s="12" t="s">
        <v>625</v>
      </c>
      <c r="BJ44" s="12" t="s">
        <v>756</v>
      </c>
      <c r="BK44" s="12" t="s">
        <v>762</v>
      </c>
      <c r="BL44" s="12" t="s">
        <v>585</v>
      </c>
      <c r="BM44" s="12" t="s">
        <v>869</v>
      </c>
      <c r="BN44" s="12" t="s">
        <v>1046</v>
      </c>
      <c r="BO44" s="12" t="s">
        <v>630</v>
      </c>
      <c r="BP44" s="12" t="s">
        <v>770</v>
      </c>
      <c r="BQ44" s="12" t="s">
        <v>1120</v>
      </c>
      <c r="BR44" s="12" t="s">
        <v>682</v>
      </c>
      <c r="BS44" s="12" t="s">
        <v>592</v>
      </c>
      <c r="BT44" s="12" t="s">
        <v>980</v>
      </c>
      <c r="BU44" s="12" t="s">
        <v>1354</v>
      </c>
      <c r="BV44" s="12" t="s">
        <v>1515</v>
      </c>
      <c r="BW44" s="12" t="s">
        <v>1516</v>
      </c>
      <c r="BX44" s="12" t="s">
        <v>1422</v>
      </c>
      <c r="BY44" s="12" t="s">
        <v>987</v>
      </c>
      <c r="BZ44" s="12" t="s">
        <v>1517</v>
      </c>
      <c r="CA44" s="12" t="s">
        <v>1494</v>
      </c>
      <c r="CB44" s="12" t="s">
        <v>1364</v>
      </c>
      <c r="CC44" s="12" t="s">
        <v>1518</v>
      </c>
      <c r="CD44" s="12" t="s">
        <v>1518</v>
      </c>
      <c r="CE44" s="12" t="s">
        <v>1519</v>
      </c>
      <c r="CF44" s="12" t="s">
        <v>820</v>
      </c>
      <c r="CG44" s="12" t="s">
        <v>733</v>
      </c>
      <c r="CH44" s="12" t="s">
        <v>1520</v>
      </c>
      <c r="CI44" s="12" t="s">
        <v>1521</v>
      </c>
      <c r="CJ44" s="12" t="s">
        <v>1038</v>
      </c>
      <c r="CK44" s="12" t="s">
        <v>1373</v>
      </c>
      <c r="CL44" s="12" t="s">
        <v>1285</v>
      </c>
      <c r="CM44" s="12" t="s">
        <v>1522</v>
      </c>
      <c r="CN44" s="12" t="s">
        <v>1523</v>
      </c>
      <c r="CO44" s="12" t="s">
        <v>1379</v>
      </c>
      <c r="CP44" s="12" t="s">
        <v>1524</v>
      </c>
      <c r="CQ44" s="12" t="s">
        <v>1525</v>
      </c>
      <c r="CR44" s="12" t="s">
        <v>1526</v>
      </c>
      <c r="CS44" s="12" t="s">
        <v>1527</v>
      </c>
      <c r="CT44" s="12" t="s">
        <v>1483</v>
      </c>
    </row>
    <row r="45" spans="1:98" hidden="1" x14ac:dyDescent="0.3">
      <c r="A45" s="12" t="s">
        <v>1528</v>
      </c>
      <c r="B45" s="12" t="s">
        <v>1435</v>
      </c>
      <c r="C45" s="12" t="s">
        <v>1529</v>
      </c>
      <c r="D45" s="12" t="s">
        <v>1530</v>
      </c>
      <c r="E45" s="12" t="s">
        <v>578</v>
      </c>
      <c r="F45" s="12" t="s">
        <v>578</v>
      </c>
      <c r="G45" s="12" t="s">
        <v>578</v>
      </c>
      <c r="H45" s="12" t="s">
        <v>578</v>
      </c>
      <c r="I45" s="12" t="s">
        <v>579</v>
      </c>
      <c r="J45" s="12" t="s">
        <v>579</v>
      </c>
      <c r="K45" s="12" t="s">
        <v>579</v>
      </c>
      <c r="L45" s="12" t="s">
        <v>579</v>
      </c>
      <c r="M45" s="12" t="s">
        <v>579</v>
      </c>
      <c r="N45" s="12" t="s">
        <v>672</v>
      </c>
      <c r="O45" s="12" t="s">
        <v>672</v>
      </c>
      <c r="P45" s="12" t="s">
        <v>672</v>
      </c>
      <c r="Q45" s="12" t="s">
        <v>672</v>
      </c>
      <c r="R45" s="12" t="s">
        <v>672</v>
      </c>
      <c r="S45" s="12" t="s">
        <v>672</v>
      </c>
      <c r="T45" s="12" t="s">
        <v>672</v>
      </c>
      <c r="U45" s="12" t="s">
        <v>672</v>
      </c>
      <c r="V45" s="12" t="s">
        <v>672</v>
      </c>
      <c r="W45" s="12" t="s">
        <v>672</v>
      </c>
      <c r="X45" s="12" t="s">
        <v>672</v>
      </c>
      <c r="Y45" s="12" t="s">
        <v>672</v>
      </c>
      <c r="Z45" s="12" t="s">
        <v>672</v>
      </c>
      <c r="AA45" s="12" t="s">
        <v>672</v>
      </c>
      <c r="AB45" s="12" t="s">
        <v>672</v>
      </c>
      <c r="AC45" s="12" t="s">
        <v>672</v>
      </c>
      <c r="AD45" s="12" t="s">
        <v>672</v>
      </c>
      <c r="AE45" s="12" t="s">
        <v>672</v>
      </c>
      <c r="AF45" s="12" t="s">
        <v>672</v>
      </c>
      <c r="AG45" s="12" t="s">
        <v>672</v>
      </c>
      <c r="AH45" s="12" t="s">
        <v>672</v>
      </c>
      <c r="AI45" s="12" t="s">
        <v>672</v>
      </c>
      <c r="AJ45" s="12" t="s">
        <v>672</v>
      </c>
      <c r="AK45" s="12" t="s">
        <v>672</v>
      </c>
      <c r="AL45" s="12" t="s">
        <v>580</v>
      </c>
      <c r="AM45" s="12" t="s">
        <v>580</v>
      </c>
      <c r="AN45" s="12" t="s">
        <v>580</v>
      </c>
      <c r="AO45" s="12" t="s">
        <v>851</v>
      </c>
      <c r="AP45" s="12" t="s">
        <v>851</v>
      </c>
      <c r="AQ45" s="12" t="s">
        <v>583</v>
      </c>
      <c r="AR45" s="12" t="s">
        <v>762</v>
      </c>
      <c r="AS45" s="12" t="s">
        <v>808</v>
      </c>
      <c r="AT45" s="12" t="s">
        <v>675</v>
      </c>
      <c r="AU45" s="12" t="s">
        <v>675</v>
      </c>
      <c r="AV45" s="12" t="s">
        <v>586</v>
      </c>
      <c r="AW45" s="12" t="s">
        <v>757</v>
      </c>
      <c r="AX45" s="12" t="s">
        <v>869</v>
      </c>
      <c r="AY45" s="12" t="s">
        <v>953</v>
      </c>
      <c r="AZ45" s="12" t="s">
        <v>767</v>
      </c>
      <c r="BA45" s="12" t="s">
        <v>971</v>
      </c>
      <c r="BB45" s="12" t="s">
        <v>1046</v>
      </c>
      <c r="BC45" s="12" t="s">
        <v>629</v>
      </c>
      <c r="BD45" s="12" t="s">
        <v>589</v>
      </c>
      <c r="BE45" s="12" t="s">
        <v>771</v>
      </c>
      <c r="BF45" s="12" t="s">
        <v>637</v>
      </c>
      <c r="BG45" s="12" t="s">
        <v>1531</v>
      </c>
      <c r="BH45" s="12" t="s">
        <v>1532</v>
      </c>
      <c r="BI45" s="12" t="s">
        <v>922</v>
      </c>
      <c r="BJ45" s="12" t="s">
        <v>956</v>
      </c>
      <c r="BK45" s="12" t="s">
        <v>728</v>
      </c>
      <c r="BL45" s="12" t="s">
        <v>650</v>
      </c>
      <c r="BM45" s="12" t="s">
        <v>1533</v>
      </c>
      <c r="BN45" s="12" t="s">
        <v>1371</v>
      </c>
      <c r="BO45" s="12" t="s">
        <v>1534</v>
      </c>
      <c r="BP45" s="12" t="s">
        <v>1139</v>
      </c>
      <c r="BQ45" s="12" t="s">
        <v>1291</v>
      </c>
      <c r="BR45" s="12" t="s">
        <v>1535</v>
      </c>
      <c r="BS45" s="12" t="s">
        <v>1536</v>
      </c>
      <c r="BT45" s="12" t="s">
        <v>1537</v>
      </c>
      <c r="BU45" s="12" t="s">
        <v>1538</v>
      </c>
      <c r="BV45" s="12" t="s">
        <v>1539</v>
      </c>
      <c r="BW45" s="12" t="s">
        <v>1540</v>
      </c>
      <c r="BX45" s="12" t="s">
        <v>1541</v>
      </c>
      <c r="BY45" s="12" t="s">
        <v>1542</v>
      </c>
      <c r="BZ45" s="12" t="s">
        <v>1543</v>
      </c>
      <c r="CA45" s="12" t="s">
        <v>1544</v>
      </c>
      <c r="CB45" s="12" t="s">
        <v>1545</v>
      </c>
      <c r="CC45" s="12" t="s">
        <v>1546</v>
      </c>
      <c r="CD45" s="12" t="s">
        <v>1547</v>
      </c>
      <c r="CE45" s="12" t="s">
        <v>1548</v>
      </c>
      <c r="CF45" s="12" t="s">
        <v>1549</v>
      </c>
      <c r="CG45" s="12" t="s">
        <v>1550</v>
      </c>
      <c r="CH45" s="12" t="s">
        <v>1551</v>
      </c>
      <c r="CI45" s="12" t="s">
        <v>244</v>
      </c>
      <c r="CJ45" s="12" t="s">
        <v>1552</v>
      </c>
      <c r="CK45" s="12" t="s">
        <v>1553</v>
      </c>
      <c r="CL45" s="12" t="s">
        <v>1554</v>
      </c>
      <c r="CM45" s="12" t="s">
        <v>1555</v>
      </c>
      <c r="CN45" s="12" t="s">
        <v>1556</v>
      </c>
      <c r="CO45" s="12" t="s">
        <v>1557</v>
      </c>
      <c r="CP45" s="12" t="s">
        <v>1558</v>
      </c>
      <c r="CQ45" s="12" t="s">
        <v>1559</v>
      </c>
      <c r="CR45" s="12" t="s">
        <v>1560</v>
      </c>
      <c r="CS45" s="12" t="s">
        <v>1561</v>
      </c>
      <c r="CT45" s="12" t="s">
        <v>1562</v>
      </c>
    </row>
    <row r="46" spans="1:98" hidden="1" x14ac:dyDescent="0.3">
      <c r="A46" s="12" t="s">
        <v>1563</v>
      </c>
      <c r="B46" s="12" t="s">
        <v>1435</v>
      </c>
      <c r="C46" s="12" t="s">
        <v>1564</v>
      </c>
      <c r="D46" s="12" t="s">
        <v>1565</v>
      </c>
      <c r="E46" s="12" t="s">
        <v>578</v>
      </c>
      <c r="F46" s="12" t="s">
        <v>578</v>
      </c>
      <c r="G46" s="12" t="s">
        <v>578</v>
      </c>
      <c r="H46" s="12" t="s">
        <v>578</v>
      </c>
      <c r="I46" s="12" t="s">
        <v>578</v>
      </c>
      <c r="J46" s="12" t="s">
        <v>578</v>
      </c>
      <c r="K46" s="12" t="s">
        <v>578</v>
      </c>
      <c r="L46" s="12" t="s">
        <v>578</v>
      </c>
      <c r="M46" s="12" t="s">
        <v>578</v>
      </c>
      <c r="N46" s="12" t="s">
        <v>578</v>
      </c>
      <c r="O46" s="12" t="s">
        <v>578</v>
      </c>
      <c r="P46" s="12" t="s">
        <v>578</v>
      </c>
      <c r="Q46" s="12" t="s">
        <v>578</v>
      </c>
      <c r="R46" s="12" t="s">
        <v>578</v>
      </c>
      <c r="S46" s="12" t="s">
        <v>578</v>
      </c>
      <c r="T46" s="12" t="s">
        <v>578</v>
      </c>
      <c r="U46" s="12" t="s">
        <v>578</v>
      </c>
      <c r="V46" s="12" t="s">
        <v>578</v>
      </c>
      <c r="W46" s="12" t="s">
        <v>578</v>
      </c>
      <c r="X46" s="12" t="s">
        <v>578</v>
      </c>
      <c r="Y46" s="12" t="s">
        <v>578</v>
      </c>
      <c r="Z46" s="12" t="s">
        <v>578</v>
      </c>
      <c r="AA46" s="12" t="s">
        <v>578</v>
      </c>
      <c r="AB46" s="12" t="s">
        <v>578</v>
      </c>
      <c r="AC46" s="12" t="s">
        <v>578</v>
      </c>
      <c r="AD46" s="12" t="s">
        <v>578</v>
      </c>
      <c r="AE46" s="12" t="s">
        <v>578</v>
      </c>
      <c r="AF46" s="12" t="s">
        <v>578</v>
      </c>
      <c r="AG46" s="12" t="s">
        <v>578</v>
      </c>
      <c r="AH46" s="12" t="s">
        <v>578</v>
      </c>
      <c r="AI46" s="12" t="s">
        <v>578</v>
      </c>
      <c r="AJ46" s="12" t="s">
        <v>578</v>
      </c>
      <c r="AK46" s="12" t="s">
        <v>578</v>
      </c>
      <c r="AL46" s="12" t="s">
        <v>578</v>
      </c>
      <c r="AM46" s="12" t="s">
        <v>578</v>
      </c>
      <c r="AN46" s="12" t="s">
        <v>578</v>
      </c>
      <c r="AO46" s="12" t="s">
        <v>578</v>
      </c>
      <c r="AP46" s="12" t="s">
        <v>578</v>
      </c>
      <c r="AQ46" s="12" t="s">
        <v>578</v>
      </c>
      <c r="AR46" s="12" t="s">
        <v>578</v>
      </c>
      <c r="AS46" s="12" t="s">
        <v>578</v>
      </c>
      <c r="AT46" s="12" t="s">
        <v>578</v>
      </c>
      <c r="AU46" s="12" t="s">
        <v>578</v>
      </c>
      <c r="AV46" s="12" t="s">
        <v>578</v>
      </c>
      <c r="AW46" s="12" t="s">
        <v>578</v>
      </c>
      <c r="AX46" s="12" t="s">
        <v>578</v>
      </c>
      <c r="AY46" s="12" t="s">
        <v>578</v>
      </c>
      <c r="AZ46" s="12" t="s">
        <v>578</v>
      </c>
      <c r="BA46" s="12" t="s">
        <v>578</v>
      </c>
      <c r="BB46" s="12" t="s">
        <v>578</v>
      </c>
      <c r="BC46" s="12" t="s">
        <v>578</v>
      </c>
      <c r="BD46" s="12" t="s">
        <v>578</v>
      </c>
      <c r="BE46" s="12" t="s">
        <v>578</v>
      </c>
      <c r="BF46" s="12" t="s">
        <v>579</v>
      </c>
      <c r="BG46" s="12" t="s">
        <v>579</v>
      </c>
      <c r="BH46" s="12" t="s">
        <v>579</v>
      </c>
      <c r="BI46" s="12" t="s">
        <v>579</v>
      </c>
      <c r="BJ46" s="12" t="s">
        <v>623</v>
      </c>
      <c r="BK46" s="12" t="s">
        <v>623</v>
      </c>
      <c r="BL46" s="12" t="s">
        <v>623</v>
      </c>
      <c r="BM46" s="12" t="s">
        <v>672</v>
      </c>
      <c r="BN46" s="12" t="s">
        <v>672</v>
      </c>
      <c r="BO46" s="12" t="s">
        <v>672</v>
      </c>
      <c r="BP46" s="12" t="s">
        <v>581</v>
      </c>
      <c r="BQ46" s="12" t="s">
        <v>581</v>
      </c>
      <c r="BR46" s="12" t="s">
        <v>761</v>
      </c>
      <c r="BS46" s="12" t="s">
        <v>583</v>
      </c>
      <c r="BT46" s="12" t="s">
        <v>583</v>
      </c>
      <c r="BU46" s="12" t="s">
        <v>808</v>
      </c>
      <c r="BV46" s="12" t="s">
        <v>585</v>
      </c>
      <c r="BW46" s="12" t="s">
        <v>585</v>
      </c>
      <c r="BX46" s="12" t="s">
        <v>586</v>
      </c>
      <c r="BY46" s="12" t="s">
        <v>586</v>
      </c>
      <c r="BZ46" s="12" t="s">
        <v>586</v>
      </c>
      <c r="CA46" s="12" t="s">
        <v>586</v>
      </c>
      <c r="CB46" s="12" t="s">
        <v>586</v>
      </c>
      <c r="CC46" s="12" t="s">
        <v>586</v>
      </c>
      <c r="CD46" s="12" t="s">
        <v>757</v>
      </c>
      <c r="CE46" s="12" t="s">
        <v>757</v>
      </c>
      <c r="CF46" s="12" t="s">
        <v>757</v>
      </c>
      <c r="CG46" s="12" t="s">
        <v>757</v>
      </c>
      <c r="CH46" s="12" t="s">
        <v>757</v>
      </c>
      <c r="CI46" s="12" t="s">
        <v>757</v>
      </c>
      <c r="CJ46" s="12" t="s">
        <v>757</v>
      </c>
      <c r="CK46" s="12" t="s">
        <v>676</v>
      </c>
      <c r="CL46" s="12" t="s">
        <v>676</v>
      </c>
      <c r="CM46" s="12" t="s">
        <v>676</v>
      </c>
      <c r="CN46" s="12" t="s">
        <v>676</v>
      </c>
      <c r="CO46" s="12" t="s">
        <v>676</v>
      </c>
      <c r="CP46" s="12" t="s">
        <v>676</v>
      </c>
      <c r="CQ46" s="12" t="s">
        <v>676</v>
      </c>
      <c r="CR46" s="12" t="s">
        <v>676</v>
      </c>
      <c r="CS46" s="12" t="s">
        <v>676</v>
      </c>
      <c r="CT46" s="12" t="s">
        <v>676</v>
      </c>
    </row>
    <row r="47" spans="1:98" hidden="1" x14ac:dyDescent="0.3">
      <c r="A47" s="12" t="s">
        <v>1566</v>
      </c>
      <c r="B47" s="12" t="s">
        <v>1435</v>
      </c>
      <c r="C47" s="12" t="s">
        <v>1567</v>
      </c>
      <c r="D47" s="12" t="s">
        <v>1568</v>
      </c>
      <c r="E47" s="12" t="s">
        <v>578</v>
      </c>
      <c r="F47" s="12" t="s">
        <v>578</v>
      </c>
      <c r="G47" s="12" t="s">
        <v>578</v>
      </c>
      <c r="H47" s="12" t="s">
        <v>578</v>
      </c>
      <c r="I47" s="12" t="s">
        <v>578</v>
      </c>
      <c r="J47" s="12" t="s">
        <v>578</v>
      </c>
      <c r="K47" s="12" t="s">
        <v>578</v>
      </c>
      <c r="L47" s="12" t="s">
        <v>578</v>
      </c>
      <c r="M47" s="12" t="s">
        <v>578</v>
      </c>
      <c r="N47" s="12" t="s">
        <v>578</v>
      </c>
      <c r="O47" s="12" t="s">
        <v>578</v>
      </c>
      <c r="P47" s="12" t="s">
        <v>578</v>
      </c>
      <c r="Q47" s="12" t="s">
        <v>578</v>
      </c>
      <c r="R47" s="12" t="s">
        <v>578</v>
      </c>
      <c r="S47" s="12" t="s">
        <v>578</v>
      </c>
      <c r="T47" s="12" t="s">
        <v>578</v>
      </c>
      <c r="U47" s="12" t="s">
        <v>578</v>
      </c>
      <c r="V47" s="12" t="s">
        <v>578</v>
      </c>
      <c r="W47" s="12" t="s">
        <v>578</v>
      </c>
      <c r="X47" s="12" t="s">
        <v>578</v>
      </c>
      <c r="Y47" s="12" t="s">
        <v>578</v>
      </c>
      <c r="Z47" s="12" t="s">
        <v>578</v>
      </c>
      <c r="AA47" s="12" t="s">
        <v>578</v>
      </c>
      <c r="AB47" s="12" t="s">
        <v>578</v>
      </c>
      <c r="AC47" s="12" t="s">
        <v>578</v>
      </c>
      <c r="AD47" s="12" t="s">
        <v>578</v>
      </c>
      <c r="AE47" s="12" t="s">
        <v>578</v>
      </c>
      <c r="AF47" s="12" t="s">
        <v>578</v>
      </c>
      <c r="AG47" s="12" t="s">
        <v>578</v>
      </c>
      <c r="AH47" s="12" t="s">
        <v>578</v>
      </c>
      <c r="AI47" s="12" t="s">
        <v>578</v>
      </c>
      <c r="AJ47" s="12" t="s">
        <v>578</v>
      </c>
      <c r="AK47" s="12" t="s">
        <v>578</v>
      </c>
      <c r="AL47" s="12" t="s">
        <v>578</v>
      </c>
      <c r="AM47" s="12" t="s">
        <v>578</v>
      </c>
      <c r="AN47" s="12" t="s">
        <v>578</v>
      </c>
      <c r="AO47" s="12" t="s">
        <v>578</v>
      </c>
      <c r="AP47" s="12" t="s">
        <v>579</v>
      </c>
      <c r="AQ47" s="12" t="s">
        <v>579</v>
      </c>
      <c r="AR47" s="12" t="s">
        <v>579</v>
      </c>
      <c r="AS47" s="12" t="s">
        <v>579</v>
      </c>
      <c r="AT47" s="12" t="s">
        <v>579</v>
      </c>
      <c r="AU47" s="12" t="s">
        <v>579</v>
      </c>
      <c r="AV47" s="12" t="s">
        <v>623</v>
      </c>
      <c r="AW47" s="12" t="s">
        <v>623</v>
      </c>
      <c r="AX47" s="12" t="s">
        <v>672</v>
      </c>
      <c r="AY47" s="12" t="s">
        <v>580</v>
      </c>
      <c r="AZ47" s="12" t="s">
        <v>580</v>
      </c>
      <c r="BA47" s="12" t="s">
        <v>580</v>
      </c>
      <c r="BB47" s="12" t="s">
        <v>755</v>
      </c>
      <c r="BC47" s="12" t="s">
        <v>761</v>
      </c>
      <c r="BD47" s="12" t="s">
        <v>673</v>
      </c>
      <c r="BE47" s="12" t="s">
        <v>673</v>
      </c>
      <c r="BF47" s="12" t="s">
        <v>587</v>
      </c>
      <c r="BG47" s="12" t="s">
        <v>954</v>
      </c>
      <c r="BH47" s="12" t="s">
        <v>589</v>
      </c>
      <c r="BI47" s="12" t="s">
        <v>591</v>
      </c>
      <c r="BJ47" s="12" t="s">
        <v>993</v>
      </c>
      <c r="BK47" s="12" t="s">
        <v>683</v>
      </c>
      <c r="BL47" s="12" t="s">
        <v>1569</v>
      </c>
      <c r="BM47" s="12" t="s">
        <v>1570</v>
      </c>
      <c r="BN47" s="12" t="s">
        <v>1571</v>
      </c>
      <c r="BO47" s="12" t="s">
        <v>834</v>
      </c>
      <c r="BP47" s="12" t="s">
        <v>1302</v>
      </c>
      <c r="BQ47" s="12" t="s">
        <v>1572</v>
      </c>
      <c r="BR47" s="12" t="s">
        <v>1573</v>
      </c>
      <c r="BS47" s="12" t="s">
        <v>1574</v>
      </c>
      <c r="BT47" s="12" t="s">
        <v>1575</v>
      </c>
      <c r="BU47" s="12" t="s">
        <v>1576</v>
      </c>
      <c r="BV47" s="12" t="s">
        <v>1577</v>
      </c>
      <c r="BW47" s="12" t="s">
        <v>1578</v>
      </c>
      <c r="BX47" s="12" t="s">
        <v>1579</v>
      </c>
      <c r="BY47" s="12" t="s">
        <v>1580</v>
      </c>
      <c r="BZ47" s="12" t="s">
        <v>1580</v>
      </c>
      <c r="CA47" s="12" t="s">
        <v>1581</v>
      </c>
      <c r="CB47" s="12" t="s">
        <v>1582</v>
      </c>
      <c r="CC47" s="12" t="s">
        <v>1583</v>
      </c>
      <c r="CD47" s="12" t="s">
        <v>1584</v>
      </c>
      <c r="CE47" s="12" t="s">
        <v>1585</v>
      </c>
      <c r="CF47" s="12" t="s">
        <v>1586</v>
      </c>
      <c r="CG47" s="12" t="s">
        <v>1587</v>
      </c>
      <c r="CH47" s="12" t="s">
        <v>1588</v>
      </c>
      <c r="CI47" s="12" t="s">
        <v>1589</v>
      </c>
      <c r="CJ47" s="12" t="s">
        <v>1590</v>
      </c>
      <c r="CK47" s="12" t="s">
        <v>1591</v>
      </c>
      <c r="CL47" s="12" t="s">
        <v>1592</v>
      </c>
      <c r="CM47" s="12" t="s">
        <v>1593</v>
      </c>
      <c r="CN47" s="12" t="s">
        <v>1594</v>
      </c>
      <c r="CO47" s="12" t="s">
        <v>1595</v>
      </c>
      <c r="CP47" s="12" t="s">
        <v>1596</v>
      </c>
      <c r="CQ47" s="12" t="s">
        <v>1597</v>
      </c>
      <c r="CR47" s="12" t="s">
        <v>1598</v>
      </c>
      <c r="CS47" s="12" t="s">
        <v>1599</v>
      </c>
      <c r="CT47" s="12" t="s">
        <v>1600</v>
      </c>
    </row>
    <row r="48" spans="1:98" hidden="1" x14ac:dyDescent="0.3">
      <c r="A48" s="12" t="s">
        <v>1601</v>
      </c>
      <c r="B48" s="12" t="s">
        <v>1435</v>
      </c>
      <c r="C48" s="12" t="s">
        <v>1567</v>
      </c>
      <c r="D48" s="12" t="s">
        <v>1602</v>
      </c>
      <c r="E48" s="12" t="s">
        <v>578</v>
      </c>
      <c r="F48" s="12" t="s">
        <v>578</v>
      </c>
      <c r="G48" s="12" t="s">
        <v>578</v>
      </c>
      <c r="H48" s="12" t="s">
        <v>578</v>
      </c>
      <c r="I48" s="12" t="s">
        <v>578</v>
      </c>
      <c r="J48" s="12" t="s">
        <v>578</v>
      </c>
      <c r="K48" s="12" t="s">
        <v>578</v>
      </c>
      <c r="L48" s="12" t="s">
        <v>578</v>
      </c>
      <c r="M48" s="12" t="s">
        <v>578</v>
      </c>
      <c r="N48" s="12" t="s">
        <v>578</v>
      </c>
      <c r="O48" s="12" t="s">
        <v>578</v>
      </c>
      <c r="P48" s="12" t="s">
        <v>578</v>
      </c>
      <c r="Q48" s="12" t="s">
        <v>578</v>
      </c>
      <c r="R48" s="12" t="s">
        <v>578</v>
      </c>
      <c r="S48" s="12" t="s">
        <v>578</v>
      </c>
      <c r="T48" s="12" t="s">
        <v>578</v>
      </c>
      <c r="U48" s="12" t="s">
        <v>578</v>
      </c>
      <c r="V48" s="12" t="s">
        <v>578</v>
      </c>
      <c r="W48" s="12" t="s">
        <v>578</v>
      </c>
      <c r="X48" s="12" t="s">
        <v>578</v>
      </c>
      <c r="Y48" s="12" t="s">
        <v>578</v>
      </c>
      <c r="Z48" s="12" t="s">
        <v>578</v>
      </c>
      <c r="AA48" s="12" t="s">
        <v>578</v>
      </c>
      <c r="AB48" s="12" t="s">
        <v>578</v>
      </c>
      <c r="AC48" s="12" t="s">
        <v>578</v>
      </c>
      <c r="AD48" s="12" t="s">
        <v>578</v>
      </c>
      <c r="AE48" s="12" t="s">
        <v>578</v>
      </c>
      <c r="AF48" s="12" t="s">
        <v>578</v>
      </c>
      <c r="AG48" s="12" t="s">
        <v>578</v>
      </c>
      <c r="AH48" s="12" t="s">
        <v>578</v>
      </c>
      <c r="AI48" s="12" t="s">
        <v>578</v>
      </c>
      <c r="AJ48" s="12" t="s">
        <v>578</v>
      </c>
      <c r="AK48" s="12" t="s">
        <v>578</v>
      </c>
      <c r="AL48" s="12" t="s">
        <v>578</v>
      </c>
      <c r="AM48" s="12" t="s">
        <v>578</v>
      </c>
      <c r="AN48" s="12" t="s">
        <v>578</v>
      </c>
      <c r="AO48" s="12" t="s">
        <v>578</v>
      </c>
      <c r="AP48" s="12" t="s">
        <v>578</v>
      </c>
      <c r="AQ48" s="12" t="s">
        <v>578</v>
      </c>
      <c r="AR48" s="12" t="s">
        <v>578</v>
      </c>
      <c r="AS48" s="12" t="s">
        <v>578</v>
      </c>
      <c r="AT48" s="12" t="s">
        <v>578</v>
      </c>
      <c r="AU48" s="12" t="s">
        <v>578</v>
      </c>
      <c r="AV48" s="12" t="s">
        <v>578</v>
      </c>
      <c r="AW48" s="12" t="s">
        <v>578</v>
      </c>
      <c r="AX48" s="12" t="s">
        <v>578</v>
      </c>
      <c r="AY48" s="12" t="s">
        <v>578</v>
      </c>
      <c r="AZ48" s="12" t="s">
        <v>578</v>
      </c>
      <c r="BA48" s="12" t="s">
        <v>578</v>
      </c>
      <c r="BB48" s="12" t="s">
        <v>578</v>
      </c>
      <c r="BC48" s="12" t="s">
        <v>578</v>
      </c>
      <c r="BD48" s="12" t="s">
        <v>623</v>
      </c>
      <c r="BE48" s="12" t="s">
        <v>623</v>
      </c>
      <c r="BF48" s="12" t="s">
        <v>623</v>
      </c>
      <c r="BG48" s="12" t="s">
        <v>582</v>
      </c>
      <c r="BH48" s="12" t="s">
        <v>582</v>
      </c>
      <c r="BI48" s="12" t="s">
        <v>755</v>
      </c>
      <c r="BJ48" s="12" t="s">
        <v>584</v>
      </c>
      <c r="BK48" s="12" t="s">
        <v>675</v>
      </c>
      <c r="BL48" s="12" t="s">
        <v>676</v>
      </c>
      <c r="BM48" s="12" t="s">
        <v>809</v>
      </c>
      <c r="BN48" s="12" t="s">
        <v>973</v>
      </c>
      <c r="BO48" s="12" t="s">
        <v>975</v>
      </c>
      <c r="BP48" s="12" t="s">
        <v>975</v>
      </c>
      <c r="BQ48" s="12" t="s">
        <v>1125</v>
      </c>
      <c r="BR48" s="12" t="s">
        <v>1125</v>
      </c>
      <c r="BS48" s="12" t="s">
        <v>873</v>
      </c>
      <c r="BT48" s="12" t="s">
        <v>1603</v>
      </c>
      <c r="BU48" s="12" t="s">
        <v>1603</v>
      </c>
      <c r="BV48" s="12" t="s">
        <v>921</v>
      </c>
      <c r="BW48" s="12" t="s">
        <v>1422</v>
      </c>
      <c r="BX48" s="12" t="s">
        <v>1604</v>
      </c>
      <c r="BY48" s="12" t="s">
        <v>1605</v>
      </c>
      <c r="BZ48" s="12" t="s">
        <v>1605</v>
      </c>
      <c r="CA48" s="12" t="s">
        <v>816</v>
      </c>
      <c r="CB48" s="12" t="s">
        <v>816</v>
      </c>
      <c r="CC48" s="12" t="s">
        <v>1606</v>
      </c>
      <c r="CD48" s="12" t="s">
        <v>1606</v>
      </c>
      <c r="CE48" s="12" t="s">
        <v>1459</v>
      </c>
      <c r="CF48" s="12" t="s">
        <v>1129</v>
      </c>
      <c r="CG48" s="12" t="s">
        <v>1607</v>
      </c>
      <c r="CH48" s="12" t="s">
        <v>1098</v>
      </c>
      <c r="CI48" s="12" t="s">
        <v>1266</v>
      </c>
      <c r="CJ48" s="12" t="s">
        <v>1266</v>
      </c>
      <c r="CK48" s="12" t="s">
        <v>647</v>
      </c>
      <c r="CL48" s="12" t="s">
        <v>958</v>
      </c>
      <c r="CM48" s="12" t="s">
        <v>876</v>
      </c>
      <c r="CN48" s="12" t="s">
        <v>1608</v>
      </c>
      <c r="CO48" s="12" t="s">
        <v>1609</v>
      </c>
      <c r="CP48" s="12" t="s">
        <v>1610</v>
      </c>
      <c r="CQ48" s="12" t="s">
        <v>1611</v>
      </c>
      <c r="CR48" s="12" t="s">
        <v>1612</v>
      </c>
      <c r="CS48" s="12" t="s">
        <v>1365</v>
      </c>
      <c r="CT48" s="12" t="s">
        <v>1613</v>
      </c>
    </row>
    <row r="49" spans="1:98" hidden="1" x14ac:dyDescent="0.3">
      <c r="A49" s="12" t="s">
        <v>25</v>
      </c>
      <c r="B49" s="12" t="s">
        <v>1614</v>
      </c>
      <c r="C49" s="12" t="s">
        <v>1615</v>
      </c>
      <c r="D49" s="12" t="s">
        <v>1616</v>
      </c>
      <c r="E49" s="12" t="s">
        <v>578</v>
      </c>
      <c r="F49" s="12" t="s">
        <v>578</v>
      </c>
      <c r="G49" s="12" t="s">
        <v>578</v>
      </c>
      <c r="H49" s="12" t="s">
        <v>578</v>
      </c>
      <c r="I49" s="12" t="s">
        <v>578</v>
      </c>
      <c r="J49" s="12" t="s">
        <v>578</v>
      </c>
      <c r="K49" s="12" t="s">
        <v>578</v>
      </c>
      <c r="L49" s="12" t="s">
        <v>578</v>
      </c>
      <c r="M49" s="12" t="s">
        <v>578</v>
      </c>
      <c r="N49" s="12" t="s">
        <v>578</v>
      </c>
      <c r="O49" s="12" t="s">
        <v>578</v>
      </c>
      <c r="P49" s="12" t="s">
        <v>578</v>
      </c>
      <c r="Q49" s="12" t="s">
        <v>578</v>
      </c>
      <c r="R49" s="12" t="s">
        <v>578</v>
      </c>
      <c r="S49" s="12" t="s">
        <v>578</v>
      </c>
      <c r="T49" s="12" t="s">
        <v>578</v>
      </c>
      <c r="U49" s="12" t="s">
        <v>578</v>
      </c>
      <c r="V49" s="12" t="s">
        <v>578</v>
      </c>
      <c r="W49" s="12" t="s">
        <v>578</v>
      </c>
      <c r="X49" s="12" t="s">
        <v>578</v>
      </c>
      <c r="Y49" s="12" t="s">
        <v>578</v>
      </c>
      <c r="Z49" s="12" t="s">
        <v>578</v>
      </c>
      <c r="AA49" s="12" t="s">
        <v>578</v>
      </c>
      <c r="AB49" s="12" t="s">
        <v>578</v>
      </c>
      <c r="AC49" s="12" t="s">
        <v>578</v>
      </c>
      <c r="AD49" s="12" t="s">
        <v>578</v>
      </c>
      <c r="AE49" s="12" t="s">
        <v>578</v>
      </c>
      <c r="AF49" s="12" t="s">
        <v>578</v>
      </c>
      <c r="AG49" s="12" t="s">
        <v>578</v>
      </c>
      <c r="AH49" s="12" t="s">
        <v>578</v>
      </c>
      <c r="AI49" s="12" t="s">
        <v>578</v>
      </c>
      <c r="AJ49" s="12" t="s">
        <v>578</v>
      </c>
      <c r="AK49" s="12" t="s">
        <v>578</v>
      </c>
      <c r="AL49" s="12" t="s">
        <v>578</v>
      </c>
      <c r="AM49" s="12" t="s">
        <v>578</v>
      </c>
      <c r="AN49" s="12" t="s">
        <v>578</v>
      </c>
      <c r="AO49" s="12" t="s">
        <v>578</v>
      </c>
      <c r="AP49" s="12" t="s">
        <v>578</v>
      </c>
      <c r="AQ49" s="12" t="s">
        <v>578</v>
      </c>
      <c r="AR49" s="12" t="s">
        <v>578</v>
      </c>
      <c r="AS49" s="12" t="s">
        <v>578</v>
      </c>
      <c r="AT49" s="12" t="s">
        <v>578</v>
      </c>
      <c r="AU49" s="12" t="s">
        <v>578</v>
      </c>
      <c r="AV49" s="12" t="s">
        <v>578</v>
      </c>
      <c r="AW49" s="12" t="s">
        <v>578</v>
      </c>
      <c r="AX49" s="12" t="s">
        <v>578</v>
      </c>
      <c r="AY49" s="12" t="s">
        <v>578</v>
      </c>
      <c r="AZ49" s="12" t="s">
        <v>578</v>
      </c>
      <c r="BA49" s="12" t="s">
        <v>578</v>
      </c>
      <c r="BB49" s="12" t="s">
        <v>578</v>
      </c>
      <c r="BC49" s="12" t="s">
        <v>578</v>
      </c>
      <c r="BD49" s="12" t="s">
        <v>578</v>
      </c>
      <c r="BE49" s="12" t="s">
        <v>578</v>
      </c>
      <c r="BF49" s="12" t="s">
        <v>579</v>
      </c>
      <c r="BG49" s="12" t="s">
        <v>579</v>
      </c>
      <c r="BH49" s="12" t="s">
        <v>579</v>
      </c>
      <c r="BI49" s="12" t="s">
        <v>579</v>
      </c>
      <c r="BJ49" s="12" t="s">
        <v>579</v>
      </c>
      <c r="BK49" s="12" t="s">
        <v>672</v>
      </c>
      <c r="BL49" s="12" t="s">
        <v>672</v>
      </c>
      <c r="BM49" s="12" t="s">
        <v>672</v>
      </c>
      <c r="BN49" s="12" t="s">
        <v>672</v>
      </c>
      <c r="BO49" s="12" t="s">
        <v>672</v>
      </c>
      <c r="BP49" s="12" t="s">
        <v>672</v>
      </c>
      <c r="BQ49" s="12" t="s">
        <v>672</v>
      </c>
      <c r="BR49" s="12" t="s">
        <v>672</v>
      </c>
      <c r="BS49" s="12" t="s">
        <v>672</v>
      </c>
      <c r="BT49" s="12" t="s">
        <v>672</v>
      </c>
      <c r="BU49" s="12" t="s">
        <v>672</v>
      </c>
      <c r="BV49" s="12" t="s">
        <v>672</v>
      </c>
      <c r="BW49" s="12" t="s">
        <v>672</v>
      </c>
      <c r="BX49" s="12" t="s">
        <v>672</v>
      </c>
      <c r="BY49" s="12" t="s">
        <v>755</v>
      </c>
      <c r="BZ49" s="12" t="s">
        <v>755</v>
      </c>
      <c r="CA49" s="12" t="s">
        <v>755</v>
      </c>
      <c r="CB49" s="12" t="s">
        <v>755</v>
      </c>
      <c r="CC49" s="12" t="s">
        <v>755</v>
      </c>
      <c r="CD49" s="12" t="s">
        <v>755</v>
      </c>
      <c r="CE49" s="12" t="s">
        <v>755</v>
      </c>
      <c r="CF49" s="12" t="s">
        <v>755</v>
      </c>
      <c r="CG49" s="12" t="s">
        <v>755</v>
      </c>
      <c r="CH49" s="12" t="s">
        <v>755</v>
      </c>
      <c r="CI49" s="12" t="s">
        <v>583</v>
      </c>
      <c r="CJ49" s="12" t="s">
        <v>583</v>
      </c>
      <c r="CK49" s="12" t="s">
        <v>625</v>
      </c>
      <c r="CL49" s="12" t="s">
        <v>625</v>
      </c>
      <c r="CM49" s="12" t="s">
        <v>625</v>
      </c>
      <c r="CN49" s="12" t="s">
        <v>625</v>
      </c>
      <c r="CO49" s="12" t="s">
        <v>625</v>
      </c>
      <c r="CP49" s="12" t="s">
        <v>625</v>
      </c>
      <c r="CQ49" s="12" t="s">
        <v>756</v>
      </c>
      <c r="CR49" s="12" t="s">
        <v>756</v>
      </c>
      <c r="CS49" s="12" t="s">
        <v>584</v>
      </c>
      <c r="CT49" s="12" t="s">
        <v>584</v>
      </c>
    </row>
    <row r="50" spans="1:98" hidden="1" x14ac:dyDescent="0.3">
      <c r="A50" s="12" t="s">
        <v>25</v>
      </c>
      <c r="B50" s="12" t="s">
        <v>1617</v>
      </c>
      <c r="C50" s="12" t="s">
        <v>1618</v>
      </c>
      <c r="D50" s="12" t="s">
        <v>1619</v>
      </c>
      <c r="E50" s="12" t="s">
        <v>578</v>
      </c>
      <c r="F50" s="12" t="s">
        <v>578</v>
      </c>
      <c r="G50" s="12" t="s">
        <v>578</v>
      </c>
      <c r="H50" s="12" t="s">
        <v>578</v>
      </c>
      <c r="I50" s="12" t="s">
        <v>578</v>
      </c>
      <c r="J50" s="12" t="s">
        <v>578</v>
      </c>
      <c r="K50" s="12" t="s">
        <v>578</v>
      </c>
      <c r="L50" s="12" t="s">
        <v>578</v>
      </c>
      <c r="M50" s="12" t="s">
        <v>578</v>
      </c>
      <c r="N50" s="12" t="s">
        <v>578</v>
      </c>
      <c r="O50" s="12" t="s">
        <v>578</v>
      </c>
      <c r="P50" s="12" t="s">
        <v>578</v>
      </c>
      <c r="Q50" s="12" t="s">
        <v>578</v>
      </c>
      <c r="R50" s="12" t="s">
        <v>578</v>
      </c>
      <c r="S50" s="12" t="s">
        <v>578</v>
      </c>
      <c r="T50" s="12" t="s">
        <v>578</v>
      </c>
      <c r="U50" s="12" t="s">
        <v>578</v>
      </c>
      <c r="V50" s="12" t="s">
        <v>578</v>
      </c>
      <c r="W50" s="12" t="s">
        <v>578</v>
      </c>
      <c r="X50" s="12" t="s">
        <v>578</v>
      </c>
      <c r="Y50" s="12" t="s">
        <v>578</v>
      </c>
      <c r="Z50" s="12" t="s">
        <v>578</v>
      </c>
      <c r="AA50" s="12" t="s">
        <v>578</v>
      </c>
      <c r="AB50" s="12" t="s">
        <v>578</v>
      </c>
      <c r="AC50" s="12" t="s">
        <v>578</v>
      </c>
      <c r="AD50" s="12" t="s">
        <v>578</v>
      </c>
      <c r="AE50" s="12" t="s">
        <v>578</v>
      </c>
      <c r="AF50" s="12" t="s">
        <v>578</v>
      </c>
      <c r="AG50" s="12" t="s">
        <v>578</v>
      </c>
      <c r="AH50" s="12" t="s">
        <v>578</v>
      </c>
      <c r="AI50" s="12" t="s">
        <v>578</v>
      </c>
      <c r="AJ50" s="12" t="s">
        <v>578</v>
      </c>
      <c r="AK50" s="12" t="s">
        <v>578</v>
      </c>
      <c r="AL50" s="12" t="s">
        <v>578</v>
      </c>
      <c r="AM50" s="12" t="s">
        <v>578</v>
      </c>
      <c r="AN50" s="12" t="s">
        <v>578</v>
      </c>
      <c r="AO50" s="12" t="s">
        <v>578</v>
      </c>
      <c r="AP50" s="12" t="s">
        <v>578</v>
      </c>
      <c r="AQ50" s="12" t="s">
        <v>578</v>
      </c>
      <c r="AR50" s="12" t="s">
        <v>578</v>
      </c>
      <c r="AS50" s="12" t="s">
        <v>578</v>
      </c>
      <c r="AT50" s="12" t="s">
        <v>578</v>
      </c>
      <c r="AU50" s="12" t="s">
        <v>578</v>
      </c>
      <c r="AV50" s="12" t="s">
        <v>578</v>
      </c>
      <c r="AW50" s="12" t="s">
        <v>578</v>
      </c>
      <c r="AX50" s="12" t="s">
        <v>578</v>
      </c>
      <c r="AY50" s="12" t="s">
        <v>578</v>
      </c>
      <c r="AZ50" s="12" t="s">
        <v>578</v>
      </c>
      <c r="BA50" s="12" t="s">
        <v>578</v>
      </c>
      <c r="BB50" s="12" t="s">
        <v>578</v>
      </c>
      <c r="BC50" s="12" t="s">
        <v>578</v>
      </c>
      <c r="BD50" s="12" t="s">
        <v>578</v>
      </c>
      <c r="BE50" s="12" t="s">
        <v>578</v>
      </c>
      <c r="BF50" s="12" t="s">
        <v>578</v>
      </c>
      <c r="BG50" s="12" t="s">
        <v>578</v>
      </c>
      <c r="BH50" s="12" t="s">
        <v>578</v>
      </c>
      <c r="BI50" s="12" t="s">
        <v>578</v>
      </c>
      <c r="BJ50" s="12" t="s">
        <v>579</v>
      </c>
      <c r="BK50" s="12" t="s">
        <v>579</v>
      </c>
      <c r="BL50" s="12" t="s">
        <v>579</v>
      </c>
      <c r="BM50" s="12" t="s">
        <v>579</v>
      </c>
      <c r="BN50" s="12" t="s">
        <v>579</v>
      </c>
      <c r="BO50" s="12" t="s">
        <v>672</v>
      </c>
      <c r="BP50" s="12" t="s">
        <v>672</v>
      </c>
      <c r="BQ50" s="12" t="s">
        <v>672</v>
      </c>
      <c r="BR50" s="12" t="s">
        <v>672</v>
      </c>
      <c r="BS50" s="12" t="s">
        <v>672</v>
      </c>
      <c r="BT50" s="12" t="s">
        <v>672</v>
      </c>
      <c r="BU50" s="12" t="s">
        <v>581</v>
      </c>
      <c r="BV50" s="12" t="s">
        <v>582</v>
      </c>
      <c r="BW50" s="12" t="s">
        <v>582</v>
      </c>
      <c r="BX50" s="12" t="s">
        <v>755</v>
      </c>
      <c r="BY50" s="12" t="s">
        <v>755</v>
      </c>
      <c r="BZ50" s="12" t="s">
        <v>761</v>
      </c>
      <c r="CA50" s="12" t="s">
        <v>761</v>
      </c>
      <c r="CB50" s="12" t="s">
        <v>761</v>
      </c>
      <c r="CC50" s="12" t="s">
        <v>624</v>
      </c>
      <c r="CD50" s="12" t="s">
        <v>624</v>
      </c>
      <c r="CE50" s="12" t="s">
        <v>583</v>
      </c>
      <c r="CF50" s="12" t="s">
        <v>583</v>
      </c>
      <c r="CG50" s="12" t="s">
        <v>583</v>
      </c>
      <c r="CH50" s="12" t="s">
        <v>808</v>
      </c>
      <c r="CI50" s="12" t="s">
        <v>626</v>
      </c>
      <c r="CJ50" s="12" t="s">
        <v>626</v>
      </c>
      <c r="CK50" s="12" t="s">
        <v>626</v>
      </c>
      <c r="CL50" s="12" t="s">
        <v>913</v>
      </c>
      <c r="CM50" s="12" t="s">
        <v>913</v>
      </c>
      <c r="CN50" s="12" t="s">
        <v>627</v>
      </c>
      <c r="CO50" s="12" t="s">
        <v>627</v>
      </c>
      <c r="CP50" s="12" t="s">
        <v>627</v>
      </c>
      <c r="CQ50" s="12" t="s">
        <v>627</v>
      </c>
      <c r="CR50" s="12" t="s">
        <v>627</v>
      </c>
      <c r="CS50" s="12" t="s">
        <v>627</v>
      </c>
      <c r="CT50" s="12" t="s">
        <v>588</v>
      </c>
    </row>
    <row r="51" spans="1:98" hidden="1" x14ac:dyDescent="0.3">
      <c r="A51" s="12" t="s">
        <v>25</v>
      </c>
      <c r="B51" s="12" t="s">
        <v>1620</v>
      </c>
      <c r="C51" s="12" t="s">
        <v>1621</v>
      </c>
      <c r="D51" s="12" t="s">
        <v>1622</v>
      </c>
      <c r="E51" s="12" t="s">
        <v>578</v>
      </c>
      <c r="F51" s="12" t="s">
        <v>578</v>
      </c>
      <c r="G51" s="12" t="s">
        <v>578</v>
      </c>
      <c r="H51" s="12" t="s">
        <v>578</v>
      </c>
      <c r="I51" s="12" t="s">
        <v>578</v>
      </c>
      <c r="J51" s="12" t="s">
        <v>578</v>
      </c>
      <c r="K51" s="12" t="s">
        <v>578</v>
      </c>
      <c r="L51" s="12" t="s">
        <v>578</v>
      </c>
      <c r="M51" s="12" t="s">
        <v>578</v>
      </c>
      <c r="N51" s="12" t="s">
        <v>578</v>
      </c>
      <c r="O51" s="12" t="s">
        <v>578</v>
      </c>
      <c r="P51" s="12" t="s">
        <v>578</v>
      </c>
      <c r="Q51" s="12" t="s">
        <v>578</v>
      </c>
      <c r="R51" s="12" t="s">
        <v>578</v>
      </c>
      <c r="S51" s="12" t="s">
        <v>578</v>
      </c>
      <c r="T51" s="12" t="s">
        <v>578</v>
      </c>
      <c r="U51" s="12" t="s">
        <v>578</v>
      </c>
      <c r="V51" s="12" t="s">
        <v>578</v>
      </c>
      <c r="W51" s="12" t="s">
        <v>578</v>
      </c>
      <c r="X51" s="12" t="s">
        <v>578</v>
      </c>
      <c r="Y51" s="12" t="s">
        <v>578</v>
      </c>
      <c r="Z51" s="12" t="s">
        <v>578</v>
      </c>
      <c r="AA51" s="12" t="s">
        <v>578</v>
      </c>
      <c r="AB51" s="12" t="s">
        <v>578</v>
      </c>
      <c r="AC51" s="12" t="s">
        <v>578</v>
      </c>
      <c r="AD51" s="12" t="s">
        <v>578</v>
      </c>
      <c r="AE51" s="12" t="s">
        <v>578</v>
      </c>
      <c r="AF51" s="12" t="s">
        <v>578</v>
      </c>
      <c r="AG51" s="12" t="s">
        <v>578</v>
      </c>
      <c r="AH51" s="12" t="s">
        <v>578</v>
      </c>
      <c r="AI51" s="12" t="s">
        <v>578</v>
      </c>
      <c r="AJ51" s="12" t="s">
        <v>578</v>
      </c>
      <c r="AK51" s="12" t="s">
        <v>578</v>
      </c>
      <c r="AL51" s="12" t="s">
        <v>578</v>
      </c>
      <c r="AM51" s="12" t="s">
        <v>578</v>
      </c>
      <c r="AN51" s="12" t="s">
        <v>578</v>
      </c>
      <c r="AO51" s="12" t="s">
        <v>578</v>
      </c>
      <c r="AP51" s="12" t="s">
        <v>578</v>
      </c>
      <c r="AQ51" s="12" t="s">
        <v>578</v>
      </c>
      <c r="AR51" s="12" t="s">
        <v>578</v>
      </c>
      <c r="AS51" s="12" t="s">
        <v>578</v>
      </c>
      <c r="AT51" s="12" t="s">
        <v>579</v>
      </c>
      <c r="AU51" s="12" t="s">
        <v>579</v>
      </c>
      <c r="AV51" s="12" t="s">
        <v>580</v>
      </c>
      <c r="AW51" s="12" t="s">
        <v>580</v>
      </c>
      <c r="AX51" s="12" t="s">
        <v>580</v>
      </c>
      <c r="AY51" s="12" t="s">
        <v>755</v>
      </c>
      <c r="AZ51" s="12" t="s">
        <v>755</v>
      </c>
      <c r="BA51" s="12" t="s">
        <v>868</v>
      </c>
      <c r="BB51" s="12" t="s">
        <v>626</v>
      </c>
      <c r="BC51" s="12" t="s">
        <v>626</v>
      </c>
      <c r="BD51" s="12" t="s">
        <v>1259</v>
      </c>
      <c r="BE51" s="12" t="s">
        <v>919</v>
      </c>
      <c r="BF51" s="12" t="s">
        <v>589</v>
      </c>
      <c r="BG51" s="12" t="s">
        <v>1623</v>
      </c>
      <c r="BH51" s="12" t="s">
        <v>684</v>
      </c>
      <c r="BI51" s="12" t="s">
        <v>1624</v>
      </c>
      <c r="BJ51" s="12" t="s">
        <v>1624</v>
      </c>
      <c r="BK51" s="12" t="s">
        <v>1625</v>
      </c>
      <c r="BL51" s="12" t="s">
        <v>1626</v>
      </c>
      <c r="BM51" s="12" t="s">
        <v>1627</v>
      </c>
      <c r="BN51" s="12" t="s">
        <v>1628</v>
      </c>
      <c r="BO51" s="12" t="s">
        <v>1629</v>
      </c>
      <c r="BP51" s="12" t="s">
        <v>1630</v>
      </c>
      <c r="BQ51" s="12" t="s">
        <v>1631</v>
      </c>
      <c r="BR51" s="12" t="s">
        <v>1632</v>
      </c>
      <c r="BS51" s="12" t="s">
        <v>1633</v>
      </c>
      <c r="BT51" s="12" t="s">
        <v>1634</v>
      </c>
      <c r="BU51" s="12" t="s">
        <v>1635</v>
      </c>
      <c r="BV51" s="12" t="s">
        <v>1636</v>
      </c>
      <c r="BW51" s="12" t="s">
        <v>801</v>
      </c>
      <c r="BX51" s="12" t="s">
        <v>1637</v>
      </c>
      <c r="BY51" s="12" t="s">
        <v>1638</v>
      </c>
      <c r="BZ51" s="12" t="s">
        <v>1639</v>
      </c>
      <c r="CA51" s="12" t="s">
        <v>1640</v>
      </c>
      <c r="CB51" s="12" t="s">
        <v>1641</v>
      </c>
      <c r="CC51" s="12" t="s">
        <v>1642</v>
      </c>
      <c r="CD51" s="12" t="s">
        <v>1643</v>
      </c>
      <c r="CE51" s="12" t="s">
        <v>1644</v>
      </c>
      <c r="CF51" s="12" t="s">
        <v>1645</v>
      </c>
      <c r="CG51" s="12" t="s">
        <v>1646</v>
      </c>
      <c r="CH51" s="12" t="s">
        <v>1647</v>
      </c>
      <c r="CI51" s="12" t="s">
        <v>1648</v>
      </c>
      <c r="CJ51" s="12" t="s">
        <v>1649</v>
      </c>
      <c r="CK51" s="12" t="s">
        <v>1650</v>
      </c>
      <c r="CL51" s="12" t="s">
        <v>1651</v>
      </c>
      <c r="CM51" s="12" t="s">
        <v>1652</v>
      </c>
      <c r="CN51" s="12" t="s">
        <v>1653</v>
      </c>
      <c r="CO51" s="12" t="s">
        <v>1654</v>
      </c>
      <c r="CP51" s="12" t="s">
        <v>1655</v>
      </c>
      <c r="CQ51" s="12" t="s">
        <v>1656</v>
      </c>
      <c r="CR51" s="12" t="s">
        <v>1657</v>
      </c>
      <c r="CS51" s="12" t="s">
        <v>1658</v>
      </c>
      <c r="CT51" s="12" t="s">
        <v>1659</v>
      </c>
    </row>
    <row r="52" spans="1:98" hidden="1" x14ac:dyDescent="0.3">
      <c r="A52" s="12" t="s">
        <v>1660</v>
      </c>
      <c r="B52" s="12" t="s">
        <v>1661</v>
      </c>
      <c r="C52" s="12" t="s">
        <v>1662</v>
      </c>
      <c r="D52" s="12" t="s">
        <v>1663</v>
      </c>
      <c r="E52" s="12" t="s">
        <v>579</v>
      </c>
      <c r="F52" s="12" t="s">
        <v>761</v>
      </c>
      <c r="G52" s="12" t="s">
        <v>762</v>
      </c>
      <c r="H52" s="12" t="s">
        <v>718</v>
      </c>
      <c r="I52" s="12" t="s">
        <v>680</v>
      </c>
      <c r="J52" s="12" t="s">
        <v>634</v>
      </c>
      <c r="K52" s="12" t="s">
        <v>1664</v>
      </c>
      <c r="L52" s="12" t="s">
        <v>1185</v>
      </c>
      <c r="M52" s="12" t="s">
        <v>985</v>
      </c>
      <c r="N52" s="12" t="s">
        <v>596</v>
      </c>
      <c r="O52" s="12" t="s">
        <v>1665</v>
      </c>
      <c r="P52" s="12" t="s">
        <v>1666</v>
      </c>
      <c r="Q52" s="12" t="s">
        <v>1667</v>
      </c>
      <c r="R52" s="12" t="s">
        <v>1668</v>
      </c>
      <c r="S52" s="12" t="s">
        <v>1669</v>
      </c>
      <c r="T52" s="12" t="s">
        <v>1670</v>
      </c>
      <c r="U52" s="12" t="s">
        <v>608</v>
      </c>
      <c r="V52" s="12" t="s">
        <v>1671</v>
      </c>
      <c r="W52" s="12" t="s">
        <v>1672</v>
      </c>
      <c r="X52" s="12" t="s">
        <v>1673</v>
      </c>
      <c r="Y52" s="12" t="s">
        <v>1052</v>
      </c>
      <c r="Z52" s="12" t="s">
        <v>1674</v>
      </c>
      <c r="AA52" s="12" t="s">
        <v>1675</v>
      </c>
      <c r="AB52" s="12" t="s">
        <v>936</v>
      </c>
      <c r="AC52" s="12" t="s">
        <v>1676</v>
      </c>
      <c r="AD52" s="12" t="s">
        <v>1677</v>
      </c>
      <c r="AE52" s="12" t="s">
        <v>1678</v>
      </c>
      <c r="AF52" s="12" t="s">
        <v>1679</v>
      </c>
      <c r="AG52" s="12" t="s">
        <v>692</v>
      </c>
      <c r="AH52" s="12" t="s">
        <v>942</v>
      </c>
      <c r="AI52" s="12" t="s">
        <v>1680</v>
      </c>
      <c r="AJ52" s="12" t="s">
        <v>1681</v>
      </c>
      <c r="AK52" s="12" t="s">
        <v>1681</v>
      </c>
      <c r="AL52" s="12" t="s">
        <v>1681</v>
      </c>
      <c r="AM52" s="12" t="s">
        <v>1681</v>
      </c>
      <c r="AN52" s="12" t="s">
        <v>1681</v>
      </c>
      <c r="AO52" s="12" t="s">
        <v>1681</v>
      </c>
      <c r="AP52" s="12" t="s">
        <v>1682</v>
      </c>
      <c r="AQ52" s="12" t="s">
        <v>1682</v>
      </c>
      <c r="AR52" s="12" t="s">
        <v>1682</v>
      </c>
      <c r="AS52" s="12" t="s">
        <v>1682</v>
      </c>
      <c r="AT52" s="12" t="s">
        <v>1682</v>
      </c>
      <c r="AU52" s="12" t="s">
        <v>1682</v>
      </c>
      <c r="AV52" s="12" t="s">
        <v>1682</v>
      </c>
      <c r="AW52" s="12" t="s">
        <v>1682</v>
      </c>
      <c r="AX52" s="12" t="s">
        <v>1682</v>
      </c>
      <c r="AY52" s="12" t="s">
        <v>1682</v>
      </c>
      <c r="AZ52" s="12" t="s">
        <v>1682</v>
      </c>
      <c r="BA52" s="12" t="s">
        <v>1682</v>
      </c>
      <c r="BB52" s="12" t="s">
        <v>1682</v>
      </c>
      <c r="BC52" s="12" t="s">
        <v>1682</v>
      </c>
      <c r="BD52" s="12" t="s">
        <v>1682</v>
      </c>
      <c r="BE52" s="12" t="s">
        <v>1682</v>
      </c>
      <c r="BF52" s="12" t="s">
        <v>1682</v>
      </c>
      <c r="BG52" s="12" t="s">
        <v>1682</v>
      </c>
      <c r="BH52" s="12" t="s">
        <v>1682</v>
      </c>
      <c r="BI52" s="12" t="s">
        <v>1682</v>
      </c>
      <c r="BJ52" s="12" t="s">
        <v>1682</v>
      </c>
      <c r="BK52" s="12" t="s">
        <v>1682</v>
      </c>
      <c r="BL52" s="12" t="s">
        <v>1682</v>
      </c>
      <c r="BM52" s="12" t="s">
        <v>1682</v>
      </c>
      <c r="BN52" s="12" t="s">
        <v>1682</v>
      </c>
      <c r="BO52" s="12" t="s">
        <v>1682</v>
      </c>
      <c r="BP52" s="12" t="s">
        <v>1682</v>
      </c>
      <c r="BQ52" s="12" t="s">
        <v>1682</v>
      </c>
      <c r="BR52" s="12" t="s">
        <v>1682</v>
      </c>
      <c r="BS52" s="12" t="s">
        <v>1682</v>
      </c>
      <c r="BT52" s="12" t="s">
        <v>1682</v>
      </c>
      <c r="BU52" s="12" t="s">
        <v>1682</v>
      </c>
      <c r="BV52" s="12" t="s">
        <v>1682</v>
      </c>
      <c r="BW52" s="12" t="s">
        <v>1682</v>
      </c>
      <c r="BX52" s="12" t="s">
        <v>1682</v>
      </c>
      <c r="BY52" s="12" t="s">
        <v>1682</v>
      </c>
      <c r="BZ52" s="12" t="s">
        <v>1682</v>
      </c>
      <c r="CA52" s="12" t="s">
        <v>1682</v>
      </c>
      <c r="CB52" s="12" t="s">
        <v>1682</v>
      </c>
      <c r="CC52" s="12" t="s">
        <v>1682</v>
      </c>
      <c r="CD52" s="12" t="s">
        <v>1682</v>
      </c>
      <c r="CE52" s="12" t="s">
        <v>1102</v>
      </c>
      <c r="CF52" s="12" t="s">
        <v>1102</v>
      </c>
      <c r="CG52" s="12" t="s">
        <v>1102</v>
      </c>
      <c r="CH52" s="12" t="s">
        <v>1102</v>
      </c>
      <c r="CI52" s="12" t="s">
        <v>1102</v>
      </c>
      <c r="CJ52" s="12" t="s">
        <v>1102</v>
      </c>
      <c r="CK52" s="12" t="s">
        <v>1102</v>
      </c>
      <c r="CL52" s="12" t="s">
        <v>1102</v>
      </c>
      <c r="CM52" s="12" t="s">
        <v>1102</v>
      </c>
      <c r="CN52" s="12" t="s">
        <v>1102</v>
      </c>
      <c r="CO52" s="12" t="s">
        <v>1102</v>
      </c>
      <c r="CP52" s="12" t="s">
        <v>1102</v>
      </c>
      <c r="CQ52" s="12" t="s">
        <v>1102</v>
      </c>
      <c r="CR52" s="12" t="s">
        <v>1102</v>
      </c>
      <c r="CS52" s="12" t="s">
        <v>1102</v>
      </c>
      <c r="CT52" s="12" t="s">
        <v>1102</v>
      </c>
    </row>
    <row r="53" spans="1:98" hidden="1" x14ac:dyDescent="0.3">
      <c r="A53" s="12" t="s">
        <v>1683</v>
      </c>
      <c r="B53" s="12" t="s">
        <v>1661</v>
      </c>
      <c r="C53" s="12" t="s">
        <v>1684</v>
      </c>
      <c r="D53" s="12" t="s">
        <v>1685</v>
      </c>
      <c r="E53" s="12" t="s">
        <v>756</v>
      </c>
      <c r="F53" s="12" t="s">
        <v>586</v>
      </c>
      <c r="G53" s="12" t="s">
        <v>971</v>
      </c>
      <c r="H53" s="12" t="s">
        <v>1046</v>
      </c>
      <c r="I53" s="12" t="s">
        <v>770</v>
      </c>
      <c r="J53" s="12" t="s">
        <v>856</v>
      </c>
      <c r="K53" s="12" t="s">
        <v>857</v>
      </c>
      <c r="L53" s="12" t="s">
        <v>979</v>
      </c>
      <c r="M53" s="12" t="s">
        <v>1353</v>
      </c>
      <c r="N53" s="12" t="s">
        <v>683</v>
      </c>
      <c r="O53" s="12" t="s">
        <v>1686</v>
      </c>
      <c r="P53" s="12" t="s">
        <v>1279</v>
      </c>
      <c r="Q53" s="12" t="s">
        <v>642</v>
      </c>
      <c r="R53" s="12" t="s">
        <v>1127</v>
      </c>
      <c r="S53" s="12" t="s">
        <v>1491</v>
      </c>
      <c r="T53" s="12" t="s">
        <v>1687</v>
      </c>
      <c r="U53" s="12" t="s">
        <v>1665</v>
      </c>
      <c r="V53" s="12" t="s">
        <v>1609</v>
      </c>
      <c r="W53" s="12" t="s">
        <v>1612</v>
      </c>
      <c r="X53" s="12" t="s">
        <v>959</v>
      </c>
      <c r="Y53" s="12" t="s">
        <v>1519</v>
      </c>
      <c r="Z53" s="12" t="s">
        <v>1688</v>
      </c>
      <c r="AA53" s="12" t="s">
        <v>1689</v>
      </c>
      <c r="AB53" s="12" t="s">
        <v>1312</v>
      </c>
      <c r="AC53" s="12" t="s">
        <v>1690</v>
      </c>
      <c r="AD53" s="12" t="s">
        <v>1691</v>
      </c>
      <c r="AE53" s="12" t="s">
        <v>1692</v>
      </c>
      <c r="AF53" s="12" t="s">
        <v>777</v>
      </c>
      <c r="AG53" s="12" t="s">
        <v>1693</v>
      </c>
      <c r="AH53" s="12" t="s">
        <v>1694</v>
      </c>
      <c r="AI53" s="12" t="s">
        <v>960</v>
      </c>
      <c r="AJ53" s="12" t="s">
        <v>1367</v>
      </c>
      <c r="AK53" s="12" t="s">
        <v>1367</v>
      </c>
      <c r="AL53" s="12" t="s">
        <v>1367</v>
      </c>
      <c r="AM53" s="12" t="s">
        <v>652</v>
      </c>
      <c r="AN53" s="12" t="s">
        <v>652</v>
      </c>
      <c r="AO53" s="12" t="s">
        <v>1695</v>
      </c>
      <c r="AP53" s="12" t="s">
        <v>1695</v>
      </c>
      <c r="AQ53" s="12" t="s">
        <v>961</v>
      </c>
      <c r="AR53" s="12" t="s">
        <v>1696</v>
      </c>
      <c r="AS53" s="12" t="s">
        <v>1399</v>
      </c>
      <c r="AT53" s="12" t="s">
        <v>1399</v>
      </c>
      <c r="AU53" s="12" t="s">
        <v>1697</v>
      </c>
      <c r="AV53" s="12" t="s">
        <v>1697</v>
      </c>
      <c r="AW53" s="12" t="s">
        <v>1368</v>
      </c>
      <c r="AX53" s="12" t="s">
        <v>1698</v>
      </c>
      <c r="AY53" s="12" t="s">
        <v>733</v>
      </c>
      <c r="AZ53" s="12" t="s">
        <v>733</v>
      </c>
      <c r="BA53" s="12" t="s">
        <v>964</v>
      </c>
      <c r="BB53" s="12" t="s">
        <v>965</v>
      </c>
      <c r="BC53" s="12" t="s">
        <v>965</v>
      </c>
      <c r="BD53" s="12" t="s">
        <v>878</v>
      </c>
      <c r="BE53" s="12" t="s">
        <v>966</v>
      </c>
      <c r="BF53" s="12" t="s">
        <v>1699</v>
      </c>
      <c r="BG53" s="12" t="s">
        <v>1700</v>
      </c>
      <c r="BH53" s="12" t="s">
        <v>1701</v>
      </c>
      <c r="BI53" s="12" t="s">
        <v>1702</v>
      </c>
      <c r="BJ53" s="12" t="s">
        <v>1668</v>
      </c>
      <c r="BK53" s="12" t="s">
        <v>1703</v>
      </c>
      <c r="BL53" s="12" t="s">
        <v>1050</v>
      </c>
      <c r="BM53" s="12" t="s">
        <v>1704</v>
      </c>
      <c r="BN53" s="12" t="s">
        <v>1626</v>
      </c>
      <c r="BO53" s="12" t="s">
        <v>1705</v>
      </c>
      <c r="BP53" s="12" t="s">
        <v>1706</v>
      </c>
      <c r="BQ53" s="12" t="s">
        <v>1707</v>
      </c>
      <c r="BR53" s="12" t="s">
        <v>1136</v>
      </c>
      <c r="BS53" s="12" t="s">
        <v>1708</v>
      </c>
      <c r="BT53" s="12" t="s">
        <v>1374</v>
      </c>
      <c r="BU53" s="12" t="s">
        <v>1374</v>
      </c>
      <c r="BV53" s="12" t="s">
        <v>1709</v>
      </c>
      <c r="BW53" s="12" t="s">
        <v>1709</v>
      </c>
      <c r="BX53" s="12" t="s">
        <v>1710</v>
      </c>
      <c r="BY53" s="12" t="s">
        <v>664</v>
      </c>
      <c r="BZ53" s="12" t="s">
        <v>1711</v>
      </c>
      <c r="CA53" s="12" t="s">
        <v>1712</v>
      </c>
      <c r="CB53" s="12" t="s">
        <v>1713</v>
      </c>
      <c r="CC53" s="12" t="s">
        <v>1713</v>
      </c>
      <c r="CD53" s="12" t="s">
        <v>1534</v>
      </c>
      <c r="CE53" s="12" t="s">
        <v>1534</v>
      </c>
      <c r="CF53" s="12" t="s">
        <v>1534</v>
      </c>
      <c r="CG53" s="12" t="s">
        <v>779</v>
      </c>
      <c r="CH53" s="12" t="s">
        <v>779</v>
      </c>
      <c r="CI53" s="12" t="s">
        <v>779</v>
      </c>
      <c r="CJ53" s="12" t="s">
        <v>779</v>
      </c>
      <c r="CK53" s="12" t="s">
        <v>1714</v>
      </c>
      <c r="CL53" s="12" t="s">
        <v>1375</v>
      </c>
      <c r="CM53" s="12" t="s">
        <v>1375</v>
      </c>
      <c r="CN53" s="12" t="s">
        <v>1375</v>
      </c>
      <c r="CO53" s="12" t="s">
        <v>1375</v>
      </c>
      <c r="CP53" s="12" t="s">
        <v>1375</v>
      </c>
      <c r="CQ53" s="12" t="s">
        <v>1375</v>
      </c>
      <c r="CR53" s="12" t="s">
        <v>1375</v>
      </c>
      <c r="CS53" s="12" t="s">
        <v>1375</v>
      </c>
      <c r="CT53" s="12" t="s">
        <v>1375</v>
      </c>
    </row>
    <row r="54" spans="1:98" hidden="1" x14ac:dyDescent="0.3">
      <c r="A54" s="12" t="s">
        <v>1715</v>
      </c>
      <c r="B54" s="12" t="s">
        <v>1661</v>
      </c>
      <c r="C54" s="12" t="s">
        <v>1716</v>
      </c>
      <c r="D54" s="12" t="s">
        <v>1717</v>
      </c>
      <c r="E54" s="12" t="s">
        <v>851</v>
      </c>
      <c r="F54" s="12" t="s">
        <v>761</v>
      </c>
      <c r="G54" s="12" t="s">
        <v>913</v>
      </c>
      <c r="H54" s="12" t="s">
        <v>992</v>
      </c>
      <c r="I54" s="12" t="s">
        <v>720</v>
      </c>
      <c r="J54" s="12" t="s">
        <v>592</v>
      </c>
      <c r="K54" s="12" t="s">
        <v>1261</v>
      </c>
      <c r="L54" s="12" t="s">
        <v>1515</v>
      </c>
      <c r="M54" s="12" t="s">
        <v>1048</v>
      </c>
      <c r="N54" s="12" t="s">
        <v>1718</v>
      </c>
      <c r="O54" s="12" t="s">
        <v>1510</v>
      </c>
      <c r="P54" s="12" t="s">
        <v>1266</v>
      </c>
      <c r="Q54" s="12" t="s">
        <v>959</v>
      </c>
      <c r="R54" s="12" t="s">
        <v>1689</v>
      </c>
      <c r="S54" s="12" t="s">
        <v>1719</v>
      </c>
      <c r="T54" s="12" t="s">
        <v>961</v>
      </c>
      <c r="U54" s="12" t="s">
        <v>1698</v>
      </c>
      <c r="V54" s="12" t="s">
        <v>733</v>
      </c>
      <c r="W54" s="12" t="s">
        <v>1720</v>
      </c>
      <c r="X54" s="12" t="s">
        <v>1439</v>
      </c>
      <c r="Y54" s="12" t="s">
        <v>1721</v>
      </c>
      <c r="Z54" s="12" t="s">
        <v>660</v>
      </c>
      <c r="AA54" s="12" t="s">
        <v>1722</v>
      </c>
      <c r="AB54" s="12" t="s">
        <v>1626</v>
      </c>
      <c r="AC54" s="12" t="s">
        <v>1041</v>
      </c>
      <c r="AD54" s="12" t="s">
        <v>1723</v>
      </c>
      <c r="AE54" s="12" t="s">
        <v>1724</v>
      </c>
      <c r="AF54" s="12" t="s">
        <v>606</v>
      </c>
      <c r="AG54" s="12" t="s">
        <v>1725</v>
      </c>
      <c r="AH54" s="12" t="s">
        <v>1135</v>
      </c>
      <c r="AI54" s="12" t="s">
        <v>1726</v>
      </c>
      <c r="AJ54" s="12" t="s">
        <v>1708</v>
      </c>
      <c r="AK54" s="12" t="s">
        <v>1727</v>
      </c>
      <c r="AL54" s="12" t="s">
        <v>1405</v>
      </c>
      <c r="AM54" s="12" t="s">
        <v>1405</v>
      </c>
      <c r="AN54" s="12" t="s">
        <v>1405</v>
      </c>
      <c r="AO54" s="12" t="s">
        <v>1405</v>
      </c>
      <c r="AP54" s="12" t="s">
        <v>1405</v>
      </c>
      <c r="AQ54" s="12" t="s">
        <v>1405</v>
      </c>
      <c r="AR54" s="12" t="s">
        <v>1405</v>
      </c>
      <c r="AS54" s="12" t="s">
        <v>1405</v>
      </c>
      <c r="AT54" s="12" t="s">
        <v>1405</v>
      </c>
      <c r="AU54" s="12" t="s">
        <v>1405</v>
      </c>
      <c r="AV54" s="12" t="s">
        <v>1405</v>
      </c>
      <c r="AW54" s="12" t="s">
        <v>1405</v>
      </c>
      <c r="AX54" s="12" t="s">
        <v>1405</v>
      </c>
      <c r="AY54" s="12" t="s">
        <v>1405</v>
      </c>
      <c r="AZ54" s="12" t="s">
        <v>1405</v>
      </c>
      <c r="BA54" s="12" t="s">
        <v>1405</v>
      </c>
      <c r="BB54" s="12" t="s">
        <v>1405</v>
      </c>
      <c r="BC54" s="12" t="s">
        <v>1405</v>
      </c>
      <c r="BD54" s="12" t="s">
        <v>1405</v>
      </c>
      <c r="BE54" s="12" t="s">
        <v>1405</v>
      </c>
      <c r="BF54" s="12" t="s">
        <v>1405</v>
      </c>
      <c r="BG54" s="12" t="s">
        <v>1405</v>
      </c>
      <c r="BH54" s="12" t="s">
        <v>1405</v>
      </c>
      <c r="BI54" s="12" t="s">
        <v>1405</v>
      </c>
      <c r="BJ54" s="12" t="s">
        <v>1405</v>
      </c>
      <c r="BK54" s="12" t="s">
        <v>1405</v>
      </c>
      <c r="BL54" s="12" t="s">
        <v>1405</v>
      </c>
      <c r="BM54" s="12" t="s">
        <v>1374</v>
      </c>
      <c r="BN54" s="12" t="s">
        <v>1728</v>
      </c>
      <c r="BO54" s="12" t="s">
        <v>1728</v>
      </c>
      <c r="BP54" s="12" t="s">
        <v>1728</v>
      </c>
      <c r="BQ54" s="12" t="s">
        <v>1728</v>
      </c>
      <c r="BR54" s="12" t="s">
        <v>1728</v>
      </c>
      <c r="BS54" s="12" t="s">
        <v>1728</v>
      </c>
      <c r="BT54" s="12" t="s">
        <v>1285</v>
      </c>
      <c r="BU54" s="12" t="s">
        <v>1285</v>
      </c>
      <c r="BV54" s="12" t="s">
        <v>1285</v>
      </c>
      <c r="BW54" s="12" t="s">
        <v>1285</v>
      </c>
      <c r="BX54" s="12" t="s">
        <v>1285</v>
      </c>
      <c r="BY54" s="12" t="s">
        <v>1285</v>
      </c>
      <c r="BZ54" s="12" t="s">
        <v>1285</v>
      </c>
      <c r="CA54" s="12" t="s">
        <v>1285</v>
      </c>
      <c r="CB54" s="12" t="s">
        <v>1285</v>
      </c>
      <c r="CC54" s="12" t="s">
        <v>1285</v>
      </c>
      <c r="CD54" s="12" t="s">
        <v>1285</v>
      </c>
      <c r="CE54" s="12" t="s">
        <v>1285</v>
      </c>
      <c r="CF54" s="12" t="s">
        <v>1285</v>
      </c>
      <c r="CG54" s="12" t="s">
        <v>1285</v>
      </c>
      <c r="CH54" s="12" t="s">
        <v>1285</v>
      </c>
      <c r="CI54" s="12" t="s">
        <v>1285</v>
      </c>
      <c r="CJ54" s="12" t="s">
        <v>1285</v>
      </c>
      <c r="CK54" s="12" t="s">
        <v>1285</v>
      </c>
      <c r="CL54" s="12" t="s">
        <v>1285</v>
      </c>
      <c r="CM54" s="12" t="s">
        <v>1285</v>
      </c>
      <c r="CN54" s="12" t="s">
        <v>1285</v>
      </c>
      <c r="CO54" s="12" t="s">
        <v>1285</v>
      </c>
      <c r="CP54" s="12" t="s">
        <v>1285</v>
      </c>
      <c r="CQ54" s="12" t="s">
        <v>1285</v>
      </c>
      <c r="CR54" s="12" t="s">
        <v>1285</v>
      </c>
      <c r="CS54" s="12" t="s">
        <v>1285</v>
      </c>
      <c r="CT54" s="12" t="s">
        <v>1285</v>
      </c>
    </row>
    <row r="55" spans="1:98" hidden="1" x14ac:dyDescent="0.3">
      <c r="A55" s="12" t="s">
        <v>1729</v>
      </c>
      <c r="B55" s="12" t="s">
        <v>1661</v>
      </c>
      <c r="C55" s="12" t="s">
        <v>1730</v>
      </c>
      <c r="D55" s="12" t="s">
        <v>1731</v>
      </c>
      <c r="E55" s="12" t="s">
        <v>579</v>
      </c>
      <c r="F55" s="12" t="s">
        <v>581</v>
      </c>
      <c r="G55" s="12" t="s">
        <v>624</v>
      </c>
      <c r="H55" s="12" t="s">
        <v>808</v>
      </c>
      <c r="I55" s="12" t="s">
        <v>917</v>
      </c>
      <c r="J55" s="12" t="s">
        <v>632</v>
      </c>
      <c r="K55" s="12" t="s">
        <v>856</v>
      </c>
      <c r="L55" s="12" t="s">
        <v>590</v>
      </c>
      <c r="M55" s="12" t="s">
        <v>1732</v>
      </c>
      <c r="N55" s="12" t="s">
        <v>593</v>
      </c>
      <c r="O55" s="12" t="s">
        <v>920</v>
      </c>
      <c r="P55" s="12" t="s">
        <v>1733</v>
      </c>
      <c r="Q55" s="12" t="s">
        <v>1734</v>
      </c>
      <c r="R55" s="12" t="s">
        <v>814</v>
      </c>
      <c r="S55" s="12" t="s">
        <v>986</v>
      </c>
      <c r="T55" s="12" t="s">
        <v>1735</v>
      </c>
      <c r="U55" s="12" t="s">
        <v>726</v>
      </c>
      <c r="V55" s="12" t="s">
        <v>1209</v>
      </c>
      <c r="W55" s="12" t="s">
        <v>1490</v>
      </c>
      <c r="X55" s="12" t="s">
        <v>1393</v>
      </c>
      <c r="Y55" s="12" t="s">
        <v>727</v>
      </c>
      <c r="Z55" s="12" t="s">
        <v>1736</v>
      </c>
      <c r="AA55" s="12" t="s">
        <v>1737</v>
      </c>
      <c r="AB55" s="12" t="s">
        <v>598</v>
      </c>
      <c r="AC55" s="12" t="s">
        <v>1129</v>
      </c>
      <c r="AD55" s="12" t="s">
        <v>957</v>
      </c>
      <c r="AE55" s="12" t="s">
        <v>818</v>
      </c>
      <c r="AF55" s="12" t="s">
        <v>1738</v>
      </c>
      <c r="AG55" s="12" t="s">
        <v>1364</v>
      </c>
      <c r="AH55" s="12" t="s">
        <v>1364</v>
      </c>
      <c r="AI55" s="12" t="s">
        <v>1364</v>
      </c>
      <c r="AJ55" s="12" t="s">
        <v>1364</v>
      </c>
      <c r="AK55" s="12" t="s">
        <v>1364</v>
      </c>
      <c r="AL55" s="12" t="s">
        <v>1364</v>
      </c>
      <c r="AM55" s="12" t="s">
        <v>1739</v>
      </c>
      <c r="AN55" s="12" t="s">
        <v>1739</v>
      </c>
      <c r="AO55" s="12" t="s">
        <v>1740</v>
      </c>
      <c r="AP55" s="12" t="s">
        <v>1740</v>
      </c>
      <c r="AQ55" s="12" t="s">
        <v>1740</v>
      </c>
      <c r="AR55" s="12" t="s">
        <v>1740</v>
      </c>
      <c r="AS55" s="12" t="s">
        <v>1740</v>
      </c>
      <c r="AT55" s="12" t="s">
        <v>1740</v>
      </c>
      <c r="AU55" s="12" t="s">
        <v>1740</v>
      </c>
      <c r="AV55" s="12" t="s">
        <v>1740</v>
      </c>
      <c r="AW55" s="12" t="s">
        <v>1740</v>
      </c>
      <c r="AX55" s="12" t="s">
        <v>1740</v>
      </c>
      <c r="AY55" s="12" t="s">
        <v>1740</v>
      </c>
      <c r="AZ55" s="12" t="s">
        <v>1740</v>
      </c>
      <c r="BA55" s="12" t="s">
        <v>1740</v>
      </c>
      <c r="BB55" s="12" t="s">
        <v>1740</v>
      </c>
      <c r="BC55" s="12" t="s">
        <v>1740</v>
      </c>
      <c r="BD55" s="12" t="s">
        <v>1740</v>
      </c>
      <c r="BE55" s="12" t="s">
        <v>1740</v>
      </c>
      <c r="BF55" s="12" t="s">
        <v>1740</v>
      </c>
      <c r="BG55" s="12" t="s">
        <v>1740</v>
      </c>
      <c r="BH55" s="12" t="s">
        <v>1740</v>
      </c>
      <c r="BI55" s="12" t="s">
        <v>1740</v>
      </c>
      <c r="BJ55" s="12" t="s">
        <v>1740</v>
      </c>
      <c r="BK55" s="12" t="s">
        <v>599</v>
      </c>
      <c r="BL55" s="12" t="s">
        <v>1741</v>
      </c>
      <c r="BM55" s="12" t="s">
        <v>1608</v>
      </c>
      <c r="BN55" s="12" t="s">
        <v>1608</v>
      </c>
      <c r="BO55" s="12" t="s">
        <v>1396</v>
      </c>
      <c r="BP55" s="12" t="s">
        <v>1742</v>
      </c>
      <c r="BQ55" s="12" t="s">
        <v>1743</v>
      </c>
      <c r="BR55" s="12" t="s">
        <v>1365</v>
      </c>
      <c r="BS55" s="12" t="s">
        <v>959</v>
      </c>
      <c r="BT55" s="12" t="s">
        <v>1744</v>
      </c>
      <c r="BU55" s="12" t="s">
        <v>1666</v>
      </c>
      <c r="BV55" s="12" t="s">
        <v>1745</v>
      </c>
      <c r="BW55" s="12" t="s">
        <v>1397</v>
      </c>
      <c r="BX55" s="12" t="s">
        <v>1397</v>
      </c>
      <c r="BY55" s="12" t="s">
        <v>600</v>
      </c>
      <c r="BZ55" s="12" t="s">
        <v>1746</v>
      </c>
      <c r="CA55" s="12" t="s">
        <v>1746</v>
      </c>
      <c r="CB55" s="12" t="s">
        <v>1746</v>
      </c>
      <c r="CC55" s="12" t="s">
        <v>1187</v>
      </c>
      <c r="CD55" s="12" t="s">
        <v>1187</v>
      </c>
      <c r="CE55" s="12" t="s">
        <v>1187</v>
      </c>
      <c r="CF55" s="12" t="s">
        <v>1187</v>
      </c>
      <c r="CG55" s="12" t="s">
        <v>1187</v>
      </c>
      <c r="CH55" s="12" t="s">
        <v>1688</v>
      </c>
      <c r="CI55" s="12" t="s">
        <v>1688</v>
      </c>
      <c r="CJ55" s="12" t="s">
        <v>877</v>
      </c>
      <c r="CK55" s="12" t="s">
        <v>877</v>
      </c>
      <c r="CL55" s="12" t="s">
        <v>877</v>
      </c>
      <c r="CM55" s="12" t="s">
        <v>1267</v>
      </c>
      <c r="CN55" s="12" t="s">
        <v>995</v>
      </c>
      <c r="CO55" s="12" t="s">
        <v>995</v>
      </c>
      <c r="CP55" s="12" t="s">
        <v>995</v>
      </c>
      <c r="CQ55" s="12" t="s">
        <v>995</v>
      </c>
      <c r="CR55" s="12" t="s">
        <v>995</v>
      </c>
      <c r="CS55" s="12" t="s">
        <v>995</v>
      </c>
      <c r="CT55" s="12" t="s">
        <v>995</v>
      </c>
    </row>
    <row r="56" spans="1:98" hidden="1" x14ac:dyDescent="0.3">
      <c r="A56" s="12" t="s">
        <v>1747</v>
      </c>
      <c r="B56" s="12" t="s">
        <v>1661</v>
      </c>
      <c r="C56" s="12" t="s">
        <v>1748</v>
      </c>
      <c r="D56" s="12" t="s">
        <v>1749</v>
      </c>
      <c r="E56" s="12" t="s">
        <v>578</v>
      </c>
      <c r="F56" s="12" t="s">
        <v>623</v>
      </c>
      <c r="G56" s="12" t="s">
        <v>623</v>
      </c>
      <c r="H56" s="12" t="s">
        <v>580</v>
      </c>
      <c r="I56" s="12" t="s">
        <v>582</v>
      </c>
      <c r="J56" s="12" t="s">
        <v>756</v>
      </c>
      <c r="K56" s="12" t="s">
        <v>674</v>
      </c>
      <c r="L56" s="12" t="s">
        <v>587</v>
      </c>
      <c r="M56" s="12" t="s">
        <v>676</v>
      </c>
      <c r="N56" s="12" t="s">
        <v>953</v>
      </c>
      <c r="O56" s="12" t="s">
        <v>588</v>
      </c>
      <c r="P56" s="12" t="s">
        <v>630</v>
      </c>
      <c r="Q56" s="12" t="s">
        <v>631</v>
      </c>
      <c r="R56" s="12" t="s">
        <v>992</v>
      </c>
      <c r="S56" s="12" t="s">
        <v>853</v>
      </c>
      <c r="T56" s="12" t="s">
        <v>853</v>
      </c>
      <c r="U56" s="12" t="s">
        <v>955</v>
      </c>
      <c r="V56" s="12" t="s">
        <v>771</v>
      </c>
      <c r="W56" s="12" t="s">
        <v>1352</v>
      </c>
      <c r="X56" s="12" t="s">
        <v>1352</v>
      </c>
      <c r="Y56" s="12" t="s">
        <v>977</v>
      </c>
      <c r="Z56" s="12" t="s">
        <v>681</v>
      </c>
      <c r="AA56" s="12" t="s">
        <v>682</v>
      </c>
      <c r="AB56" s="12" t="s">
        <v>682</v>
      </c>
      <c r="AC56" s="12" t="s">
        <v>682</v>
      </c>
      <c r="AD56" s="12" t="s">
        <v>682</v>
      </c>
      <c r="AE56" s="12" t="s">
        <v>857</v>
      </c>
      <c r="AF56" s="12" t="s">
        <v>857</v>
      </c>
      <c r="AG56" s="12" t="s">
        <v>857</v>
      </c>
      <c r="AH56" s="12" t="s">
        <v>857</v>
      </c>
      <c r="AI56" s="12" t="s">
        <v>857</v>
      </c>
      <c r="AJ56" s="12" t="s">
        <v>857</v>
      </c>
      <c r="AK56" s="12" t="s">
        <v>857</v>
      </c>
      <c r="AL56" s="12" t="s">
        <v>857</v>
      </c>
      <c r="AM56" s="12" t="s">
        <v>857</v>
      </c>
      <c r="AN56" s="12" t="s">
        <v>857</v>
      </c>
      <c r="AO56" s="12" t="s">
        <v>857</v>
      </c>
      <c r="AP56" s="12" t="s">
        <v>857</v>
      </c>
      <c r="AQ56" s="12" t="s">
        <v>857</v>
      </c>
      <c r="AR56" s="12" t="s">
        <v>857</v>
      </c>
      <c r="AS56" s="12" t="s">
        <v>857</v>
      </c>
      <c r="AT56" s="12" t="s">
        <v>857</v>
      </c>
      <c r="AU56" s="12" t="s">
        <v>857</v>
      </c>
      <c r="AV56" s="12" t="s">
        <v>863</v>
      </c>
      <c r="AW56" s="12" t="s">
        <v>1418</v>
      </c>
      <c r="AX56" s="12" t="s">
        <v>593</v>
      </c>
      <c r="AY56" s="12" t="s">
        <v>1750</v>
      </c>
      <c r="AZ56" s="12" t="s">
        <v>1750</v>
      </c>
      <c r="BA56" s="12" t="s">
        <v>1751</v>
      </c>
      <c r="BB56" s="12" t="s">
        <v>1354</v>
      </c>
      <c r="BC56" s="12" t="s">
        <v>1354</v>
      </c>
      <c r="BD56" s="12" t="s">
        <v>1354</v>
      </c>
      <c r="BE56" s="12" t="s">
        <v>1355</v>
      </c>
      <c r="BF56" s="12" t="s">
        <v>723</v>
      </c>
      <c r="BG56" s="12" t="s">
        <v>723</v>
      </c>
      <c r="BH56" s="12" t="s">
        <v>723</v>
      </c>
      <c r="BI56" s="12" t="s">
        <v>723</v>
      </c>
      <c r="BJ56" s="12" t="s">
        <v>873</v>
      </c>
      <c r="BK56" s="12" t="s">
        <v>873</v>
      </c>
      <c r="BL56" s="12" t="s">
        <v>873</v>
      </c>
      <c r="BM56" s="12" t="s">
        <v>812</v>
      </c>
      <c r="BN56" s="12" t="s">
        <v>812</v>
      </c>
      <c r="BO56" s="12" t="s">
        <v>812</v>
      </c>
      <c r="BP56" s="12" t="s">
        <v>812</v>
      </c>
      <c r="BQ56" s="12" t="s">
        <v>812</v>
      </c>
      <c r="BR56" s="12" t="s">
        <v>812</v>
      </c>
      <c r="BS56" s="12" t="s">
        <v>812</v>
      </c>
      <c r="BT56" s="12" t="s">
        <v>1358</v>
      </c>
      <c r="BU56" s="12" t="s">
        <v>1358</v>
      </c>
      <c r="BV56" s="12" t="s">
        <v>1358</v>
      </c>
      <c r="BW56" s="12" t="s">
        <v>1358</v>
      </c>
      <c r="BX56" s="12" t="s">
        <v>1358</v>
      </c>
      <c r="BY56" s="12" t="s">
        <v>1358</v>
      </c>
      <c r="BZ56" s="12" t="s">
        <v>1358</v>
      </c>
      <c r="CA56" s="12" t="s">
        <v>1358</v>
      </c>
      <c r="CB56" s="12" t="s">
        <v>683</v>
      </c>
      <c r="CC56" s="12" t="s">
        <v>683</v>
      </c>
      <c r="CD56" s="12" t="s">
        <v>683</v>
      </c>
      <c r="CE56" s="12" t="s">
        <v>683</v>
      </c>
      <c r="CF56" s="12" t="s">
        <v>683</v>
      </c>
      <c r="CG56" s="12" t="s">
        <v>683</v>
      </c>
      <c r="CH56" s="12" t="s">
        <v>683</v>
      </c>
      <c r="CI56" s="12" t="s">
        <v>683</v>
      </c>
      <c r="CJ56" s="12" t="s">
        <v>683</v>
      </c>
      <c r="CK56" s="12" t="s">
        <v>683</v>
      </c>
      <c r="CL56" s="12" t="s">
        <v>683</v>
      </c>
      <c r="CM56" s="12" t="s">
        <v>683</v>
      </c>
      <c r="CN56" s="12" t="s">
        <v>683</v>
      </c>
      <c r="CO56" s="12" t="s">
        <v>683</v>
      </c>
      <c r="CP56" s="12" t="s">
        <v>683</v>
      </c>
      <c r="CQ56" s="12" t="s">
        <v>683</v>
      </c>
      <c r="CR56" s="12" t="s">
        <v>683</v>
      </c>
      <c r="CS56" s="12" t="s">
        <v>683</v>
      </c>
      <c r="CT56" s="12" t="s">
        <v>683</v>
      </c>
    </row>
    <row r="57" spans="1:98" hidden="1" x14ac:dyDescent="0.3">
      <c r="A57" s="12" t="s">
        <v>1752</v>
      </c>
      <c r="B57" s="12" t="s">
        <v>1661</v>
      </c>
      <c r="C57" s="12" t="s">
        <v>1753</v>
      </c>
      <c r="D57" s="12" t="s">
        <v>1754</v>
      </c>
      <c r="E57" s="12" t="s">
        <v>676</v>
      </c>
      <c r="F57" s="12" t="s">
        <v>852</v>
      </c>
      <c r="G57" s="12" t="s">
        <v>719</v>
      </c>
      <c r="H57" s="12" t="s">
        <v>810</v>
      </c>
      <c r="I57" s="12" t="s">
        <v>979</v>
      </c>
      <c r="J57" s="12" t="s">
        <v>1309</v>
      </c>
      <c r="K57" s="12" t="s">
        <v>987</v>
      </c>
      <c r="L57" s="12" t="s">
        <v>646</v>
      </c>
      <c r="M57" s="12" t="s">
        <v>1267</v>
      </c>
      <c r="N57" s="12" t="s">
        <v>878</v>
      </c>
      <c r="O57" s="12" t="s">
        <v>1755</v>
      </c>
      <c r="P57" s="12" t="s">
        <v>1627</v>
      </c>
      <c r="Q57" s="12" t="s">
        <v>1462</v>
      </c>
      <c r="R57" s="12" t="s">
        <v>1756</v>
      </c>
      <c r="S57" s="12" t="s">
        <v>1757</v>
      </c>
      <c r="T57" s="12" t="s">
        <v>1464</v>
      </c>
      <c r="U57" s="12" t="s">
        <v>1758</v>
      </c>
      <c r="V57" s="12" t="s">
        <v>1759</v>
      </c>
      <c r="W57" s="12" t="s">
        <v>1760</v>
      </c>
      <c r="X57" s="12" t="s">
        <v>838</v>
      </c>
      <c r="Y57" s="12" t="s">
        <v>1761</v>
      </c>
      <c r="Z57" s="12" t="s">
        <v>882</v>
      </c>
      <c r="AA57" s="12" t="s">
        <v>1011</v>
      </c>
      <c r="AB57" s="12" t="s">
        <v>1762</v>
      </c>
      <c r="AC57" s="12" t="s">
        <v>1763</v>
      </c>
      <c r="AD57" s="12" t="s">
        <v>1764</v>
      </c>
      <c r="AE57" s="12" t="s">
        <v>1765</v>
      </c>
      <c r="AF57" s="12" t="s">
        <v>1017</v>
      </c>
      <c r="AG57" s="12" t="s">
        <v>1766</v>
      </c>
      <c r="AH57" s="12" t="s">
        <v>1054</v>
      </c>
      <c r="AI57" s="12" t="s">
        <v>1767</v>
      </c>
      <c r="AJ57" s="12" t="s">
        <v>842</v>
      </c>
      <c r="AK57" s="12" t="s">
        <v>1302</v>
      </c>
      <c r="AL57" s="12" t="s">
        <v>1768</v>
      </c>
      <c r="AM57" s="12" t="s">
        <v>1769</v>
      </c>
      <c r="AN57" s="12" t="s">
        <v>1769</v>
      </c>
      <c r="AO57" s="12" t="s">
        <v>1769</v>
      </c>
      <c r="AP57" s="12" t="s">
        <v>1770</v>
      </c>
      <c r="AQ57" s="12" t="s">
        <v>1771</v>
      </c>
      <c r="AR57" s="12" t="s">
        <v>1771</v>
      </c>
      <c r="AS57" s="12" t="s">
        <v>1772</v>
      </c>
      <c r="AT57" s="12" t="s">
        <v>1772</v>
      </c>
      <c r="AU57" s="12" t="s">
        <v>1772</v>
      </c>
      <c r="AV57" s="12" t="s">
        <v>619</v>
      </c>
      <c r="AW57" s="12" t="s">
        <v>1773</v>
      </c>
      <c r="AX57" s="12" t="s">
        <v>1773</v>
      </c>
      <c r="AY57" s="12" t="s">
        <v>1773</v>
      </c>
      <c r="AZ57" s="12" t="s">
        <v>1773</v>
      </c>
      <c r="BA57" s="12" t="s">
        <v>1774</v>
      </c>
      <c r="BB57" s="12" t="s">
        <v>1775</v>
      </c>
      <c r="BC57" s="12" t="s">
        <v>1775</v>
      </c>
      <c r="BD57" s="12" t="s">
        <v>1775</v>
      </c>
      <c r="BE57" s="12" t="s">
        <v>1775</v>
      </c>
      <c r="BF57" s="12" t="s">
        <v>1776</v>
      </c>
      <c r="BG57" s="12" t="s">
        <v>1148</v>
      </c>
      <c r="BH57" s="12" t="s">
        <v>1777</v>
      </c>
      <c r="BI57" s="12" t="s">
        <v>1469</v>
      </c>
      <c r="BJ57" s="12" t="s">
        <v>1778</v>
      </c>
      <c r="BK57" s="12" t="s">
        <v>1779</v>
      </c>
      <c r="BL57" s="12" t="s">
        <v>1780</v>
      </c>
      <c r="BM57" s="12" t="s">
        <v>1304</v>
      </c>
      <c r="BN57" s="12" t="s">
        <v>1781</v>
      </c>
      <c r="BO57" s="12" t="s">
        <v>1782</v>
      </c>
      <c r="BP57" s="12" t="s">
        <v>1783</v>
      </c>
      <c r="BQ57" s="12" t="s">
        <v>1784</v>
      </c>
      <c r="BR57" s="12" t="s">
        <v>1785</v>
      </c>
      <c r="BS57" s="12" t="s">
        <v>1786</v>
      </c>
      <c r="BT57" s="12" t="s">
        <v>1787</v>
      </c>
      <c r="BU57" s="12" t="s">
        <v>1788</v>
      </c>
      <c r="BV57" s="12" t="s">
        <v>1789</v>
      </c>
      <c r="BW57" s="12" t="s">
        <v>1790</v>
      </c>
      <c r="BX57" s="12" t="s">
        <v>1791</v>
      </c>
      <c r="BY57" s="12" t="s">
        <v>1792</v>
      </c>
      <c r="BZ57" s="12" t="s">
        <v>1793</v>
      </c>
      <c r="CA57" s="12" t="s">
        <v>1794</v>
      </c>
      <c r="CB57" s="12" t="s">
        <v>1795</v>
      </c>
      <c r="CC57" s="12" t="s">
        <v>1796</v>
      </c>
      <c r="CD57" s="12" t="s">
        <v>1797</v>
      </c>
      <c r="CE57" s="12" t="s">
        <v>1798</v>
      </c>
      <c r="CF57" s="12" t="s">
        <v>1799</v>
      </c>
      <c r="CG57" s="12" t="s">
        <v>1115</v>
      </c>
      <c r="CH57" s="12" t="s">
        <v>1800</v>
      </c>
      <c r="CI57" s="12" t="s">
        <v>1801</v>
      </c>
      <c r="CJ57" s="12" t="s">
        <v>1802</v>
      </c>
      <c r="CK57" s="12" t="s">
        <v>1803</v>
      </c>
      <c r="CL57" s="12" t="s">
        <v>1804</v>
      </c>
      <c r="CM57" s="12" t="s">
        <v>1805</v>
      </c>
      <c r="CN57" s="12" t="s">
        <v>1806</v>
      </c>
      <c r="CO57" s="12" t="s">
        <v>1807</v>
      </c>
      <c r="CP57" s="12" t="s">
        <v>1808</v>
      </c>
      <c r="CQ57" s="12" t="s">
        <v>1809</v>
      </c>
      <c r="CR57" s="12" t="s">
        <v>1809</v>
      </c>
      <c r="CS57" s="12" t="s">
        <v>1810</v>
      </c>
      <c r="CT57" s="12" t="s">
        <v>1810</v>
      </c>
    </row>
    <row r="58" spans="1:98" hidden="1" x14ac:dyDescent="0.3">
      <c r="A58" s="12" t="s">
        <v>1811</v>
      </c>
      <c r="B58" s="12" t="s">
        <v>1661</v>
      </c>
      <c r="C58" s="12" t="s">
        <v>1812</v>
      </c>
      <c r="D58" s="12" t="s">
        <v>1813</v>
      </c>
      <c r="E58" s="12" t="s">
        <v>623</v>
      </c>
      <c r="F58" s="12" t="s">
        <v>581</v>
      </c>
      <c r="G58" s="12" t="s">
        <v>626</v>
      </c>
      <c r="H58" s="12" t="s">
        <v>626</v>
      </c>
      <c r="I58" s="12" t="s">
        <v>971</v>
      </c>
      <c r="J58" s="12" t="s">
        <v>918</v>
      </c>
      <c r="K58" s="12" t="s">
        <v>630</v>
      </c>
      <c r="L58" s="12" t="s">
        <v>1413</v>
      </c>
      <c r="M58" s="12" t="s">
        <v>810</v>
      </c>
      <c r="N58" s="12" t="s">
        <v>681</v>
      </c>
      <c r="O58" s="12" t="s">
        <v>861</v>
      </c>
      <c r="P58" s="12" t="s">
        <v>979</v>
      </c>
      <c r="Q58" s="12" t="s">
        <v>1354</v>
      </c>
      <c r="R58" s="12" t="s">
        <v>683</v>
      </c>
      <c r="S58" s="12" t="s">
        <v>1814</v>
      </c>
      <c r="T58" s="12" t="s">
        <v>1686</v>
      </c>
      <c r="U58" s="12" t="s">
        <v>1815</v>
      </c>
      <c r="V58" s="12" t="s">
        <v>1263</v>
      </c>
      <c r="W58" s="12" t="s">
        <v>984</v>
      </c>
      <c r="X58" s="12" t="s">
        <v>875</v>
      </c>
      <c r="Y58" s="12" t="s">
        <v>1735</v>
      </c>
      <c r="Z58" s="12" t="s">
        <v>1392</v>
      </c>
      <c r="AA58" s="12" t="s">
        <v>1392</v>
      </c>
      <c r="AB58" s="12" t="s">
        <v>1506</v>
      </c>
      <c r="AC58" s="12" t="s">
        <v>815</v>
      </c>
      <c r="AD58" s="12" t="s">
        <v>596</v>
      </c>
      <c r="AE58" s="12" t="s">
        <v>1624</v>
      </c>
      <c r="AF58" s="12" t="s">
        <v>1363</v>
      </c>
      <c r="AG58" s="12" t="s">
        <v>1509</v>
      </c>
      <c r="AH58" s="12" t="s">
        <v>1816</v>
      </c>
      <c r="AI58" s="12" t="s">
        <v>1049</v>
      </c>
      <c r="AJ58" s="12" t="s">
        <v>816</v>
      </c>
      <c r="AK58" s="12" t="s">
        <v>816</v>
      </c>
      <c r="AL58" s="12" t="s">
        <v>1817</v>
      </c>
      <c r="AM58" s="12" t="s">
        <v>1511</v>
      </c>
      <c r="AN58" s="12" t="s">
        <v>1511</v>
      </c>
      <c r="AO58" s="12" t="s">
        <v>1511</v>
      </c>
      <c r="AP58" s="12" t="s">
        <v>1511</v>
      </c>
      <c r="AQ58" s="12" t="s">
        <v>1511</v>
      </c>
      <c r="AR58" s="12" t="s">
        <v>1511</v>
      </c>
      <c r="AS58" s="12" t="s">
        <v>1511</v>
      </c>
      <c r="AT58" s="12" t="s">
        <v>1511</v>
      </c>
      <c r="AU58" s="12" t="s">
        <v>1511</v>
      </c>
      <c r="AV58" s="12" t="s">
        <v>1511</v>
      </c>
      <c r="AW58" s="12" t="s">
        <v>1511</v>
      </c>
      <c r="AX58" s="12" t="s">
        <v>1511</v>
      </c>
      <c r="AY58" s="12" t="s">
        <v>1511</v>
      </c>
      <c r="AZ58" s="12" t="s">
        <v>1511</v>
      </c>
      <c r="BA58" s="12" t="s">
        <v>1511</v>
      </c>
      <c r="BB58" s="12" t="s">
        <v>1511</v>
      </c>
      <c r="BC58" s="12" t="s">
        <v>1511</v>
      </c>
      <c r="BD58" s="12" t="s">
        <v>1511</v>
      </c>
      <c r="BE58" s="12" t="s">
        <v>1511</v>
      </c>
      <c r="BF58" s="12" t="s">
        <v>1511</v>
      </c>
      <c r="BG58" s="12" t="s">
        <v>1511</v>
      </c>
      <c r="BH58" s="12" t="s">
        <v>1491</v>
      </c>
      <c r="BI58" s="12" t="s">
        <v>1491</v>
      </c>
      <c r="BJ58" s="12" t="s">
        <v>1491</v>
      </c>
      <c r="BK58" s="12" t="s">
        <v>1492</v>
      </c>
      <c r="BL58" s="12" t="s">
        <v>1492</v>
      </c>
      <c r="BM58" s="12" t="s">
        <v>1492</v>
      </c>
      <c r="BN58" s="12" t="s">
        <v>1492</v>
      </c>
      <c r="BO58" s="12" t="s">
        <v>1492</v>
      </c>
      <c r="BP58" s="12" t="s">
        <v>1492</v>
      </c>
      <c r="BQ58" s="12" t="s">
        <v>1492</v>
      </c>
      <c r="BR58" s="12" t="s">
        <v>1492</v>
      </c>
      <c r="BS58" s="12" t="s">
        <v>1492</v>
      </c>
      <c r="BT58" s="12" t="s">
        <v>1492</v>
      </c>
      <c r="BU58" s="12" t="s">
        <v>1492</v>
      </c>
      <c r="BV58" s="12" t="s">
        <v>1492</v>
      </c>
      <c r="BW58" s="12" t="s">
        <v>1492</v>
      </c>
      <c r="BX58" s="12" t="s">
        <v>1492</v>
      </c>
      <c r="BY58" s="12" t="s">
        <v>1492</v>
      </c>
      <c r="BZ58" s="12" t="s">
        <v>1492</v>
      </c>
      <c r="CA58" s="12" t="s">
        <v>1492</v>
      </c>
      <c r="CB58" s="12" t="s">
        <v>1492</v>
      </c>
      <c r="CC58" s="12" t="s">
        <v>1492</v>
      </c>
      <c r="CD58" s="12" t="s">
        <v>1492</v>
      </c>
      <c r="CE58" s="12" t="s">
        <v>1492</v>
      </c>
      <c r="CF58" s="12" t="s">
        <v>1492</v>
      </c>
      <c r="CG58" s="12" t="s">
        <v>1492</v>
      </c>
      <c r="CH58" s="12" t="s">
        <v>1492</v>
      </c>
      <c r="CI58" s="12" t="s">
        <v>1492</v>
      </c>
      <c r="CJ58" s="12" t="s">
        <v>1492</v>
      </c>
      <c r="CK58" s="12" t="s">
        <v>1492</v>
      </c>
      <c r="CL58" s="12" t="s">
        <v>1492</v>
      </c>
      <c r="CM58" s="12" t="s">
        <v>1492</v>
      </c>
      <c r="CN58" s="12" t="s">
        <v>1492</v>
      </c>
      <c r="CO58" s="12" t="s">
        <v>1492</v>
      </c>
      <c r="CP58" s="12" t="s">
        <v>1492</v>
      </c>
      <c r="CQ58" s="12" t="s">
        <v>1492</v>
      </c>
      <c r="CR58" s="12" t="s">
        <v>1492</v>
      </c>
      <c r="CS58" s="12" t="s">
        <v>1492</v>
      </c>
      <c r="CT58" s="12" t="s">
        <v>1492</v>
      </c>
    </row>
    <row r="59" spans="1:98" hidden="1" x14ac:dyDescent="0.3">
      <c r="A59" s="12" t="s">
        <v>1818</v>
      </c>
      <c r="B59" s="12" t="s">
        <v>1661</v>
      </c>
      <c r="C59" s="12" t="s">
        <v>1819</v>
      </c>
      <c r="D59" s="12" t="s">
        <v>1820</v>
      </c>
      <c r="E59" s="12" t="s">
        <v>579</v>
      </c>
      <c r="F59" s="12" t="s">
        <v>672</v>
      </c>
      <c r="G59" s="12" t="s">
        <v>672</v>
      </c>
      <c r="H59" s="12" t="s">
        <v>580</v>
      </c>
      <c r="I59" s="12" t="s">
        <v>581</v>
      </c>
      <c r="J59" s="12" t="s">
        <v>582</v>
      </c>
      <c r="K59" s="12" t="s">
        <v>761</v>
      </c>
      <c r="L59" s="12" t="s">
        <v>761</v>
      </c>
      <c r="M59" s="12" t="s">
        <v>625</v>
      </c>
      <c r="N59" s="12" t="s">
        <v>953</v>
      </c>
      <c r="O59" s="12" t="s">
        <v>953</v>
      </c>
      <c r="P59" s="12" t="s">
        <v>628</v>
      </c>
      <c r="Q59" s="12" t="s">
        <v>918</v>
      </c>
      <c r="R59" s="12" t="s">
        <v>1413</v>
      </c>
      <c r="S59" s="12" t="s">
        <v>633</v>
      </c>
      <c r="T59" s="12" t="s">
        <v>854</v>
      </c>
      <c r="U59" s="12" t="s">
        <v>1184</v>
      </c>
      <c r="V59" s="12" t="s">
        <v>636</v>
      </c>
      <c r="W59" s="12" t="s">
        <v>860</v>
      </c>
      <c r="X59" s="12" t="s">
        <v>1208</v>
      </c>
      <c r="Y59" s="12" t="s">
        <v>1354</v>
      </c>
      <c r="Z59" s="12" t="s">
        <v>723</v>
      </c>
      <c r="AA59" s="12" t="s">
        <v>1356</v>
      </c>
      <c r="AB59" s="12" t="s">
        <v>1025</v>
      </c>
      <c r="AC59" s="12" t="s">
        <v>1821</v>
      </c>
      <c r="AD59" s="12" t="s">
        <v>920</v>
      </c>
      <c r="AE59" s="12" t="s">
        <v>639</v>
      </c>
      <c r="AF59" s="12" t="s">
        <v>639</v>
      </c>
      <c r="AG59" s="12" t="s">
        <v>639</v>
      </c>
      <c r="AH59" s="12" t="s">
        <v>639</v>
      </c>
      <c r="AI59" s="12" t="s">
        <v>639</v>
      </c>
      <c r="AJ59" s="12" t="s">
        <v>639</v>
      </c>
      <c r="AK59" s="12" t="s">
        <v>639</v>
      </c>
      <c r="AL59" s="12" t="s">
        <v>639</v>
      </c>
      <c r="AM59" s="12" t="s">
        <v>639</v>
      </c>
      <c r="AN59" s="12" t="s">
        <v>639</v>
      </c>
      <c r="AO59" s="12" t="s">
        <v>639</v>
      </c>
      <c r="AP59" s="12" t="s">
        <v>639</v>
      </c>
      <c r="AQ59" s="12" t="s">
        <v>639</v>
      </c>
      <c r="AR59" s="12" t="s">
        <v>639</v>
      </c>
      <c r="AS59" s="12" t="s">
        <v>639</v>
      </c>
      <c r="AT59" s="12" t="s">
        <v>639</v>
      </c>
      <c r="AU59" s="12" t="s">
        <v>639</v>
      </c>
      <c r="AV59" s="12" t="s">
        <v>639</v>
      </c>
      <c r="AW59" s="12" t="s">
        <v>639</v>
      </c>
      <c r="AX59" s="12" t="s">
        <v>639</v>
      </c>
      <c r="AY59" s="12" t="s">
        <v>639</v>
      </c>
      <c r="AZ59" s="12" t="s">
        <v>639</v>
      </c>
      <c r="BA59" s="12" t="s">
        <v>639</v>
      </c>
      <c r="BB59" s="12" t="s">
        <v>639</v>
      </c>
      <c r="BC59" s="12" t="s">
        <v>639</v>
      </c>
      <c r="BD59" s="12" t="s">
        <v>639</v>
      </c>
      <c r="BE59" s="12" t="s">
        <v>639</v>
      </c>
      <c r="BF59" s="12" t="s">
        <v>639</v>
      </c>
      <c r="BG59" s="12" t="s">
        <v>639</v>
      </c>
      <c r="BH59" s="12" t="s">
        <v>1515</v>
      </c>
      <c r="BI59" s="12" t="s">
        <v>639</v>
      </c>
      <c r="BJ59" s="12" t="s">
        <v>639</v>
      </c>
      <c r="BK59" s="12" t="s">
        <v>639</v>
      </c>
      <c r="BL59" s="12" t="s">
        <v>639</v>
      </c>
      <c r="BM59" s="12" t="s">
        <v>639</v>
      </c>
      <c r="BN59" s="12" t="s">
        <v>639</v>
      </c>
      <c r="BO59" s="12" t="s">
        <v>639</v>
      </c>
      <c r="BP59" s="12" t="s">
        <v>639</v>
      </c>
      <c r="BQ59" s="12" t="s">
        <v>639</v>
      </c>
      <c r="BR59" s="12" t="s">
        <v>639</v>
      </c>
      <c r="BS59" s="12" t="s">
        <v>639</v>
      </c>
      <c r="BT59" s="12" t="s">
        <v>639</v>
      </c>
      <c r="BU59" s="12" t="s">
        <v>639</v>
      </c>
      <c r="BV59" s="12" t="s">
        <v>639</v>
      </c>
      <c r="BW59" s="12" t="s">
        <v>639</v>
      </c>
      <c r="BX59" s="12" t="s">
        <v>639</v>
      </c>
      <c r="BY59" s="12" t="s">
        <v>639</v>
      </c>
      <c r="BZ59" s="12" t="s">
        <v>639</v>
      </c>
      <c r="CA59" s="12" t="s">
        <v>639</v>
      </c>
      <c r="CB59" s="12" t="s">
        <v>639</v>
      </c>
      <c r="CC59" s="12" t="s">
        <v>639</v>
      </c>
      <c r="CD59" s="12" t="s">
        <v>639</v>
      </c>
      <c r="CE59" s="12" t="s">
        <v>639</v>
      </c>
      <c r="CF59" s="12" t="s">
        <v>639</v>
      </c>
      <c r="CG59" s="12" t="s">
        <v>639</v>
      </c>
      <c r="CH59" s="12" t="s">
        <v>639</v>
      </c>
      <c r="CI59" s="12" t="s">
        <v>639</v>
      </c>
      <c r="CJ59" s="12" t="s">
        <v>639</v>
      </c>
      <c r="CK59" s="12" t="s">
        <v>639</v>
      </c>
      <c r="CL59" s="12" t="s">
        <v>639</v>
      </c>
      <c r="CM59" s="12" t="s">
        <v>639</v>
      </c>
      <c r="CN59" s="12" t="s">
        <v>639</v>
      </c>
      <c r="CO59" s="12" t="s">
        <v>1515</v>
      </c>
      <c r="CP59" s="12" t="s">
        <v>1515</v>
      </c>
      <c r="CQ59" s="12" t="s">
        <v>1515</v>
      </c>
      <c r="CR59" s="12" t="s">
        <v>1515</v>
      </c>
      <c r="CS59" s="12" t="s">
        <v>1515</v>
      </c>
      <c r="CT59" s="12" t="s">
        <v>1515</v>
      </c>
    </row>
    <row r="60" spans="1:98" hidden="1" x14ac:dyDescent="0.3">
      <c r="A60" s="12" t="s">
        <v>1822</v>
      </c>
      <c r="B60" s="12" t="s">
        <v>1661</v>
      </c>
      <c r="C60" s="12" t="s">
        <v>1823</v>
      </c>
      <c r="D60" s="12" t="s">
        <v>1824</v>
      </c>
      <c r="E60" s="12" t="s">
        <v>580</v>
      </c>
      <c r="F60" s="12" t="s">
        <v>581</v>
      </c>
      <c r="G60" s="12" t="s">
        <v>755</v>
      </c>
      <c r="H60" s="12" t="s">
        <v>674</v>
      </c>
      <c r="I60" s="12" t="s">
        <v>586</v>
      </c>
      <c r="J60" s="12" t="s">
        <v>627</v>
      </c>
      <c r="K60" s="12" t="s">
        <v>588</v>
      </c>
      <c r="L60" s="12" t="s">
        <v>1259</v>
      </c>
      <c r="M60" s="12" t="s">
        <v>918</v>
      </c>
      <c r="N60" s="12" t="s">
        <v>809</v>
      </c>
      <c r="O60" s="12" t="s">
        <v>853</v>
      </c>
      <c r="P60" s="12" t="s">
        <v>633</v>
      </c>
      <c r="Q60" s="12" t="s">
        <v>975</v>
      </c>
      <c r="R60" s="12" t="s">
        <v>856</v>
      </c>
      <c r="S60" s="12" t="s">
        <v>860</v>
      </c>
      <c r="T60" s="12" t="s">
        <v>1664</v>
      </c>
      <c r="U60" s="12" t="s">
        <v>1417</v>
      </c>
      <c r="V60" s="12" t="s">
        <v>1750</v>
      </c>
      <c r="W60" s="12" t="s">
        <v>1047</v>
      </c>
      <c r="X60" s="12" t="s">
        <v>1358</v>
      </c>
      <c r="Y60" s="12" t="s">
        <v>920</v>
      </c>
      <c r="Z60" s="12" t="s">
        <v>1262</v>
      </c>
      <c r="AA60" s="12" t="s">
        <v>1262</v>
      </c>
      <c r="AB60" s="12" t="s">
        <v>1733</v>
      </c>
      <c r="AC60" s="12" t="s">
        <v>1310</v>
      </c>
      <c r="AD60" s="12" t="s">
        <v>1310</v>
      </c>
      <c r="AE60" s="12" t="s">
        <v>1186</v>
      </c>
      <c r="AF60" s="12" t="s">
        <v>1186</v>
      </c>
      <c r="AG60" s="12" t="s">
        <v>1686</v>
      </c>
      <c r="AH60" s="12" t="s">
        <v>1686</v>
      </c>
      <c r="AI60" s="12" t="s">
        <v>1686</v>
      </c>
      <c r="AJ60" s="12" t="s">
        <v>1686</v>
      </c>
      <c r="AK60" s="12" t="s">
        <v>1686</v>
      </c>
      <c r="AL60" s="12" t="s">
        <v>1686</v>
      </c>
      <c r="AM60" s="12" t="s">
        <v>1686</v>
      </c>
      <c r="AN60" s="12" t="s">
        <v>1686</v>
      </c>
      <c r="AO60" s="12" t="s">
        <v>1686</v>
      </c>
      <c r="AP60" s="12" t="s">
        <v>1686</v>
      </c>
      <c r="AQ60" s="12" t="s">
        <v>1686</v>
      </c>
      <c r="AR60" s="12" t="s">
        <v>1686</v>
      </c>
      <c r="AS60" s="12" t="s">
        <v>1686</v>
      </c>
      <c r="AT60" s="12" t="s">
        <v>1686</v>
      </c>
      <c r="AU60" s="12" t="s">
        <v>1686</v>
      </c>
      <c r="AV60" s="12" t="s">
        <v>1686</v>
      </c>
      <c r="AW60" s="12" t="s">
        <v>1686</v>
      </c>
      <c r="AX60" s="12" t="s">
        <v>1686</v>
      </c>
      <c r="AY60" s="12" t="s">
        <v>1686</v>
      </c>
      <c r="AZ60" s="12" t="s">
        <v>1686</v>
      </c>
      <c r="BA60" s="12" t="s">
        <v>1686</v>
      </c>
      <c r="BB60" s="12" t="s">
        <v>1686</v>
      </c>
      <c r="BC60" s="12" t="s">
        <v>1686</v>
      </c>
      <c r="BD60" s="12" t="s">
        <v>1686</v>
      </c>
      <c r="BE60" s="12" t="s">
        <v>1686</v>
      </c>
      <c r="BF60" s="12" t="s">
        <v>1686</v>
      </c>
      <c r="BG60" s="12" t="s">
        <v>1686</v>
      </c>
      <c r="BH60" s="12" t="s">
        <v>1686</v>
      </c>
      <c r="BI60" s="12" t="s">
        <v>1686</v>
      </c>
      <c r="BJ60" s="12" t="s">
        <v>1686</v>
      </c>
      <c r="BK60" s="12" t="s">
        <v>1686</v>
      </c>
      <c r="BL60" s="12" t="s">
        <v>1686</v>
      </c>
      <c r="BM60" s="12" t="s">
        <v>1686</v>
      </c>
      <c r="BN60" s="12" t="s">
        <v>1686</v>
      </c>
      <c r="BO60" s="12" t="s">
        <v>1686</v>
      </c>
      <c r="BP60" s="12" t="s">
        <v>1686</v>
      </c>
      <c r="BQ60" s="12" t="s">
        <v>1686</v>
      </c>
      <c r="BR60" s="12" t="s">
        <v>1686</v>
      </c>
      <c r="BS60" s="12" t="s">
        <v>1686</v>
      </c>
      <c r="BT60" s="12" t="s">
        <v>1686</v>
      </c>
      <c r="BU60" s="12" t="s">
        <v>1686</v>
      </c>
      <c r="BV60" s="12" t="s">
        <v>1686</v>
      </c>
      <c r="BW60" s="12" t="s">
        <v>1686</v>
      </c>
      <c r="BX60" s="12" t="s">
        <v>1686</v>
      </c>
      <c r="BY60" s="12" t="s">
        <v>1686</v>
      </c>
      <c r="BZ60" s="12" t="s">
        <v>1686</v>
      </c>
      <c r="CA60" s="12" t="s">
        <v>1686</v>
      </c>
      <c r="CB60" s="12" t="s">
        <v>1686</v>
      </c>
      <c r="CC60" s="12" t="s">
        <v>1686</v>
      </c>
      <c r="CD60" s="12" t="s">
        <v>1686</v>
      </c>
      <c r="CE60" s="12" t="s">
        <v>1686</v>
      </c>
      <c r="CF60" s="12" t="s">
        <v>1686</v>
      </c>
      <c r="CG60" s="12" t="s">
        <v>1686</v>
      </c>
      <c r="CH60" s="12" t="s">
        <v>1686</v>
      </c>
      <c r="CI60" s="12" t="s">
        <v>1686</v>
      </c>
      <c r="CJ60" s="12" t="s">
        <v>1686</v>
      </c>
      <c r="CK60" s="12" t="s">
        <v>1686</v>
      </c>
      <c r="CL60" s="12" t="s">
        <v>1686</v>
      </c>
      <c r="CM60" s="12" t="s">
        <v>1686</v>
      </c>
      <c r="CN60" s="12" t="s">
        <v>1686</v>
      </c>
      <c r="CO60" s="12" t="s">
        <v>1686</v>
      </c>
      <c r="CP60" s="12" t="s">
        <v>1686</v>
      </c>
      <c r="CQ60" s="12" t="s">
        <v>1686</v>
      </c>
      <c r="CR60" s="12" t="s">
        <v>1686</v>
      </c>
      <c r="CS60" s="12" t="s">
        <v>1686</v>
      </c>
      <c r="CT60" s="12" t="s">
        <v>1686</v>
      </c>
    </row>
    <row r="61" spans="1:98" hidden="1" x14ac:dyDescent="0.3">
      <c r="A61" s="12" t="s">
        <v>1825</v>
      </c>
      <c r="B61" s="12" t="s">
        <v>1661</v>
      </c>
      <c r="C61" s="12" t="s">
        <v>1826</v>
      </c>
      <c r="D61" s="12" t="s">
        <v>1827</v>
      </c>
      <c r="E61" s="12" t="s">
        <v>579</v>
      </c>
      <c r="F61" s="12" t="s">
        <v>579</v>
      </c>
      <c r="G61" s="12" t="s">
        <v>623</v>
      </c>
      <c r="H61" s="12" t="s">
        <v>755</v>
      </c>
      <c r="I61" s="12" t="s">
        <v>868</v>
      </c>
      <c r="J61" s="12" t="s">
        <v>808</v>
      </c>
      <c r="K61" s="12" t="s">
        <v>627</v>
      </c>
      <c r="L61" s="12" t="s">
        <v>678</v>
      </c>
      <c r="M61" s="12" t="s">
        <v>870</v>
      </c>
      <c r="N61" s="12" t="s">
        <v>976</v>
      </c>
      <c r="O61" s="12" t="s">
        <v>859</v>
      </c>
      <c r="P61" s="12" t="s">
        <v>637</v>
      </c>
      <c r="Q61" s="12" t="s">
        <v>722</v>
      </c>
      <c r="R61" s="12" t="s">
        <v>1276</v>
      </c>
      <c r="S61" s="12" t="s">
        <v>1356</v>
      </c>
      <c r="T61" s="12" t="s">
        <v>1262</v>
      </c>
      <c r="U61" s="12" t="s">
        <v>1815</v>
      </c>
      <c r="V61" s="12" t="s">
        <v>984</v>
      </c>
      <c r="W61" s="12" t="s">
        <v>1604</v>
      </c>
      <c r="X61" s="12" t="s">
        <v>1163</v>
      </c>
      <c r="Y61" s="12" t="s">
        <v>1209</v>
      </c>
      <c r="Z61" s="12" t="s">
        <v>1817</v>
      </c>
      <c r="AA61" s="12" t="s">
        <v>817</v>
      </c>
      <c r="AB61" s="12" t="s">
        <v>1828</v>
      </c>
      <c r="AC61" s="12" t="s">
        <v>1829</v>
      </c>
      <c r="AD61" s="12" t="s">
        <v>1266</v>
      </c>
      <c r="AE61" s="12" t="s">
        <v>776</v>
      </c>
      <c r="AF61" s="12" t="s">
        <v>1424</v>
      </c>
      <c r="AG61" s="12" t="s">
        <v>1424</v>
      </c>
      <c r="AH61" s="12" t="s">
        <v>876</v>
      </c>
      <c r="AI61" s="12" t="s">
        <v>728</v>
      </c>
      <c r="AJ61" s="12" t="s">
        <v>1830</v>
      </c>
      <c r="AK61" s="12" t="s">
        <v>1029</v>
      </c>
      <c r="AL61" s="12" t="s">
        <v>1029</v>
      </c>
      <c r="AM61" s="12" t="s">
        <v>1029</v>
      </c>
      <c r="AN61" s="12" t="s">
        <v>1831</v>
      </c>
      <c r="AO61" s="12" t="s">
        <v>1832</v>
      </c>
      <c r="AP61" s="12" t="s">
        <v>1396</v>
      </c>
      <c r="AQ61" s="12" t="s">
        <v>1396</v>
      </c>
      <c r="AR61" s="12" t="s">
        <v>1396</v>
      </c>
      <c r="AS61" s="12" t="s">
        <v>1396</v>
      </c>
      <c r="AT61" s="12" t="s">
        <v>1396</v>
      </c>
      <c r="AU61" s="12" t="s">
        <v>1396</v>
      </c>
      <c r="AV61" s="12" t="s">
        <v>1396</v>
      </c>
      <c r="AW61" s="12" t="s">
        <v>1396</v>
      </c>
      <c r="AX61" s="12" t="s">
        <v>1396</v>
      </c>
      <c r="AY61" s="12" t="s">
        <v>1396</v>
      </c>
      <c r="AZ61" s="12" t="s">
        <v>1396</v>
      </c>
      <c r="BA61" s="12" t="s">
        <v>1396</v>
      </c>
      <c r="BB61" s="12" t="s">
        <v>1396</v>
      </c>
      <c r="BC61" s="12" t="s">
        <v>1396</v>
      </c>
      <c r="BD61" s="12" t="s">
        <v>1396</v>
      </c>
      <c r="BE61" s="12" t="s">
        <v>1396</v>
      </c>
      <c r="BF61" s="12" t="s">
        <v>1396</v>
      </c>
      <c r="BG61" s="12" t="s">
        <v>1396</v>
      </c>
      <c r="BH61" s="12" t="s">
        <v>1396</v>
      </c>
      <c r="BI61" s="12" t="s">
        <v>1396</v>
      </c>
      <c r="BJ61" s="12" t="s">
        <v>1396</v>
      </c>
      <c r="BK61" s="12" t="s">
        <v>1396</v>
      </c>
      <c r="BL61" s="12" t="s">
        <v>1396</v>
      </c>
      <c r="BM61" s="12" t="s">
        <v>923</v>
      </c>
      <c r="BN61" s="12" t="s">
        <v>923</v>
      </c>
      <c r="BO61" s="12" t="s">
        <v>923</v>
      </c>
      <c r="BP61" s="12" t="s">
        <v>923</v>
      </c>
      <c r="BQ61" s="12" t="s">
        <v>923</v>
      </c>
      <c r="BR61" s="12" t="s">
        <v>923</v>
      </c>
      <c r="BS61" s="12" t="s">
        <v>923</v>
      </c>
      <c r="BT61" s="12" t="s">
        <v>923</v>
      </c>
      <c r="BU61" s="12" t="s">
        <v>1311</v>
      </c>
      <c r="BV61" s="12" t="s">
        <v>1311</v>
      </c>
      <c r="BW61" s="12" t="s">
        <v>1281</v>
      </c>
      <c r="BX61" s="12" t="s">
        <v>1833</v>
      </c>
      <c r="BY61" s="12" t="s">
        <v>1612</v>
      </c>
      <c r="BZ61" s="12" t="s">
        <v>1612</v>
      </c>
      <c r="CA61" s="12" t="s">
        <v>1834</v>
      </c>
      <c r="CB61" s="12" t="s">
        <v>1834</v>
      </c>
      <c r="CC61" s="12" t="s">
        <v>1834</v>
      </c>
      <c r="CD61" s="12" t="s">
        <v>1834</v>
      </c>
      <c r="CE61" s="12" t="s">
        <v>1834</v>
      </c>
      <c r="CF61" s="12" t="s">
        <v>1834</v>
      </c>
      <c r="CG61" s="12" t="s">
        <v>1834</v>
      </c>
      <c r="CH61" s="12" t="s">
        <v>1834</v>
      </c>
      <c r="CI61" s="12" t="s">
        <v>1834</v>
      </c>
      <c r="CJ61" s="12" t="s">
        <v>1834</v>
      </c>
      <c r="CK61" s="12" t="s">
        <v>1834</v>
      </c>
      <c r="CL61" s="12" t="s">
        <v>1743</v>
      </c>
      <c r="CM61" s="12" t="s">
        <v>1743</v>
      </c>
      <c r="CN61" s="12" t="s">
        <v>1743</v>
      </c>
      <c r="CO61" s="12" t="s">
        <v>1743</v>
      </c>
      <c r="CP61" s="12" t="s">
        <v>1743</v>
      </c>
      <c r="CQ61" s="12" t="s">
        <v>1743</v>
      </c>
      <c r="CR61" s="12" t="s">
        <v>1743</v>
      </c>
      <c r="CS61" s="12" t="s">
        <v>1743</v>
      </c>
      <c r="CT61" s="12" t="s">
        <v>1743</v>
      </c>
    </row>
    <row r="62" spans="1:98" hidden="1" x14ac:dyDescent="0.3">
      <c r="A62" s="12" t="s">
        <v>1835</v>
      </c>
      <c r="B62" s="12" t="s">
        <v>1661</v>
      </c>
      <c r="C62" s="12" t="s">
        <v>1836</v>
      </c>
      <c r="D62" s="12" t="s">
        <v>1837</v>
      </c>
      <c r="E62" s="12" t="s">
        <v>578</v>
      </c>
      <c r="F62" s="12" t="s">
        <v>623</v>
      </c>
      <c r="G62" s="12" t="s">
        <v>580</v>
      </c>
      <c r="H62" s="12" t="s">
        <v>761</v>
      </c>
      <c r="I62" s="12" t="s">
        <v>762</v>
      </c>
      <c r="J62" s="12" t="s">
        <v>585</v>
      </c>
      <c r="K62" s="12" t="s">
        <v>627</v>
      </c>
      <c r="L62" s="12" t="s">
        <v>628</v>
      </c>
      <c r="M62" s="12" t="s">
        <v>1096</v>
      </c>
      <c r="N62" s="12" t="s">
        <v>632</v>
      </c>
      <c r="O62" s="12" t="s">
        <v>856</v>
      </c>
      <c r="P62" s="12" t="s">
        <v>1125</v>
      </c>
      <c r="Q62" s="12" t="s">
        <v>993</v>
      </c>
      <c r="R62" s="12" t="s">
        <v>1623</v>
      </c>
      <c r="S62" s="12" t="s">
        <v>1838</v>
      </c>
      <c r="T62" s="12" t="s">
        <v>1839</v>
      </c>
      <c r="U62" s="12" t="s">
        <v>646</v>
      </c>
      <c r="V62" s="12" t="s">
        <v>1840</v>
      </c>
      <c r="W62" s="12" t="s">
        <v>876</v>
      </c>
      <c r="X62" s="12" t="s">
        <v>1365</v>
      </c>
      <c r="Y62" s="12" t="s">
        <v>1841</v>
      </c>
      <c r="Z62" s="12" t="s">
        <v>1842</v>
      </c>
      <c r="AA62" s="12" t="s">
        <v>1694</v>
      </c>
      <c r="AB62" s="12" t="s">
        <v>1130</v>
      </c>
      <c r="AC62" s="12" t="s">
        <v>1533</v>
      </c>
      <c r="AD62" s="12" t="s">
        <v>1520</v>
      </c>
      <c r="AE62" s="12" t="s">
        <v>1369</v>
      </c>
      <c r="AF62" s="12" t="s">
        <v>1843</v>
      </c>
      <c r="AG62" s="12" t="s">
        <v>1844</v>
      </c>
      <c r="AH62" s="12" t="s">
        <v>1132</v>
      </c>
      <c r="AI62" s="12" t="s">
        <v>1845</v>
      </c>
      <c r="AJ62" s="12" t="s">
        <v>1845</v>
      </c>
      <c r="AK62" s="12" t="s">
        <v>1668</v>
      </c>
      <c r="AL62" s="12" t="s">
        <v>1668</v>
      </c>
      <c r="AM62" s="12" t="s">
        <v>1668</v>
      </c>
      <c r="AN62" s="12" t="s">
        <v>1668</v>
      </c>
      <c r="AO62" s="12" t="s">
        <v>1668</v>
      </c>
      <c r="AP62" s="12" t="s">
        <v>1668</v>
      </c>
      <c r="AQ62" s="12" t="s">
        <v>1668</v>
      </c>
      <c r="AR62" s="12" t="s">
        <v>1668</v>
      </c>
      <c r="AS62" s="12" t="s">
        <v>1668</v>
      </c>
      <c r="AT62" s="12" t="s">
        <v>1668</v>
      </c>
      <c r="AU62" s="12" t="s">
        <v>1668</v>
      </c>
      <c r="AV62" s="12" t="s">
        <v>1034</v>
      </c>
      <c r="AW62" s="12" t="s">
        <v>1034</v>
      </c>
      <c r="AX62" s="12" t="s">
        <v>1034</v>
      </c>
      <c r="AY62" s="12" t="s">
        <v>1034</v>
      </c>
      <c r="AZ62" s="12" t="s">
        <v>1034</v>
      </c>
      <c r="BA62" s="12" t="s">
        <v>1034</v>
      </c>
      <c r="BB62" s="12" t="s">
        <v>822</v>
      </c>
      <c r="BC62" s="12" t="s">
        <v>822</v>
      </c>
      <c r="BD62" s="12" t="s">
        <v>822</v>
      </c>
      <c r="BE62" s="12" t="s">
        <v>822</v>
      </c>
      <c r="BF62" s="12" t="s">
        <v>822</v>
      </c>
      <c r="BG62" s="12" t="s">
        <v>822</v>
      </c>
      <c r="BH62" s="12" t="s">
        <v>822</v>
      </c>
      <c r="BI62" s="12" t="s">
        <v>822</v>
      </c>
      <c r="BJ62" s="12" t="s">
        <v>1846</v>
      </c>
      <c r="BK62" s="12" t="s">
        <v>604</v>
      </c>
      <c r="BL62" s="12" t="s">
        <v>604</v>
      </c>
      <c r="BM62" s="12" t="s">
        <v>604</v>
      </c>
      <c r="BN62" s="12" t="s">
        <v>604</v>
      </c>
      <c r="BO62" s="12" t="s">
        <v>604</v>
      </c>
      <c r="BP62" s="12" t="s">
        <v>604</v>
      </c>
      <c r="BQ62" s="12" t="s">
        <v>604</v>
      </c>
      <c r="BR62" s="12" t="s">
        <v>604</v>
      </c>
      <c r="BS62" s="12" t="s">
        <v>604</v>
      </c>
      <c r="BT62" s="12" t="s">
        <v>604</v>
      </c>
      <c r="BU62" s="12" t="s">
        <v>604</v>
      </c>
      <c r="BV62" s="12" t="s">
        <v>604</v>
      </c>
      <c r="BW62" s="12" t="s">
        <v>604</v>
      </c>
      <c r="BX62" s="12" t="s">
        <v>1847</v>
      </c>
      <c r="BY62" s="12" t="s">
        <v>1848</v>
      </c>
      <c r="BZ62" s="12" t="s">
        <v>1703</v>
      </c>
      <c r="CA62" s="12" t="s">
        <v>1050</v>
      </c>
      <c r="CB62" s="12" t="s">
        <v>1849</v>
      </c>
      <c r="CC62" s="12" t="s">
        <v>1041</v>
      </c>
      <c r="CD62" s="12" t="s">
        <v>1136</v>
      </c>
      <c r="CE62" s="12" t="s">
        <v>665</v>
      </c>
      <c r="CF62" s="12" t="s">
        <v>742</v>
      </c>
      <c r="CG62" s="12" t="s">
        <v>1378</v>
      </c>
      <c r="CH62" s="12" t="s">
        <v>1850</v>
      </c>
      <c r="CI62" s="12" t="s">
        <v>1851</v>
      </c>
      <c r="CJ62" s="12" t="s">
        <v>1852</v>
      </c>
      <c r="CK62" s="12" t="s">
        <v>1853</v>
      </c>
      <c r="CL62" s="12" t="s">
        <v>1189</v>
      </c>
      <c r="CM62" s="12" t="s">
        <v>1854</v>
      </c>
      <c r="CN62" s="12" t="s">
        <v>1855</v>
      </c>
      <c r="CO62" s="12" t="s">
        <v>1856</v>
      </c>
      <c r="CP62" s="12" t="s">
        <v>1857</v>
      </c>
      <c r="CQ62" s="12" t="s">
        <v>1858</v>
      </c>
      <c r="CR62" s="12" t="s">
        <v>831</v>
      </c>
      <c r="CS62" s="12" t="s">
        <v>1859</v>
      </c>
      <c r="CT62" s="12" t="s">
        <v>1860</v>
      </c>
    </row>
    <row r="63" spans="1:98" hidden="1" x14ac:dyDescent="0.3">
      <c r="A63" s="12" t="s">
        <v>1861</v>
      </c>
      <c r="B63" s="12" t="s">
        <v>1661</v>
      </c>
      <c r="C63" s="12" t="s">
        <v>1862</v>
      </c>
      <c r="D63" s="12" t="s">
        <v>1863</v>
      </c>
      <c r="E63" s="12" t="s">
        <v>581</v>
      </c>
      <c r="F63" s="12" t="s">
        <v>581</v>
      </c>
      <c r="G63" s="12" t="s">
        <v>761</v>
      </c>
      <c r="H63" s="12" t="s">
        <v>852</v>
      </c>
      <c r="I63" s="12" t="s">
        <v>1352</v>
      </c>
      <c r="J63" s="12" t="s">
        <v>773</v>
      </c>
      <c r="K63" s="12" t="s">
        <v>1686</v>
      </c>
      <c r="L63" s="12" t="s">
        <v>1604</v>
      </c>
      <c r="M63" s="12" t="s">
        <v>1028</v>
      </c>
      <c r="N63" s="12" t="s">
        <v>1688</v>
      </c>
      <c r="O63" s="12" t="s">
        <v>1368</v>
      </c>
      <c r="P63" s="12" t="s">
        <v>926</v>
      </c>
      <c r="Q63" s="12" t="s">
        <v>1707</v>
      </c>
      <c r="R63" s="12" t="s">
        <v>1379</v>
      </c>
      <c r="S63" s="12" t="s">
        <v>1289</v>
      </c>
      <c r="T63" s="12" t="s">
        <v>1864</v>
      </c>
      <c r="U63" s="12" t="s">
        <v>1865</v>
      </c>
      <c r="V63" s="12" t="s">
        <v>1866</v>
      </c>
      <c r="W63" s="12" t="s">
        <v>1867</v>
      </c>
      <c r="X63" s="12" t="s">
        <v>1868</v>
      </c>
      <c r="Y63" s="12" t="s">
        <v>1869</v>
      </c>
      <c r="Z63" s="12" t="s">
        <v>1006</v>
      </c>
      <c r="AA63" s="12" t="s">
        <v>1870</v>
      </c>
      <c r="AB63" s="12" t="s">
        <v>1871</v>
      </c>
      <c r="AC63" s="12" t="s">
        <v>1009</v>
      </c>
      <c r="AD63" s="12" t="s">
        <v>1168</v>
      </c>
      <c r="AE63" s="12" t="s">
        <v>1872</v>
      </c>
      <c r="AF63" s="12" t="s">
        <v>1873</v>
      </c>
      <c r="AG63" s="12" t="s">
        <v>1874</v>
      </c>
      <c r="AH63" s="12" t="s">
        <v>785</v>
      </c>
      <c r="AI63" s="12" t="s">
        <v>1875</v>
      </c>
      <c r="AJ63" s="12" t="s">
        <v>1876</v>
      </c>
      <c r="AK63" s="12" t="s">
        <v>1877</v>
      </c>
      <c r="AL63" s="12" t="s">
        <v>1877</v>
      </c>
      <c r="AM63" s="12" t="s">
        <v>1877</v>
      </c>
      <c r="AN63" s="12" t="s">
        <v>1877</v>
      </c>
      <c r="AO63" s="12" t="s">
        <v>1878</v>
      </c>
      <c r="AP63" s="12" t="s">
        <v>1878</v>
      </c>
      <c r="AQ63" s="12" t="s">
        <v>1878</v>
      </c>
      <c r="AR63" s="12" t="s">
        <v>1878</v>
      </c>
      <c r="AS63" s="12" t="s">
        <v>1878</v>
      </c>
      <c r="AT63" s="12" t="s">
        <v>1878</v>
      </c>
      <c r="AU63" s="12" t="s">
        <v>1878</v>
      </c>
      <c r="AV63" s="12" t="s">
        <v>1878</v>
      </c>
      <c r="AW63" s="12" t="s">
        <v>1878</v>
      </c>
      <c r="AX63" s="12" t="s">
        <v>1878</v>
      </c>
      <c r="AY63" s="12" t="s">
        <v>1878</v>
      </c>
      <c r="AZ63" s="12" t="s">
        <v>1878</v>
      </c>
      <c r="BA63" s="12" t="s">
        <v>1878</v>
      </c>
      <c r="BB63" s="12" t="s">
        <v>1879</v>
      </c>
      <c r="BC63" s="12" t="s">
        <v>1879</v>
      </c>
      <c r="BD63" s="12" t="s">
        <v>1879</v>
      </c>
      <c r="BE63" s="12" t="s">
        <v>1879</v>
      </c>
      <c r="BF63" s="12" t="s">
        <v>1879</v>
      </c>
      <c r="BG63" s="12" t="s">
        <v>1879</v>
      </c>
      <c r="BH63" s="12" t="s">
        <v>1879</v>
      </c>
      <c r="BI63" s="12" t="s">
        <v>1879</v>
      </c>
      <c r="BJ63" s="12" t="s">
        <v>1879</v>
      </c>
      <c r="BK63" s="12" t="s">
        <v>1879</v>
      </c>
      <c r="BL63" s="12" t="s">
        <v>1879</v>
      </c>
      <c r="BM63" s="12" t="s">
        <v>1880</v>
      </c>
      <c r="BN63" s="12" t="s">
        <v>1880</v>
      </c>
      <c r="BO63" s="12" t="s">
        <v>1880</v>
      </c>
      <c r="BP63" s="12" t="s">
        <v>1880</v>
      </c>
      <c r="BQ63" s="12" t="s">
        <v>1881</v>
      </c>
      <c r="BR63" s="12" t="s">
        <v>1881</v>
      </c>
      <c r="BS63" s="12" t="s">
        <v>1881</v>
      </c>
      <c r="BT63" s="12" t="s">
        <v>1882</v>
      </c>
      <c r="BU63" s="12" t="s">
        <v>1882</v>
      </c>
      <c r="BV63" s="12" t="s">
        <v>1882</v>
      </c>
      <c r="BW63" s="12" t="s">
        <v>1882</v>
      </c>
      <c r="BX63" s="12" t="s">
        <v>1882</v>
      </c>
      <c r="BY63" s="12" t="s">
        <v>1882</v>
      </c>
      <c r="BZ63" s="12" t="s">
        <v>1882</v>
      </c>
      <c r="CA63" s="12" t="s">
        <v>1882</v>
      </c>
      <c r="CB63" s="12" t="s">
        <v>1882</v>
      </c>
      <c r="CC63" s="12" t="s">
        <v>1882</v>
      </c>
      <c r="CD63" s="12" t="s">
        <v>1882</v>
      </c>
      <c r="CE63" s="12" t="s">
        <v>1882</v>
      </c>
      <c r="CF63" s="12" t="s">
        <v>1882</v>
      </c>
      <c r="CG63" s="12" t="s">
        <v>1882</v>
      </c>
      <c r="CH63" s="12" t="s">
        <v>1882</v>
      </c>
      <c r="CI63" s="12" t="s">
        <v>1882</v>
      </c>
      <c r="CJ63" s="12" t="s">
        <v>1882</v>
      </c>
      <c r="CK63" s="12" t="s">
        <v>1882</v>
      </c>
      <c r="CL63" s="12" t="s">
        <v>1882</v>
      </c>
      <c r="CM63" s="12" t="s">
        <v>1882</v>
      </c>
      <c r="CN63" s="12" t="s">
        <v>1882</v>
      </c>
      <c r="CO63" s="12" t="s">
        <v>1882</v>
      </c>
      <c r="CP63" s="12" t="s">
        <v>1882</v>
      </c>
      <c r="CQ63" s="12" t="s">
        <v>1882</v>
      </c>
      <c r="CR63" s="12" t="s">
        <v>1882</v>
      </c>
      <c r="CS63" s="12" t="s">
        <v>1882</v>
      </c>
      <c r="CT63" s="12" t="s">
        <v>1882</v>
      </c>
    </row>
    <row r="64" spans="1:98" hidden="1" x14ac:dyDescent="0.3">
      <c r="A64" s="12" t="s">
        <v>1883</v>
      </c>
      <c r="B64" s="12" t="s">
        <v>1661</v>
      </c>
      <c r="C64" s="12" t="s">
        <v>1884</v>
      </c>
      <c r="D64" s="12" t="s">
        <v>1885</v>
      </c>
      <c r="E64" s="12" t="s">
        <v>578</v>
      </c>
      <c r="F64" s="12" t="s">
        <v>623</v>
      </c>
      <c r="G64" s="12" t="s">
        <v>623</v>
      </c>
      <c r="H64" s="12" t="s">
        <v>581</v>
      </c>
      <c r="I64" s="12" t="s">
        <v>755</v>
      </c>
      <c r="J64" s="12" t="s">
        <v>755</v>
      </c>
      <c r="K64" s="12" t="s">
        <v>755</v>
      </c>
      <c r="L64" s="12" t="s">
        <v>624</v>
      </c>
      <c r="M64" s="12" t="s">
        <v>624</v>
      </c>
      <c r="N64" s="12" t="s">
        <v>625</v>
      </c>
      <c r="O64" s="12" t="s">
        <v>868</v>
      </c>
      <c r="P64" s="12" t="s">
        <v>762</v>
      </c>
      <c r="Q64" s="12" t="s">
        <v>762</v>
      </c>
      <c r="R64" s="12" t="s">
        <v>673</v>
      </c>
      <c r="S64" s="12" t="s">
        <v>585</v>
      </c>
      <c r="T64" s="12" t="s">
        <v>587</v>
      </c>
      <c r="U64" s="12" t="s">
        <v>757</v>
      </c>
      <c r="V64" s="12" t="s">
        <v>676</v>
      </c>
      <c r="W64" s="12" t="s">
        <v>953</v>
      </c>
      <c r="X64" s="12" t="s">
        <v>628</v>
      </c>
      <c r="Y64" s="12" t="s">
        <v>991</v>
      </c>
      <c r="Z64" s="12" t="s">
        <v>954</v>
      </c>
      <c r="AA64" s="12" t="s">
        <v>719</v>
      </c>
      <c r="AB64" s="12" t="s">
        <v>769</v>
      </c>
      <c r="AC64" s="12" t="s">
        <v>769</v>
      </c>
      <c r="AD64" s="12" t="s">
        <v>992</v>
      </c>
      <c r="AE64" s="12" t="s">
        <v>680</v>
      </c>
      <c r="AF64" s="12" t="s">
        <v>853</v>
      </c>
      <c r="AG64" s="12" t="s">
        <v>1180</v>
      </c>
      <c r="AH64" s="12" t="s">
        <v>770</v>
      </c>
      <c r="AI64" s="12" t="s">
        <v>770</v>
      </c>
      <c r="AJ64" s="12" t="s">
        <v>974</v>
      </c>
      <c r="AK64" s="12" t="s">
        <v>589</v>
      </c>
      <c r="AL64" s="12" t="s">
        <v>771</v>
      </c>
      <c r="AM64" s="12" t="s">
        <v>590</v>
      </c>
      <c r="AN64" s="12" t="s">
        <v>857</v>
      </c>
      <c r="AO64" s="12" t="s">
        <v>871</v>
      </c>
      <c r="AP64" s="12" t="s">
        <v>591</v>
      </c>
      <c r="AQ64" s="12" t="s">
        <v>1125</v>
      </c>
      <c r="AR64" s="12" t="s">
        <v>859</v>
      </c>
      <c r="AS64" s="12" t="s">
        <v>861</v>
      </c>
      <c r="AT64" s="12" t="s">
        <v>861</v>
      </c>
      <c r="AU64" s="12" t="s">
        <v>864</v>
      </c>
      <c r="AV64" s="12" t="s">
        <v>864</v>
      </c>
      <c r="AW64" s="12" t="s">
        <v>1260</v>
      </c>
      <c r="AX64" s="12" t="s">
        <v>1499</v>
      </c>
      <c r="AY64" s="12" t="s">
        <v>1353</v>
      </c>
      <c r="AZ64" s="12" t="s">
        <v>811</v>
      </c>
      <c r="BA64" s="12" t="s">
        <v>593</v>
      </c>
      <c r="BB64" s="12" t="s">
        <v>1276</v>
      </c>
      <c r="BC64" s="12" t="s">
        <v>1355</v>
      </c>
      <c r="BD64" s="12" t="s">
        <v>873</v>
      </c>
      <c r="BE64" s="12" t="s">
        <v>1025</v>
      </c>
      <c r="BF64" s="12" t="s">
        <v>1886</v>
      </c>
      <c r="BG64" s="12" t="s">
        <v>1623</v>
      </c>
      <c r="BH64" s="12" t="s">
        <v>1310</v>
      </c>
      <c r="BI64" s="12" t="s">
        <v>1569</v>
      </c>
      <c r="BJ64" s="12" t="s">
        <v>1887</v>
      </c>
      <c r="BK64" s="12" t="s">
        <v>1128</v>
      </c>
      <c r="BL64" s="12" t="s">
        <v>597</v>
      </c>
      <c r="BM64" s="12" t="s">
        <v>1832</v>
      </c>
      <c r="BN64" s="12" t="s">
        <v>1888</v>
      </c>
      <c r="BO64" s="12" t="s">
        <v>1889</v>
      </c>
      <c r="BP64" s="12" t="s">
        <v>1695</v>
      </c>
      <c r="BQ64" s="12" t="s">
        <v>1032</v>
      </c>
      <c r="BR64" s="12" t="s">
        <v>1890</v>
      </c>
      <c r="BS64" s="12" t="s">
        <v>1706</v>
      </c>
      <c r="BT64" s="12" t="s">
        <v>1100</v>
      </c>
      <c r="BU64" s="12" t="s">
        <v>1891</v>
      </c>
      <c r="BV64" s="12" t="s">
        <v>609</v>
      </c>
      <c r="BW64" s="12" t="s">
        <v>1892</v>
      </c>
      <c r="BX64" s="12" t="s">
        <v>1893</v>
      </c>
      <c r="BY64" s="12" t="s">
        <v>1894</v>
      </c>
      <c r="BZ64" s="12" t="s">
        <v>1895</v>
      </c>
      <c r="CA64" s="12" t="s">
        <v>1896</v>
      </c>
      <c r="CB64" s="12" t="s">
        <v>1865</v>
      </c>
      <c r="CC64" s="12" t="s">
        <v>1897</v>
      </c>
      <c r="CD64" s="12" t="s">
        <v>1898</v>
      </c>
      <c r="CE64" s="12" t="s">
        <v>1678</v>
      </c>
      <c r="CF64" s="12" t="s">
        <v>1681</v>
      </c>
      <c r="CG64" s="12" t="s">
        <v>1899</v>
      </c>
      <c r="CH64" s="12" t="s">
        <v>1900</v>
      </c>
      <c r="CI64" s="12" t="s">
        <v>1294</v>
      </c>
      <c r="CJ64" s="12" t="s">
        <v>1167</v>
      </c>
      <c r="CK64" s="12" t="s">
        <v>1430</v>
      </c>
      <c r="CL64" s="12" t="s">
        <v>1430</v>
      </c>
      <c r="CM64" s="12" t="s">
        <v>1314</v>
      </c>
      <c r="CN64" s="12" t="s">
        <v>949</v>
      </c>
      <c r="CO64" s="12" t="s">
        <v>1901</v>
      </c>
      <c r="CP64" s="12" t="s">
        <v>1901</v>
      </c>
      <c r="CQ64" s="12" t="s">
        <v>881</v>
      </c>
      <c r="CR64" s="12" t="s">
        <v>1867</v>
      </c>
      <c r="CS64" s="12" t="s">
        <v>1902</v>
      </c>
      <c r="CT64" s="12" t="s">
        <v>1902</v>
      </c>
    </row>
    <row r="65" spans="1:98" hidden="1" x14ac:dyDescent="0.3">
      <c r="A65" s="12" t="s">
        <v>1903</v>
      </c>
      <c r="B65" s="12" t="s">
        <v>1661</v>
      </c>
      <c r="C65" s="12" t="s">
        <v>1904</v>
      </c>
      <c r="D65" s="12" t="s">
        <v>1905</v>
      </c>
      <c r="E65" s="12" t="s">
        <v>603</v>
      </c>
      <c r="F65" s="12" t="s">
        <v>603</v>
      </c>
      <c r="G65" s="12" t="s">
        <v>1373</v>
      </c>
      <c r="H65" s="12" t="s">
        <v>1906</v>
      </c>
      <c r="I65" s="12" t="s">
        <v>1103</v>
      </c>
      <c r="J65" s="12" t="s">
        <v>696</v>
      </c>
      <c r="K65" s="12" t="s">
        <v>1907</v>
      </c>
      <c r="L65" s="12" t="s">
        <v>1907</v>
      </c>
      <c r="M65" s="12" t="s">
        <v>1908</v>
      </c>
      <c r="N65" s="12" t="s">
        <v>1909</v>
      </c>
      <c r="O65" s="12" t="s">
        <v>1910</v>
      </c>
      <c r="P65" s="12" t="s">
        <v>1911</v>
      </c>
      <c r="Q65" s="12" t="s">
        <v>1912</v>
      </c>
      <c r="R65" s="12" t="s">
        <v>1913</v>
      </c>
      <c r="S65" s="12" t="s">
        <v>1914</v>
      </c>
      <c r="T65" s="12" t="s">
        <v>1915</v>
      </c>
      <c r="U65" s="12" t="s">
        <v>1916</v>
      </c>
      <c r="V65" s="12" t="s">
        <v>1917</v>
      </c>
      <c r="W65" s="12" t="s">
        <v>1918</v>
      </c>
      <c r="X65" s="12" t="s">
        <v>1919</v>
      </c>
      <c r="Y65" s="12" t="s">
        <v>1920</v>
      </c>
      <c r="Z65" s="12" t="s">
        <v>1920</v>
      </c>
      <c r="AA65" s="12" t="s">
        <v>1921</v>
      </c>
      <c r="AB65" s="12" t="s">
        <v>1922</v>
      </c>
      <c r="AC65" s="12" t="s">
        <v>1923</v>
      </c>
      <c r="AD65" s="12" t="s">
        <v>1924</v>
      </c>
      <c r="AE65" s="12" t="s">
        <v>1925</v>
      </c>
      <c r="AF65" s="12" t="s">
        <v>1926</v>
      </c>
      <c r="AG65" s="12" t="s">
        <v>1927</v>
      </c>
      <c r="AH65" s="12" t="s">
        <v>1928</v>
      </c>
      <c r="AI65" s="12" t="s">
        <v>1929</v>
      </c>
      <c r="AJ65" s="12" t="s">
        <v>1930</v>
      </c>
      <c r="AK65" s="12" t="s">
        <v>1930</v>
      </c>
      <c r="AL65" s="12" t="s">
        <v>1931</v>
      </c>
      <c r="AM65" s="12" t="s">
        <v>1932</v>
      </c>
      <c r="AN65" s="12" t="s">
        <v>1933</v>
      </c>
      <c r="AO65" s="12" t="s">
        <v>1934</v>
      </c>
      <c r="AP65" s="12" t="s">
        <v>1935</v>
      </c>
      <c r="AQ65" s="12" t="s">
        <v>1936</v>
      </c>
      <c r="AR65" s="12" t="s">
        <v>1937</v>
      </c>
      <c r="AS65" s="12" t="s">
        <v>1938</v>
      </c>
      <c r="AT65" s="12" t="s">
        <v>1939</v>
      </c>
      <c r="AU65" s="12" t="s">
        <v>1940</v>
      </c>
      <c r="AV65" s="12" t="s">
        <v>1941</v>
      </c>
      <c r="AW65" s="12" t="s">
        <v>1942</v>
      </c>
      <c r="AX65" s="12" t="s">
        <v>1943</v>
      </c>
      <c r="AY65" s="12" t="s">
        <v>1944</v>
      </c>
      <c r="AZ65" s="12" t="s">
        <v>1945</v>
      </c>
      <c r="BA65" s="12" t="s">
        <v>1946</v>
      </c>
      <c r="BB65" s="12" t="s">
        <v>1947</v>
      </c>
      <c r="BC65" s="12" t="s">
        <v>1948</v>
      </c>
      <c r="BD65" s="12" t="s">
        <v>1949</v>
      </c>
      <c r="BE65" s="12" t="s">
        <v>1950</v>
      </c>
      <c r="BF65" s="12" t="s">
        <v>1951</v>
      </c>
      <c r="BG65" s="12" t="s">
        <v>1952</v>
      </c>
      <c r="BH65" s="12" t="s">
        <v>1953</v>
      </c>
      <c r="BI65" s="12" t="s">
        <v>1954</v>
      </c>
      <c r="BJ65" s="12" t="s">
        <v>1954</v>
      </c>
      <c r="BK65" s="12" t="s">
        <v>1954</v>
      </c>
      <c r="BL65" s="12" t="s">
        <v>1954</v>
      </c>
      <c r="BM65" s="12" t="s">
        <v>1954</v>
      </c>
      <c r="BN65" s="12" t="s">
        <v>1954</v>
      </c>
      <c r="BO65" s="12" t="s">
        <v>1955</v>
      </c>
      <c r="BP65" s="12" t="s">
        <v>1955</v>
      </c>
      <c r="BQ65" s="12" t="s">
        <v>1955</v>
      </c>
      <c r="BR65" s="12" t="s">
        <v>1955</v>
      </c>
      <c r="BS65" s="12" t="s">
        <v>1955</v>
      </c>
      <c r="BT65" s="12" t="s">
        <v>1955</v>
      </c>
      <c r="BU65" s="12" t="s">
        <v>1955</v>
      </c>
      <c r="BV65" s="12" t="s">
        <v>1955</v>
      </c>
      <c r="BW65" s="12" t="s">
        <v>1956</v>
      </c>
      <c r="BX65" s="12" t="s">
        <v>1956</v>
      </c>
      <c r="BY65" s="12" t="s">
        <v>1956</v>
      </c>
      <c r="BZ65" s="12" t="s">
        <v>1957</v>
      </c>
      <c r="CA65" s="12" t="s">
        <v>1957</v>
      </c>
      <c r="CB65" s="12" t="s">
        <v>1957</v>
      </c>
      <c r="CC65" s="12" t="s">
        <v>1957</v>
      </c>
      <c r="CD65" s="12" t="s">
        <v>1957</v>
      </c>
      <c r="CE65" s="12" t="s">
        <v>1957</v>
      </c>
      <c r="CF65" s="12" t="s">
        <v>1957</v>
      </c>
      <c r="CG65" s="12" t="s">
        <v>1957</v>
      </c>
      <c r="CH65" s="12" t="s">
        <v>1957</v>
      </c>
      <c r="CI65" s="12" t="s">
        <v>1957</v>
      </c>
      <c r="CJ65" s="12" t="s">
        <v>1957</v>
      </c>
      <c r="CK65" s="12" t="s">
        <v>1957</v>
      </c>
      <c r="CL65" s="12" t="s">
        <v>1957</v>
      </c>
      <c r="CM65" s="12" t="s">
        <v>1958</v>
      </c>
      <c r="CN65" s="12" t="s">
        <v>1958</v>
      </c>
      <c r="CO65" s="12" t="s">
        <v>1958</v>
      </c>
      <c r="CP65" s="12" t="s">
        <v>1958</v>
      </c>
      <c r="CQ65" s="12" t="s">
        <v>1958</v>
      </c>
      <c r="CR65" s="12" t="s">
        <v>1958</v>
      </c>
      <c r="CS65" s="12" t="s">
        <v>1958</v>
      </c>
      <c r="CT65" s="12" t="s">
        <v>1958</v>
      </c>
    </row>
    <row r="66" spans="1:98" hidden="1" x14ac:dyDescent="0.3">
      <c r="A66" s="12" t="s">
        <v>1959</v>
      </c>
      <c r="B66" s="12" t="s">
        <v>1661</v>
      </c>
      <c r="C66" s="12" t="s">
        <v>1960</v>
      </c>
      <c r="D66" s="12" t="s">
        <v>1961</v>
      </c>
      <c r="E66" s="12" t="s">
        <v>580</v>
      </c>
      <c r="F66" s="12" t="s">
        <v>761</v>
      </c>
      <c r="G66" s="12" t="s">
        <v>587</v>
      </c>
      <c r="H66" s="12" t="s">
        <v>1259</v>
      </c>
      <c r="I66" s="12" t="s">
        <v>974</v>
      </c>
      <c r="J66" s="12" t="s">
        <v>861</v>
      </c>
      <c r="K66" s="12" t="s">
        <v>1821</v>
      </c>
      <c r="L66" s="12" t="s">
        <v>922</v>
      </c>
      <c r="M66" s="12" t="s">
        <v>646</v>
      </c>
      <c r="N66" s="12" t="s">
        <v>1962</v>
      </c>
      <c r="O66" s="12" t="s">
        <v>1719</v>
      </c>
      <c r="P66" s="12" t="s">
        <v>1963</v>
      </c>
      <c r="Q66" s="12" t="s">
        <v>605</v>
      </c>
      <c r="R66" s="12" t="s">
        <v>1375</v>
      </c>
      <c r="S66" s="12" t="s">
        <v>1378</v>
      </c>
      <c r="T66" s="12" t="s">
        <v>1964</v>
      </c>
      <c r="U66" s="12" t="s">
        <v>1526</v>
      </c>
      <c r="V66" s="12" t="s">
        <v>1166</v>
      </c>
      <c r="W66" s="12" t="s">
        <v>1965</v>
      </c>
      <c r="X66" s="12" t="s">
        <v>1966</v>
      </c>
      <c r="Y66" s="12" t="s">
        <v>1967</v>
      </c>
      <c r="Z66" s="12" t="s">
        <v>1293</v>
      </c>
      <c r="AA66" s="12" t="s">
        <v>1002</v>
      </c>
      <c r="AB66" s="12" t="s">
        <v>1680</v>
      </c>
      <c r="AC66" s="12" t="s">
        <v>945</v>
      </c>
      <c r="AD66" s="12" t="s">
        <v>1900</v>
      </c>
      <c r="AE66" s="12" t="s">
        <v>1968</v>
      </c>
      <c r="AF66" s="12" t="s">
        <v>946</v>
      </c>
      <c r="AG66" s="12" t="s">
        <v>1969</v>
      </c>
      <c r="AH66" s="12" t="s">
        <v>1970</v>
      </c>
      <c r="AI66" s="12" t="s">
        <v>1971</v>
      </c>
      <c r="AJ66" s="12" t="s">
        <v>834</v>
      </c>
      <c r="AK66" s="12" t="s">
        <v>1972</v>
      </c>
      <c r="AL66" s="12" t="s">
        <v>1972</v>
      </c>
      <c r="AM66" s="12" t="s">
        <v>1972</v>
      </c>
      <c r="AN66" s="12" t="s">
        <v>1972</v>
      </c>
      <c r="AO66" s="12" t="s">
        <v>1430</v>
      </c>
      <c r="AP66" s="12" t="s">
        <v>1430</v>
      </c>
      <c r="AQ66" s="12" t="s">
        <v>1053</v>
      </c>
      <c r="AR66" s="12" t="s">
        <v>1053</v>
      </c>
      <c r="AS66" s="12" t="s">
        <v>1053</v>
      </c>
      <c r="AT66" s="12" t="s">
        <v>1053</v>
      </c>
      <c r="AU66" s="12" t="s">
        <v>1053</v>
      </c>
      <c r="AV66" s="12" t="s">
        <v>1053</v>
      </c>
      <c r="AW66" s="12" t="s">
        <v>1053</v>
      </c>
      <c r="AX66" s="12" t="s">
        <v>1053</v>
      </c>
      <c r="AY66" s="12" t="s">
        <v>1053</v>
      </c>
      <c r="AZ66" s="12" t="s">
        <v>1053</v>
      </c>
      <c r="BA66" s="12" t="s">
        <v>1053</v>
      </c>
      <c r="BB66" s="12" t="s">
        <v>1053</v>
      </c>
      <c r="BC66" s="12" t="s">
        <v>1053</v>
      </c>
      <c r="BD66" s="12" t="s">
        <v>1053</v>
      </c>
      <c r="BE66" s="12" t="s">
        <v>1053</v>
      </c>
      <c r="BF66" s="12" t="s">
        <v>1053</v>
      </c>
      <c r="BG66" s="12" t="s">
        <v>1053</v>
      </c>
      <c r="BH66" s="12" t="s">
        <v>1053</v>
      </c>
      <c r="BI66" s="12" t="s">
        <v>1053</v>
      </c>
      <c r="BJ66" s="12" t="s">
        <v>1053</v>
      </c>
      <c r="BK66" s="12" t="s">
        <v>1053</v>
      </c>
      <c r="BL66" s="12" t="s">
        <v>1053</v>
      </c>
      <c r="BM66" s="12" t="s">
        <v>1053</v>
      </c>
      <c r="BN66" s="12" t="s">
        <v>1053</v>
      </c>
      <c r="BO66" s="12" t="s">
        <v>1053</v>
      </c>
      <c r="BP66" s="12" t="s">
        <v>1053</v>
      </c>
      <c r="BQ66" s="12" t="s">
        <v>1053</v>
      </c>
      <c r="BR66" s="12" t="s">
        <v>1053</v>
      </c>
      <c r="BS66" s="12" t="s">
        <v>1053</v>
      </c>
      <c r="BT66" s="12" t="s">
        <v>1053</v>
      </c>
      <c r="BU66" s="12" t="s">
        <v>1053</v>
      </c>
      <c r="BV66" s="12" t="s">
        <v>1053</v>
      </c>
      <c r="BW66" s="12" t="s">
        <v>1053</v>
      </c>
      <c r="BX66" s="12" t="s">
        <v>948</v>
      </c>
      <c r="BY66" s="12" t="s">
        <v>948</v>
      </c>
      <c r="BZ66" s="12" t="s">
        <v>948</v>
      </c>
      <c r="CA66" s="12" t="s">
        <v>948</v>
      </c>
      <c r="CB66" s="12" t="s">
        <v>948</v>
      </c>
      <c r="CC66" s="12" t="s">
        <v>948</v>
      </c>
      <c r="CD66" s="12" t="s">
        <v>948</v>
      </c>
      <c r="CE66" s="12" t="s">
        <v>948</v>
      </c>
      <c r="CF66" s="12" t="s">
        <v>948</v>
      </c>
      <c r="CG66" s="12" t="s">
        <v>948</v>
      </c>
      <c r="CH66" s="12" t="s">
        <v>948</v>
      </c>
      <c r="CI66" s="12" t="s">
        <v>948</v>
      </c>
      <c r="CJ66" s="12" t="s">
        <v>948</v>
      </c>
      <c r="CK66" s="12" t="s">
        <v>948</v>
      </c>
      <c r="CL66" s="12" t="s">
        <v>948</v>
      </c>
      <c r="CM66" s="12" t="s">
        <v>948</v>
      </c>
      <c r="CN66" s="12" t="s">
        <v>948</v>
      </c>
      <c r="CO66" s="12" t="s">
        <v>948</v>
      </c>
      <c r="CP66" s="12" t="s">
        <v>948</v>
      </c>
      <c r="CQ66" s="12" t="s">
        <v>948</v>
      </c>
      <c r="CR66" s="12" t="s">
        <v>948</v>
      </c>
      <c r="CS66" s="12" t="s">
        <v>948</v>
      </c>
      <c r="CT66" s="12" t="s">
        <v>948</v>
      </c>
    </row>
    <row r="67" spans="1:98" hidden="1" x14ac:dyDescent="0.3">
      <c r="A67" s="12" t="s">
        <v>1973</v>
      </c>
      <c r="B67" s="12" t="s">
        <v>1661</v>
      </c>
      <c r="C67" s="12" t="s">
        <v>1974</v>
      </c>
      <c r="D67" s="12" t="s">
        <v>1975</v>
      </c>
      <c r="E67" s="12" t="s">
        <v>578</v>
      </c>
      <c r="F67" s="12" t="s">
        <v>578</v>
      </c>
      <c r="G67" s="12" t="s">
        <v>579</v>
      </c>
      <c r="H67" s="12" t="s">
        <v>582</v>
      </c>
      <c r="I67" s="12" t="s">
        <v>582</v>
      </c>
      <c r="J67" s="12" t="s">
        <v>583</v>
      </c>
      <c r="K67" s="12" t="s">
        <v>762</v>
      </c>
      <c r="L67" s="12" t="s">
        <v>584</v>
      </c>
      <c r="M67" s="12" t="s">
        <v>674</v>
      </c>
      <c r="N67" s="12" t="s">
        <v>675</v>
      </c>
      <c r="O67" s="12" t="s">
        <v>626</v>
      </c>
      <c r="P67" s="12" t="s">
        <v>913</v>
      </c>
      <c r="Q67" s="12" t="s">
        <v>767</v>
      </c>
      <c r="R67" s="12" t="s">
        <v>917</v>
      </c>
      <c r="S67" s="12" t="s">
        <v>629</v>
      </c>
      <c r="T67" s="12" t="s">
        <v>918</v>
      </c>
      <c r="U67" s="12" t="s">
        <v>954</v>
      </c>
      <c r="V67" s="12" t="s">
        <v>809</v>
      </c>
      <c r="W67" s="12" t="s">
        <v>679</v>
      </c>
      <c r="X67" s="12" t="s">
        <v>1413</v>
      </c>
      <c r="Y67" s="12" t="s">
        <v>1413</v>
      </c>
      <c r="Z67" s="12" t="s">
        <v>680</v>
      </c>
      <c r="AA67" s="12" t="s">
        <v>919</v>
      </c>
      <c r="AB67" s="12" t="s">
        <v>870</v>
      </c>
      <c r="AC67" s="12" t="s">
        <v>770</v>
      </c>
      <c r="AD67" s="12" t="s">
        <v>634</v>
      </c>
      <c r="AE67" s="12" t="s">
        <v>975</v>
      </c>
      <c r="AF67" s="12" t="s">
        <v>1120</v>
      </c>
      <c r="AG67" s="12" t="s">
        <v>720</v>
      </c>
      <c r="AH67" s="12" t="s">
        <v>720</v>
      </c>
      <c r="AI67" s="12" t="s">
        <v>720</v>
      </c>
      <c r="AJ67" s="12" t="s">
        <v>720</v>
      </c>
      <c r="AK67" s="12" t="s">
        <v>720</v>
      </c>
      <c r="AL67" s="12" t="s">
        <v>720</v>
      </c>
      <c r="AM67" s="12" t="s">
        <v>720</v>
      </c>
      <c r="AN67" s="12" t="s">
        <v>720</v>
      </c>
      <c r="AO67" s="12" t="s">
        <v>720</v>
      </c>
      <c r="AP67" s="12" t="s">
        <v>720</v>
      </c>
      <c r="AQ67" s="12" t="s">
        <v>720</v>
      </c>
      <c r="AR67" s="12" t="s">
        <v>720</v>
      </c>
      <c r="AS67" s="12" t="s">
        <v>720</v>
      </c>
      <c r="AT67" s="12" t="s">
        <v>720</v>
      </c>
      <c r="AU67" s="12" t="s">
        <v>720</v>
      </c>
      <c r="AV67" s="12" t="s">
        <v>720</v>
      </c>
      <c r="AW67" s="12" t="s">
        <v>720</v>
      </c>
      <c r="AX67" s="12" t="s">
        <v>720</v>
      </c>
      <c r="AY67" s="12" t="s">
        <v>720</v>
      </c>
      <c r="AZ67" s="12" t="s">
        <v>720</v>
      </c>
      <c r="BA67" s="12" t="s">
        <v>720</v>
      </c>
      <c r="BB67" s="12" t="s">
        <v>720</v>
      </c>
      <c r="BC67" s="12" t="s">
        <v>720</v>
      </c>
      <c r="BD67" s="12" t="s">
        <v>720</v>
      </c>
      <c r="BE67" s="12" t="s">
        <v>720</v>
      </c>
      <c r="BF67" s="12" t="s">
        <v>720</v>
      </c>
      <c r="BG67" s="12" t="s">
        <v>720</v>
      </c>
      <c r="BH67" s="12" t="s">
        <v>720</v>
      </c>
      <c r="BI67" s="12" t="s">
        <v>720</v>
      </c>
      <c r="BJ67" s="12" t="s">
        <v>720</v>
      </c>
      <c r="BK67" s="12" t="s">
        <v>720</v>
      </c>
      <c r="BL67" s="12" t="s">
        <v>720</v>
      </c>
      <c r="BM67" s="12" t="s">
        <v>720</v>
      </c>
      <c r="BN67" s="12" t="s">
        <v>720</v>
      </c>
      <c r="BO67" s="12" t="s">
        <v>720</v>
      </c>
      <c r="BP67" s="12" t="s">
        <v>855</v>
      </c>
      <c r="BQ67" s="12" t="s">
        <v>636</v>
      </c>
      <c r="BR67" s="12" t="s">
        <v>871</v>
      </c>
      <c r="BS67" s="12" t="s">
        <v>591</v>
      </c>
      <c r="BT67" s="12" t="s">
        <v>1125</v>
      </c>
      <c r="BU67" s="12" t="s">
        <v>772</v>
      </c>
      <c r="BV67" s="12" t="s">
        <v>1260</v>
      </c>
      <c r="BW67" s="12" t="s">
        <v>979</v>
      </c>
      <c r="BX67" s="12" t="s">
        <v>1417</v>
      </c>
      <c r="BY67" s="12" t="s">
        <v>1417</v>
      </c>
      <c r="BZ67" s="12" t="s">
        <v>1417</v>
      </c>
      <c r="CA67" s="12" t="s">
        <v>1417</v>
      </c>
      <c r="CB67" s="12" t="s">
        <v>1501</v>
      </c>
      <c r="CC67" s="12" t="s">
        <v>993</v>
      </c>
      <c r="CD67" s="12" t="s">
        <v>1750</v>
      </c>
      <c r="CE67" s="12" t="s">
        <v>1276</v>
      </c>
      <c r="CF67" s="12" t="s">
        <v>773</v>
      </c>
      <c r="CG67" s="12" t="s">
        <v>1623</v>
      </c>
      <c r="CH67" s="12" t="s">
        <v>1976</v>
      </c>
      <c r="CI67" s="12" t="s">
        <v>1838</v>
      </c>
      <c r="CJ67" s="12" t="s">
        <v>1838</v>
      </c>
      <c r="CK67" s="12" t="s">
        <v>1838</v>
      </c>
      <c r="CL67" s="12" t="s">
        <v>1422</v>
      </c>
      <c r="CM67" s="12" t="s">
        <v>1422</v>
      </c>
      <c r="CN67" s="12" t="s">
        <v>1422</v>
      </c>
      <c r="CO67" s="12" t="s">
        <v>1422</v>
      </c>
      <c r="CP67" s="12" t="s">
        <v>814</v>
      </c>
      <c r="CQ67" s="12" t="s">
        <v>814</v>
      </c>
      <c r="CR67" s="12" t="s">
        <v>814</v>
      </c>
      <c r="CS67" s="12" t="s">
        <v>814</v>
      </c>
      <c r="CT67" s="12" t="s">
        <v>641</v>
      </c>
    </row>
    <row r="68" spans="1:98" hidden="1" x14ac:dyDescent="0.3">
      <c r="A68" s="12" t="s">
        <v>1977</v>
      </c>
      <c r="B68" s="12" t="s">
        <v>1661</v>
      </c>
      <c r="C68" s="12" t="s">
        <v>1978</v>
      </c>
      <c r="D68" s="12" t="s">
        <v>1979</v>
      </c>
      <c r="E68" s="12" t="s">
        <v>579</v>
      </c>
      <c r="F68" s="12" t="s">
        <v>581</v>
      </c>
      <c r="G68" s="12" t="s">
        <v>761</v>
      </c>
      <c r="H68" s="12" t="s">
        <v>808</v>
      </c>
      <c r="I68" s="12" t="s">
        <v>627</v>
      </c>
      <c r="J68" s="12" t="s">
        <v>972</v>
      </c>
      <c r="K68" s="12" t="s">
        <v>634</v>
      </c>
      <c r="L68" s="12" t="s">
        <v>860</v>
      </c>
      <c r="M68" s="12" t="s">
        <v>1355</v>
      </c>
      <c r="N68" s="12" t="s">
        <v>1686</v>
      </c>
      <c r="O68" s="12" t="s">
        <v>1980</v>
      </c>
      <c r="P68" s="12" t="s">
        <v>1517</v>
      </c>
      <c r="Q68" s="12" t="s">
        <v>1459</v>
      </c>
      <c r="R68" s="12" t="s">
        <v>728</v>
      </c>
      <c r="S68" s="12" t="s">
        <v>1613</v>
      </c>
      <c r="T68" s="12" t="s">
        <v>1981</v>
      </c>
      <c r="U68" s="12" t="s">
        <v>1667</v>
      </c>
      <c r="V68" s="12" t="s">
        <v>734</v>
      </c>
      <c r="W68" s="12" t="s">
        <v>1720</v>
      </c>
      <c r="X68" s="12" t="s">
        <v>1982</v>
      </c>
      <c r="Y68" s="12" t="s">
        <v>1134</v>
      </c>
      <c r="Z68" s="12" t="s">
        <v>1983</v>
      </c>
      <c r="AA68" s="12" t="s">
        <v>1984</v>
      </c>
      <c r="AB68" s="12" t="s">
        <v>1375</v>
      </c>
      <c r="AC68" s="12" t="s">
        <v>1985</v>
      </c>
      <c r="AD68" s="12" t="s">
        <v>1461</v>
      </c>
      <c r="AE68" s="12" t="s">
        <v>1986</v>
      </c>
      <c r="AF68" s="12" t="s">
        <v>1409</v>
      </c>
      <c r="AG68" s="12" t="s">
        <v>1987</v>
      </c>
      <c r="AH68" s="12" t="s">
        <v>1987</v>
      </c>
      <c r="AI68" s="12" t="s">
        <v>1987</v>
      </c>
      <c r="AJ68" s="12" t="s">
        <v>1987</v>
      </c>
      <c r="AK68" s="12" t="s">
        <v>1987</v>
      </c>
      <c r="AL68" s="12" t="s">
        <v>1987</v>
      </c>
      <c r="AM68" s="12" t="s">
        <v>1987</v>
      </c>
      <c r="AN68" s="12" t="s">
        <v>1987</v>
      </c>
      <c r="AO68" s="12" t="s">
        <v>1987</v>
      </c>
      <c r="AP68" s="12" t="s">
        <v>1987</v>
      </c>
      <c r="AQ68" s="12" t="s">
        <v>1987</v>
      </c>
      <c r="AR68" s="12" t="s">
        <v>1987</v>
      </c>
      <c r="AS68" s="12" t="s">
        <v>1987</v>
      </c>
      <c r="AT68" s="12" t="s">
        <v>1987</v>
      </c>
      <c r="AU68" s="12" t="s">
        <v>1987</v>
      </c>
      <c r="AV68" s="12" t="s">
        <v>1987</v>
      </c>
      <c r="AW68" s="12" t="s">
        <v>1987</v>
      </c>
      <c r="AX68" s="12" t="s">
        <v>1987</v>
      </c>
      <c r="AY68" s="12" t="s">
        <v>1987</v>
      </c>
      <c r="AZ68" s="12" t="s">
        <v>1987</v>
      </c>
      <c r="BA68" s="12" t="s">
        <v>1987</v>
      </c>
      <c r="BB68" s="12" t="s">
        <v>1987</v>
      </c>
      <c r="BC68" s="12" t="s">
        <v>1987</v>
      </c>
      <c r="BD68" s="12" t="s">
        <v>1987</v>
      </c>
      <c r="BE68" s="12" t="s">
        <v>1987</v>
      </c>
      <c r="BF68" s="12" t="s">
        <v>1987</v>
      </c>
      <c r="BG68" s="12" t="s">
        <v>1987</v>
      </c>
      <c r="BH68" s="12" t="s">
        <v>1987</v>
      </c>
      <c r="BI68" s="12" t="s">
        <v>1987</v>
      </c>
      <c r="BJ68" s="12" t="s">
        <v>1987</v>
      </c>
      <c r="BK68" s="12" t="s">
        <v>1987</v>
      </c>
      <c r="BL68" s="12" t="s">
        <v>1987</v>
      </c>
      <c r="BM68" s="12" t="s">
        <v>1988</v>
      </c>
      <c r="BN68" s="12" t="s">
        <v>1988</v>
      </c>
      <c r="BO68" s="12" t="s">
        <v>1989</v>
      </c>
      <c r="BP68" s="12" t="s">
        <v>742</v>
      </c>
      <c r="BQ68" s="12" t="s">
        <v>1990</v>
      </c>
      <c r="BR68" s="12" t="s">
        <v>1100</v>
      </c>
      <c r="BS68" s="12" t="s">
        <v>1100</v>
      </c>
      <c r="BT68" s="12" t="s">
        <v>1991</v>
      </c>
      <c r="BU68" s="12" t="s">
        <v>1992</v>
      </c>
      <c r="BV68" s="12" t="s">
        <v>743</v>
      </c>
      <c r="BW68" s="12" t="s">
        <v>743</v>
      </c>
      <c r="BX68" s="12" t="s">
        <v>1993</v>
      </c>
      <c r="BY68" s="12" t="s">
        <v>1994</v>
      </c>
      <c r="BZ68" s="12" t="s">
        <v>1994</v>
      </c>
      <c r="CA68" s="12" t="s">
        <v>1994</v>
      </c>
      <c r="CB68" s="12" t="s">
        <v>1994</v>
      </c>
      <c r="CC68" s="12" t="s">
        <v>1994</v>
      </c>
      <c r="CD68" s="12" t="s">
        <v>1994</v>
      </c>
      <c r="CE68" s="12" t="s">
        <v>1994</v>
      </c>
      <c r="CF68" s="12" t="s">
        <v>1994</v>
      </c>
      <c r="CG68" s="12" t="s">
        <v>1995</v>
      </c>
      <c r="CH68" s="12" t="s">
        <v>1996</v>
      </c>
      <c r="CI68" s="12" t="s">
        <v>1996</v>
      </c>
      <c r="CJ68" s="12" t="s">
        <v>1996</v>
      </c>
      <c r="CK68" s="12" t="s">
        <v>1996</v>
      </c>
      <c r="CL68" s="12" t="s">
        <v>1996</v>
      </c>
      <c r="CM68" s="12" t="s">
        <v>1996</v>
      </c>
      <c r="CN68" s="12" t="s">
        <v>1996</v>
      </c>
      <c r="CO68" s="12" t="s">
        <v>1996</v>
      </c>
      <c r="CP68" s="12" t="s">
        <v>1996</v>
      </c>
      <c r="CQ68" s="12" t="s">
        <v>1996</v>
      </c>
      <c r="CR68" s="12" t="s">
        <v>1996</v>
      </c>
      <c r="CS68" s="12" t="s">
        <v>1996</v>
      </c>
      <c r="CT68" s="12" t="s">
        <v>1996</v>
      </c>
    </row>
    <row r="69" spans="1:98" hidden="1" x14ac:dyDescent="0.3">
      <c r="A69" s="12" t="s">
        <v>1997</v>
      </c>
      <c r="B69" s="12" t="s">
        <v>1661</v>
      </c>
      <c r="C69" s="12" t="s">
        <v>1998</v>
      </c>
      <c r="D69" s="12" t="s">
        <v>1999</v>
      </c>
      <c r="E69" s="12" t="s">
        <v>623</v>
      </c>
      <c r="F69" s="12" t="s">
        <v>582</v>
      </c>
      <c r="G69" s="12" t="s">
        <v>808</v>
      </c>
      <c r="H69" s="12" t="s">
        <v>808</v>
      </c>
      <c r="I69" s="12" t="s">
        <v>971</v>
      </c>
      <c r="J69" s="12" t="s">
        <v>975</v>
      </c>
      <c r="K69" s="12" t="s">
        <v>1208</v>
      </c>
      <c r="L69" s="12" t="s">
        <v>1208</v>
      </c>
      <c r="M69" s="12" t="s">
        <v>1310</v>
      </c>
      <c r="N69" s="12" t="s">
        <v>2000</v>
      </c>
      <c r="O69" s="12" t="s">
        <v>2001</v>
      </c>
      <c r="P69" s="12" t="s">
        <v>648</v>
      </c>
      <c r="Q69" s="12" t="s">
        <v>2002</v>
      </c>
      <c r="R69" s="12" t="s">
        <v>1132</v>
      </c>
      <c r="S69" s="12" t="s">
        <v>662</v>
      </c>
      <c r="T69" s="12" t="s">
        <v>1407</v>
      </c>
      <c r="U69" s="12" t="s">
        <v>1378</v>
      </c>
      <c r="V69" s="12" t="s">
        <v>2003</v>
      </c>
      <c r="W69" s="12" t="s">
        <v>1851</v>
      </c>
      <c r="X69" s="12" t="s">
        <v>2004</v>
      </c>
      <c r="Y69" s="12" t="s">
        <v>1290</v>
      </c>
      <c r="Z69" s="12" t="s">
        <v>2005</v>
      </c>
      <c r="AA69" s="12" t="s">
        <v>1854</v>
      </c>
      <c r="AB69" s="12" t="s">
        <v>934</v>
      </c>
      <c r="AC69" s="12" t="s">
        <v>1858</v>
      </c>
      <c r="AD69" s="12" t="s">
        <v>1145</v>
      </c>
      <c r="AE69" s="12" t="s">
        <v>1860</v>
      </c>
      <c r="AF69" s="12" t="s">
        <v>613</v>
      </c>
      <c r="AG69" s="12" t="s">
        <v>936</v>
      </c>
      <c r="AH69" s="12" t="s">
        <v>936</v>
      </c>
      <c r="AI69" s="12" t="s">
        <v>936</v>
      </c>
      <c r="AJ69" s="12" t="s">
        <v>936</v>
      </c>
      <c r="AK69" s="12" t="s">
        <v>936</v>
      </c>
      <c r="AL69" s="12" t="s">
        <v>936</v>
      </c>
      <c r="AM69" s="12" t="s">
        <v>936</v>
      </c>
      <c r="AN69" s="12" t="s">
        <v>936</v>
      </c>
      <c r="AO69" s="12" t="s">
        <v>936</v>
      </c>
      <c r="AP69" s="12" t="s">
        <v>1897</v>
      </c>
      <c r="AQ69" s="12" t="s">
        <v>1897</v>
      </c>
      <c r="AR69" s="12" t="s">
        <v>1897</v>
      </c>
      <c r="AS69" s="12" t="s">
        <v>1897</v>
      </c>
      <c r="AT69" s="12" t="s">
        <v>1897</v>
      </c>
      <c r="AU69" s="12" t="s">
        <v>1897</v>
      </c>
      <c r="AV69" s="12" t="s">
        <v>1897</v>
      </c>
      <c r="AW69" s="12" t="s">
        <v>1897</v>
      </c>
      <c r="AX69" s="12" t="s">
        <v>1897</v>
      </c>
      <c r="AY69" s="12" t="s">
        <v>1897</v>
      </c>
      <c r="AZ69" s="12" t="s">
        <v>1897</v>
      </c>
      <c r="BA69" s="12" t="s">
        <v>1897</v>
      </c>
      <c r="BB69" s="12" t="s">
        <v>1897</v>
      </c>
      <c r="BC69" s="12" t="s">
        <v>1897</v>
      </c>
      <c r="BD69" s="12" t="s">
        <v>1897</v>
      </c>
      <c r="BE69" s="12" t="s">
        <v>1897</v>
      </c>
      <c r="BF69" s="12" t="s">
        <v>1897</v>
      </c>
      <c r="BG69" s="12" t="s">
        <v>1897</v>
      </c>
      <c r="BH69" s="12" t="s">
        <v>1897</v>
      </c>
      <c r="BI69" s="12" t="s">
        <v>1897</v>
      </c>
      <c r="BJ69" s="12" t="s">
        <v>1897</v>
      </c>
      <c r="BK69" s="12" t="s">
        <v>1897</v>
      </c>
      <c r="BL69" s="12" t="s">
        <v>1897</v>
      </c>
      <c r="BM69" s="12" t="s">
        <v>2006</v>
      </c>
      <c r="BN69" s="12" t="s">
        <v>2006</v>
      </c>
      <c r="BO69" s="12" t="s">
        <v>2006</v>
      </c>
      <c r="BP69" s="12" t="s">
        <v>2006</v>
      </c>
      <c r="BQ69" s="12" t="s">
        <v>2006</v>
      </c>
      <c r="BR69" s="12" t="s">
        <v>2006</v>
      </c>
      <c r="BS69" s="12" t="s">
        <v>2006</v>
      </c>
      <c r="BT69" s="12" t="s">
        <v>832</v>
      </c>
      <c r="BU69" s="12" t="s">
        <v>832</v>
      </c>
      <c r="BV69" s="12" t="s">
        <v>832</v>
      </c>
      <c r="BW69" s="12" t="s">
        <v>832</v>
      </c>
      <c r="BX69" s="12" t="s">
        <v>832</v>
      </c>
      <c r="BY69" s="12" t="s">
        <v>832</v>
      </c>
      <c r="BZ69" s="12" t="s">
        <v>832</v>
      </c>
      <c r="CA69" s="12" t="s">
        <v>832</v>
      </c>
      <c r="CB69" s="12" t="s">
        <v>832</v>
      </c>
      <c r="CC69" s="12" t="s">
        <v>832</v>
      </c>
      <c r="CD69" s="12" t="s">
        <v>832</v>
      </c>
      <c r="CE69" s="12" t="s">
        <v>832</v>
      </c>
      <c r="CF69" s="12" t="s">
        <v>832</v>
      </c>
      <c r="CG69" s="12" t="s">
        <v>832</v>
      </c>
      <c r="CH69" s="12" t="s">
        <v>832</v>
      </c>
      <c r="CI69" s="12" t="s">
        <v>832</v>
      </c>
      <c r="CJ69" s="12" t="s">
        <v>832</v>
      </c>
      <c r="CK69" s="12" t="s">
        <v>832</v>
      </c>
      <c r="CL69" s="12" t="s">
        <v>832</v>
      </c>
      <c r="CM69" s="12" t="s">
        <v>832</v>
      </c>
      <c r="CN69" s="12" t="s">
        <v>832</v>
      </c>
      <c r="CO69" s="12" t="s">
        <v>832</v>
      </c>
      <c r="CP69" s="12" t="s">
        <v>832</v>
      </c>
      <c r="CQ69" s="12" t="s">
        <v>832</v>
      </c>
      <c r="CR69" s="12" t="s">
        <v>832</v>
      </c>
      <c r="CS69" s="12" t="s">
        <v>832</v>
      </c>
      <c r="CT69" s="12" t="s">
        <v>832</v>
      </c>
    </row>
    <row r="70" spans="1:98" hidden="1" x14ac:dyDescent="0.3">
      <c r="A70" s="12" t="s">
        <v>2007</v>
      </c>
      <c r="B70" s="12" t="s">
        <v>1661</v>
      </c>
      <c r="C70" s="12" t="s">
        <v>2008</v>
      </c>
      <c r="D70" s="12" t="s">
        <v>2009</v>
      </c>
      <c r="E70" s="12" t="s">
        <v>578</v>
      </c>
      <c r="F70" s="12" t="s">
        <v>579</v>
      </c>
      <c r="G70" s="12" t="s">
        <v>672</v>
      </c>
      <c r="H70" s="12" t="s">
        <v>580</v>
      </c>
      <c r="I70" s="12" t="s">
        <v>580</v>
      </c>
      <c r="J70" s="12" t="s">
        <v>851</v>
      </c>
      <c r="K70" s="12" t="s">
        <v>755</v>
      </c>
      <c r="L70" s="12" t="s">
        <v>761</v>
      </c>
      <c r="M70" s="12" t="s">
        <v>756</v>
      </c>
      <c r="N70" s="12" t="s">
        <v>756</v>
      </c>
      <c r="O70" s="12" t="s">
        <v>673</v>
      </c>
      <c r="P70" s="12" t="s">
        <v>626</v>
      </c>
      <c r="Q70" s="12" t="s">
        <v>766</v>
      </c>
      <c r="R70" s="12" t="s">
        <v>629</v>
      </c>
      <c r="S70" s="12" t="s">
        <v>679</v>
      </c>
      <c r="T70" s="12" t="s">
        <v>632</v>
      </c>
      <c r="U70" s="12" t="s">
        <v>870</v>
      </c>
      <c r="V70" s="12" t="s">
        <v>974</v>
      </c>
      <c r="W70" s="12" t="s">
        <v>810</v>
      </c>
      <c r="X70" s="12" t="s">
        <v>856</v>
      </c>
      <c r="Y70" s="12" t="s">
        <v>1184</v>
      </c>
      <c r="Z70" s="12" t="s">
        <v>1352</v>
      </c>
      <c r="AA70" s="12" t="s">
        <v>590</v>
      </c>
      <c r="AB70" s="12" t="s">
        <v>977</v>
      </c>
      <c r="AC70" s="12" t="s">
        <v>721</v>
      </c>
      <c r="AD70" s="12" t="s">
        <v>636</v>
      </c>
      <c r="AE70" s="12" t="s">
        <v>636</v>
      </c>
      <c r="AF70" s="12" t="s">
        <v>636</v>
      </c>
      <c r="AG70" s="12" t="s">
        <v>682</v>
      </c>
      <c r="AH70" s="12" t="s">
        <v>857</v>
      </c>
      <c r="AI70" s="12" t="s">
        <v>857</v>
      </c>
      <c r="AJ70" s="12" t="s">
        <v>857</v>
      </c>
      <c r="AK70" s="12" t="s">
        <v>857</v>
      </c>
      <c r="AL70" s="12" t="s">
        <v>858</v>
      </c>
      <c r="AM70" s="12" t="s">
        <v>858</v>
      </c>
      <c r="AN70" s="12" t="s">
        <v>858</v>
      </c>
      <c r="AO70" s="12" t="s">
        <v>858</v>
      </c>
      <c r="AP70" s="12" t="s">
        <v>858</v>
      </c>
      <c r="AQ70" s="12" t="s">
        <v>858</v>
      </c>
      <c r="AR70" s="12" t="s">
        <v>858</v>
      </c>
      <c r="AS70" s="12" t="s">
        <v>858</v>
      </c>
      <c r="AT70" s="12" t="s">
        <v>858</v>
      </c>
      <c r="AU70" s="12" t="s">
        <v>858</v>
      </c>
      <c r="AV70" s="12" t="s">
        <v>858</v>
      </c>
      <c r="AW70" s="12" t="s">
        <v>858</v>
      </c>
      <c r="AX70" s="12" t="s">
        <v>858</v>
      </c>
      <c r="AY70" s="12" t="s">
        <v>858</v>
      </c>
      <c r="AZ70" s="12" t="s">
        <v>858</v>
      </c>
      <c r="BA70" s="12" t="s">
        <v>858</v>
      </c>
      <c r="BB70" s="12" t="s">
        <v>858</v>
      </c>
      <c r="BC70" s="12" t="s">
        <v>858</v>
      </c>
      <c r="BD70" s="12" t="s">
        <v>858</v>
      </c>
      <c r="BE70" s="12" t="s">
        <v>858</v>
      </c>
      <c r="BF70" s="12" t="s">
        <v>858</v>
      </c>
      <c r="BG70" s="12" t="s">
        <v>858</v>
      </c>
      <c r="BH70" s="12" t="s">
        <v>858</v>
      </c>
      <c r="BI70" s="12" t="s">
        <v>858</v>
      </c>
      <c r="BJ70" s="12" t="s">
        <v>858</v>
      </c>
      <c r="BK70" s="12" t="s">
        <v>858</v>
      </c>
      <c r="BL70" s="12" t="s">
        <v>858</v>
      </c>
      <c r="BM70" s="12" t="s">
        <v>858</v>
      </c>
      <c r="BN70" s="12" t="s">
        <v>858</v>
      </c>
      <c r="BO70" s="12" t="s">
        <v>858</v>
      </c>
      <c r="BP70" s="12" t="s">
        <v>591</v>
      </c>
      <c r="BQ70" s="12" t="s">
        <v>1125</v>
      </c>
      <c r="BR70" s="12" t="s">
        <v>1125</v>
      </c>
      <c r="BS70" s="12" t="s">
        <v>772</v>
      </c>
      <c r="BT70" s="12" t="s">
        <v>978</v>
      </c>
      <c r="BU70" s="12" t="s">
        <v>978</v>
      </c>
      <c r="BV70" s="12" t="s">
        <v>978</v>
      </c>
      <c r="BW70" s="12" t="s">
        <v>978</v>
      </c>
      <c r="BX70" s="12" t="s">
        <v>978</v>
      </c>
      <c r="BY70" s="12" t="s">
        <v>978</v>
      </c>
      <c r="BZ70" s="12" t="s">
        <v>978</v>
      </c>
      <c r="CA70" s="12" t="s">
        <v>978</v>
      </c>
      <c r="CB70" s="12" t="s">
        <v>978</v>
      </c>
      <c r="CC70" s="12" t="s">
        <v>978</v>
      </c>
      <c r="CD70" s="12" t="s">
        <v>978</v>
      </c>
      <c r="CE70" s="12" t="s">
        <v>978</v>
      </c>
      <c r="CF70" s="12" t="s">
        <v>978</v>
      </c>
      <c r="CG70" s="12" t="s">
        <v>978</v>
      </c>
      <c r="CH70" s="12" t="s">
        <v>860</v>
      </c>
      <c r="CI70" s="12" t="s">
        <v>861</v>
      </c>
      <c r="CJ70" s="12" t="s">
        <v>861</v>
      </c>
      <c r="CK70" s="12" t="s">
        <v>863</v>
      </c>
      <c r="CL70" s="12" t="s">
        <v>863</v>
      </c>
      <c r="CM70" s="12" t="s">
        <v>863</v>
      </c>
      <c r="CN70" s="12" t="s">
        <v>863</v>
      </c>
      <c r="CO70" s="12" t="s">
        <v>637</v>
      </c>
      <c r="CP70" s="12" t="s">
        <v>637</v>
      </c>
      <c r="CQ70" s="12" t="s">
        <v>1664</v>
      </c>
      <c r="CR70" s="12" t="s">
        <v>1664</v>
      </c>
      <c r="CS70" s="12" t="s">
        <v>1499</v>
      </c>
      <c r="CT70" s="12" t="s">
        <v>1208</v>
      </c>
    </row>
    <row r="71" spans="1:98" hidden="1" x14ac:dyDescent="0.3">
      <c r="A71" s="12" t="s">
        <v>2010</v>
      </c>
      <c r="B71" s="12" t="s">
        <v>1661</v>
      </c>
      <c r="C71" s="12" t="s">
        <v>2011</v>
      </c>
      <c r="D71" s="12" t="s">
        <v>2012</v>
      </c>
      <c r="E71" s="12" t="s">
        <v>623</v>
      </c>
      <c r="F71" s="12" t="s">
        <v>672</v>
      </c>
      <c r="G71" s="12" t="s">
        <v>580</v>
      </c>
      <c r="H71" s="12" t="s">
        <v>673</v>
      </c>
      <c r="I71" s="12" t="s">
        <v>585</v>
      </c>
      <c r="J71" s="12" t="s">
        <v>913</v>
      </c>
      <c r="K71" s="12" t="s">
        <v>767</v>
      </c>
      <c r="L71" s="12" t="s">
        <v>718</v>
      </c>
      <c r="M71" s="12" t="s">
        <v>1046</v>
      </c>
      <c r="N71" s="12" t="s">
        <v>678</v>
      </c>
      <c r="O71" s="12" t="s">
        <v>633</v>
      </c>
      <c r="P71" s="12" t="s">
        <v>634</v>
      </c>
      <c r="Q71" s="12" t="s">
        <v>589</v>
      </c>
      <c r="R71" s="12" t="s">
        <v>1184</v>
      </c>
      <c r="S71" s="12" t="s">
        <v>636</v>
      </c>
      <c r="T71" s="12" t="s">
        <v>591</v>
      </c>
      <c r="U71" s="12" t="s">
        <v>860</v>
      </c>
      <c r="V71" s="12" t="s">
        <v>864</v>
      </c>
      <c r="W71" s="12" t="s">
        <v>1260</v>
      </c>
      <c r="X71" s="12" t="s">
        <v>1499</v>
      </c>
      <c r="Y71" s="12" t="s">
        <v>979</v>
      </c>
      <c r="Z71" s="12" t="s">
        <v>1500</v>
      </c>
      <c r="AA71" s="12" t="s">
        <v>1417</v>
      </c>
      <c r="AB71" s="12" t="s">
        <v>1418</v>
      </c>
      <c r="AC71" s="12" t="s">
        <v>1418</v>
      </c>
      <c r="AD71" s="12" t="s">
        <v>993</v>
      </c>
      <c r="AE71" s="12" t="s">
        <v>993</v>
      </c>
      <c r="AF71" s="12" t="s">
        <v>993</v>
      </c>
      <c r="AG71" s="12" t="s">
        <v>993</v>
      </c>
      <c r="AH71" s="12" t="s">
        <v>993</v>
      </c>
      <c r="AI71" s="12" t="s">
        <v>993</v>
      </c>
      <c r="AJ71" s="12" t="s">
        <v>993</v>
      </c>
      <c r="AK71" s="12" t="s">
        <v>993</v>
      </c>
      <c r="AL71" s="12" t="s">
        <v>993</v>
      </c>
      <c r="AM71" s="12" t="s">
        <v>993</v>
      </c>
      <c r="AN71" s="12" t="s">
        <v>993</v>
      </c>
      <c r="AO71" s="12" t="s">
        <v>993</v>
      </c>
      <c r="AP71" s="12" t="s">
        <v>993</v>
      </c>
      <c r="AQ71" s="12" t="s">
        <v>993</v>
      </c>
      <c r="AR71" s="12" t="s">
        <v>980</v>
      </c>
      <c r="AS71" s="12" t="s">
        <v>980</v>
      </c>
      <c r="AT71" s="12" t="s">
        <v>1751</v>
      </c>
      <c r="AU71" s="12" t="s">
        <v>1751</v>
      </c>
      <c r="AV71" s="12" t="s">
        <v>1751</v>
      </c>
      <c r="AW71" s="12" t="s">
        <v>1751</v>
      </c>
      <c r="AX71" s="12" t="s">
        <v>1751</v>
      </c>
      <c r="AY71" s="12" t="s">
        <v>1751</v>
      </c>
      <c r="AZ71" s="12" t="s">
        <v>1751</v>
      </c>
      <c r="BA71" s="12" t="s">
        <v>1751</v>
      </c>
      <c r="BB71" s="12" t="s">
        <v>1751</v>
      </c>
      <c r="BC71" s="12" t="s">
        <v>1751</v>
      </c>
      <c r="BD71" s="12" t="s">
        <v>1751</v>
      </c>
      <c r="BE71" s="12" t="s">
        <v>1751</v>
      </c>
      <c r="BF71" s="12" t="s">
        <v>1751</v>
      </c>
      <c r="BG71" s="12" t="s">
        <v>1751</v>
      </c>
      <c r="BH71" s="12" t="s">
        <v>1751</v>
      </c>
      <c r="BI71" s="12" t="s">
        <v>1751</v>
      </c>
      <c r="BJ71" s="12" t="s">
        <v>1751</v>
      </c>
      <c r="BK71" s="12" t="s">
        <v>1276</v>
      </c>
      <c r="BL71" s="12" t="s">
        <v>1276</v>
      </c>
      <c r="BM71" s="12" t="s">
        <v>1354</v>
      </c>
      <c r="BN71" s="12" t="s">
        <v>1354</v>
      </c>
      <c r="BO71" s="12" t="s">
        <v>1354</v>
      </c>
      <c r="BP71" s="12" t="s">
        <v>1354</v>
      </c>
      <c r="BQ71" s="12" t="s">
        <v>773</v>
      </c>
      <c r="BR71" s="12" t="s">
        <v>773</v>
      </c>
      <c r="BS71" s="12" t="s">
        <v>1261</v>
      </c>
      <c r="BT71" s="12" t="s">
        <v>873</v>
      </c>
      <c r="BU71" s="12" t="s">
        <v>812</v>
      </c>
      <c r="BV71" s="12" t="s">
        <v>683</v>
      </c>
      <c r="BW71" s="12" t="s">
        <v>1025</v>
      </c>
      <c r="BX71" s="12" t="s">
        <v>2013</v>
      </c>
      <c r="BY71" s="12" t="s">
        <v>2013</v>
      </c>
      <c r="BZ71" s="12" t="s">
        <v>2013</v>
      </c>
      <c r="CA71" s="12" t="s">
        <v>2014</v>
      </c>
      <c r="CB71" s="12" t="s">
        <v>2014</v>
      </c>
      <c r="CC71" s="12" t="s">
        <v>920</v>
      </c>
      <c r="CD71" s="12" t="s">
        <v>920</v>
      </c>
      <c r="CE71" s="12" t="s">
        <v>920</v>
      </c>
      <c r="CF71" s="12" t="s">
        <v>920</v>
      </c>
      <c r="CG71" s="12" t="s">
        <v>1886</v>
      </c>
      <c r="CH71" s="12" t="s">
        <v>1886</v>
      </c>
      <c r="CI71" s="12" t="s">
        <v>1886</v>
      </c>
      <c r="CJ71" s="12" t="s">
        <v>1886</v>
      </c>
      <c r="CK71" s="12" t="s">
        <v>1886</v>
      </c>
      <c r="CL71" s="12" t="s">
        <v>1886</v>
      </c>
      <c r="CM71" s="12" t="s">
        <v>639</v>
      </c>
      <c r="CN71" s="12" t="s">
        <v>639</v>
      </c>
      <c r="CO71" s="12" t="s">
        <v>639</v>
      </c>
      <c r="CP71" s="12" t="s">
        <v>639</v>
      </c>
      <c r="CQ71" s="12" t="s">
        <v>639</v>
      </c>
      <c r="CR71" s="12" t="s">
        <v>639</v>
      </c>
      <c r="CS71" s="12" t="s">
        <v>639</v>
      </c>
      <c r="CT71" s="12" t="s">
        <v>639</v>
      </c>
    </row>
    <row r="72" spans="1:98" hidden="1" x14ac:dyDescent="0.3">
      <c r="A72" s="12" t="s">
        <v>2015</v>
      </c>
      <c r="B72" s="12" t="s">
        <v>1661</v>
      </c>
      <c r="C72" s="12" t="s">
        <v>2016</v>
      </c>
      <c r="D72" s="12" t="s">
        <v>2017</v>
      </c>
      <c r="E72" s="12" t="s">
        <v>579</v>
      </c>
      <c r="F72" s="12" t="s">
        <v>623</v>
      </c>
      <c r="G72" s="12" t="s">
        <v>623</v>
      </c>
      <c r="H72" s="12" t="s">
        <v>623</v>
      </c>
      <c r="I72" s="12" t="s">
        <v>581</v>
      </c>
      <c r="J72" s="12" t="s">
        <v>851</v>
      </c>
      <c r="K72" s="12" t="s">
        <v>582</v>
      </c>
      <c r="L72" s="12" t="s">
        <v>582</v>
      </c>
      <c r="M72" s="12" t="s">
        <v>582</v>
      </c>
      <c r="N72" s="12" t="s">
        <v>582</v>
      </c>
      <c r="O72" s="12" t="s">
        <v>582</v>
      </c>
      <c r="P72" s="12" t="s">
        <v>755</v>
      </c>
      <c r="Q72" s="12" t="s">
        <v>755</v>
      </c>
      <c r="R72" s="12" t="s">
        <v>624</v>
      </c>
      <c r="S72" s="12" t="s">
        <v>624</v>
      </c>
      <c r="T72" s="12" t="s">
        <v>624</v>
      </c>
      <c r="U72" s="12" t="s">
        <v>624</v>
      </c>
      <c r="V72" s="12" t="s">
        <v>624</v>
      </c>
      <c r="W72" s="12" t="s">
        <v>624</v>
      </c>
      <c r="X72" s="12" t="s">
        <v>624</v>
      </c>
      <c r="Y72" s="12" t="s">
        <v>624</v>
      </c>
      <c r="Z72" s="12" t="s">
        <v>624</v>
      </c>
      <c r="AA72" s="12" t="s">
        <v>624</v>
      </c>
      <c r="AB72" s="12" t="s">
        <v>624</v>
      </c>
      <c r="AC72" s="12" t="s">
        <v>624</v>
      </c>
      <c r="AD72" s="12" t="s">
        <v>624</v>
      </c>
      <c r="AE72" s="12" t="s">
        <v>624</v>
      </c>
      <c r="AF72" s="12" t="s">
        <v>624</v>
      </c>
      <c r="AG72" s="12" t="s">
        <v>624</v>
      </c>
      <c r="AH72" s="12" t="s">
        <v>624</v>
      </c>
      <c r="AI72" s="12" t="s">
        <v>624</v>
      </c>
      <c r="AJ72" s="12" t="s">
        <v>624</v>
      </c>
      <c r="AK72" s="12" t="s">
        <v>624</v>
      </c>
      <c r="AL72" s="12" t="s">
        <v>624</v>
      </c>
      <c r="AM72" s="12" t="s">
        <v>624</v>
      </c>
      <c r="AN72" s="12" t="s">
        <v>624</v>
      </c>
      <c r="AO72" s="12" t="s">
        <v>624</v>
      </c>
      <c r="AP72" s="12" t="s">
        <v>624</v>
      </c>
      <c r="AQ72" s="12" t="s">
        <v>624</v>
      </c>
      <c r="AR72" s="12" t="s">
        <v>624</v>
      </c>
      <c r="AS72" s="12" t="s">
        <v>624</v>
      </c>
      <c r="AT72" s="12" t="s">
        <v>624</v>
      </c>
      <c r="AU72" s="12" t="s">
        <v>624</v>
      </c>
      <c r="AV72" s="12" t="s">
        <v>624</v>
      </c>
      <c r="AW72" s="12" t="s">
        <v>624</v>
      </c>
      <c r="AX72" s="12" t="s">
        <v>624</v>
      </c>
      <c r="AY72" s="12" t="s">
        <v>624</v>
      </c>
      <c r="AZ72" s="12" t="s">
        <v>624</v>
      </c>
      <c r="BA72" s="12" t="s">
        <v>624</v>
      </c>
      <c r="BB72" s="12" t="s">
        <v>624</v>
      </c>
      <c r="BC72" s="12" t="s">
        <v>624</v>
      </c>
      <c r="BD72" s="12" t="s">
        <v>624</v>
      </c>
      <c r="BE72" s="12" t="s">
        <v>624</v>
      </c>
      <c r="BF72" s="12" t="s">
        <v>624</v>
      </c>
      <c r="BG72" s="12" t="s">
        <v>583</v>
      </c>
      <c r="BH72" s="12" t="s">
        <v>625</v>
      </c>
      <c r="BI72" s="12" t="s">
        <v>762</v>
      </c>
      <c r="BJ72" s="12" t="s">
        <v>673</v>
      </c>
      <c r="BK72" s="12" t="s">
        <v>673</v>
      </c>
      <c r="BL72" s="12" t="s">
        <v>808</v>
      </c>
      <c r="BM72" s="12" t="s">
        <v>587</v>
      </c>
      <c r="BN72" s="12" t="s">
        <v>587</v>
      </c>
      <c r="BO72" s="12" t="s">
        <v>757</v>
      </c>
      <c r="BP72" s="12" t="s">
        <v>2018</v>
      </c>
      <c r="BQ72" s="12" t="s">
        <v>766</v>
      </c>
      <c r="BR72" s="12" t="s">
        <v>627</v>
      </c>
      <c r="BS72" s="12" t="s">
        <v>677</v>
      </c>
      <c r="BT72" s="12" t="s">
        <v>677</v>
      </c>
      <c r="BU72" s="12" t="s">
        <v>628</v>
      </c>
      <c r="BV72" s="12" t="s">
        <v>1046</v>
      </c>
      <c r="BW72" s="12" t="s">
        <v>1046</v>
      </c>
      <c r="BX72" s="12" t="s">
        <v>1046</v>
      </c>
      <c r="BY72" s="12" t="s">
        <v>1259</v>
      </c>
      <c r="BZ72" s="12" t="s">
        <v>1259</v>
      </c>
      <c r="CA72" s="12" t="s">
        <v>1096</v>
      </c>
      <c r="CB72" s="12" t="s">
        <v>1096</v>
      </c>
      <c r="CC72" s="12" t="s">
        <v>1096</v>
      </c>
      <c r="CD72" s="12" t="s">
        <v>768</v>
      </c>
      <c r="CE72" s="12" t="s">
        <v>768</v>
      </c>
      <c r="CF72" s="12" t="s">
        <v>768</v>
      </c>
      <c r="CG72" s="12" t="s">
        <v>768</v>
      </c>
      <c r="CH72" s="12" t="s">
        <v>768</v>
      </c>
      <c r="CI72" s="12" t="s">
        <v>768</v>
      </c>
      <c r="CJ72" s="12" t="s">
        <v>768</v>
      </c>
      <c r="CK72" s="12" t="s">
        <v>768</v>
      </c>
      <c r="CL72" s="12" t="s">
        <v>768</v>
      </c>
      <c r="CM72" s="12" t="s">
        <v>768</v>
      </c>
      <c r="CN72" s="12" t="s">
        <v>768</v>
      </c>
      <c r="CO72" s="12" t="s">
        <v>768</v>
      </c>
      <c r="CP72" s="12" t="s">
        <v>768</v>
      </c>
      <c r="CQ72" s="12" t="s">
        <v>768</v>
      </c>
      <c r="CR72" s="12" t="s">
        <v>768</v>
      </c>
      <c r="CS72" s="12" t="s">
        <v>768</v>
      </c>
      <c r="CT72" s="12" t="s">
        <v>768</v>
      </c>
    </row>
    <row r="73" spans="1:98" hidden="1" x14ac:dyDescent="0.3">
      <c r="A73" s="12" t="s">
        <v>2019</v>
      </c>
      <c r="B73" s="12" t="s">
        <v>1661</v>
      </c>
      <c r="C73" s="12" t="s">
        <v>2020</v>
      </c>
      <c r="D73" s="12" t="s">
        <v>2021</v>
      </c>
      <c r="E73" s="12" t="s">
        <v>579</v>
      </c>
      <c r="F73" s="12" t="s">
        <v>579</v>
      </c>
      <c r="G73" s="12" t="s">
        <v>623</v>
      </c>
      <c r="H73" s="12" t="s">
        <v>672</v>
      </c>
      <c r="I73" s="12" t="s">
        <v>580</v>
      </c>
      <c r="J73" s="12" t="s">
        <v>582</v>
      </c>
      <c r="K73" s="12" t="s">
        <v>583</v>
      </c>
      <c r="L73" s="12" t="s">
        <v>625</v>
      </c>
      <c r="M73" s="12" t="s">
        <v>673</v>
      </c>
      <c r="N73" s="12" t="s">
        <v>585</v>
      </c>
      <c r="O73" s="12" t="s">
        <v>676</v>
      </c>
      <c r="P73" s="12" t="s">
        <v>869</v>
      </c>
      <c r="Q73" s="12" t="s">
        <v>766</v>
      </c>
      <c r="R73" s="12" t="s">
        <v>767</v>
      </c>
      <c r="S73" s="12" t="s">
        <v>767</v>
      </c>
      <c r="T73" s="12" t="s">
        <v>588</v>
      </c>
      <c r="U73" s="12" t="s">
        <v>1259</v>
      </c>
      <c r="V73" s="12" t="s">
        <v>768</v>
      </c>
      <c r="W73" s="12" t="s">
        <v>768</v>
      </c>
      <c r="X73" s="12" t="s">
        <v>991</v>
      </c>
      <c r="Y73" s="12" t="s">
        <v>719</v>
      </c>
      <c r="Z73" s="12" t="s">
        <v>1413</v>
      </c>
      <c r="AA73" s="12" t="s">
        <v>633</v>
      </c>
      <c r="AB73" s="12" t="s">
        <v>955</v>
      </c>
      <c r="AC73" s="12" t="s">
        <v>634</v>
      </c>
      <c r="AD73" s="12" t="s">
        <v>634</v>
      </c>
      <c r="AE73" s="12" t="s">
        <v>634</v>
      </c>
      <c r="AF73" s="12" t="s">
        <v>634</v>
      </c>
      <c r="AG73" s="12" t="s">
        <v>854</v>
      </c>
      <c r="AH73" s="12" t="s">
        <v>854</v>
      </c>
      <c r="AI73" s="12" t="s">
        <v>854</v>
      </c>
      <c r="AJ73" s="12" t="s">
        <v>854</v>
      </c>
      <c r="AK73" s="12" t="s">
        <v>854</v>
      </c>
      <c r="AL73" s="12" t="s">
        <v>854</v>
      </c>
      <c r="AM73" s="12" t="s">
        <v>854</v>
      </c>
      <c r="AN73" s="12" t="s">
        <v>854</v>
      </c>
      <c r="AO73" s="12" t="s">
        <v>975</v>
      </c>
      <c r="AP73" s="12" t="s">
        <v>975</v>
      </c>
      <c r="AQ73" s="12" t="s">
        <v>1120</v>
      </c>
      <c r="AR73" s="12" t="s">
        <v>1120</v>
      </c>
      <c r="AS73" s="12" t="s">
        <v>589</v>
      </c>
      <c r="AT73" s="12" t="s">
        <v>589</v>
      </c>
      <c r="AU73" s="12" t="s">
        <v>720</v>
      </c>
      <c r="AV73" s="12" t="s">
        <v>720</v>
      </c>
      <c r="AW73" s="12" t="s">
        <v>720</v>
      </c>
      <c r="AX73" s="12" t="s">
        <v>720</v>
      </c>
      <c r="AY73" s="12" t="s">
        <v>720</v>
      </c>
      <c r="AZ73" s="12" t="s">
        <v>720</v>
      </c>
      <c r="BA73" s="12" t="s">
        <v>720</v>
      </c>
      <c r="BB73" s="12" t="s">
        <v>720</v>
      </c>
      <c r="BC73" s="12" t="s">
        <v>720</v>
      </c>
      <c r="BD73" s="12" t="s">
        <v>720</v>
      </c>
      <c r="BE73" s="12" t="s">
        <v>720</v>
      </c>
      <c r="BF73" s="12" t="s">
        <v>720</v>
      </c>
      <c r="BG73" s="12" t="s">
        <v>720</v>
      </c>
      <c r="BH73" s="12" t="s">
        <v>720</v>
      </c>
      <c r="BI73" s="12" t="s">
        <v>720</v>
      </c>
      <c r="BJ73" s="12" t="s">
        <v>720</v>
      </c>
      <c r="BK73" s="12" t="s">
        <v>720</v>
      </c>
      <c r="BL73" s="12" t="s">
        <v>720</v>
      </c>
      <c r="BM73" s="12" t="s">
        <v>720</v>
      </c>
      <c r="BN73" s="12" t="s">
        <v>720</v>
      </c>
      <c r="BO73" s="12" t="s">
        <v>720</v>
      </c>
      <c r="BP73" s="12" t="s">
        <v>720</v>
      </c>
      <c r="BQ73" s="12" t="s">
        <v>720</v>
      </c>
      <c r="BR73" s="12" t="s">
        <v>720</v>
      </c>
      <c r="BS73" s="12" t="s">
        <v>720</v>
      </c>
      <c r="BT73" s="12" t="s">
        <v>720</v>
      </c>
      <c r="BU73" s="12" t="s">
        <v>720</v>
      </c>
      <c r="BV73" s="12" t="s">
        <v>720</v>
      </c>
      <c r="BW73" s="12" t="s">
        <v>720</v>
      </c>
      <c r="BX73" s="12" t="s">
        <v>720</v>
      </c>
      <c r="BY73" s="12" t="s">
        <v>720</v>
      </c>
      <c r="BZ73" s="12" t="s">
        <v>720</v>
      </c>
      <c r="CA73" s="12" t="s">
        <v>720</v>
      </c>
      <c r="CB73" s="12" t="s">
        <v>720</v>
      </c>
      <c r="CC73" s="12" t="s">
        <v>720</v>
      </c>
      <c r="CD73" s="12" t="s">
        <v>720</v>
      </c>
      <c r="CE73" s="12" t="s">
        <v>720</v>
      </c>
      <c r="CF73" s="12" t="s">
        <v>720</v>
      </c>
      <c r="CG73" s="12" t="s">
        <v>720</v>
      </c>
      <c r="CH73" s="12" t="s">
        <v>720</v>
      </c>
      <c r="CI73" s="12" t="s">
        <v>720</v>
      </c>
      <c r="CJ73" s="12" t="s">
        <v>720</v>
      </c>
      <c r="CK73" s="12" t="s">
        <v>720</v>
      </c>
      <c r="CL73" s="12" t="s">
        <v>720</v>
      </c>
      <c r="CM73" s="12" t="s">
        <v>720</v>
      </c>
      <c r="CN73" s="12" t="s">
        <v>720</v>
      </c>
      <c r="CO73" s="12" t="s">
        <v>720</v>
      </c>
      <c r="CP73" s="12" t="s">
        <v>720</v>
      </c>
      <c r="CQ73" s="12" t="s">
        <v>720</v>
      </c>
      <c r="CR73" s="12" t="s">
        <v>720</v>
      </c>
      <c r="CS73" s="12" t="s">
        <v>720</v>
      </c>
      <c r="CT73" s="12" t="s">
        <v>720</v>
      </c>
    </row>
    <row r="74" spans="1:98" hidden="1" x14ac:dyDescent="0.3">
      <c r="A74" s="12" t="s">
        <v>2022</v>
      </c>
      <c r="B74" s="12" t="s">
        <v>1661</v>
      </c>
      <c r="C74" s="12" t="s">
        <v>2023</v>
      </c>
      <c r="D74" s="12" t="s">
        <v>2024</v>
      </c>
      <c r="E74" s="12" t="s">
        <v>578</v>
      </c>
      <c r="F74" s="12" t="s">
        <v>578</v>
      </c>
      <c r="G74" s="12" t="s">
        <v>578</v>
      </c>
      <c r="H74" s="12" t="s">
        <v>579</v>
      </c>
      <c r="I74" s="12" t="s">
        <v>579</v>
      </c>
      <c r="J74" s="12" t="s">
        <v>851</v>
      </c>
      <c r="K74" s="12" t="s">
        <v>851</v>
      </c>
      <c r="L74" s="12" t="s">
        <v>851</v>
      </c>
      <c r="M74" s="12" t="s">
        <v>755</v>
      </c>
      <c r="N74" s="12" t="s">
        <v>755</v>
      </c>
      <c r="O74" s="12" t="s">
        <v>761</v>
      </c>
      <c r="P74" s="12" t="s">
        <v>583</v>
      </c>
      <c r="Q74" s="12" t="s">
        <v>868</v>
      </c>
      <c r="R74" s="12" t="s">
        <v>762</v>
      </c>
      <c r="S74" s="12" t="s">
        <v>673</v>
      </c>
      <c r="T74" s="12" t="s">
        <v>808</v>
      </c>
      <c r="U74" s="12" t="s">
        <v>808</v>
      </c>
      <c r="V74" s="12" t="s">
        <v>808</v>
      </c>
      <c r="W74" s="12" t="s">
        <v>808</v>
      </c>
      <c r="X74" s="12" t="s">
        <v>808</v>
      </c>
      <c r="Y74" s="12" t="s">
        <v>808</v>
      </c>
      <c r="Z74" s="12" t="s">
        <v>808</v>
      </c>
      <c r="AA74" s="12" t="s">
        <v>808</v>
      </c>
      <c r="AB74" s="12" t="s">
        <v>808</v>
      </c>
      <c r="AC74" s="12" t="s">
        <v>808</v>
      </c>
      <c r="AD74" s="12" t="s">
        <v>808</v>
      </c>
      <c r="AE74" s="12" t="s">
        <v>808</v>
      </c>
      <c r="AF74" s="12" t="s">
        <v>808</v>
      </c>
      <c r="AG74" s="12" t="s">
        <v>808</v>
      </c>
      <c r="AH74" s="12" t="s">
        <v>808</v>
      </c>
      <c r="AI74" s="12" t="s">
        <v>808</v>
      </c>
      <c r="AJ74" s="12" t="s">
        <v>808</v>
      </c>
      <c r="AK74" s="12" t="s">
        <v>808</v>
      </c>
      <c r="AL74" s="12" t="s">
        <v>808</v>
      </c>
      <c r="AM74" s="12" t="s">
        <v>808</v>
      </c>
      <c r="AN74" s="12" t="s">
        <v>808</v>
      </c>
      <c r="AO74" s="12" t="s">
        <v>808</v>
      </c>
      <c r="AP74" s="12" t="s">
        <v>808</v>
      </c>
      <c r="AQ74" s="12" t="s">
        <v>808</v>
      </c>
      <c r="AR74" s="12" t="s">
        <v>808</v>
      </c>
      <c r="AS74" s="12" t="s">
        <v>808</v>
      </c>
      <c r="AT74" s="12" t="s">
        <v>808</v>
      </c>
      <c r="AU74" s="12" t="s">
        <v>808</v>
      </c>
      <c r="AV74" s="12" t="s">
        <v>808</v>
      </c>
      <c r="AW74" s="12" t="s">
        <v>808</v>
      </c>
      <c r="AX74" s="12" t="s">
        <v>808</v>
      </c>
      <c r="AY74" s="12" t="s">
        <v>808</v>
      </c>
      <c r="AZ74" s="12" t="s">
        <v>808</v>
      </c>
      <c r="BA74" s="12" t="s">
        <v>808</v>
      </c>
      <c r="BB74" s="12" t="s">
        <v>808</v>
      </c>
      <c r="BC74" s="12" t="s">
        <v>808</v>
      </c>
      <c r="BD74" s="12" t="s">
        <v>808</v>
      </c>
      <c r="BE74" s="12" t="s">
        <v>808</v>
      </c>
      <c r="BF74" s="12" t="s">
        <v>808</v>
      </c>
      <c r="BG74" s="12" t="s">
        <v>808</v>
      </c>
      <c r="BH74" s="12" t="s">
        <v>808</v>
      </c>
      <c r="BI74" s="12" t="s">
        <v>808</v>
      </c>
      <c r="BJ74" s="12" t="s">
        <v>808</v>
      </c>
      <c r="BK74" s="12" t="s">
        <v>808</v>
      </c>
      <c r="BL74" s="12" t="s">
        <v>808</v>
      </c>
      <c r="BM74" s="12" t="s">
        <v>808</v>
      </c>
      <c r="BN74" s="12" t="s">
        <v>808</v>
      </c>
      <c r="BO74" s="12" t="s">
        <v>808</v>
      </c>
      <c r="BP74" s="12" t="s">
        <v>808</v>
      </c>
      <c r="BQ74" s="12" t="s">
        <v>808</v>
      </c>
      <c r="BR74" s="12" t="s">
        <v>808</v>
      </c>
      <c r="BS74" s="12" t="s">
        <v>808</v>
      </c>
      <c r="BT74" s="12" t="s">
        <v>808</v>
      </c>
      <c r="BU74" s="12" t="s">
        <v>808</v>
      </c>
      <c r="BV74" s="12" t="s">
        <v>808</v>
      </c>
      <c r="BW74" s="12" t="s">
        <v>808</v>
      </c>
      <c r="BX74" s="12" t="s">
        <v>808</v>
      </c>
      <c r="BY74" s="12" t="s">
        <v>808</v>
      </c>
      <c r="BZ74" s="12" t="s">
        <v>808</v>
      </c>
      <c r="CA74" s="12" t="s">
        <v>808</v>
      </c>
      <c r="CB74" s="12" t="s">
        <v>808</v>
      </c>
      <c r="CC74" s="12" t="s">
        <v>808</v>
      </c>
      <c r="CD74" s="12" t="s">
        <v>808</v>
      </c>
      <c r="CE74" s="12" t="s">
        <v>808</v>
      </c>
      <c r="CF74" s="12" t="s">
        <v>808</v>
      </c>
      <c r="CG74" s="12" t="s">
        <v>808</v>
      </c>
      <c r="CH74" s="12" t="s">
        <v>808</v>
      </c>
      <c r="CI74" s="12" t="s">
        <v>808</v>
      </c>
      <c r="CJ74" s="12" t="s">
        <v>808</v>
      </c>
      <c r="CK74" s="12" t="s">
        <v>808</v>
      </c>
      <c r="CL74" s="12" t="s">
        <v>808</v>
      </c>
      <c r="CM74" s="12" t="s">
        <v>808</v>
      </c>
      <c r="CN74" s="12" t="s">
        <v>808</v>
      </c>
      <c r="CO74" s="12" t="s">
        <v>808</v>
      </c>
      <c r="CP74" s="12" t="s">
        <v>808</v>
      </c>
      <c r="CQ74" s="12" t="s">
        <v>808</v>
      </c>
      <c r="CR74" s="12" t="s">
        <v>808</v>
      </c>
      <c r="CS74" s="12" t="s">
        <v>808</v>
      </c>
      <c r="CT74" s="12" t="s">
        <v>808</v>
      </c>
    </row>
    <row r="75" spans="1:98" hidden="1" x14ac:dyDescent="0.3">
      <c r="A75" s="12" t="s">
        <v>2025</v>
      </c>
      <c r="B75" s="12" t="s">
        <v>1661</v>
      </c>
      <c r="C75" s="12" t="s">
        <v>2026</v>
      </c>
      <c r="D75" s="12" t="s">
        <v>2027</v>
      </c>
      <c r="E75" s="12" t="s">
        <v>578</v>
      </c>
      <c r="F75" s="12" t="s">
        <v>672</v>
      </c>
      <c r="G75" s="12" t="s">
        <v>581</v>
      </c>
      <c r="H75" s="12" t="s">
        <v>762</v>
      </c>
      <c r="I75" s="12" t="s">
        <v>586</v>
      </c>
      <c r="J75" s="12" t="s">
        <v>917</v>
      </c>
      <c r="K75" s="12" t="s">
        <v>918</v>
      </c>
      <c r="L75" s="12" t="s">
        <v>769</v>
      </c>
      <c r="M75" s="12" t="s">
        <v>1180</v>
      </c>
      <c r="N75" s="12" t="s">
        <v>681</v>
      </c>
      <c r="O75" s="12" t="s">
        <v>1732</v>
      </c>
      <c r="P75" s="12" t="s">
        <v>1500</v>
      </c>
      <c r="Q75" s="12" t="s">
        <v>773</v>
      </c>
      <c r="R75" s="12" t="s">
        <v>2014</v>
      </c>
      <c r="S75" s="12" t="s">
        <v>981</v>
      </c>
      <c r="T75" s="12" t="s">
        <v>1516</v>
      </c>
      <c r="U75" s="12" t="s">
        <v>921</v>
      </c>
      <c r="V75" s="12" t="s">
        <v>984</v>
      </c>
      <c r="W75" s="12" t="s">
        <v>1887</v>
      </c>
      <c r="X75" s="12" t="s">
        <v>2028</v>
      </c>
      <c r="Y75" s="12" t="s">
        <v>1570</v>
      </c>
      <c r="Z75" s="12" t="s">
        <v>2029</v>
      </c>
      <c r="AA75" s="12" t="s">
        <v>994</v>
      </c>
      <c r="AB75" s="12" t="s">
        <v>685</v>
      </c>
      <c r="AC75" s="12" t="s">
        <v>1507</v>
      </c>
      <c r="AD75" s="12" t="s">
        <v>1517</v>
      </c>
      <c r="AE75" s="12" t="s">
        <v>2000</v>
      </c>
      <c r="AF75" s="12" t="s">
        <v>2000</v>
      </c>
      <c r="AG75" s="12" t="s">
        <v>1363</v>
      </c>
      <c r="AH75" s="12" t="s">
        <v>1816</v>
      </c>
      <c r="AI75" s="12" t="s">
        <v>1816</v>
      </c>
      <c r="AJ75" s="12" t="s">
        <v>1816</v>
      </c>
      <c r="AK75" s="12" t="s">
        <v>1816</v>
      </c>
      <c r="AL75" s="12" t="s">
        <v>1816</v>
      </c>
      <c r="AM75" s="12" t="s">
        <v>1816</v>
      </c>
      <c r="AN75" s="12" t="s">
        <v>1816</v>
      </c>
      <c r="AO75" s="12" t="s">
        <v>1816</v>
      </c>
      <c r="AP75" s="12" t="s">
        <v>1816</v>
      </c>
      <c r="AQ75" s="12" t="s">
        <v>1816</v>
      </c>
      <c r="AR75" s="12" t="s">
        <v>1816</v>
      </c>
      <c r="AS75" s="12" t="s">
        <v>1816</v>
      </c>
      <c r="AT75" s="12" t="s">
        <v>1816</v>
      </c>
      <c r="AU75" s="12" t="s">
        <v>1816</v>
      </c>
      <c r="AV75" s="12" t="s">
        <v>1816</v>
      </c>
      <c r="AW75" s="12" t="s">
        <v>1816</v>
      </c>
      <c r="AX75" s="12" t="s">
        <v>1816</v>
      </c>
      <c r="AY75" s="12" t="s">
        <v>1816</v>
      </c>
      <c r="AZ75" s="12" t="s">
        <v>1816</v>
      </c>
      <c r="BA75" s="12" t="s">
        <v>1816</v>
      </c>
      <c r="BB75" s="12" t="s">
        <v>1816</v>
      </c>
      <c r="BC75" s="12" t="s">
        <v>1816</v>
      </c>
      <c r="BD75" s="12" t="s">
        <v>1816</v>
      </c>
      <c r="BE75" s="12" t="s">
        <v>1816</v>
      </c>
      <c r="BF75" s="12" t="s">
        <v>1816</v>
      </c>
      <c r="BG75" s="12" t="s">
        <v>1816</v>
      </c>
      <c r="BH75" s="12" t="s">
        <v>1049</v>
      </c>
      <c r="BI75" s="12" t="s">
        <v>1049</v>
      </c>
      <c r="BJ75" s="12" t="s">
        <v>1049</v>
      </c>
      <c r="BK75" s="12" t="s">
        <v>1510</v>
      </c>
      <c r="BL75" s="12" t="s">
        <v>2030</v>
      </c>
      <c r="BM75" s="12" t="s">
        <v>2030</v>
      </c>
      <c r="BN75" s="12" t="s">
        <v>2030</v>
      </c>
      <c r="BO75" s="12" t="s">
        <v>816</v>
      </c>
      <c r="BP75" s="12" t="s">
        <v>1490</v>
      </c>
      <c r="BQ75" s="12" t="s">
        <v>1491</v>
      </c>
      <c r="BR75" s="12" t="s">
        <v>1491</v>
      </c>
      <c r="BS75" s="12" t="s">
        <v>1491</v>
      </c>
      <c r="BT75" s="12" t="s">
        <v>1491</v>
      </c>
      <c r="BU75" s="12" t="s">
        <v>1491</v>
      </c>
      <c r="BV75" s="12" t="s">
        <v>1491</v>
      </c>
      <c r="BW75" s="12" t="s">
        <v>1493</v>
      </c>
      <c r="BX75" s="12" t="s">
        <v>1493</v>
      </c>
      <c r="BY75" s="12" t="s">
        <v>1493</v>
      </c>
      <c r="BZ75" s="12" t="s">
        <v>1128</v>
      </c>
      <c r="CA75" s="12" t="s">
        <v>1128</v>
      </c>
      <c r="CB75" s="12" t="s">
        <v>1128</v>
      </c>
      <c r="CC75" s="12" t="s">
        <v>1128</v>
      </c>
      <c r="CD75" s="12" t="s">
        <v>1128</v>
      </c>
      <c r="CE75" s="12" t="s">
        <v>1128</v>
      </c>
      <c r="CF75" s="12" t="s">
        <v>1128</v>
      </c>
      <c r="CG75" s="12" t="s">
        <v>1128</v>
      </c>
      <c r="CH75" s="12" t="s">
        <v>1128</v>
      </c>
      <c r="CI75" s="12" t="s">
        <v>1128</v>
      </c>
      <c r="CJ75" s="12" t="s">
        <v>1128</v>
      </c>
      <c r="CK75" s="12" t="s">
        <v>1128</v>
      </c>
      <c r="CL75" s="12" t="s">
        <v>1128</v>
      </c>
      <c r="CM75" s="12" t="s">
        <v>1128</v>
      </c>
      <c r="CN75" s="12" t="s">
        <v>1128</v>
      </c>
      <c r="CO75" s="12" t="s">
        <v>1128</v>
      </c>
      <c r="CP75" s="12" t="s">
        <v>1128</v>
      </c>
      <c r="CQ75" s="12" t="s">
        <v>646</v>
      </c>
      <c r="CR75" s="12" t="s">
        <v>1737</v>
      </c>
      <c r="CS75" s="12" t="s">
        <v>1737</v>
      </c>
      <c r="CT75" s="12" t="s">
        <v>2001</v>
      </c>
    </row>
    <row r="76" spans="1:98" hidden="1" x14ac:dyDescent="0.3">
      <c r="A76" s="12" t="s">
        <v>2031</v>
      </c>
      <c r="B76" s="12" t="s">
        <v>1661</v>
      </c>
      <c r="C76" s="12" t="s">
        <v>2032</v>
      </c>
      <c r="D76" s="12" t="s">
        <v>2033</v>
      </c>
      <c r="E76" s="12" t="s">
        <v>623</v>
      </c>
      <c r="F76" s="12" t="s">
        <v>851</v>
      </c>
      <c r="G76" s="12" t="s">
        <v>762</v>
      </c>
      <c r="H76" s="12" t="s">
        <v>913</v>
      </c>
      <c r="I76" s="12" t="s">
        <v>918</v>
      </c>
      <c r="J76" s="12" t="s">
        <v>720</v>
      </c>
      <c r="K76" s="12" t="s">
        <v>1125</v>
      </c>
      <c r="L76" s="12" t="s">
        <v>2034</v>
      </c>
      <c r="M76" s="12" t="s">
        <v>774</v>
      </c>
      <c r="N76" s="12" t="s">
        <v>921</v>
      </c>
      <c r="O76" s="12" t="s">
        <v>1604</v>
      </c>
      <c r="P76" s="12" t="s">
        <v>685</v>
      </c>
      <c r="Q76" s="12" t="s">
        <v>645</v>
      </c>
      <c r="R76" s="12" t="s">
        <v>1265</v>
      </c>
      <c r="S76" s="12" t="s">
        <v>876</v>
      </c>
      <c r="T76" s="12" t="s">
        <v>2035</v>
      </c>
      <c r="U76" s="12" t="s">
        <v>1889</v>
      </c>
      <c r="V76" s="12" t="s">
        <v>654</v>
      </c>
      <c r="W76" s="12" t="s">
        <v>603</v>
      </c>
      <c r="X76" s="12" t="s">
        <v>735</v>
      </c>
      <c r="Y76" s="12" t="s">
        <v>2036</v>
      </c>
      <c r="Z76" s="12" t="s">
        <v>1400</v>
      </c>
      <c r="AA76" s="12" t="s">
        <v>1425</v>
      </c>
      <c r="AB76" s="12" t="s">
        <v>2037</v>
      </c>
      <c r="AC76" s="12" t="s">
        <v>823</v>
      </c>
      <c r="AD76" s="12" t="s">
        <v>1626</v>
      </c>
      <c r="AE76" s="12" t="s">
        <v>1040</v>
      </c>
      <c r="AF76" s="12" t="s">
        <v>1983</v>
      </c>
      <c r="AG76" s="12" t="s">
        <v>1041</v>
      </c>
      <c r="AH76" s="12" t="s">
        <v>1042</v>
      </c>
      <c r="AI76" s="12" t="s">
        <v>2038</v>
      </c>
      <c r="AJ76" s="12" t="s">
        <v>2039</v>
      </c>
      <c r="AK76" s="12" t="s">
        <v>1440</v>
      </c>
      <c r="AL76" s="12" t="s">
        <v>2040</v>
      </c>
      <c r="AM76" s="12" t="s">
        <v>1141</v>
      </c>
      <c r="AN76" s="12" t="s">
        <v>1141</v>
      </c>
      <c r="AO76" s="12" t="s">
        <v>1141</v>
      </c>
      <c r="AP76" s="12" t="s">
        <v>1141</v>
      </c>
      <c r="AQ76" s="12" t="s">
        <v>1141</v>
      </c>
      <c r="AR76" s="12" t="s">
        <v>2041</v>
      </c>
      <c r="AS76" s="12" t="s">
        <v>2041</v>
      </c>
      <c r="AT76" s="12" t="s">
        <v>2041</v>
      </c>
      <c r="AU76" s="12" t="s">
        <v>2041</v>
      </c>
      <c r="AV76" s="12" t="s">
        <v>2041</v>
      </c>
      <c r="AW76" s="12" t="s">
        <v>2041</v>
      </c>
      <c r="AX76" s="12" t="s">
        <v>2041</v>
      </c>
      <c r="AY76" s="12" t="s">
        <v>2041</v>
      </c>
      <c r="AZ76" s="12" t="s">
        <v>2041</v>
      </c>
      <c r="BA76" s="12" t="s">
        <v>2041</v>
      </c>
      <c r="BB76" s="12" t="s">
        <v>2042</v>
      </c>
      <c r="BC76" s="12" t="s">
        <v>2042</v>
      </c>
      <c r="BD76" s="12" t="s">
        <v>2042</v>
      </c>
      <c r="BE76" s="12" t="s">
        <v>2042</v>
      </c>
      <c r="BF76" s="12" t="s">
        <v>2042</v>
      </c>
      <c r="BG76" s="12" t="s">
        <v>2042</v>
      </c>
      <c r="BH76" s="12" t="s">
        <v>1906</v>
      </c>
      <c r="BI76" s="12" t="s">
        <v>1906</v>
      </c>
      <c r="BJ76" s="12" t="s">
        <v>1906</v>
      </c>
      <c r="BK76" s="12" t="s">
        <v>2043</v>
      </c>
      <c r="BL76" s="12" t="s">
        <v>1289</v>
      </c>
      <c r="BM76" s="12" t="s">
        <v>2044</v>
      </c>
      <c r="BN76" s="12" t="s">
        <v>2045</v>
      </c>
      <c r="BO76" s="12" t="s">
        <v>2045</v>
      </c>
      <c r="BP76" s="12" t="s">
        <v>999</v>
      </c>
      <c r="BQ76" s="12" t="s">
        <v>2004</v>
      </c>
      <c r="BR76" s="12" t="s">
        <v>1526</v>
      </c>
      <c r="BS76" s="12" t="s">
        <v>1526</v>
      </c>
      <c r="BT76" s="12" t="s">
        <v>1526</v>
      </c>
      <c r="BU76" s="12" t="s">
        <v>2046</v>
      </c>
      <c r="BV76" s="12" t="s">
        <v>2047</v>
      </c>
      <c r="BW76" s="12" t="s">
        <v>2047</v>
      </c>
      <c r="BX76" s="12" t="s">
        <v>2048</v>
      </c>
      <c r="BY76" s="12" t="s">
        <v>2049</v>
      </c>
      <c r="BZ76" s="12" t="s">
        <v>2049</v>
      </c>
      <c r="CA76" s="12" t="s">
        <v>1672</v>
      </c>
      <c r="CB76" s="12" t="s">
        <v>2050</v>
      </c>
      <c r="CC76" s="12" t="s">
        <v>931</v>
      </c>
      <c r="CD76" s="12" t="s">
        <v>2051</v>
      </c>
      <c r="CE76" s="12" t="s">
        <v>2051</v>
      </c>
      <c r="CF76" s="12" t="s">
        <v>2051</v>
      </c>
      <c r="CG76" s="12" t="s">
        <v>610</v>
      </c>
      <c r="CH76" s="12" t="s">
        <v>610</v>
      </c>
      <c r="CI76" s="12" t="s">
        <v>610</v>
      </c>
      <c r="CJ76" s="12" t="s">
        <v>610</v>
      </c>
      <c r="CK76" s="12" t="s">
        <v>610</v>
      </c>
      <c r="CL76" s="12" t="s">
        <v>610</v>
      </c>
      <c r="CM76" s="12" t="s">
        <v>2052</v>
      </c>
      <c r="CN76" s="12" t="s">
        <v>2052</v>
      </c>
      <c r="CO76" s="12" t="s">
        <v>2052</v>
      </c>
      <c r="CP76" s="12" t="s">
        <v>2052</v>
      </c>
      <c r="CQ76" s="12" t="s">
        <v>2052</v>
      </c>
      <c r="CR76" s="12" t="s">
        <v>2052</v>
      </c>
      <c r="CS76" s="12" t="s">
        <v>2052</v>
      </c>
      <c r="CT76" s="12" t="s">
        <v>2052</v>
      </c>
    </row>
    <row r="77" spans="1:98" hidden="1" x14ac:dyDescent="0.3">
      <c r="A77" s="12" t="s">
        <v>2053</v>
      </c>
      <c r="B77" s="12" t="s">
        <v>1661</v>
      </c>
      <c r="C77" s="12" t="s">
        <v>2054</v>
      </c>
      <c r="D77" s="12" t="s">
        <v>2055</v>
      </c>
      <c r="E77" s="12" t="s">
        <v>761</v>
      </c>
      <c r="F77" s="12" t="s">
        <v>584</v>
      </c>
      <c r="G77" s="12" t="s">
        <v>675</v>
      </c>
      <c r="H77" s="12" t="s">
        <v>627</v>
      </c>
      <c r="I77" s="12" t="s">
        <v>588</v>
      </c>
      <c r="J77" s="12" t="s">
        <v>719</v>
      </c>
      <c r="K77" s="12" t="s">
        <v>973</v>
      </c>
      <c r="L77" s="12" t="s">
        <v>859</v>
      </c>
      <c r="M77" s="12" t="s">
        <v>872</v>
      </c>
      <c r="N77" s="12" t="s">
        <v>1356</v>
      </c>
      <c r="O77" s="12" t="s">
        <v>982</v>
      </c>
      <c r="P77" s="12" t="s">
        <v>1048</v>
      </c>
      <c r="Q77" s="12" t="s">
        <v>1488</v>
      </c>
      <c r="R77" s="12" t="s">
        <v>1570</v>
      </c>
      <c r="S77" s="12" t="s">
        <v>644</v>
      </c>
      <c r="T77" s="12" t="s">
        <v>956</v>
      </c>
      <c r="U77" s="12" t="s">
        <v>646</v>
      </c>
      <c r="V77" s="12" t="s">
        <v>2001</v>
      </c>
      <c r="W77" s="12" t="s">
        <v>1364</v>
      </c>
      <c r="X77" s="12" t="s">
        <v>599</v>
      </c>
      <c r="Y77" s="12" t="s">
        <v>1741</v>
      </c>
      <c r="Z77" s="12" t="s">
        <v>1029</v>
      </c>
      <c r="AA77" s="12" t="s">
        <v>1609</v>
      </c>
      <c r="AB77" s="12" t="s">
        <v>1396</v>
      </c>
      <c r="AC77" s="12" t="s">
        <v>1612</v>
      </c>
      <c r="AD77" s="12" t="s">
        <v>1743</v>
      </c>
      <c r="AE77" s="12" t="s">
        <v>648</v>
      </c>
      <c r="AF77" s="12" t="s">
        <v>648</v>
      </c>
      <c r="AG77" s="12" t="s">
        <v>648</v>
      </c>
      <c r="AH77" s="12" t="s">
        <v>729</v>
      </c>
      <c r="AI77" s="12" t="s">
        <v>729</v>
      </c>
      <c r="AJ77" s="12" t="s">
        <v>2056</v>
      </c>
      <c r="AK77" s="12" t="s">
        <v>2056</v>
      </c>
      <c r="AL77" s="12" t="s">
        <v>2056</v>
      </c>
      <c r="AM77" s="12" t="s">
        <v>2057</v>
      </c>
      <c r="AN77" s="12" t="s">
        <v>959</v>
      </c>
      <c r="AO77" s="12" t="s">
        <v>959</v>
      </c>
      <c r="AP77" s="12" t="s">
        <v>959</v>
      </c>
      <c r="AQ77" s="12" t="s">
        <v>959</v>
      </c>
      <c r="AR77" s="12" t="s">
        <v>959</v>
      </c>
      <c r="AS77" s="12" t="s">
        <v>959</v>
      </c>
      <c r="AT77" s="12" t="s">
        <v>1744</v>
      </c>
      <c r="AU77" s="12" t="s">
        <v>1744</v>
      </c>
      <c r="AV77" s="12" t="s">
        <v>2058</v>
      </c>
      <c r="AW77" s="12" t="s">
        <v>1519</v>
      </c>
      <c r="AX77" s="12" t="s">
        <v>1519</v>
      </c>
      <c r="AY77" s="12" t="s">
        <v>1519</v>
      </c>
      <c r="AZ77" s="12" t="s">
        <v>1519</v>
      </c>
      <c r="BA77" s="12" t="s">
        <v>2059</v>
      </c>
      <c r="BB77" s="12" t="s">
        <v>2059</v>
      </c>
      <c r="BC77" s="12" t="s">
        <v>2059</v>
      </c>
      <c r="BD77" s="12" t="s">
        <v>1366</v>
      </c>
      <c r="BE77" s="12" t="s">
        <v>877</v>
      </c>
      <c r="BF77" s="12" t="s">
        <v>877</v>
      </c>
      <c r="BG77" s="12" t="s">
        <v>995</v>
      </c>
      <c r="BH77" s="12" t="s">
        <v>1438</v>
      </c>
      <c r="BI77" s="12" t="s">
        <v>649</v>
      </c>
      <c r="BJ77" s="12" t="s">
        <v>2060</v>
      </c>
      <c r="BK77" s="12" t="s">
        <v>2061</v>
      </c>
      <c r="BL77" s="12" t="s">
        <v>1691</v>
      </c>
      <c r="BM77" s="12" t="s">
        <v>2062</v>
      </c>
      <c r="BN77" s="12" t="s">
        <v>2062</v>
      </c>
      <c r="BO77" s="12" t="s">
        <v>1399</v>
      </c>
      <c r="BP77" s="12" t="s">
        <v>655</v>
      </c>
      <c r="BQ77" s="12" t="s">
        <v>2063</v>
      </c>
      <c r="BR77" s="12" t="s">
        <v>1720</v>
      </c>
      <c r="BS77" s="12" t="s">
        <v>1370</v>
      </c>
      <c r="BT77" s="12" t="s">
        <v>1982</v>
      </c>
      <c r="BU77" s="12" t="s">
        <v>2064</v>
      </c>
      <c r="BV77" s="12" t="s">
        <v>1425</v>
      </c>
      <c r="BW77" s="12" t="s">
        <v>2065</v>
      </c>
      <c r="BX77" s="12" t="s">
        <v>1704</v>
      </c>
      <c r="BY77" s="12" t="s">
        <v>2066</v>
      </c>
      <c r="BZ77" s="12" t="s">
        <v>1722</v>
      </c>
      <c r="CA77" s="12" t="s">
        <v>1372</v>
      </c>
      <c r="CB77" s="12" t="s">
        <v>2067</v>
      </c>
      <c r="CC77" s="12" t="s">
        <v>2068</v>
      </c>
      <c r="CD77" s="12" t="s">
        <v>1983</v>
      </c>
      <c r="CE77" s="12" t="s">
        <v>2069</v>
      </c>
      <c r="CF77" s="12" t="s">
        <v>606</v>
      </c>
      <c r="CG77" s="12" t="s">
        <v>606</v>
      </c>
      <c r="CH77" s="12" t="s">
        <v>607</v>
      </c>
      <c r="CI77" s="12" t="s">
        <v>1376</v>
      </c>
      <c r="CJ77" s="12" t="s">
        <v>1376</v>
      </c>
      <c r="CK77" s="12" t="s">
        <v>2070</v>
      </c>
      <c r="CL77" s="12" t="s">
        <v>1571</v>
      </c>
      <c r="CM77" s="12" t="s">
        <v>1571</v>
      </c>
      <c r="CN77" s="12" t="s">
        <v>1571</v>
      </c>
      <c r="CO77" s="12" t="s">
        <v>1377</v>
      </c>
      <c r="CP77" s="12" t="s">
        <v>742</v>
      </c>
      <c r="CQ77" s="12" t="s">
        <v>742</v>
      </c>
      <c r="CR77" s="12" t="s">
        <v>2071</v>
      </c>
      <c r="CS77" s="12" t="s">
        <v>1100</v>
      </c>
      <c r="CT77" s="12" t="s">
        <v>1100</v>
      </c>
    </row>
    <row r="78" spans="1:98" hidden="1" x14ac:dyDescent="0.3">
      <c r="A78" s="12" t="s">
        <v>2072</v>
      </c>
      <c r="B78" s="12" t="s">
        <v>1661</v>
      </c>
      <c r="C78" s="12" t="s">
        <v>2073</v>
      </c>
      <c r="D78" s="12" t="s">
        <v>2074</v>
      </c>
      <c r="E78" s="12" t="s">
        <v>579</v>
      </c>
      <c r="F78" s="12" t="s">
        <v>579</v>
      </c>
      <c r="G78" s="12" t="s">
        <v>579</v>
      </c>
      <c r="H78" s="12" t="s">
        <v>851</v>
      </c>
      <c r="I78" s="12" t="s">
        <v>761</v>
      </c>
      <c r="J78" s="12" t="s">
        <v>868</v>
      </c>
      <c r="K78" s="12" t="s">
        <v>913</v>
      </c>
      <c r="L78" s="12" t="s">
        <v>913</v>
      </c>
      <c r="M78" s="12" t="s">
        <v>917</v>
      </c>
      <c r="N78" s="12" t="s">
        <v>718</v>
      </c>
      <c r="O78" s="12" t="s">
        <v>972</v>
      </c>
      <c r="P78" s="12" t="s">
        <v>973</v>
      </c>
      <c r="Q78" s="12" t="s">
        <v>589</v>
      </c>
      <c r="R78" s="12" t="s">
        <v>1184</v>
      </c>
      <c r="S78" s="12" t="s">
        <v>1184</v>
      </c>
      <c r="T78" s="12" t="s">
        <v>859</v>
      </c>
      <c r="U78" s="12" t="s">
        <v>637</v>
      </c>
      <c r="V78" s="12" t="s">
        <v>811</v>
      </c>
      <c r="W78" s="12" t="s">
        <v>1418</v>
      </c>
      <c r="X78" s="12" t="s">
        <v>1418</v>
      </c>
      <c r="Y78" s="12" t="s">
        <v>1750</v>
      </c>
      <c r="Z78" s="12" t="s">
        <v>1276</v>
      </c>
      <c r="AA78" s="12" t="s">
        <v>1276</v>
      </c>
      <c r="AB78" s="12" t="s">
        <v>1354</v>
      </c>
      <c r="AC78" s="12" t="s">
        <v>773</v>
      </c>
      <c r="AD78" s="12" t="s">
        <v>1355</v>
      </c>
      <c r="AE78" s="12" t="s">
        <v>2034</v>
      </c>
      <c r="AF78" s="12" t="s">
        <v>1047</v>
      </c>
      <c r="AG78" s="12" t="s">
        <v>1047</v>
      </c>
      <c r="AH78" s="12" t="s">
        <v>1261</v>
      </c>
      <c r="AI78" s="12" t="s">
        <v>1261</v>
      </c>
      <c r="AJ78" s="12" t="s">
        <v>1261</v>
      </c>
      <c r="AK78" s="12" t="s">
        <v>1261</v>
      </c>
      <c r="AL78" s="12" t="s">
        <v>723</v>
      </c>
      <c r="AM78" s="12" t="s">
        <v>723</v>
      </c>
      <c r="AN78" s="12" t="s">
        <v>723</v>
      </c>
      <c r="AO78" s="12" t="s">
        <v>723</v>
      </c>
      <c r="AP78" s="12" t="s">
        <v>723</v>
      </c>
      <c r="AQ78" s="12" t="s">
        <v>723</v>
      </c>
      <c r="AR78" s="12" t="s">
        <v>723</v>
      </c>
      <c r="AS78" s="12" t="s">
        <v>723</v>
      </c>
      <c r="AT78" s="12" t="s">
        <v>723</v>
      </c>
      <c r="AU78" s="12" t="s">
        <v>723</v>
      </c>
      <c r="AV78" s="12" t="s">
        <v>723</v>
      </c>
      <c r="AW78" s="12" t="s">
        <v>723</v>
      </c>
      <c r="AX78" s="12" t="s">
        <v>723</v>
      </c>
      <c r="AY78" s="12" t="s">
        <v>723</v>
      </c>
      <c r="AZ78" s="12" t="s">
        <v>723</v>
      </c>
      <c r="BA78" s="12" t="s">
        <v>723</v>
      </c>
      <c r="BB78" s="12" t="s">
        <v>723</v>
      </c>
      <c r="BC78" s="12" t="s">
        <v>723</v>
      </c>
      <c r="BD78" s="12" t="s">
        <v>723</v>
      </c>
      <c r="BE78" s="12" t="s">
        <v>723</v>
      </c>
      <c r="BF78" s="12" t="s">
        <v>723</v>
      </c>
      <c r="BG78" s="12" t="s">
        <v>723</v>
      </c>
      <c r="BH78" s="12" t="s">
        <v>723</v>
      </c>
      <c r="BI78" s="12" t="s">
        <v>723</v>
      </c>
      <c r="BJ78" s="12" t="s">
        <v>723</v>
      </c>
      <c r="BK78" s="12" t="s">
        <v>723</v>
      </c>
      <c r="BL78" s="12" t="s">
        <v>723</v>
      </c>
      <c r="BM78" s="12" t="s">
        <v>723</v>
      </c>
      <c r="BN78" s="12" t="s">
        <v>873</v>
      </c>
      <c r="BO78" s="12" t="s">
        <v>873</v>
      </c>
      <c r="BP78" s="12" t="s">
        <v>873</v>
      </c>
      <c r="BQ78" s="12" t="s">
        <v>1356</v>
      </c>
      <c r="BR78" s="12" t="s">
        <v>1356</v>
      </c>
      <c r="BS78" s="12" t="s">
        <v>1356</v>
      </c>
      <c r="BT78" s="12" t="s">
        <v>812</v>
      </c>
      <c r="BU78" s="12" t="s">
        <v>812</v>
      </c>
      <c r="BV78" s="12" t="s">
        <v>812</v>
      </c>
      <c r="BW78" s="12" t="s">
        <v>1357</v>
      </c>
      <c r="BX78" s="12" t="s">
        <v>1357</v>
      </c>
      <c r="BY78" s="12" t="s">
        <v>1357</v>
      </c>
      <c r="BZ78" s="12" t="s">
        <v>1357</v>
      </c>
      <c r="CA78" s="12" t="s">
        <v>1358</v>
      </c>
      <c r="CB78" s="12" t="s">
        <v>1358</v>
      </c>
      <c r="CC78" s="12" t="s">
        <v>1358</v>
      </c>
      <c r="CD78" s="12" t="s">
        <v>1186</v>
      </c>
      <c r="CE78" s="12" t="s">
        <v>1277</v>
      </c>
      <c r="CF78" s="12" t="s">
        <v>1686</v>
      </c>
      <c r="CG78" s="12" t="s">
        <v>1815</v>
      </c>
      <c r="CH78" s="12" t="s">
        <v>1815</v>
      </c>
      <c r="CI78" s="12" t="s">
        <v>1516</v>
      </c>
      <c r="CJ78" s="12" t="s">
        <v>1516</v>
      </c>
      <c r="CK78" s="12" t="s">
        <v>640</v>
      </c>
      <c r="CL78" s="12" t="s">
        <v>814</v>
      </c>
      <c r="CM78" s="12" t="s">
        <v>641</v>
      </c>
      <c r="CN78" s="12" t="s">
        <v>641</v>
      </c>
      <c r="CO78" s="12" t="s">
        <v>641</v>
      </c>
      <c r="CP78" s="12" t="s">
        <v>641</v>
      </c>
      <c r="CQ78" s="12" t="s">
        <v>641</v>
      </c>
      <c r="CR78" s="12" t="s">
        <v>641</v>
      </c>
      <c r="CS78" s="12" t="s">
        <v>641</v>
      </c>
      <c r="CT78" s="12" t="s">
        <v>641</v>
      </c>
    </row>
    <row r="79" spans="1:98" hidden="1" x14ac:dyDescent="0.3">
      <c r="A79" s="12" t="s">
        <v>2075</v>
      </c>
      <c r="B79" s="12" t="s">
        <v>1661</v>
      </c>
      <c r="C79" s="12" t="s">
        <v>2076</v>
      </c>
      <c r="D79" s="12" t="s">
        <v>2077</v>
      </c>
      <c r="E79" s="12" t="s">
        <v>581</v>
      </c>
      <c r="F79" s="12" t="s">
        <v>755</v>
      </c>
      <c r="G79" s="12" t="s">
        <v>762</v>
      </c>
      <c r="H79" s="12" t="s">
        <v>869</v>
      </c>
      <c r="I79" s="12" t="s">
        <v>1096</v>
      </c>
      <c r="J79" s="12" t="s">
        <v>974</v>
      </c>
      <c r="K79" s="12" t="s">
        <v>682</v>
      </c>
      <c r="L79" s="12" t="s">
        <v>1499</v>
      </c>
      <c r="M79" s="12" t="s">
        <v>2014</v>
      </c>
      <c r="N79" s="12" t="s">
        <v>1531</v>
      </c>
      <c r="O79" s="12" t="s">
        <v>987</v>
      </c>
      <c r="P79" s="12" t="s">
        <v>1027</v>
      </c>
      <c r="Q79" s="12" t="s">
        <v>1492</v>
      </c>
      <c r="R79" s="12" t="s">
        <v>1394</v>
      </c>
      <c r="S79" s="12" t="s">
        <v>776</v>
      </c>
      <c r="T79" s="12" t="s">
        <v>1311</v>
      </c>
      <c r="U79" s="12" t="s">
        <v>2059</v>
      </c>
      <c r="V79" s="12" t="s">
        <v>1030</v>
      </c>
      <c r="W79" s="12" t="s">
        <v>1889</v>
      </c>
      <c r="X79" s="12" t="s">
        <v>2078</v>
      </c>
      <c r="Y79" s="12" t="s">
        <v>2079</v>
      </c>
      <c r="Z79" s="12" t="s">
        <v>878</v>
      </c>
      <c r="AA79" s="12" t="s">
        <v>2063</v>
      </c>
      <c r="AB79" s="12" t="s">
        <v>1963</v>
      </c>
      <c r="AC79" s="12" t="s">
        <v>1844</v>
      </c>
      <c r="AD79" s="12" t="s">
        <v>1034</v>
      </c>
      <c r="AE79" s="12" t="s">
        <v>1035</v>
      </c>
      <c r="AF79" s="12" t="s">
        <v>2080</v>
      </c>
      <c r="AG79" s="12" t="s">
        <v>1037</v>
      </c>
      <c r="AH79" s="12" t="s">
        <v>996</v>
      </c>
      <c r="AI79" s="12" t="s">
        <v>737</v>
      </c>
      <c r="AJ79" s="12" t="s">
        <v>2066</v>
      </c>
      <c r="AK79" s="12" t="s">
        <v>2066</v>
      </c>
      <c r="AL79" s="12" t="s">
        <v>1039</v>
      </c>
      <c r="AM79" s="12" t="s">
        <v>1722</v>
      </c>
      <c r="AN79" s="12" t="s">
        <v>1372</v>
      </c>
      <c r="AO79" s="12" t="s">
        <v>2081</v>
      </c>
      <c r="AP79" s="12" t="s">
        <v>2068</v>
      </c>
      <c r="AQ79" s="12" t="s">
        <v>2068</v>
      </c>
      <c r="AR79" s="12" t="s">
        <v>2068</v>
      </c>
      <c r="AS79" s="12" t="s">
        <v>2068</v>
      </c>
      <c r="AT79" s="12" t="s">
        <v>2068</v>
      </c>
      <c r="AU79" s="12" t="s">
        <v>2068</v>
      </c>
      <c r="AV79" s="12" t="s">
        <v>661</v>
      </c>
      <c r="AW79" s="12" t="s">
        <v>661</v>
      </c>
      <c r="AX79" s="12" t="s">
        <v>661</v>
      </c>
      <c r="AY79" s="12" t="s">
        <v>661</v>
      </c>
      <c r="AZ79" s="12" t="s">
        <v>661</v>
      </c>
      <c r="BA79" s="12" t="s">
        <v>661</v>
      </c>
      <c r="BB79" s="12" t="s">
        <v>661</v>
      </c>
      <c r="BC79" s="12" t="s">
        <v>661</v>
      </c>
      <c r="BD79" s="12" t="s">
        <v>661</v>
      </c>
      <c r="BE79" s="12" t="s">
        <v>661</v>
      </c>
      <c r="BF79" s="12" t="s">
        <v>661</v>
      </c>
      <c r="BG79" s="12" t="s">
        <v>661</v>
      </c>
      <c r="BH79" s="12" t="s">
        <v>2082</v>
      </c>
      <c r="BI79" s="12" t="s">
        <v>2082</v>
      </c>
      <c r="BJ79" s="12" t="s">
        <v>2082</v>
      </c>
      <c r="BK79" s="12" t="s">
        <v>1040</v>
      </c>
      <c r="BL79" s="12" t="s">
        <v>1402</v>
      </c>
      <c r="BM79" s="12" t="s">
        <v>1983</v>
      </c>
      <c r="BN79" s="12" t="s">
        <v>1983</v>
      </c>
      <c r="BO79" s="12" t="s">
        <v>738</v>
      </c>
      <c r="BP79" s="12" t="s">
        <v>2083</v>
      </c>
      <c r="BQ79" s="12" t="s">
        <v>2083</v>
      </c>
      <c r="BR79" s="12" t="s">
        <v>662</v>
      </c>
      <c r="BS79" s="12" t="s">
        <v>662</v>
      </c>
      <c r="BT79" s="12" t="s">
        <v>2084</v>
      </c>
      <c r="BU79" s="12" t="s">
        <v>2084</v>
      </c>
      <c r="BV79" s="12" t="s">
        <v>2084</v>
      </c>
      <c r="BW79" s="12" t="s">
        <v>2069</v>
      </c>
      <c r="BX79" s="12" t="s">
        <v>2085</v>
      </c>
      <c r="BY79" s="12" t="s">
        <v>606</v>
      </c>
      <c r="BZ79" s="12" t="s">
        <v>1403</v>
      </c>
      <c r="CA79" s="12" t="s">
        <v>1705</v>
      </c>
      <c r="CB79" s="12" t="s">
        <v>1211</v>
      </c>
      <c r="CC79" s="12" t="s">
        <v>1725</v>
      </c>
      <c r="CD79" s="12" t="s">
        <v>1725</v>
      </c>
      <c r="CE79" s="12" t="s">
        <v>1725</v>
      </c>
      <c r="CF79" s="12" t="s">
        <v>1725</v>
      </c>
      <c r="CG79" s="12" t="s">
        <v>1725</v>
      </c>
      <c r="CH79" s="12" t="s">
        <v>1725</v>
      </c>
      <c r="CI79" s="12" t="s">
        <v>1725</v>
      </c>
      <c r="CJ79" s="12" t="s">
        <v>1725</v>
      </c>
      <c r="CK79" s="12" t="s">
        <v>1725</v>
      </c>
      <c r="CL79" s="12" t="s">
        <v>1725</v>
      </c>
      <c r="CM79" s="12" t="s">
        <v>1725</v>
      </c>
      <c r="CN79" s="12" t="s">
        <v>1706</v>
      </c>
      <c r="CO79" s="12" t="s">
        <v>1706</v>
      </c>
      <c r="CP79" s="12" t="s">
        <v>1706</v>
      </c>
      <c r="CQ79" s="12" t="s">
        <v>1706</v>
      </c>
      <c r="CR79" s="12" t="s">
        <v>1706</v>
      </c>
      <c r="CS79" s="12" t="s">
        <v>1706</v>
      </c>
      <c r="CT79" s="12" t="s">
        <v>1706</v>
      </c>
    </row>
    <row r="80" spans="1:98" hidden="1" x14ac:dyDescent="0.3">
      <c r="A80" s="12" t="s">
        <v>2086</v>
      </c>
      <c r="B80" s="12" t="s">
        <v>1661</v>
      </c>
      <c r="C80" s="12" t="s">
        <v>2087</v>
      </c>
      <c r="D80" s="12" t="s">
        <v>2088</v>
      </c>
      <c r="E80" s="12" t="s">
        <v>580</v>
      </c>
      <c r="F80" s="12" t="s">
        <v>580</v>
      </c>
      <c r="G80" s="12" t="s">
        <v>755</v>
      </c>
      <c r="H80" s="12" t="s">
        <v>624</v>
      </c>
      <c r="I80" s="12" t="s">
        <v>756</v>
      </c>
      <c r="J80" s="12" t="s">
        <v>626</v>
      </c>
      <c r="K80" s="12" t="s">
        <v>587</v>
      </c>
      <c r="L80" s="12" t="s">
        <v>913</v>
      </c>
      <c r="M80" s="12" t="s">
        <v>766</v>
      </c>
      <c r="N80" s="12" t="s">
        <v>852</v>
      </c>
      <c r="O80" s="12" t="s">
        <v>1046</v>
      </c>
      <c r="P80" s="12" t="s">
        <v>678</v>
      </c>
      <c r="Q80" s="12" t="s">
        <v>680</v>
      </c>
      <c r="R80" s="12" t="s">
        <v>955</v>
      </c>
      <c r="S80" s="12" t="s">
        <v>974</v>
      </c>
      <c r="T80" s="12" t="s">
        <v>771</v>
      </c>
      <c r="U80" s="12" t="s">
        <v>1184</v>
      </c>
      <c r="V80" s="12" t="s">
        <v>721</v>
      </c>
      <c r="W80" s="12" t="s">
        <v>857</v>
      </c>
      <c r="X80" s="12" t="s">
        <v>1125</v>
      </c>
      <c r="Y80" s="12" t="s">
        <v>1664</v>
      </c>
      <c r="Z80" s="12" t="s">
        <v>872</v>
      </c>
      <c r="AA80" s="12" t="s">
        <v>1418</v>
      </c>
      <c r="AB80" s="12" t="s">
        <v>593</v>
      </c>
      <c r="AC80" s="12" t="s">
        <v>980</v>
      </c>
      <c r="AD80" s="12" t="s">
        <v>1750</v>
      </c>
      <c r="AE80" s="12" t="s">
        <v>1751</v>
      </c>
      <c r="AF80" s="12" t="s">
        <v>773</v>
      </c>
      <c r="AG80" s="12" t="s">
        <v>2034</v>
      </c>
      <c r="AH80" s="12" t="s">
        <v>1047</v>
      </c>
      <c r="AI80" s="12" t="s">
        <v>1261</v>
      </c>
      <c r="AJ80" s="12" t="s">
        <v>1356</v>
      </c>
      <c r="AK80" s="12" t="s">
        <v>1356</v>
      </c>
      <c r="AL80" s="12" t="s">
        <v>1356</v>
      </c>
      <c r="AM80" s="12" t="s">
        <v>1356</v>
      </c>
      <c r="AN80" s="12" t="s">
        <v>1356</v>
      </c>
      <c r="AO80" s="12" t="s">
        <v>812</v>
      </c>
      <c r="AP80" s="12" t="s">
        <v>812</v>
      </c>
      <c r="AQ80" s="12" t="s">
        <v>812</v>
      </c>
      <c r="AR80" s="12" t="s">
        <v>812</v>
      </c>
      <c r="AS80" s="12" t="s">
        <v>812</v>
      </c>
      <c r="AT80" s="12" t="s">
        <v>812</v>
      </c>
      <c r="AU80" s="12" t="s">
        <v>812</v>
      </c>
      <c r="AV80" s="12" t="s">
        <v>812</v>
      </c>
      <c r="AW80" s="12" t="s">
        <v>812</v>
      </c>
      <c r="AX80" s="12" t="s">
        <v>812</v>
      </c>
      <c r="AY80" s="12" t="s">
        <v>812</v>
      </c>
      <c r="AZ80" s="12" t="s">
        <v>812</v>
      </c>
      <c r="BA80" s="12" t="s">
        <v>812</v>
      </c>
      <c r="BB80" s="12" t="s">
        <v>812</v>
      </c>
      <c r="BC80" s="12" t="s">
        <v>812</v>
      </c>
      <c r="BD80" s="12" t="s">
        <v>812</v>
      </c>
      <c r="BE80" s="12" t="s">
        <v>812</v>
      </c>
      <c r="BF80" s="12" t="s">
        <v>812</v>
      </c>
      <c r="BG80" s="12" t="s">
        <v>812</v>
      </c>
      <c r="BH80" s="12" t="s">
        <v>812</v>
      </c>
      <c r="BI80" s="12" t="s">
        <v>812</v>
      </c>
      <c r="BJ80" s="12" t="s">
        <v>1357</v>
      </c>
      <c r="BK80" s="12" t="s">
        <v>1357</v>
      </c>
      <c r="BL80" s="12" t="s">
        <v>1357</v>
      </c>
      <c r="BM80" s="12" t="s">
        <v>1357</v>
      </c>
      <c r="BN80" s="12" t="s">
        <v>2013</v>
      </c>
      <c r="BO80" s="12" t="s">
        <v>1886</v>
      </c>
      <c r="BP80" s="12" t="s">
        <v>1886</v>
      </c>
      <c r="BQ80" s="12" t="s">
        <v>1309</v>
      </c>
      <c r="BR80" s="12" t="s">
        <v>1623</v>
      </c>
      <c r="BS80" s="12" t="s">
        <v>2089</v>
      </c>
      <c r="BT80" s="12" t="s">
        <v>1277</v>
      </c>
      <c r="BU80" s="12" t="s">
        <v>595</v>
      </c>
      <c r="BV80" s="12" t="s">
        <v>595</v>
      </c>
      <c r="BW80" s="12" t="s">
        <v>1278</v>
      </c>
      <c r="BX80" s="12" t="s">
        <v>1278</v>
      </c>
      <c r="BY80" s="12" t="s">
        <v>983</v>
      </c>
      <c r="BZ80" s="12" t="s">
        <v>983</v>
      </c>
      <c r="CA80" s="12" t="s">
        <v>983</v>
      </c>
      <c r="CB80" s="12" t="s">
        <v>983</v>
      </c>
      <c r="CC80" s="12" t="s">
        <v>983</v>
      </c>
      <c r="CD80" s="12" t="s">
        <v>983</v>
      </c>
      <c r="CE80" s="12" t="s">
        <v>1048</v>
      </c>
      <c r="CF80" s="12" t="s">
        <v>1263</v>
      </c>
      <c r="CG80" s="12" t="s">
        <v>1263</v>
      </c>
      <c r="CH80" s="12" t="s">
        <v>1263</v>
      </c>
      <c r="CI80" s="12" t="s">
        <v>921</v>
      </c>
      <c r="CJ80" s="12" t="s">
        <v>1532</v>
      </c>
      <c r="CK80" s="12" t="s">
        <v>1532</v>
      </c>
      <c r="CL80" s="12" t="s">
        <v>640</v>
      </c>
      <c r="CM80" s="12" t="s">
        <v>1976</v>
      </c>
      <c r="CN80" s="12" t="s">
        <v>1976</v>
      </c>
      <c r="CO80" s="12" t="s">
        <v>1976</v>
      </c>
      <c r="CP80" s="12" t="s">
        <v>1976</v>
      </c>
      <c r="CQ80" s="12" t="s">
        <v>1976</v>
      </c>
      <c r="CR80" s="12" t="s">
        <v>1976</v>
      </c>
      <c r="CS80" s="12" t="s">
        <v>1976</v>
      </c>
      <c r="CT80" s="12" t="s">
        <v>1838</v>
      </c>
    </row>
    <row r="81" spans="1:98" hidden="1" x14ac:dyDescent="0.3">
      <c r="A81" s="12" t="s">
        <v>2090</v>
      </c>
      <c r="B81" s="12" t="s">
        <v>1661</v>
      </c>
      <c r="C81" s="12" t="s">
        <v>2091</v>
      </c>
      <c r="D81" s="12" t="s">
        <v>2092</v>
      </c>
      <c r="E81" s="12" t="s">
        <v>578</v>
      </c>
      <c r="F81" s="12" t="s">
        <v>578</v>
      </c>
      <c r="G81" s="12" t="s">
        <v>578</v>
      </c>
      <c r="H81" s="12" t="s">
        <v>578</v>
      </c>
      <c r="I81" s="12" t="s">
        <v>578</v>
      </c>
      <c r="J81" s="12" t="s">
        <v>578</v>
      </c>
      <c r="K81" s="12" t="s">
        <v>578</v>
      </c>
      <c r="L81" s="12" t="s">
        <v>578</v>
      </c>
      <c r="M81" s="12" t="s">
        <v>579</v>
      </c>
      <c r="N81" s="12" t="s">
        <v>579</v>
      </c>
      <c r="O81" s="12" t="s">
        <v>579</v>
      </c>
      <c r="P81" s="12" t="s">
        <v>579</v>
      </c>
      <c r="Q81" s="12" t="s">
        <v>579</v>
      </c>
      <c r="R81" s="12" t="s">
        <v>579</v>
      </c>
      <c r="S81" s="12" t="s">
        <v>579</v>
      </c>
      <c r="T81" s="12" t="s">
        <v>579</v>
      </c>
      <c r="U81" s="12" t="s">
        <v>579</v>
      </c>
      <c r="V81" s="12" t="s">
        <v>579</v>
      </c>
      <c r="W81" s="12" t="s">
        <v>579</v>
      </c>
      <c r="X81" s="12" t="s">
        <v>579</v>
      </c>
      <c r="Y81" s="12" t="s">
        <v>579</v>
      </c>
      <c r="Z81" s="12" t="s">
        <v>579</v>
      </c>
      <c r="AA81" s="12" t="s">
        <v>579</v>
      </c>
      <c r="AB81" s="12" t="s">
        <v>579</v>
      </c>
      <c r="AC81" s="12" t="s">
        <v>579</v>
      </c>
      <c r="AD81" s="12" t="s">
        <v>579</v>
      </c>
      <c r="AE81" s="12" t="s">
        <v>579</v>
      </c>
      <c r="AF81" s="12" t="s">
        <v>579</v>
      </c>
      <c r="AG81" s="12" t="s">
        <v>579</v>
      </c>
      <c r="AH81" s="12" t="s">
        <v>579</v>
      </c>
      <c r="AI81" s="12" t="s">
        <v>579</v>
      </c>
      <c r="AJ81" s="12" t="s">
        <v>579</v>
      </c>
      <c r="AK81" s="12" t="s">
        <v>579</v>
      </c>
      <c r="AL81" s="12" t="s">
        <v>579</v>
      </c>
      <c r="AM81" s="12" t="s">
        <v>579</v>
      </c>
      <c r="AN81" s="12" t="s">
        <v>579</v>
      </c>
      <c r="AO81" s="12" t="s">
        <v>579</v>
      </c>
      <c r="AP81" s="12" t="s">
        <v>579</v>
      </c>
      <c r="AQ81" s="12" t="s">
        <v>579</v>
      </c>
      <c r="AR81" s="12" t="s">
        <v>579</v>
      </c>
      <c r="AS81" s="12" t="s">
        <v>579</v>
      </c>
      <c r="AT81" s="12" t="s">
        <v>579</v>
      </c>
      <c r="AU81" s="12" t="s">
        <v>579</v>
      </c>
      <c r="AV81" s="12" t="s">
        <v>579</v>
      </c>
      <c r="AW81" s="12" t="s">
        <v>579</v>
      </c>
      <c r="AX81" s="12" t="s">
        <v>579</v>
      </c>
      <c r="AY81" s="12" t="s">
        <v>579</v>
      </c>
      <c r="AZ81" s="12" t="s">
        <v>579</v>
      </c>
      <c r="BA81" s="12" t="s">
        <v>579</v>
      </c>
      <c r="BB81" s="12" t="s">
        <v>579</v>
      </c>
      <c r="BC81" s="12" t="s">
        <v>579</v>
      </c>
      <c r="BD81" s="12" t="s">
        <v>579</v>
      </c>
      <c r="BE81" s="12" t="s">
        <v>579</v>
      </c>
      <c r="BF81" s="12" t="s">
        <v>579</v>
      </c>
      <c r="BG81" s="12" t="s">
        <v>579</v>
      </c>
      <c r="BH81" s="12" t="s">
        <v>579</v>
      </c>
      <c r="BI81" s="12" t="s">
        <v>579</v>
      </c>
      <c r="BJ81" s="12" t="s">
        <v>579</v>
      </c>
      <c r="BK81" s="12" t="s">
        <v>579</v>
      </c>
      <c r="BL81" s="12" t="s">
        <v>579</v>
      </c>
      <c r="BM81" s="12" t="s">
        <v>579</v>
      </c>
      <c r="BN81" s="12" t="s">
        <v>579</v>
      </c>
      <c r="BO81" s="12" t="s">
        <v>579</v>
      </c>
      <c r="BP81" s="12" t="s">
        <v>579</v>
      </c>
      <c r="BQ81" s="12" t="s">
        <v>579</v>
      </c>
      <c r="BR81" s="12" t="s">
        <v>579</v>
      </c>
      <c r="BS81" s="12" t="s">
        <v>579</v>
      </c>
      <c r="BT81" s="12" t="s">
        <v>579</v>
      </c>
      <c r="BU81" s="12" t="s">
        <v>579</v>
      </c>
      <c r="BV81" s="12" t="s">
        <v>579</v>
      </c>
      <c r="BW81" s="12" t="s">
        <v>579</v>
      </c>
      <c r="BX81" s="12" t="s">
        <v>579</v>
      </c>
      <c r="BY81" s="12" t="s">
        <v>579</v>
      </c>
      <c r="BZ81" s="12" t="s">
        <v>579</v>
      </c>
      <c r="CA81" s="12" t="s">
        <v>579</v>
      </c>
      <c r="CB81" s="12" t="s">
        <v>579</v>
      </c>
      <c r="CC81" s="12" t="s">
        <v>579</v>
      </c>
      <c r="CD81" s="12" t="s">
        <v>579</v>
      </c>
      <c r="CE81" s="12" t="s">
        <v>579</v>
      </c>
      <c r="CF81" s="12" t="s">
        <v>579</v>
      </c>
      <c r="CG81" s="12" t="s">
        <v>579</v>
      </c>
      <c r="CH81" s="12" t="s">
        <v>579</v>
      </c>
      <c r="CI81" s="12" t="s">
        <v>579</v>
      </c>
      <c r="CJ81" s="12" t="s">
        <v>579</v>
      </c>
      <c r="CK81" s="12" t="s">
        <v>579</v>
      </c>
      <c r="CL81" s="12" t="s">
        <v>579</v>
      </c>
      <c r="CM81" s="12" t="s">
        <v>579</v>
      </c>
      <c r="CN81" s="12" t="s">
        <v>579</v>
      </c>
      <c r="CO81" s="12" t="s">
        <v>579</v>
      </c>
      <c r="CP81" s="12" t="s">
        <v>579</v>
      </c>
      <c r="CQ81" s="12" t="s">
        <v>579</v>
      </c>
      <c r="CR81" s="12" t="s">
        <v>579</v>
      </c>
      <c r="CS81" s="12" t="s">
        <v>579</v>
      </c>
      <c r="CT81" s="12" t="s">
        <v>579</v>
      </c>
    </row>
    <row r="82" spans="1:98" hidden="1" x14ac:dyDescent="0.3">
      <c r="A82" s="12" t="s">
        <v>2093</v>
      </c>
      <c r="B82" s="12" t="s">
        <v>1661</v>
      </c>
      <c r="C82" s="12" t="s">
        <v>2094</v>
      </c>
      <c r="D82" s="12" t="s">
        <v>2095</v>
      </c>
      <c r="E82" s="12" t="s">
        <v>578</v>
      </c>
      <c r="F82" s="12" t="s">
        <v>623</v>
      </c>
      <c r="G82" s="12" t="s">
        <v>623</v>
      </c>
      <c r="H82" s="12" t="s">
        <v>672</v>
      </c>
      <c r="I82" s="12" t="s">
        <v>580</v>
      </c>
      <c r="J82" s="12" t="s">
        <v>581</v>
      </c>
      <c r="K82" s="12" t="s">
        <v>624</v>
      </c>
      <c r="L82" s="12" t="s">
        <v>868</v>
      </c>
      <c r="M82" s="12" t="s">
        <v>756</v>
      </c>
      <c r="N82" s="12" t="s">
        <v>673</v>
      </c>
      <c r="O82" s="12" t="s">
        <v>808</v>
      </c>
      <c r="P82" s="12" t="s">
        <v>585</v>
      </c>
      <c r="Q82" s="12" t="s">
        <v>587</v>
      </c>
      <c r="R82" s="12" t="s">
        <v>953</v>
      </c>
      <c r="S82" s="12" t="s">
        <v>852</v>
      </c>
      <c r="T82" s="12" t="s">
        <v>971</v>
      </c>
      <c r="U82" s="12" t="s">
        <v>718</v>
      </c>
      <c r="V82" s="12" t="s">
        <v>629</v>
      </c>
      <c r="W82" s="12" t="s">
        <v>768</v>
      </c>
      <c r="X82" s="12" t="s">
        <v>991</v>
      </c>
      <c r="Y82" s="12" t="s">
        <v>631</v>
      </c>
      <c r="Z82" s="12" t="s">
        <v>632</v>
      </c>
      <c r="AA82" s="12" t="s">
        <v>1180</v>
      </c>
      <c r="AB82" s="12" t="s">
        <v>870</v>
      </c>
      <c r="AC82" s="12" t="s">
        <v>634</v>
      </c>
      <c r="AD82" s="12" t="s">
        <v>854</v>
      </c>
      <c r="AE82" s="12" t="s">
        <v>720</v>
      </c>
      <c r="AF82" s="12" t="s">
        <v>635</v>
      </c>
      <c r="AG82" s="12" t="s">
        <v>635</v>
      </c>
      <c r="AH82" s="12" t="s">
        <v>635</v>
      </c>
      <c r="AI82" s="12" t="s">
        <v>635</v>
      </c>
      <c r="AJ82" s="12" t="s">
        <v>635</v>
      </c>
      <c r="AK82" s="12" t="s">
        <v>635</v>
      </c>
      <c r="AL82" s="12" t="s">
        <v>635</v>
      </c>
      <c r="AM82" s="12" t="s">
        <v>635</v>
      </c>
      <c r="AN82" s="12" t="s">
        <v>635</v>
      </c>
      <c r="AO82" s="12" t="s">
        <v>635</v>
      </c>
      <c r="AP82" s="12" t="s">
        <v>635</v>
      </c>
      <c r="AQ82" s="12" t="s">
        <v>635</v>
      </c>
      <c r="AR82" s="12" t="s">
        <v>635</v>
      </c>
      <c r="AS82" s="12" t="s">
        <v>635</v>
      </c>
      <c r="AT82" s="12" t="s">
        <v>635</v>
      </c>
      <c r="AU82" s="12" t="s">
        <v>635</v>
      </c>
      <c r="AV82" s="12" t="s">
        <v>635</v>
      </c>
      <c r="AW82" s="12" t="s">
        <v>635</v>
      </c>
      <c r="AX82" s="12" t="s">
        <v>635</v>
      </c>
      <c r="AY82" s="12" t="s">
        <v>635</v>
      </c>
      <c r="AZ82" s="12" t="s">
        <v>635</v>
      </c>
      <c r="BA82" s="12" t="s">
        <v>635</v>
      </c>
      <c r="BB82" s="12" t="s">
        <v>635</v>
      </c>
      <c r="BC82" s="12" t="s">
        <v>635</v>
      </c>
      <c r="BD82" s="12" t="s">
        <v>635</v>
      </c>
      <c r="BE82" s="12" t="s">
        <v>635</v>
      </c>
      <c r="BF82" s="12" t="s">
        <v>635</v>
      </c>
      <c r="BG82" s="12" t="s">
        <v>635</v>
      </c>
      <c r="BH82" s="12" t="s">
        <v>635</v>
      </c>
      <c r="BI82" s="12" t="s">
        <v>635</v>
      </c>
      <c r="BJ82" s="12" t="s">
        <v>635</v>
      </c>
      <c r="BK82" s="12" t="s">
        <v>635</v>
      </c>
      <c r="BL82" s="12" t="s">
        <v>635</v>
      </c>
      <c r="BM82" s="12" t="s">
        <v>635</v>
      </c>
      <c r="BN82" s="12" t="s">
        <v>635</v>
      </c>
      <c r="BO82" s="12" t="s">
        <v>635</v>
      </c>
      <c r="BP82" s="12" t="s">
        <v>635</v>
      </c>
      <c r="BQ82" s="12" t="s">
        <v>635</v>
      </c>
      <c r="BR82" s="12" t="s">
        <v>635</v>
      </c>
      <c r="BS82" s="12" t="s">
        <v>635</v>
      </c>
      <c r="BT82" s="12" t="s">
        <v>635</v>
      </c>
      <c r="BU82" s="12" t="s">
        <v>635</v>
      </c>
      <c r="BV82" s="12" t="s">
        <v>635</v>
      </c>
      <c r="BW82" s="12" t="s">
        <v>635</v>
      </c>
      <c r="BX82" s="12" t="s">
        <v>635</v>
      </c>
      <c r="BY82" s="12" t="s">
        <v>635</v>
      </c>
      <c r="BZ82" s="12" t="s">
        <v>635</v>
      </c>
      <c r="CA82" s="12" t="s">
        <v>635</v>
      </c>
      <c r="CB82" s="12" t="s">
        <v>635</v>
      </c>
      <c r="CC82" s="12" t="s">
        <v>635</v>
      </c>
      <c r="CD82" s="12" t="s">
        <v>635</v>
      </c>
      <c r="CE82" s="12" t="s">
        <v>635</v>
      </c>
      <c r="CF82" s="12" t="s">
        <v>635</v>
      </c>
      <c r="CG82" s="12" t="s">
        <v>635</v>
      </c>
      <c r="CH82" s="12" t="s">
        <v>635</v>
      </c>
      <c r="CI82" s="12" t="s">
        <v>635</v>
      </c>
      <c r="CJ82" s="12" t="s">
        <v>635</v>
      </c>
      <c r="CK82" s="12" t="s">
        <v>635</v>
      </c>
      <c r="CL82" s="12" t="s">
        <v>635</v>
      </c>
      <c r="CM82" s="12" t="s">
        <v>635</v>
      </c>
      <c r="CN82" s="12" t="s">
        <v>635</v>
      </c>
      <c r="CO82" s="12" t="s">
        <v>635</v>
      </c>
      <c r="CP82" s="12" t="s">
        <v>635</v>
      </c>
      <c r="CQ82" s="12" t="s">
        <v>635</v>
      </c>
      <c r="CR82" s="12" t="s">
        <v>635</v>
      </c>
      <c r="CS82" s="12" t="s">
        <v>635</v>
      </c>
      <c r="CT82" s="12" t="s">
        <v>635</v>
      </c>
    </row>
    <row r="83" spans="1:98" hidden="1" x14ac:dyDescent="0.3">
      <c r="A83" s="12" t="s">
        <v>2096</v>
      </c>
      <c r="B83" s="12" t="s">
        <v>1661</v>
      </c>
      <c r="C83" s="12" t="s">
        <v>2097</v>
      </c>
      <c r="D83" s="12" t="s">
        <v>2098</v>
      </c>
      <c r="E83" s="12" t="s">
        <v>579</v>
      </c>
      <c r="F83" s="12" t="s">
        <v>623</v>
      </c>
      <c r="G83" s="12" t="s">
        <v>581</v>
      </c>
      <c r="H83" s="12" t="s">
        <v>583</v>
      </c>
      <c r="I83" s="12" t="s">
        <v>584</v>
      </c>
      <c r="J83" s="12" t="s">
        <v>676</v>
      </c>
      <c r="K83" s="12" t="s">
        <v>1096</v>
      </c>
      <c r="L83" s="12" t="s">
        <v>631</v>
      </c>
      <c r="M83" s="12" t="s">
        <v>634</v>
      </c>
      <c r="N83" s="12" t="s">
        <v>1352</v>
      </c>
      <c r="O83" s="12" t="s">
        <v>858</v>
      </c>
      <c r="P83" s="12" t="s">
        <v>864</v>
      </c>
      <c r="Q83" s="12" t="s">
        <v>1417</v>
      </c>
      <c r="R83" s="12" t="s">
        <v>980</v>
      </c>
      <c r="S83" s="12" t="s">
        <v>773</v>
      </c>
      <c r="T83" s="12" t="s">
        <v>723</v>
      </c>
      <c r="U83" s="12" t="s">
        <v>1358</v>
      </c>
      <c r="V83" s="12" t="s">
        <v>1358</v>
      </c>
      <c r="W83" s="12" t="s">
        <v>2013</v>
      </c>
      <c r="X83" s="12" t="s">
        <v>2099</v>
      </c>
      <c r="Y83" s="12" t="s">
        <v>2100</v>
      </c>
      <c r="Z83" s="12" t="s">
        <v>2101</v>
      </c>
      <c r="AA83" s="12" t="s">
        <v>1603</v>
      </c>
      <c r="AB83" s="12" t="s">
        <v>1310</v>
      </c>
      <c r="AC83" s="12" t="s">
        <v>1686</v>
      </c>
      <c r="AD83" s="12" t="s">
        <v>874</v>
      </c>
      <c r="AE83" s="12" t="s">
        <v>874</v>
      </c>
      <c r="AF83" s="12" t="s">
        <v>1815</v>
      </c>
      <c r="AG83" s="12" t="s">
        <v>1815</v>
      </c>
      <c r="AH83" s="12" t="s">
        <v>595</v>
      </c>
      <c r="AI83" s="12" t="s">
        <v>595</v>
      </c>
      <c r="AJ83" s="12" t="s">
        <v>595</v>
      </c>
      <c r="AK83" s="12" t="s">
        <v>595</v>
      </c>
      <c r="AL83" s="12" t="s">
        <v>595</v>
      </c>
      <c r="AM83" s="12" t="s">
        <v>595</v>
      </c>
      <c r="AN83" s="12" t="s">
        <v>595</v>
      </c>
      <c r="AO83" s="12" t="s">
        <v>595</v>
      </c>
      <c r="AP83" s="12" t="s">
        <v>595</v>
      </c>
      <c r="AQ83" s="12" t="s">
        <v>595</v>
      </c>
      <c r="AR83" s="12" t="s">
        <v>595</v>
      </c>
      <c r="AS83" s="12" t="s">
        <v>595</v>
      </c>
      <c r="AT83" s="12" t="s">
        <v>595</v>
      </c>
      <c r="AU83" s="12" t="s">
        <v>595</v>
      </c>
      <c r="AV83" s="12" t="s">
        <v>595</v>
      </c>
      <c r="AW83" s="12" t="s">
        <v>595</v>
      </c>
      <c r="AX83" s="12" t="s">
        <v>595</v>
      </c>
      <c r="AY83" s="12" t="s">
        <v>595</v>
      </c>
      <c r="AZ83" s="12" t="s">
        <v>595</v>
      </c>
      <c r="BA83" s="12" t="s">
        <v>595</v>
      </c>
      <c r="BB83" s="12" t="s">
        <v>595</v>
      </c>
      <c r="BC83" s="12" t="s">
        <v>595</v>
      </c>
      <c r="BD83" s="12" t="s">
        <v>595</v>
      </c>
      <c r="BE83" s="12" t="s">
        <v>595</v>
      </c>
      <c r="BF83" s="12" t="s">
        <v>595</v>
      </c>
      <c r="BG83" s="12" t="s">
        <v>1278</v>
      </c>
      <c r="BH83" s="12" t="s">
        <v>1278</v>
      </c>
      <c r="BI83" s="12" t="s">
        <v>1278</v>
      </c>
      <c r="BJ83" s="12" t="s">
        <v>1278</v>
      </c>
      <c r="BK83" s="12" t="s">
        <v>1278</v>
      </c>
      <c r="BL83" s="12" t="s">
        <v>1278</v>
      </c>
      <c r="BM83" s="12" t="s">
        <v>1278</v>
      </c>
      <c r="BN83" s="12" t="s">
        <v>1278</v>
      </c>
      <c r="BO83" s="12" t="s">
        <v>1278</v>
      </c>
      <c r="BP83" s="12" t="s">
        <v>1278</v>
      </c>
      <c r="BQ83" s="12" t="s">
        <v>2102</v>
      </c>
      <c r="BR83" s="12" t="s">
        <v>983</v>
      </c>
      <c r="BS83" s="12" t="s">
        <v>983</v>
      </c>
      <c r="BT83" s="12" t="s">
        <v>983</v>
      </c>
      <c r="BU83" s="12" t="s">
        <v>983</v>
      </c>
      <c r="BV83" s="12" t="s">
        <v>1048</v>
      </c>
      <c r="BW83" s="12" t="s">
        <v>1048</v>
      </c>
      <c r="BX83" s="12" t="s">
        <v>1263</v>
      </c>
      <c r="BY83" s="12" t="s">
        <v>921</v>
      </c>
      <c r="BZ83" s="12" t="s">
        <v>921</v>
      </c>
      <c r="CA83" s="12" t="s">
        <v>921</v>
      </c>
      <c r="CB83" s="12" t="s">
        <v>921</v>
      </c>
      <c r="CC83" s="12" t="s">
        <v>921</v>
      </c>
      <c r="CD83" s="12" t="s">
        <v>921</v>
      </c>
      <c r="CE83" s="12" t="s">
        <v>921</v>
      </c>
      <c r="CF83" s="12" t="s">
        <v>921</v>
      </c>
      <c r="CG83" s="12" t="s">
        <v>921</v>
      </c>
      <c r="CH83" s="12" t="s">
        <v>921</v>
      </c>
      <c r="CI83" s="12" t="s">
        <v>921</v>
      </c>
      <c r="CJ83" s="12" t="s">
        <v>921</v>
      </c>
      <c r="CK83" s="12" t="s">
        <v>921</v>
      </c>
      <c r="CL83" s="12" t="s">
        <v>921</v>
      </c>
      <c r="CM83" s="12" t="s">
        <v>921</v>
      </c>
      <c r="CN83" s="12" t="s">
        <v>921</v>
      </c>
      <c r="CO83" s="12" t="s">
        <v>921</v>
      </c>
      <c r="CP83" s="12" t="s">
        <v>921</v>
      </c>
      <c r="CQ83" s="12" t="s">
        <v>921</v>
      </c>
      <c r="CR83" s="12" t="s">
        <v>921</v>
      </c>
      <c r="CS83" s="12" t="s">
        <v>921</v>
      </c>
      <c r="CT83" s="12" t="s">
        <v>1532</v>
      </c>
    </row>
    <row r="84" spans="1:98" hidden="1" x14ac:dyDescent="0.3">
      <c r="A84" s="12" t="s">
        <v>2103</v>
      </c>
      <c r="B84" s="12" t="s">
        <v>1661</v>
      </c>
      <c r="C84" s="12" t="s">
        <v>2104</v>
      </c>
      <c r="D84" s="12" t="s">
        <v>2105</v>
      </c>
      <c r="E84" s="12" t="s">
        <v>624</v>
      </c>
      <c r="F84" s="12" t="s">
        <v>913</v>
      </c>
      <c r="G84" s="12" t="s">
        <v>1259</v>
      </c>
      <c r="H84" s="12" t="s">
        <v>853</v>
      </c>
      <c r="I84" s="12" t="s">
        <v>637</v>
      </c>
      <c r="J84" s="12" t="s">
        <v>773</v>
      </c>
      <c r="K84" s="12" t="s">
        <v>1516</v>
      </c>
      <c r="L84" s="12" t="s">
        <v>1740</v>
      </c>
      <c r="M84" s="12" t="s">
        <v>733</v>
      </c>
      <c r="N84" s="12" t="s">
        <v>2068</v>
      </c>
      <c r="O84" s="12" t="s">
        <v>2106</v>
      </c>
      <c r="P84" s="12" t="s">
        <v>1378</v>
      </c>
      <c r="Q84" s="12" t="s">
        <v>2107</v>
      </c>
      <c r="R84" s="12" t="s">
        <v>2108</v>
      </c>
      <c r="S84" s="12" t="s">
        <v>1757</v>
      </c>
      <c r="T84" s="12" t="s">
        <v>2109</v>
      </c>
      <c r="U84" s="12" t="s">
        <v>1968</v>
      </c>
      <c r="V84" s="12" t="s">
        <v>2110</v>
      </c>
      <c r="W84" s="12" t="s">
        <v>1442</v>
      </c>
      <c r="X84" s="12" t="s">
        <v>616</v>
      </c>
      <c r="Y84" s="12" t="s">
        <v>2111</v>
      </c>
      <c r="Z84" s="12" t="s">
        <v>1760</v>
      </c>
      <c r="AA84" s="12" t="s">
        <v>2112</v>
      </c>
      <c r="AB84" s="12" t="s">
        <v>2113</v>
      </c>
      <c r="AC84" s="12" t="s">
        <v>2114</v>
      </c>
      <c r="AD84" s="12" t="s">
        <v>1298</v>
      </c>
      <c r="AE84" s="12" t="s">
        <v>693</v>
      </c>
      <c r="AF84" s="12" t="s">
        <v>2115</v>
      </c>
      <c r="AG84" s="12" t="s">
        <v>1466</v>
      </c>
      <c r="AH84" s="12" t="s">
        <v>2116</v>
      </c>
      <c r="AI84" s="12" t="s">
        <v>1467</v>
      </c>
      <c r="AJ84" s="12" t="s">
        <v>2117</v>
      </c>
      <c r="AK84" s="12" t="s">
        <v>2117</v>
      </c>
      <c r="AL84" s="12" t="s">
        <v>2117</v>
      </c>
      <c r="AM84" s="12" t="s">
        <v>2117</v>
      </c>
      <c r="AN84" s="12" t="s">
        <v>2117</v>
      </c>
      <c r="AO84" s="12" t="s">
        <v>2117</v>
      </c>
      <c r="AP84" s="12" t="s">
        <v>2117</v>
      </c>
      <c r="AQ84" s="12" t="s">
        <v>2117</v>
      </c>
      <c r="AR84" s="12" t="s">
        <v>2117</v>
      </c>
      <c r="AS84" s="12" t="s">
        <v>2118</v>
      </c>
      <c r="AT84" s="12" t="s">
        <v>2119</v>
      </c>
      <c r="AU84" s="12" t="s">
        <v>2119</v>
      </c>
      <c r="AV84" s="12" t="s">
        <v>2120</v>
      </c>
      <c r="AW84" s="12" t="s">
        <v>2120</v>
      </c>
      <c r="AX84" s="12" t="s">
        <v>2120</v>
      </c>
      <c r="AY84" s="12" t="s">
        <v>2120</v>
      </c>
      <c r="AZ84" s="12" t="s">
        <v>2120</v>
      </c>
      <c r="BA84" s="12" t="s">
        <v>2120</v>
      </c>
      <c r="BB84" s="12" t="s">
        <v>2120</v>
      </c>
      <c r="BC84" s="12" t="s">
        <v>2120</v>
      </c>
      <c r="BD84" s="12" t="s">
        <v>2120</v>
      </c>
      <c r="BE84" s="12" t="s">
        <v>2121</v>
      </c>
      <c r="BF84" s="12" t="s">
        <v>1168</v>
      </c>
      <c r="BG84" s="12" t="s">
        <v>1168</v>
      </c>
      <c r="BH84" s="12" t="s">
        <v>2122</v>
      </c>
      <c r="BI84" s="12" t="s">
        <v>2122</v>
      </c>
      <c r="BJ84" s="12" t="s">
        <v>2123</v>
      </c>
      <c r="BK84" s="12" t="s">
        <v>1388</v>
      </c>
      <c r="BL84" s="12" t="s">
        <v>2124</v>
      </c>
      <c r="BM84" s="12" t="s">
        <v>2125</v>
      </c>
      <c r="BN84" s="12" t="s">
        <v>2125</v>
      </c>
      <c r="BO84" s="12" t="s">
        <v>2126</v>
      </c>
      <c r="BP84" s="12" t="s">
        <v>1011</v>
      </c>
      <c r="BQ84" s="12" t="s">
        <v>1213</v>
      </c>
      <c r="BR84" s="12" t="s">
        <v>2127</v>
      </c>
      <c r="BS84" s="12" t="s">
        <v>694</v>
      </c>
      <c r="BT84" s="12" t="s">
        <v>2128</v>
      </c>
      <c r="BU84" s="12" t="s">
        <v>2129</v>
      </c>
      <c r="BV84" s="12" t="s">
        <v>1873</v>
      </c>
      <c r="BW84" s="12" t="s">
        <v>1873</v>
      </c>
      <c r="BX84" s="12" t="s">
        <v>2130</v>
      </c>
      <c r="BY84" s="12" t="s">
        <v>2131</v>
      </c>
      <c r="BZ84" s="12" t="s">
        <v>1874</v>
      </c>
      <c r="CA84" s="12" t="s">
        <v>2132</v>
      </c>
      <c r="CB84" s="12" t="s">
        <v>2133</v>
      </c>
      <c r="CC84" s="12" t="s">
        <v>785</v>
      </c>
      <c r="CD84" s="12" t="s">
        <v>1468</v>
      </c>
      <c r="CE84" s="12" t="s">
        <v>1875</v>
      </c>
      <c r="CF84" s="12" t="s">
        <v>1875</v>
      </c>
      <c r="CG84" s="12" t="s">
        <v>1875</v>
      </c>
      <c r="CH84" s="12" t="s">
        <v>1875</v>
      </c>
      <c r="CI84" s="12" t="s">
        <v>1875</v>
      </c>
      <c r="CJ84" s="12" t="s">
        <v>1875</v>
      </c>
      <c r="CK84" s="12" t="s">
        <v>1012</v>
      </c>
      <c r="CL84" s="12" t="s">
        <v>1012</v>
      </c>
      <c r="CM84" s="12" t="s">
        <v>1012</v>
      </c>
      <c r="CN84" s="12" t="s">
        <v>1012</v>
      </c>
      <c r="CO84" s="12" t="s">
        <v>1012</v>
      </c>
      <c r="CP84" s="12" t="s">
        <v>1012</v>
      </c>
      <c r="CQ84" s="12" t="s">
        <v>1012</v>
      </c>
      <c r="CR84" s="12" t="s">
        <v>1012</v>
      </c>
      <c r="CS84" s="12" t="s">
        <v>1012</v>
      </c>
      <c r="CT84" s="12" t="s">
        <v>1012</v>
      </c>
    </row>
    <row r="85" spans="1:98" hidden="1" x14ac:dyDescent="0.3">
      <c r="A85" s="12" t="s">
        <v>25</v>
      </c>
      <c r="B85" s="12" t="s">
        <v>2134</v>
      </c>
      <c r="C85" s="12" t="s">
        <v>2135</v>
      </c>
      <c r="D85" s="12" t="s">
        <v>2136</v>
      </c>
      <c r="E85" s="12" t="s">
        <v>578</v>
      </c>
      <c r="F85" s="12" t="s">
        <v>578</v>
      </c>
      <c r="G85" s="12" t="s">
        <v>578</v>
      </c>
      <c r="H85" s="12" t="s">
        <v>578</v>
      </c>
      <c r="I85" s="12" t="s">
        <v>578</v>
      </c>
      <c r="J85" s="12" t="s">
        <v>578</v>
      </c>
      <c r="K85" s="12" t="s">
        <v>578</v>
      </c>
      <c r="L85" s="12" t="s">
        <v>578</v>
      </c>
      <c r="M85" s="12" t="s">
        <v>578</v>
      </c>
      <c r="N85" s="12" t="s">
        <v>578</v>
      </c>
      <c r="O85" s="12" t="s">
        <v>578</v>
      </c>
      <c r="P85" s="12" t="s">
        <v>578</v>
      </c>
      <c r="Q85" s="12" t="s">
        <v>578</v>
      </c>
      <c r="R85" s="12" t="s">
        <v>578</v>
      </c>
      <c r="S85" s="12" t="s">
        <v>578</v>
      </c>
      <c r="T85" s="12" t="s">
        <v>578</v>
      </c>
      <c r="U85" s="12" t="s">
        <v>578</v>
      </c>
      <c r="V85" s="12" t="s">
        <v>578</v>
      </c>
      <c r="W85" s="12" t="s">
        <v>578</v>
      </c>
      <c r="X85" s="12" t="s">
        <v>578</v>
      </c>
      <c r="Y85" s="12" t="s">
        <v>578</v>
      </c>
      <c r="Z85" s="12" t="s">
        <v>578</v>
      </c>
      <c r="AA85" s="12" t="s">
        <v>578</v>
      </c>
      <c r="AB85" s="12" t="s">
        <v>578</v>
      </c>
      <c r="AC85" s="12" t="s">
        <v>578</v>
      </c>
      <c r="AD85" s="12" t="s">
        <v>578</v>
      </c>
      <c r="AE85" s="12" t="s">
        <v>578</v>
      </c>
      <c r="AF85" s="12" t="s">
        <v>578</v>
      </c>
      <c r="AG85" s="12" t="s">
        <v>578</v>
      </c>
      <c r="AH85" s="12" t="s">
        <v>578</v>
      </c>
      <c r="AI85" s="12" t="s">
        <v>578</v>
      </c>
      <c r="AJ85" s="12" t="s">
        <v>578</v>
      </c>
      <c r="AK85" s="12" t="s">
        <v>578</v>
      </c>
      <c r="AL85" s="12" t="s">
        <v>578</v>
      </c>
      <c r="AM85" s="12" t="s">
        <v>578</v>
      </c>
      <c r="AN85" s="12" t="s">
        <v>578</v>
      </c>
      <c r="AO85" s="12" t="s">
        <v>578</v>
      </c>
      <c r="AP85" s="12" t="s">
        <v>578</v>
      </c>
      <c r="AQ85" s="12" t="s">
        <v>578</v>
      </c>
      <c r="AR85" s="12" t="s">
        <v>578</v>
      </c>
      <c r="AS85" s="12" t="s">
        <v>578</v>
      </c>
      <c r="AT85" s="12" t="s">
        <v>578</v>
      </c>
      <c r="AU85" s="12" t="s">
        <v>578</v>
      </c>
      <c r="AV85" s="12" t="s">
        <v>578</v>
      </c>
      <c r="AW85" s="12" t="s">
        <v>579</v>
      </c>
      <c r="AX85" s="12" t="s">
        <v>579</v>
      </c>
      <c r="AY85" s="12" t="s">
        <v>579</v>
      </c>
      <c r="AZ85" s="12" t="s">
        <v>579</v>
      </c>
      <c r="BA85" s="12" t="s">
        <v>672</v>
      </c>
      <c r="BB85" s="12" t="s">
        <v>761</v>
      </c>
      <c r="BC85" s="12" t="s">
        <v>761</v>
      </c>
      <c r="BD85" s="12" t="s">
        <v>868</v>
      </c>
      <c r="BE85" s="12" t="s">
        <v>586</v>
      </c>
      <c r="BF85" s="12" t="s">
        <v>767</v>
      </c>
      <c r="BG85" s="12" t="s">
        <v>679</v>
      </c>
      <c r="BH85" s="12" t="s">
        <v>870</v>
      </c>
      <c r="BI85" s="12" t="s">
        <v>858</v>
      </c>
      <c r="BJ85" s="12" t="s">
        <v>863</v>
      </c>
      <c r="BK85" s="12" t="s">
        <v>773</v>
      </c>
      <c r="BL85" s="12" t="s">
        <v>2137</v>
      </c>
      <c r="BM85" s="12" t="s">
        <v>1027</v>
      </c>
      <c r="BN85" s="12" t="s">
        <v>646</v>
      </c>
      <c r="BO85" s="12" t="s">
        <v>1842</v>
      </c>
      <c r="BP85" s="12" t="s">
        <v>1844</v>
      </c>
      <c r="BQ85" s="12" t="s">
        <v>1703</v>
      </c>
      <c r="BR85" s="12" t="s">
        <v>661</v>
      </c>
      <c r="BS85" s="12" t="s">
        <v>2138</v>
      </c>
      <c r="BT85" s="12" t="s">
        <v>2139</v>
      </c>
      <c r="BU85" s="12" t="s">
        <v>2140</v>
      </c>
      <c r="BV85" s="12" t="s">
        <v>612</v>
      </c>
      <c r="BW85" s="12" t="s">
        <v>2141</v>
      </c>
      <c r="BX85" s="12" t="s">
        <v>2142</v>
      </c>
      <c r="BY85" s="12" t="s">
        <v>1875</v>
      </c>
      <c r="BZ85" s="12" t="s">
        <v>2143</v>
      </c>
      <c r="CA85" s="12" t="s">
        <v>2144</v>
      </c>
      <c r="CB85" s="12" t="s">
        <v>1806</v>
      </c>
      <c r="CC85" s="12" t="s">
        <v>2145</v>
      </c>
      <c r="CD85" s="12" t="s">
        <v>2146</v>
      </c>
      <c r="CE85" s="12" t="s">
        <v>2147</v>
      </c>
      <c r="CF85" s="12" t="s">
        <v>2148</v>
      </c>
      <c r="CG85" s="12" t="s">
        <v>2149</v>
      </c>
      <c r="CH85" s="12" t="s">
        <v>2150</v>
      </c>
      <c r="CI85" s="12" t="s">
        <v>2151</v>
      </c>
      <c r="CJ85" s="12" t="s">
        <v>2152</v>
      </c>
      <c r="CK85" s="12" t="s">
        <v>2153</v>
      </c>
      <c r="CL85" s="12" t="s">
        <v>2154</v>
      </c>
      <c r="CM85" s="12" t="s">
        <v>2155</v>
      </c>
      <c r="CN85" s="12" t="s">
        <v>2155</v>
      </c>
      <c r="CO85" s="12" t="s">
        <v>2156</v>
      </c>
      <c r="CP85" s="12" t="s">
        <v>2157</v>
      </c>
      <c r="CQ85" s="12" t="s">
        <v>2158</v>
      </c>
      <c r="CR85" s="12" t="s">
        <v>2159</v>
      </c>
      <c r="CS85" s="12" t="s">
        <v>2160</v>
      </c>
      <c r="CT85" s="12" t="s">
        <v>2161</v>
      </c>
    </row>
    <row r="86" spans="1:98" hidden="1" x14ac:dyDescent="0.3">
      <c r="A86" s="12" t="s">
        <v>25</v>
      </c>
      <c r="B86" s="12" t="s">
        <v>2162</v>
      </c>
      <c r="C86" s="12" t="s">
        <v>2163</v>
      </c>
      <c r="D86" s="12" t="s">
        <v>2164</v>
      </c>
      <c r="E86" s="12" t="s">
        <v>578</v>
      </c>
      <c r="F86" s="12" t="s">
        <v>578</v>
      </c>
      <c r="G86" s="12" t="s">
        <v>578</v>
      </c>
      <c r="H86" s="12" t="s">
        <v>578</v>
      </c>
      <c r="I86" s="12" t="s">
        <v>578</v>
      </c>
      <c r="J86" s="12" t="s">
        <v>578</v>
      </c>
      <c r="K86" s="12" t="s">
        <v>578</v>
      </c>
      <c r="L86" s="12" t="s">
        <v>578</v>
      </c>
      <c r="M86" s="12" t="s">
        <v>578</v>
      </c>
      <c r="N86" s="12" t="s">
        <v>578</v>
      </c>
      <c r="O86" s="12" t="s">
        <v>578</v>
      </c>
      <c r="P86" s="12" t="s">
        <v>578</v>
      </c>
      <c r="Q86" s="12" t="s">
        <v>578</v>
      </c>
      <c r="R86" s="12" t="s">
        <v>578</v>
      </c>
      <c r="S86" s="12" t="s">
        <v>578</v>
      </c>
      <c r="T86" s="12" t="s">
        <v>578</v>
      </c>
      <c r="U86" s="12" t="s">
        <v>578</v>
      </c>
      <c r="V86" s="12" t="s">
        <v>578</v>
      </c>
      <c r="W86" s="12" t="s">
        <v>578</v>
      </c>
      <c r="X86" s="12" t="s">
        <v>578</v>
      </c>
      <c r="Y86" s="12" t="s">
        <v>578</v>
      </c>
      <c r="Z86" s="12" t="s">
        <v>578</v>
      </c>
      <c r="AA86" s="12" t="s">
        <v>578</v>
      </c>
      <c r="AB86" s="12" t="s">
        <v>578</v>
      </c>
      <c r="AC86" s="12" t="s">
        <v>578</v>
      </c>
      <c r="AD86" s="12" t="s">
        <v>578</v>
      </c>
      <c r="AE86" s="12" t="s">
        <v>578</v>
      </c>
      <c r="AF86" s="12" t="s">
        <v>578</v>
      </c>
      <c r="AG86" s="12" t="s">
        <v>578</v>
      </c>
      <c r="AH86" s="12" t="s">
        <v>578</v>
      </c>
      <c r="AI86" s="12" t="s">
        <v>578</v>
      </c>
      <c r="AJ86" s="12" t="s">
        <v>578</v>
      </c>
      <c r="AK86" s="12" t="s">
        <v>578</v>
      </c>
      <c r="AL86" s="12" t="s">
        <v>578</v>
      </c>
      <c r="AM86" s="12" t="s">
        <v>578</v>
      </c>
      <c r="AN86" s="12" t="s">
        <v>578</v>
      </c>
      <c r="AO86" s="12" t="s">
        <v>578</v>
      </c>
      <c r="AP86" s="12" t="s">
        <v>578</v>
      </c>
      <c r="AQ86" s="12" t="s">
        <v>578</v>
      </c>
      <c r="AR86" s="12" t="s">
        <v>578</v>
      </c>
      <c r="AS86" s="12" t="s">
        <v>578</v>
      </c>
      <c r="AT86" s="12" t="s">
        <v>578</v>
      </c>
      <c r="AU86" s="12" t="s">
        <v>578</v>
      </c>
      <c r="AV86" s="12" t="s">
        <v>578</v>
      </c>
      <c r="AW86" s="12" t="s">
        <v>578</v>
      </c>
      <c r="AX86" s="12" t="s">
        <v>578</v>
      </c>
      <c r="AY86" s="12" t="s">
        <v>578</v>
      </c>
      <c r="AZ86" s="12" t="s">
        <v>578</v>
      </c>
      <c r="BA86" s="12" t="s">
        <v>578</v>
      </c>
      <c r="BB86" s="12" t="s">
        <v>578</v>
      </c>
      <c r="BC86" s="12" t="s">
        <v>578</v>
      </c>
      <c r="BD86" s="12" t="s">
        <v>578</v>
      </c>
      <c r="BE86" s="12" t="s">
        <v>578</v>
      </c>
      <c r="BF86" s="12" t="s">
        <v>579</v>
      </c>
      <c r="BG86" s="12" t="s">
        <v>579</v>
      </c>
      <c r="BH86" s="12" t="s">
        <v>579</v>
      </c>
      <c r="BI86" s="12" t="s">
        <v>579</v>
      </c>
      <c r="BJ86" s="12" t="s">
        <v>672</v>
      </c>
      <c r="BK86" s="12" t="s">
        <v>672</v>
      </c>
      <c r="BL86" s="12" t="s">
        <v>672</v>
      </c>
      <c r="BM86" s="12" t="s">
        <v>672</v>
      </c>
      <c r="BN86" s="12" t="s">
        <v>580</v>
      </c>
      <c r="BO86" s="12" t="s">
        <v>580</v>
      </c>
      <c r="BP86" s="12" t="s">
        <v>580</v>
      </c>
      <c r="BQ86" s="12" t="s">
        <v>580</v>
      </c>
      <c r="BR86" s="12" t="s">
        <v>580</v>
      </c>
      <c r="BS86" s="12" t="s">
        <v>580</v>
      </c>
      <c r="BT86" s="12" t="s">
        <v>674</v>
      </c>
      <c r="BU86" s="12" t="s">
        <v>674</v>
      </c>
      <c r="BV86" s="12" t="s">
        <v>674</v>
      </c>
      <c r="BW86" s="12" t="s">
        <v>674</v>
      </c>
      <c r="BX86" s="12" t="s">
        <v>586</v>
      </c>
      <c r="BY86" s="12" t="s">
        <v>586</v>
      </c>
      <c r="BZ86" s="12" t="s">
        <v>586</v>
      </c>
      <c r="CA86" s="12" t="s">
        <v>768</v>
      </c>
      <c r="CB86" s="12" t="s">
        <v>768</v>
      </c>
      <c r="CC86" s="12" t="s">
        <v>768</v>
      </c>
      <c r="CD86" s="12" t="s">
        <v>768</v>
      </c>
      <c r="CE86" s="12" t="s">
        <v>680</v>
      </c>
      <c r="CF86" s="12" t="s">
        <v>680</v>
      </c>
      <c r="CG86" s="12" t="s">
        <v>680</v>
      </c>
      <c r="CH86" s="12" t="s">
        <v>680</v>
      </c>
      <c r="CI86" s="12" t="s">
        <v>680</v>
      </c>
      <c r="CJ86" s="12" t="s">
        <v>680</v>
      </c>
      <c r="CK86" s="12" t="s">
        <v>1417</v>
      </c>
      <c r="CL86" s="12" t="s">
        <v>1417</v>
      </c>
      <c r="CM86" s="12" t="s">
        <v>1821</v>
      </c>
      <c r="CN86" s="12" t="s">
        <v>1821</v>
      </c>
      <c r="CO86" s="12" t="s">
        <v>1821</v>
      </c>
      <c r="CP86" s="12" t="s">
        <v>813</v>
      </c>
      <c r="CQ86" s="12" t="s">
        <v>981</v>
      </c>
      <c r="CR86" s="12" t="s">
        <v>640</v>
      </c>
      <c r="CS86" s="12" t="s">
        <v>640</v>
      </c>
      <c r="CT86" s="12" t="s">
        <v>985</v>
      </c>
    </row>
    <row r="87" spans="1:98" hidden="1" x14ac:dyDescent="0.3">
      <c r="A87" s="12" t="s">
        <v>25</v>
      </c>
      <c r="B87" s="12" t="s">
        <v>2165</v>
      </c>
      <c r="C87" s="12" t="s">
        <v>2163</v>
      </c>
      <c r="D87" s="12" t="s">
        <v>2164</v>
      </c>
      <c r="E87" s="12" t="s">
        <v>578</v>
      </c>
      <c r="F87" s="12" t="s">
        <v>578</v>
      </c>
      <c r="G87" s="12" t="s">
        <v>578</v>
      </c>
      <c r="H87" s="12" t="s">
        <v>578</v>
      </c>
      <c r="I87" s="12" t="s">
        <v>578</v>
      </c>
      <c r="J87" s="12" t="s">
        <v>578</v>
      </c>
      <c r="K87" s="12" t="s">
        <v>578</v>
      </c>
      <c r="L87" s="12" t="s">
        <v>578</v>
      </c>
      <c r="M87" s="12" t="s">
        <v>578</v>
      </c>
      <c r="N87" s="12" t="s">
        <v>578</v>
      </c>
      <c r="O87" s="12" t="s">
        <v>578</v>
      </c>
      <c r="P87" s="12" t="s">
        <v>578</v>
      </c>
      <c r="Q87" s="12" t="s">
        <v>578</v>
      </c>
      <c r="R87" s="12" t="s">
        <v>578</v>
      </c>
      <c r="S87" s="12" t="s">
        <v>578</v>
      </c>
      <c r="T87" s="12" t="s">
        <v>578</v>
      </c>
      <c r="U87" s="12" t="s">
        <v>578</v>
      </c>
      <c r="V87" s="12" t="s">
        <v>578</v>
      </c>
      <c r="W87" s="12" t="s">
        <v>578</v>
      </c>
      <c r="X87" s="12" t="s">
        <v>578</v>
      </c>
      <c r="Y87" s="12" t="s">
        <v>578</v>
      </c>
      <c r="Z87" s="12" t="s">
        <v>578</v>
      </c>
      <c r="AA87" s="12" t="s">
        <v>578</v>
      </c>
      <c r="AB87" s="12" t="s">
        <v>578</v>
      </c>
      <c r="AC87" s="12" t="s">
        <v>578</v>
      </c>
      <c r="AD87" s="12" t="s">
        <v>578</v>
      </c>
      <c r="AE87" s="12" t="s">
        <v>578</v>
      </c>
      <c r="AF87" s="12" t="s">
        <v>578</v>
      </c>
      <c r="AG87" s="12" t="s">
        <v>578</v>
      </c>
      <c r="AH87" s="12" t="s">
        <v>578</v>
      </c>
      <c r="AI87" s="12" t="s">
        <v>578</v>
      </c>
      <c r="AJ87" s="12" t="s">
        <v>578</v>
      </c>
      <c r="AK87" s="12" t="s">
        <v>578</v>
      </c>
      <c r="AL87" s="12" t="s">
        <v>578</v>
      </c>
      <c r="AM87" s="12" t="s">
        <v>578</v>
      </c>
      <c r="AN87" s="12" t="s">
        <v>578</v>
      </c>
      <c r="AO87" s="12" t="s">
        <v>578</v>
      </c>
      <c r="AP87" s="12" t="s">
        <v>578</v>
      </c>
      <c r="AQ87" s="12" t="s">
        <v>578</v>
      </c>
      <c r="AR87" s="12" t="s">
        <v>578</v>
      </c>
      <c r="AS87" s="12" t="s">
        <v>578</v>
      </c>
      <c r="AT87" s="12" t="s">
        <v>578</v>
      </c>
      <c r="AU87" s="12" t="s">
        <v>578</v>
      </c>
      <c r="AV87" s="12" t="s">
        <v>578</v>
      </c>
      <c r="AW87" s="12" t="s">
        <v>578</v>
      </c>
      <c r="AX87" s="12" t="s">
        <v>578</v>
      </c>
      <c r="AY87" s="12" t="s">
        <v>578</v>
      </c>
      <c r="AZ87" s="12" t="s">
        <v>578</v>
      </c>
      <c r="BA87" s="12" t="s">
        <v>578</v>
      </c>
      <c r="BB87" s="12" t="s">
        <v>579</v>
      </c>
      <c r="BC87" s="12" t="s">
        <v>579</v>
      </c>
      <c r="BD87" s="12" t="s">
        <v>623</v>
      </c>
      <c r="BE87" s="12" t="s">
        <v>623</v>
      </c>
      <c r="BF87" s="12" t="s">
        <v>623</v>
      </c>
      <c r="BG87" s="12" t="s">
        <v>623</v>
      </c>
      <c r="BH87" s="12" t="s">
        <v>672</v>
      </c>
      <c r="BI87" s="12" t="s">
        <v>580</v>
      </c>
      <c r="BJ87" s="12" t="s">
        <v>756</v>
      </c>
      <c r="BK87" s="12" t="s">
        <v>808</v>
      </c>
      <c r="BL87" s="12" t="s">
        <v>626</v>
      </c>
      <c r="BM87" s="12" t="s">
        <v>2018</v>
      </c>
      <c r="BN87" s="12" t="s">
        <v>971</v>
      </c>
      <c r="BO87" s="12" t="s">
        <v>768</v>
      </c>
      <c r="BP87" s="12" t="s">
        <v>678</v>
      </c>
      <c r="BQ87" s="12" t="s">
        <v>630</v>
      </c>
      <c r="BR87" s="12" t="s">
        <v>630</v>
      </c>
      <c r="BS87" s="12" t="s">
        <v>870</v>
      </c>
      <c r="BT87" s="12" t="s">
        <v>870</v>
      </c>
      <c r="BU87" s="12" t="s">
        <v>1184</v>
      </c>
      <c r="BV87" s="12" t="s">
        <v>978</v>
      </c>
      <c r="BW87" s="12" t="s">
        <v>1208</v>
      </c>
      <c r="BX87" s="12" t="s">
        <v>873</v>
      </c>
      <c r="BY87" s="12" t="s">
        <v>873</v>
      </c>
      <c r="BZ87" s="12" t="s">
        <v>2101</v>
      </c>
      <c r="CA87" s="12" t="s">
        <v>2101</v>
      </c>
      <c r="CB87" s="12" t="s">
        <v>2089</v>
      </c>
      <c r="CC87" s="12" t="s">
        <v>983</v>
      </c>
      <c r="CD87" s="12" t="s">
        <v>983</v>
      </c>
      <c r="CE87" s="12" t="s">
        <v>983</v>
      </c>
      <c r="CF87" s="12" t="s">
        <v>1735</v>
      </c>
      <c r="CG87" s="12" t="s">
        <v>643</v>
      </c>
      <c r="CH87" s="12" t="s">
        <v>2166</v>
      </c>
      <c r="CI87" s="12" t="s">
        <v>815</v>
      </c>
      <c r="CJ87" s="12" t="s">
        <v>1508</v>
      </c>
      <c r="CK87" s="12" t="s">
        <v>1492</v>
      </c>
      <c r="CL87" s="12" t="s">
        <v>727</v>
      </c>
      <c r="CM87" s="12" t="s">
        <v>957</v>
      </c>
      <c r="CN87" s="12" t="s">
        <v>876</v>
      </c>
      <c r="CO87" s="12" t="s">
        <v>1834</v>
      </c>
      <c r="CP87" s="12" t="s">
        <v>1962</v>
      </c>
      <c r="CQ87" s="12" t="s">
        <v>1746</v>
      </c>
      <c r="CR87" s="12" t="s">
        <v>1099</v>
      </c>
      <c r="CS87" s="12" t="s">
        <v>650</v>
      </c>
      <c r="CT87" s="12" t="s">
        <v>2167</v>
      </c>
    </row>
    <row r="88" spans="1:98" hidden="1" x14ac:dyDescent="0.3">
      <c r="A88" s="12" t="s">
        <v>25</v>
      </c>
      <c r="B88" s="12" t="s">
        <v>2168</v>
      </c>
      <c r="C88" s="12" t="s">
        <v>2169</v>
      </c>
      <c r="D88" s="12" t="s">
        <v>2170</v>
      </c>
      <c r="E88" s="12" t="s">
        <v>578</v>
      </c>
      <c r="F88" s="12" t="s">
        <v>578</v>
      </c>
      <c r="G88" s="12" t="s">
        <v>578</v>
      </c>
      <c r="H88" s="12" t="s">
        <v>578</v>
      </c>
      <c r="I88" s="12" t="s">
        <v>578</v>
      </c>
      <c r="J88" s="12" t="s">
        <v>578</v>
      </c>
      <c r="K88" s="12" t="s">
        <v>578</v>
      </c>
      <c r="L88" s="12" t="s">
        <v>578</v>
      </c>
      <c r="M88" s="12" t="s">
        <v>578</v>
      </c>
      <c r="N88" s="12" t="s">
        <v>578</v>
      </c>
      <c r="O88" s="12" t="s">
        <v>578</v>
      </c>
      <c r="P88" s="12" t="s">
        <v>578</v>
      </c>
      <c r="Q88" s="12" t="s">
        <v>578</v>
      </c>
      <c r="R88" s="12" t="s">
        <v>578</v>
      </c>
      <c r="S88" s="12" t="s">
        <v>578</v>
      </c>
      <c r="T88" s="12" t="s">
        <v>578</v>
      </c>
      <c r="U88" s="12" t="s">
        <v>578</v>
      </c>
      <c r="V88" s="12" t="s">
        <v>578</v>
      </c>
      <c r="W88" s="12" t="s">
        <v>578</v>
      </c>
      <c r="X88" s="12" t="s">
        <v>578</v>
      </c>
      <c r="Y88" s="12" t="s">
        <v>578</v>
      </c>
      <c r="Z88" s="12" t="s">
        <v>578</v>
      </c>
      <c r="AA88" s="12" t="s">
        <v>578</v>
      </c>
      <c r="AB88" s="12" t="s">
        <v>578</v>
      </c>
      <c r="AC88" s="12" t="s">
        <v>578</v>
      </c>
      <c r="AD88" s="12" t="s">
        <v>578</v>
      </c>
      <c r="AE88" s="12" t="s">
        <v>578</v>
      </c>
      <c r="AF88" s="12" t="s">
        <v>578</v>
      </c>
      <c r="AG88" s="12" t="s">
        <v>578</v>
      </c>
      <c r="AH88" s="12" t="s">
        <v>578</v>
      </c>
      <c r="AI88" s="12" t="s">
        <v>578</v>
      </c>
      <c r="AJ88" s="12" t="s">
        <v>578</v>
      </c>
      <c r="AK88" s="12" t="s">
        <v>578</v>
      </c>
      <c r="AL88" s="12" t="s">
        <v>578</v>
      </c>
      <c r="AM88" s="12" t="s">
        <v>578</v>
      </c>
      <c r="AN88" s="12" t="s">
        <v>578</v>
      </c>
      <c r="AO88" s="12" t="s">
        <v>578</v>
      </c>
      <c r="AP88" s="12" t="s">
        <v>578</v>
      </c>
      <c r="AQ88" s="12" t="s">
        <v>578</v>
      </c>
      <c r="AR88" s="12" t="s">
        <v>578</v>
      </c>
      <c r="AS88" s="12" t="s">
        <v>578</v>
      </c>
      <c r="AT88" s="12" t="s">
        <v>578</v>
      </c>
      <c r="AU88" s="12" t="s">
        <v>578</v>
      </c>
      <c r="AV88" s="12" t="s">
        <v>578</v>
      </c>
      <c r="AW88" s="12" t="s">
        <v>579</v>
      </c>
      <c r="AX88" s="12" t="s">
        <v>579</v>
      </c>
      <c r="AY88" s="12" t="s">
        <v>581</v>
      </c>
      <c r="AZ88" s="12" t="s">
        <v>761</v>
      </c>
      <c r="BA88" s="12" t="s">
        <v>761</v>
      </c>
      <c r="BB88" s="12" t="s">
        <v>868</v>
      </c>
      <c r="BC88" s="12" t="s">
        <v>586</v>
      </c>
      <c r="BD88" s="12" t="s">
        <v>626</v>
      </c>
      <c r="BE88" s="12" t="s">
        <v>676</v>
      </c>
      <c r="BF88" s="12" t="s">
        <v>913</v>
      </c>
      <c r="BG88" s="12" t="s">
        <v>917</v>
      </c>
      <c r="BH88" s="12" t="s">
        <v>1046</v>
      </c>
      <c r="BI88" s="12" t="s">
        <v>954</v>
      </c>
      <c r="BJ88" s="12" t="s">
        <v>974</v>
      </c>
      <c r="BK88" s="12" t="s">
        <v>636</v>
      </c>
      <c r="BL88" s="12" t="s">
        <v>1417</v>
      </c>
      <c r="BM88" s="12" t="s">
        <v>873</v>
      </c>
      <c r="BN88" s="12" t="s">
        <v>774</v>
      </c>
      <c r="BO88" s="12" t="s">
        <v>1531</v>
      </c>
      <c r="BP88" s="12" t="s">
        <v>684</v>
      </c>
      <c r="BQ88" s="12" t="s">
        <v>1027</v>
      </c>
      <c r="BR88" s="12" t="s">
        <v>1495</v>
      </c>
      <c r="BS88" s="12" t="s">
        <v>1840</v>
      </c>
      <c r="BT88" s="12" t="s">
        <v>1210</v>
      </c>
      <c r="BU88" s="12" t="s">
        <v>1164</v>
      </c>
      <c r="BV88" s="12" t="s">
        <v>2035</v>
      </c>
      <c r="BW88" s="12" t="s">
        <v>1690</v>
      </c>
      <c r="BX88" s="12" t="s">
        <v>960</v>
      </c>
      <c r="BY88" s="12" t="s">
        <v>654</v>
      </c>
      <c r="BZ88" s="12" t="s">
        <v>965</v>
      </c>
      <c r="CA88" s="12" t="s">
        <v>688</v>
      </c>
      <c r="CB88" s="12" t="s">
        <v>657</v>
      </c>
      <c r="CC88" s="12" t="s">
        <v>1846</v>
      </c>
      <c r="CD88" s="12" t="s">
        <v>778</v>
      </c>
      <c r="CE88" s="12" t="s">
        <v>661</v>
      </c>
      <c r="CF88" s="12" t="s">
        <v>1705</v>
      </c>
      <c r="CG88" s="12" t="s">
        <v>1374</v>
      </c>
      <c r="CH88" s="12" t="s">
        <v>2171</v>
      </c>
      <c r="CI88" s="12" t="s">
        <v>2172</v>
      </c>
      <c r="CJ88" s="12" t="s">
        <v>1376</v>
      </c>
      <c r="CK88" s="12" t="s">
        <v>1986</v>
      </c>
      <c r="CL88" s="12" t="s">
        <v>2173</v>
      </c>
      <c r="CM88" s="12" t="s">
        <v>1523</v>
      </c>
      <c r="CN88" s="12" t="s">
        <v>1051</v>
      </c>
      <c r="CO88" s="12" t="s">
        <v>2174</v>
      </c>
      <c r="CP88" s="12" t="s">
        <v>2175</v>
      </c>
      <c r="CQ88" s="12" t="s">
        <v>879</v>
      </c>
      <c r="CR88" s="12" t="s">
        <v>2176</v>
      </c>
      <c r="CS88" s="12" t="s">
        <v>2177</v>
      </c>
      <c r="CT88" s="12" t="s">
        <v>2178</v>
      </c>
    </row>
    <row r="89" spans="1:98" hidden="1" x14ac:dyDescent="0.3">
      <c r="A89" s="12" t="s">
        <v>25</v>
      </c>
      <c r="B89" s="12" t="s">
        <v>2179</v>
      </c>
      <c r="C89" s="12" t="s">
        <v>2180</v>
      </c>
      <c r="D89" s="12" t="s">
        <v>2181</v>
      </c>
      <c r="E89" s="12" t="s">
        <v>578</v>
      </c>
      <c r="F89" s="12" t="s">
        <v>578</v>
      </c>
      <c r="G89" s="12" t="s">
        <v>578</v>
      </c>
      <c r="H89" s="12" t="s">
        <v>578</v>
      </c>
      <c r="I89" s="12" t="s">
        <v>578</v>
      </c>
      <c r="J89" s="12" t="s">
        <v>578</v>
      </c>
      <c r="K89" s="12" t="s">
        <v>578</v>
      </c>
      <c r="L89" s="12" t="s">
        <v>578</v>
      </c>
      <c r="M89" s="12" t="s">
        <v>578</v>
      </c>
      <c r="N89" s="12" t="s">
        <v>578</v>
      </c>
      <c r="O89" s="12" t="s">
        <v>578</v>
      </c>
      <c r="P89" s="12" t="s">
        <v>578</v>
      </c>
      <c r="Q89" s="12" t="s">
        <v>578</v>
      </c>
      <c r="R89" s="12" t="s">
        <v>578</v>
      </c>
      <c r="S89" s="12" t="s">
        <v>578</v>
      </c>
      <c r="T89" s="12" t="s">
        <v>578</v>
      </c>
      <c r="U89" s="12" t="s">
        <v>578</v>
      </c>
      <c r="V89" s="12" t="s">
        <v>578</v>
      </c>
      <c r="W89" s="12" t="s">
        <v>578</v>
      </c>
      <c r="X89" s="12" t="s">
        <v>578</v>
      </c>
      <c r="Y89" s="12" t="s">
        <v>578</v>
      </c>
      <c r="Z89" s="12" t="s">
        <v>578</v>
      </c>
      <c r="AA89" s="12" t="s">
        <v>578</v>
      </c>
      <c r="AB89" s="12" t="s">
        <v>578</v>
      </c>
      <c r="AC89" s="12" t="s">
        <v>578</v>
      </c>
      <c r="AD89" s="12" t="s">
        <v>578</v>
      </c>
      <c r="AE89" s="12" t="s">
        <v>578</v>
      </c>
      <c r="AF89" s="12" t="s">
        <v>578</v>
      </c>
      <c r="AG89" s="12" t="s">
        <v>578</v>
      </c>
      <c r="AH89" s="12" t="s">
        <v>578</v>
      </c>
      <c r="AI89" s="12" t="s">
        <v>578</v>
      </c>
      <c r="AJ89" s="12" t="s">
        <v>578</v>
      </c>
      <c r="AK89" s="12" t="s">
        <v>578</v>
      </c>
      <c r="AL89" s="12" t="s">
        <v>578</v>
      </c>
      <c r="AM89" s="12" t="s">
        <v>578</v>
      </c>
      <c r="AN89" s="12" t="s">
        <v>578</v>
      </c>
      <c r="AO89" s="12" t="s">
        <v>578</v>
      </c>
      <c r="AP89" s="12" t="s">
        <v>578</v>
      </c>
      <c r="AQ89" s="12" t="s">
        <v>578</v>
      </c>
      <c r="AR89" s="12" t="s">
        <v>578</v>
      </c>
      <c r="AS89" s="12" t="s">
        <v>578</v>
      </c>
      <c r="AT89" s="12" t="s">
        <v>578</v>
      </c>
      <c r="AU89" s="12" t="s">
        <v>578</v>
      </c>
      <c r="AV89" s="12" t="s">
        <v>578</v>
      </c>
      <c r="AW89" s="12" t="s">
        <v>578</v>
      </c>
      <c r="AX89" s="12" t="s">
        <v>578</v>
      </c>
      <c r="AY89" s="12" t="s">
        <v>578</v>
      </c>
      <c r="AZ89" s="12" t="s">
        <v>578</v>
      </c>
      <c r="BA89" s="12" t="s">
        <v>578</v>
      </c>
      <c r="BB89" s="12" t="s">
        <v>579</v>
      </c>
      <c r="BC89" s="12" t="s">
        <v>579</v>
      </c>
      <c r="BD89" s="12" t="s">
        <v>579</v>
      </c>
      <c r="BE89" s="12" t="s">
        <v>579</v>
      </c>
      <c r="BF89" s="12" t="s">
        <v>579</v>
      </c>
      <c r="BG89" s="12" t="s">
        <v>579</v>
      </c>
      <c r="BH89" s="12" t="s">
        <v>581</v>
      </c>
      <c r="BI89" s="12" t="s">
        <v>851</v>
      </c>
      <c r="BJ89" s="12" t="s">
        <v>761</v>
      </c>
      <c r="BK89" s="12" t="s">
        <v>761</v>
      </c>
      <c r="BL89" s="12" t="s">
        <v>756</v>
      </c>
      <c r="BM89" s="12" t="s">
        <v>756</v>
      </c>
      <c r="BN89" s="12" t="s">
        <v>757</v>
      </c>
      <c r="BO89" s="12" t="s">
        <v>1120</v>
      </c>
      <c r="BP89" s="12" t="s">
        <v>856</v>
      </c>
      <c r="BQ89" s="12" t="s">
        <v>859</v>
      </c>
      <c r="BR89" s="12" t="s">
        <v>1732</v>
      </c>
      <c r="BS89" s="12" t="s">
        <v>1732</v>
      </c>
      <c r="BT89" s="12" t="s">
        <v>981</v>
      </c>
      <c r="BU89" s="12" t="s">
        <v>1686</v>
      </c>
      <c r="BV89" s="12" t="s">
        <v>1734</v>
      </c>
      <c r="BW89" s="12" t="s">
        <v>1838</v>
      </c>
      <c r="BX89" s="12" t="s">
        <v>814</v>
      </c>
      <c r="BY89" s="12" t="s">
        <v>1163</v>
      </c>
      <c r="BZ89" s="12" t="s">
        <v>1816</v>
      </c>
      <c r="CA89" s="12" t="s">
        <v>1393</v>
      </c>
      <c r="CB89" s="12" t="s">
        <v>1281</v>
      </c>
      <c r="CC89" s="12" t="s">
        <v>600</v>
      </c>
      <c r="CD89" s="12" t="s">
        <v>1398</v>
      </c>
      <c r="CE89" s="12" t="s">
        <v>603</v>
      </c>
      <c r="CF89" s="12" t="s">
        <v>603</v>
      </c>
      <c r="CG89" s="12" t="s">
        <v>1284</v>
      </c>
      <c r="CH89" s="12" t="s">
        <v>997</v>
      </c>
      <c r="CI89" s="12" t="s">
        <v>1986</v>
      </c>
      <c r="CJ89" s="12" t="s">
        <v>742</v>
      </c>
      <c r="CK89" s="12" t="s">
        <v>742</v>
      </c>
      <c r="CL89" s="12" t="s">
        <v>1287</v>
      </c>
      <c r="CM89" s="12" t="s">
        <v>1139</v>
      </c>
      <c r="CN89" s="12" t="s">
        <v>2182</v>
      </c>
      <c r="CO89" s="12" t="s">
        <v>691</v>
      </c>
      <c r="CP89" s="12" t="s">
        <v>691</v>
      </c>
      <c r="CQ89" s="12" t="s">
        <v>2183</v>
      </c>
      <c r="CR89" s="12" t="s">
        <v>2184</v>
      </c>
      <c r="CS89" s="12" t="s">
        <v>1900</v>
      </c>
      <c r="CT89" s="12" t="s">
        <v>2185</v>
      </c>
    </row>
    <row r="90" spans="1:98" hidden="1" x14ac:dyDescent="0.3">
      <c r="A90" s="12" t="s">
        <v>25</v>
      </c>
      <c r="B90" s="12" t="s">
        <v>2186</v>
      </c>
      <c r="C90" s="12" t="s">
        <v>2187</v>
      </c>
      <c r="D90" s="12" t="s">
        <v>2188</v>
      </c>
      <c r="E90" s="12" t="s">
        <v>578</v>
      </c>
      <c r="F90" s="12" t="s">
        <v>578</v>
      </c>
      <c r="G90" s="12" t="s">
        <v>578</v>
      </c>
      <c r="H90" s="12" t="s">
        <v>578</v>
      </c>
      <c r="I90" s="12" t="s">
        <v>578</v>
      </c>
      <c r="J90" s="12" t="s">
        <v>578</v>
      </c>
      <c r="K90" s="12" t="s">
        <v>578</v>
      </c>
      <c r="L90" s="12" t="s">
        <v>578</v>
      </c>
      <c r="M90" s="12" t="s">
        <v>578</v>
      </c>
      <c r="N90" s="12" t="s">
        <v>578</v>
      </c>
      <c r="O90" s="12" t="s">
        <v>578</v>
      </c>
      <c r="P90" s="12" t="s">
        <v>578</v>
      </c>
      <c r="Q90" s="12" t="s">
        <v>578</v>
      </c>
      <c r="R90" s="12" t="s">
        <v>578</v>
      </c>
      <c r="S90" s="12" t="s">
        <v>578</v>
      </c>
      <c r="T90" s="12" t="s">
        <v>578</v>
      </c>
      <c r="U90" s="12" t="s">
        <v>578</v>
      </c>
      <c r="V90" s="12" t="s">
        <v>578</v>
      </c>
      <c r="W90" s="12" t="s">
        <v>578</v>
      </c>
      <c r="X90" s="12" t="s">
        <v>578</v>
      </c>
      <c r="Y90" s="12" t="s">
        <v>578</v>
      </c>
      <c r="Z90" s="12" t="s">
        <v>578</v>
      </c>
      <c r="AA90" s="12" t="s">
        <v>578</v>
      </c>
      <c r="AB90" s="12" t="s">
        <v>578</v>
      </c>
      <c r="AC90" s="12" t="s">
        <v>578</v>
      </c>
      <c r="AD90" s="12" t="s">
        <v>578</v>
      </c>
      <c r="AE90" s="12" t="s">
        <v>578</v>
      </c>
      <c r="AF90" s="12" t="s">
        <v>578</v>
      </c>
      <c r="AG90" s="12" t="s">
        <v>578</v>
      </c>
      <c r="AH90" s="12" t="s">
        <v>578</v>
      </c>
      <c r="AI90" s="12" t="s">
        <v>578</v>
      </c>
      <c r="AJ90" s="12" t="s">
        <v>578</v>
      </c>
      <c r="AK90" s="12" t="s">
        <v>578</v>
      </c>
      <c r="AL90" s="12" t="s">
        <v>578</v>
      </c>
      <c r="AM90" s="12" t="s">
        <v>579</v>
      </c>
      <c r="AN90" s="12" t="s">
        <v>672</v>
      </c>
      <c r="AO90" s="12" t="s">
        <v>672</v>
      </c>
      <c r="AP90" s="12" t="s">
        <v>581</v>
      </c>
      <c r="AQ90" s="12" t="s">
        <v>851</v>
      </c>
      <c r="AR90" s="12" t="s">
        <v>582</v>
      </c>
      <c r="AS90" s="12" t="s">
        <v>582</v>
      </c>
      <c r="AT90" s="12" t="s">
        <v>761</v>
      </c>
      <c r="AU90" s="12" t="s">
        <v>624</v>
      </c>
      <c r="AV90" s="12" t="s">
        <v>624</v>
      </c>
      <c r="AW90" s="12" t="s">
        <v>583</v>
      </c>
      <c r="AX90" s="12" t="s">
        <v>625</v>
      </c>
      <c r="AY90" s="12" t="s">
        <v>625</v>
      </c>
      <c r="AZ90" s="12" t="s">
        <v>625</v>
      </c>
      <c r="BA90" s="12" t="s">
        <v>756</v>
      </c>
      <c r="BB90" s="12" t="s">
        <v>674</v>
      </c>
      <c r="BC90" s="12" t="s">
        <v>674</v>
      </c>
      <c r="BD90" s="12" t="s">
        <v>852</v>
      </c>
      <c r="BE90" s="12" t="s">
        <v>628</v>
      </c>
      <c r="BF90" s="12" t="s">
        <v>991</v>
      </c>
      <c r="BG90" s="12" t="s">
        <v>992</v>
      </c>
      <c r="BH90" s="12" t="s">
        <v>870</v>
      </c>
      <c r="BI90" s="12" t="s">
        <v>1184</v>
      </c>
      <c r="BJ90" s="12" t="s">
        <v>864</v>
      </c>
      <c r="BK90" s="12" t="s">
        <v>773</v>
      </c>
      <c r="BL90" s="12" t="s">
        <v>1604</v>
      </c>
      <c r="BM90" s="12" t="s">
        <v>1492</v>
      </c>
      <c r="BN90" s="12" t="s">
        <v>1609</v>
      </c>
      <c r="BO90" s="12" t="s">
        <v>2189</v>
      </c>
      <c r="BP90" s="12" t="s">
        <v>1699</v>
      </c>
      <c r="BQ90" s="12" t="s">
        <v>1035</v>
      </c>
      <c r="BR90" s="12" t="s">
        <v>1712</v>
      </c>
      <c r="BS90" s="12" t="s">
        <v>2190</v>
      </c>
      <c r="BT90" s="12" t="s">
        <v>748</v>
      </c>
      <c r="BU90" s="12" t="s">
        <v>2191</v>
      </c>
      <c r="BV90" s="12" t="s">
        <v>2192</v>
      </c>
      <c r="BW90" s="12" t="s">
        <v>2193</v>
      </c>
      <c r="BX90" s="12" t="s">
        <v>1971</v>
      </c>
      <c r="BY90" s="12" t="s">
        <v>2194</v>
      </c>
      <c r="BZ90" s="12" t="s">
        <v>2195</v>
      </c>
      <c r="CA90" s="12" t="s">
        <v>2196</v>
      </c>
      <c r="CB90" s="12" t="s">
        <v>2197</v>
      </c>
      <c r="CC90" s="12" t="s">
        <v>2198</v>
      </c>
      <c r="CD90" s="12" t="s">
        <v>1021</v>
      </c>
      <c r="CE90" s="12" t="s">
        <v>2199</v>
      </c>
      <c r="CF90" s="12" t="s">
        <v>2200</v>
      </c>
      <c r="CG90" s="12" t="s">
        <v>2201</v>
      </c>
      <c r="CH90" s="12" t="s">
        <v>2202</v>
      </c>
      <c r="CI90" s="12" t="s">
        <v>2203</v>
      </c>
      <c r="CJ90" s="12" t="s">
        <v>2204</v>
      </c>
      <c r="CK90" s="12" t="s">
        <v>2205</v>
      </c>
      <c r="CL90" s="12" t="s">
        <v>885</v>
      </c>
      <c r="CM90" s="12" t="s">
        <v>2206</v>
      </c>
      <c r="CN90" s="12" t="s">
        <v>2207</v>
      </c>
      <c r="CO90" s="12" t="s">
        <v>2208</v>
      </c>
      <c r="CP90" s="12" t="s">
        <v>1154</v>
      </c>
      <c r="CQ90" s="12" t="s">
        <v>2209</v>
      </c>
      <c r="CR90" s="12" t="s">
        <v>2210</v>
      </c>
      <c r="CS90" s="12" t="s">
        <v>1192</v>
      </c>
      <c r="CT90" s="12" t="s">
        <v>2211</v>
      </c>
    </row>
    <row r="91" spans="1:98" hidden="1" x14ac:dyDescent="0.3">
      <c r="A91" s="12" t="s">
        <v>25</v>
      </c>
      <c r="B91" s="12" t="s">
        <v>2212</v>
      </c>
      <c r="C91" s="12" t="s">
        <v>2213</v>
      </c>
      <c r="D91" s="12" t="s">
        <v>2213</v>
      </c>
      <c r="E91" s="12" t="s">
        <v>578</v>
      </c>
      <c r="F91" s="12" t="s">
        <v>578</v>
      </c>
      <c r="G91" s="12" t="s">
        <v>578</v>
      </c>
      <c r="H91" s="12" t="s">
        <v>578</v>
      </c>
      <c r="I91" s="12" t="s">
        <v>578</v>
      </c>
      <c r="J91" s="12" t="s">
        <v>578</v>
      </c>
      <c r="K91" s="12" t="s">
        <v>578</v>
      </c>
      <c r="L91" s="12" t="s">
        <v>578</v>
      </c>
      <c r="M91" s="12" t="s">
        <v>578</v>
      </c>
      <c r="N91" s="12" t="s">
        <v>578</v>
      </c>
      <c r="O91" s="12" t="s">
        <v>578</v>
      </c>
      <c r="P91" s="12" t="s">
        <v>578</v>
      </c>
      <c r="Q91" s="12" t="s">
        <v>578</v>
      </c>
      <c r="R91" s="12" t="s">
        <v>578</v>
      </c>
      <c r="S91" s="12" t="s">
        <v>578</v>
      </c>
      <c r="T91" s="12" t="s">
        <v>578</v>
      </c>
      <c r="U91" s="12" t="s">
        <v>919</v>
      </c>
      <c r="V91" s="12" t="s">
        <v>919</v>
      </c>
      <c r="W91" s="12" t="s">
        <v>633</v>
      </c>
      <c r="X91" s="12" t="s">
        <v>1356</v>
      </c>
      <c r="Y91" s="12" t="s">
        <v>1356</v>
      </c>
      <c r="Z91" s="12" t="s">
        <v>1026</v>
      </c>
      <c r="AA91" s="12" t="s">
        <v>1026</v>
      </c>
      <c r="AB91" s="12" t="s">
        <v>1163</v>
      </c>
      <c r="AC91" s="12" t="s">
        <v>1129</v>
      </c>
      <c r="AD91" s="12" t="s">
        <v>995</v>
      </c>
      <c r="AE91" s="12" t="s">
        <v>688</v>
      </c>
      <c r="AF91" s="12" t="s">
        <v>1402</v>
      </c>
      <c r="AG91" s="12" t="s">
        <v>1165</v>
      </c>
      <c r="AH91" s="12" t="s">
        <v>666</v>
      </c>
      <c r="AI91" s="12" t="s">
        <v>666</v>
      </c>
      <c r="AJ91" s="12" t="s">
        <v>666</v>
      </c>
      <c r="AK91" s="12" t="s">
        <v>2214</v>
      </c>
      <c r="AL91" s="12" t="s">
        <v>2214</v>
      </c>
      <c r="AM91" s="12" t="s">
        <v>2214</v>
      </c>
      <c r="AN91" s="12" t="s">
        <v>2215</v>
      </c>
      <c r="AO91" s="12" t="s">
        <v>2215</v>
      </c>
      <c r="AP91" s="12" t="s">
        <v>2215</v>
      </c>
      <c r="AQ91" s="12" t="s">
        <v>2215</v>
      </c>
      <c r="AR91" s="12" t="s">
        <v>2215</v>
      </c>
      <c r="AS91" s="12" t="s">
        <v>2215</v>
      </c>
      <c r="AT91" s="12" t="s">
        <v>2216</v>
      </c>
      <c r="AU91" s="12" t="s">
        <v>2216</v>
      </c>
      <c r="AV91" s="12" t="s">
        <v>2216</v>
      </c>
      <c r="AW91" s="12" t="s">
        <v>2216</v>
      </c>
      <c r="AX91" s="12" t="s">
        <v>2216</v>
      </c>
      <c r="AY91" s="12" t="s">
        <v>2216</v>
      </c>
      <c r="AZ91" s="12" t="s">
        <v>2216</v>
      </c>
      <c r="BA91" s="12" t="s">
        <v>2216</v>
      </c>
      <c r="BB91" s="12" t="s">
        <v>2216</v>
      </c>
      <c r="BC91" s="12" t="s">
        <v>2216</v>
      </c>
      <c r="BD91" s="12" t="s">
        <v>2216</v>
      </c>
      <c r="BE91" s="12" t="s">
        <v>2216</v>
      </c>
      <c r="BF91" s="12" t="s">
        <v>2216</v>
      </c>
      <c r="BG91" s="12" t="s">
        <v>2216</v>
      </c>
      <c r="BH91" s="12" t="s">
        <v>2216</v>
      </c>
      <c r="BI91" s="12" t="s">
        <v>2217</v>
      </c>
      <c r="BJ91" s="12" t="s">
        <v>2217</v>
      </c>
      <c r="BK91" s="12" t="s">
        <v>2217</v>
      </c>
      <c r="BL91" s="12" t="s">
        <v>2217</v>
      </c>
      <c r="BM91" s="12" t="s">
        <v>2217</v>
      </c>
      <c r="BN91" s="12" t="s">
        <v>2217</v>
      </c>
      <c r="BO91" s="12" t="s">
        <v>2217</v>
      </c>
      <c r="BP91" s="12" t="s">
        <v>2217</v>
      </c>
      <c r="BQ91" s="12" t="s">
        <v>2217</v>
      </c>
      <c r="BR91" s="12" t="s">
        <v>2217</v>
      </c>
      <c r="BS91" s="12" t="s">
        <v>2217</v>
      </c>
      <c r="BT91" s="12" t="s">
        <v>2217</v>
      </c>
      <c r="BU91" s="12" t="s">
        <v>2217</v>
      </c>
      <c r="BV91" s="12" t="s">
        <v>2217</v>
      </c>
      <c r="BW91" s="12" t="s">
        <v>2217</v>
      </c>
      <c r="BX91" s="12" t="s">
        <v>2217</v>
      </c>
      <c r="BY91" s="12" t="s">
        <v>2217</v>
      </c>
      <c r="BZ91" s="12" t="s">
        <v>2217</v>
      </c>
      <c r="CA91" s="12" t="s">
        <v>2217</v>
      </c>
      <c r="CB91" s="12" t="s">
        <v>2217</v>
      </c>
      <c r="CC91" s="12" t="s">
        <v>2217</v>
      </c>
      <c r="CD91" s="12" t="s">
        <v>2217</v>
      </c>
      <c r="CE91" s="12" t="s">
        <v>2217</v>
      </c>
      <c r="CF91" s="12" t="s">
        <v>2217</v>
      </c>
      <c r="CG91" s="12" t="s">
        <v>2217</v>
      </c>
      <c r="CH91" s="12" t="s">
        <v>2217</v>
      </c>
      <c r="CI91" s="12" t="s">
        <v>2217</v>
      </c>
      <c r="CJ91" s="12" t="s">
        <v>2217</v>
      </c>
      <c r="CK91" s="12" t="s">
        <v>2217</v>
      </c>
      <c r="CL91" s="12" t="s">
        <v>2217</v>
      </c>
      <c r="CM91" s="12" t="s">
        <v>2217</v>
      </c>
      <c r="CN91" s="12" t="s">
        <v>2217</v>
      </c>
      <c r="CO91" s="12" t="s">
        <v>2217</v>
      </c>
      <c r="CP91" s="12" t="s">
        <v>2217</v>
      </c>
      <c r="CQ91" s="12" t="s">
        <v>2217</v>
      </c>
      <c r="CR91" s="12" t="s">
        <v>2217</v>
      </c>
      <c r="CS91" s="12" t="s">
        <v>2217</v>
      </c>
      <c r="CT91" s="12" t="s">
        <v>2217</v>
      </c>
    </row>
    <row r="92" spans="1:98" hidden="1" x14ac:dyDescent="0.3">
      <c r="A92" s="12" t="s">
        <v>25</v>
      </c>
      <c r="B92" s="12" t="s">
        <v>2218</v>
      </c>
      <c r="C92" s="12" t="s">
        <v>2219</v>
      </c>
      <c r="D92" s="12" t="s">
        <v>2220</v>
      </c>
      <c r="E92" s="12" t="s">
        <v>578</v>
      </c>
      <c r="F92" s="12" t="s">
        <v>578</v>
      </c>
      <c r="G92" s="12" t="s">
        <v>578</v>
      </c>
      <c r="H92" s="12" t="s">
        <v>578</v>
      </c>
      <c r="I92" s="12" t="s">
        <v>578</v>
      </c>
      <c r="J92" s="12" t="s">
        <v>578</v>
      </c>
      <c r="K92" s="12" t="s">
        <v>578</v>
      </c>
      <c r="L92" s="12" t="s">
        <v>578</v>
      </c>
      <c r="M92" s="12" t="s">
        <v>578</v>
      </c>
      <c r="N92" s="12" t="s">
        <v>578</v>
      </c>
      <c r="O92" s="12" t="s">
        <v>578</v>
      </c>
      <c r="P92" s="12" t="s">
        <v>578</v>
      </c>
      <c r="Q92" s="12" t="s">
        <v>578</v>
      </c>
      <c r="R92" s="12" t="s">
        <v>578</v>
      </c>
      <c r="S92" s="12" t="s">
        <v>578</v>
      </c>
      <c r="T92" s="12" t="s">
        <v>578</v>
      </c>
      <c r="U92" s="12" t="s">
        <v>578</v>
      </c>
      <c r="V92" s="12" t="s">
        <v>578</v>
      </c>
      <c r="W92" s="12" t="s">
        <v>578</v>
      </c>
      <c r="X92" s="12" t="s">
        <v>578</v>
      </c>
      <c r="Y92" s="12" t="s">
        <v>578</v>
      </c>
      <c r="Z92" s="12" t="s">
        <v>578</v>
      </c>
      <c r="AA92" s="12" t="s">
        <v>578</v>
      </c>
      <c r="AB92" s="12" t="s">
        <v>578</v>
      </c>
      <c r="AC92" s="12" t="s">
        <v>578</v>
      </c>
      <c r="AD92" s="12" t="s">
        <v>578</v>
      </c>
      <c r="AE92" s="12" t="s">
        <v>578</v>
      </c>
      <c r="AF92" s="12" t="s">
        <v>578</v>
      </c>
      <c r="AG92" s="12" t="s">
        <v>578</v>
      </c>
      <c r="AH92" s="12" t="s">
        <v>578</v>
      </c>
      <c r="AI92" s="12" t="s">
        <v>578</v>
      </c>
      <c r="AJ92" s="12" t="s">
        <v>578</v>
      </c>
      <c r="AK92" s="12" t="s">
        <v>578</v>
      </c>
      <c r="AL92" s="12" t="s">
        <v>578</v>
      </c>
      <c r="AM92" s="12" t="s">
        <v>578</v>
      </c>
      <c r="AN92" s="12" t="s">
        <v>578</v>
      </c>
      <c r="AO92" s="12" t="s">
        <v>578</v>
      </c>
      <c r="AP92" s="12" t="s">
        <v>578</v>
      </c>
      <c r="AQ92" s="12" t="s">
        <v>578</v>
      </c>
      <c r="AR92" s="12" t="s">
        <v>578</v>
      </c>
      <c r="AS92" s="12" t="s">
        <v>578</v>
      </c>
      <c r="AT92" s="12" t="s">
        <v>578</v>
      </c>
      <c r="AU92" s="12" t="s">
        <v>578</v>
      </c>
      <c r="AV92" s="12" t="s">
        <v>578</v>
      </c>
      <c r="AW92" s="12" t="s">
        <v>578</v>
      </c>
      <c r="AX92" s="12" t="s">
        <v>578</v>
      </c>
      <c r="AY92" s="12" t="s">
        <v>578</v>
      </c>
      <c r="AZ92" s="12" t="s">
        <v>578</v>
      </c>
      <c r="BA92" s="12" t="s">
        <v>578</v>
      </c>
      <c r="BB92" s="12" t="s">
        <v>578</v>
      </c>
      <c r="BC92" s="12" t="s">
        <v>672</v>
      </c>
      <c r="BD92" s="12" t="s">
        <v>580</v>
      </c>
      <c r="BE92" s="12" t="s">
        <v>580</v>
      </c>
      <c r="BF92" s="12" t="s">
        <v>580</v>
      </c>
      <c r="BG92" s="12" t="s">
        <v>580</v>
      </c>
      <c r="BH92" s="12" t="s">
        <v>581</v>
      </c>
      <c r="BI92" s="12" t="s">
        <v>582</v>
      </c>
      <c r="BJ92" s="12" t="s">
        <v>583</v>
      </c>
      <c r="BK92" s="12" t="s">
        <v>584</v>
      </c>
      <c r="BL92" s="12" t="s">
        <v>585</v>
      </c>
      <c r="BM92" s="12" t="s">
        <v>917</v>
      </c>
      <c r="BN92" s="12" t="s">
        <v>588</v>
      </c>
      <c r="BO92" s="12" t="s">
        <v>678</v>
      </c>
      <c r="BP92" s="12" t="s">
        <v>992</v>
      </c>
      <c r="BQ92" s="12" t="s">
        <v>955</v>
      </c>
      <c r="BR92" s="12" t="s">
        <v>856</v>
      </c>
      <c r="BS92" s="12" t="s">
        <v>1418</v>
      </c>
      <c r="BT92" s="12" t="s">
        <v>683</v>
      </c>
      <c r="BU92" s="12" t="s">
        <v>594</v>
      </c>
      <c r="BV92" s="12" t="s">
        <v>640</v>
      </c>
      <c r="BW92" s="12" t="s">
        <v>642</v>
      </c>
      <c r="BX92" s="12" t="s">
        <v>1423</v>
      </c>
      <c r="BY92" s="12" t="s">
        <v>2221</v>
      </c>
      <c r="BZ92" s="12" t="s">
        <v>1395</v>
      </c>
      <c r="CA92" s="12" t="s">
        <v>1611</v>
      </c>
      <c r="CB92" s="12" t="s">
        <v>1746</v>
      </c>
      <c r="CC92" s="12" t="s">
        <v>960</v>
      </c>
      <c r="CD92" s="12" t="s">
        <v>1369</v>
      </c>
      <c r="CE92" s="12" t="s">
        <v>1134</v>
      </c>
      <c r="CF92" s="12" t="s">
        <v>739</v>
      </c>
      <c r="CG92" s="12" t="s">
        <v>2222</v>
      </c>
      <c r="CH92" s="12" t="s">
        <v>879</v>
      </c>
      <c r="CI92" s="12" t="s">
        <v>2223</v>
      </c>
      <c r="CJ92" s="12" t="s">
        <v>2224</v>
      </c>
      <c r="CK92" s="12" t="s">
        <v>2225</v>
      </c>
      <c r="CL92" s="12" t="s">
        <v>1895</v>
      </c>
      <c r="CM92" s="12" t="s">
        <v>2226</v>
      </c>
      <c r="CN92" s="12" t="s">
        <v>692</v>
      </c>
      <c r="CO92" s="12" t="s">
        <v>1902</v>
      </c>
      <c r="CP92" s="12" t="s">
        <v>2227</v>
      </c>
      <c r="CQ92" s="12" t="s">
        <v>2228</v>
      </c>
      <c r="CR92" s="12" t="s">
        <v>2229</v>
      </c>
      <c r="CS92" s="12" t="s">
        <v>2230</v>
      </c>
      <c r="CT92" s="12" t="s">
        <v>1300</v>
      </c>
    </row>
    <row r="93" spans="1:98" hidden="1" x14ac:dyDescent="0.3">
      <c r="A93" s="12" t="s">
        <v>25</v>
      </c>
      <c r="B93" s="12" t="s">
        <v>2231</v>
      </c>
      <c r="C93" s="12" t="s">
        <v>2232</v>
      </c>
      <c r="D93" s="12" t="s">
        <v>2233</v>
      </c>
      <c r="E93" s="12" t="s">
        <v>578</v>
      </c>
      <c r="F93" s="12" t="s">
        <v>578</v>
      </c>
      <c r="G93" s="12" t="s">
        <v>578</v>
      </c>
      <c r="H93" s="12" t="s">
        <v>578</v>
      </c>
      <c r="I93" s="12" t="s">
        <v>578</v>
      </c>
      <c r="J93" s="12" t="s">
        <v>578</v>
      </c>
      <c r="K93" s="12" t="s">
        <v>578</v>
      </c>
      <c r="L93" s="12" t="s">
        <v>578</v>
      </c>
      <c r="M93" s="12" t="s">
        <v>578</v>
      </c>
      <c r="N93" s="12" t="s">
        <v>578</v>
      </c>
      <c r="O93" s="12" t="s">
        <v>578</v>
      </c>
      <c r="P93" s="12" t="s">
        <v>578</v>
      </c>
      <c r="Q93" s="12" t="s">
        <v>578</v>
      </c>
      <c r="R93" s="12" t="s">
        <v>578</v>
      </c>
      <c r="S93" s="12" t="s">
        <v>578</v>
      </c>
      <c r="T93" s="12" t="s">
        <v>578</v>
      </c>
      <c r="U93" s="12" t="s">
        <v>578</v>
      </c>
      <c r="V93" s="12" t="s">
        <v>578</v>
      </c>
      <c r="W93" s="12" t="s">
        <v>578</v>
      </c>
      <c r="X93" s="12" t="s">
        <v>578</v>
      </c>
      <c r="Y93" s="12" t="s">
        <v>578</v>
      </c>
      <c r="Z93" s="12" t="s">
        <v>578</v>
      </c>
      <c r="AA93" s="12" t="s">
        <v>578</v>
      </c>
      <c r="AB93" s="12" t="s">
        <v>578</v>
      </c>
      <c r="AC93" s="12" t="s">
        <v>578</v>
      </c>
      <c r="AD93" s="12" t="s">
        <v>578</v>
      </c>
      <c r="AE93" s="12" t="s">
        <v>578</v>
      </c>
      <c r="AF93" s="12" t="s">
        <v>578</v>
      </c>
      <c r="AG93" s="12" t="s">
        <v>578</v>
      </c>
      <c r="AH93" s="12" t="s">
        <v>578</v>
      </c>
      <c r="AI93" s="12" t="s">
        <v>578</v>
      </c>
      <c r="AJ93" s="12" t="s">
        <v>578</v>
      </c>
      <c r="AK93" s="12" t="s">
        <v>578</v>
      </c>
      <c r="AL93" s="12" t="s">
        <v>578</v>
      </c>
      <c r="AM93" s="12" t="s">
        <v>578</v>
      </c>
      <c r="AN93" s="12" t="s">
        <v>578</v>
      </c>
      <c r="AO93" s="12" t="s">
        <v>578</v>
      </c>
      <c r="AP93" s="12" t="s">
        <v>578</v>
      </c>
      <c r="AQ93" s="12" t="s">
        <v>578</v>
      </c>
      <c r="AR93" s="12" t="s">
        <v>578</v>
      </c>
      <c r="AS93" s="12" t="s">
        <v>578</v>
      </c>
      <c r="AT93" s="12" t="s">
        <v>578</v>
      </c>
      <c r="AU93" s="12" t="s">
        <v>578</v>
      </c>
      <c r="AV93" s="12" t="s">
        <v>578</v>
      </c>
      <c r="AW93" s="12" t="s">
        <v>578</v>
      </c>
      <c r="AX93" s="12" t="s">
        <v>578</v>
      </c>
      <c r="AY93" s="12" t="s">
        <v>578</v>
      </c>
      <c r="AZ93" s="12" t="s">
        <v>623</v>
      </c>
      <c r="BA93" s="12" t="s">
        <v>672</v>
      </c>
      <c r="BB93" s="12" t="s">
        <v>851</v>
      </c>
      <c r="BC93" s="12" t="s">
        <v>851</v>
      </c>
      <c r="BD93" s="12" t="s">
        <v>756</v>
      </c>
      <c r="BE93" s="12" t="s">
        <v>676</v>
      </c>
      <c r="BF93" s="12" t="s">
        <v>676</v>
      </c>
      <c r="BG93" s="12" t="s">
        <v>627</v>
      </c>
      <c r="BH93" s="12" t="s">
        <v>918</v>
      </c>
      <c r="BI93" s="12" t="s">
        <v>991</v>
      </c>
      <c r="BJ93" s="12" t="s">
        <v>955</v>
      </c>
      <c r="BK93" s="12" t="s">
        <v>955</v>
      </c>
      <c r="BL93" s="12" t="s">
        <v>590</v>
      </c>
      <c r="BM93" s="12" t="s">
        <v>1125</v>
      </c>
      <c r="BN93" s="12" t="s">
        <v>1500</v>
      </c>
      <c r="BO93" s="12" t="s">
        <v>1750</v>
      </c>
      <c r="BP93" s="12" t="s">
        <v>1261</v>
      </c>
      <c r="BQ93" s="12" t="s">
        <v>639</v>
      </c>
      <c r="BR93" s="12" t="s">
        <v>1310</v>
      </c>
      <c r="BS93" s="12" t="s">
        <v>1734</v>
      </c>
      <c r="BT93" s="12" t="s">
        <v>1126</v>
      </c>
      <c r="BU93" s="12" t="s">
        <v>685</v>
      </c>
      <c r="BV93" s="12" t="s">
        <v>1494</v>
      </c>
      <c r="BW93" s="12" t="s">
        <v>1611</v>
      </c>
      <c r="BX93" s="12" t="s">
        <v>1888</v>
      </c>
      <c r="BY93" s="12" t="s">
        <v>960</v>
      </c>
      <c r="BZ93" s="12" t="s">
        <v>1698</v>
      </c>
      <c r="CA93" s="12" t="s">
        <v>656</v>
      </c>
      <c r="CB93" s="12" t="s">
        <v>1269</v>
      </c>
      <c r="CC93" s="12" t="s">
        <v>659</v>
      </c>
      <c r="CD93" s="12" t="s">
        <v>2066</v>
      </c>
      <c r="CE93" s="12" t="s">
        <v>739</v>
      </c>
      <c r="CF93" s="12" t="s">
        <v>2171</v>
      </c>
      <c r="CG93" s="12" t="s">
        <v>1408</v>
      </c>
      <c r="CH93" s="12" t="s">
        <v>1988</v>
      </c>
      <c r="CI93" s="12" t="s">
        <v>2175</v>
      </c>
      <c r="CJ93" s="12" t="s">
        <v>2234</v>
      </c>
      <c r="CK93" s="12" t="s">
        <v>2235</v>
      </c>
      <c r="CL93" s="12" t="s">
        <v>2236</v>
      </c>
      <c r="CM93" s="12" t="s">
        <v>2039</v>
      </c>
      <c r="CN93" s="12" t="s">
        <v>1906</v>
      </c>
      <c r="CO93" s="12" t="s">
        <v>2044</v>
      </c>
      <c r="CP93" s="12" t="s">
        <v>1526</v>
      </c>
      <c r="CQ93" s="12" t="s">
        <v>610</v>
      </c>
      <c r="CR93" s="12" t="s">
        <v>2191</v>
      </c>
      <c r="CS93" s="12" t="s">
        <v>2237</v>
      </c>
      <c r="CT93" s="12" t="s">
        <v>1290</v>
      </c>
    </row>
    <row r="94" spans="1:98" hidden="1" x14ac:dyDescent="0.3">
      <c r="A94" s="12" t="s">
        <v>25</v>
      </c>
      <c r="B94" s="12" t="s">
        <v>2238</v>
      </c>
      <c r="C94" s="12" t="s">
        <v>2239</v>
      </c>
      <c r="D94" s="12" t="s">
        <v>2240</v>
      </c>
      <c r="E94" s="12" t="s">
        <v>578</v>
      </c>
      <c r="F94" s="12" t="s">
        <v>578</v>
      </c>
      <c r="G94" s="12" t="s">
        <v>578</v>
      </c>
      <c r="H94" s="12" t="s">
        <v>578</v>
      </c>
      <c r="I94" s="12" t="s">
        <v>578</v>
      </c>
      <c r="J94" s="12" t="s">
        <v>578</v>
      </c>
      <c r="K94" s="12" t="s">
        <v>578</v>
      </c>
      <c r="L94" s="12" t="s">
        <v>578</v>
      </c>
      <c r="M94" s="12" t="s">
        <v>578</v>
      </c>
      <c r="N94" s="12" t="s">
        <v>578</v>
      </c>
      <c r="O94" s="12" t="s">
        <v>578</v>
      </c>
      <c r="P94" s="12" t="s">
        <v>578</v>
      </c>
      <c r="Q94" s="12" t="s">
        <v>578</v>
      </c>
      <c r="R94" s="12" t="s">
        <v>578</v>
      </c>
      <c r="S94" s="12" t="s">
        <v>578</v>
      </c>
      <c r="T94" s="12" t="s">
        <v>578</v>
      </c>
      <c r="U94" s="12" t="s">
        <v>578</v>
      </c>
      <c r="V94" s="12" t="s">
        <v>578</v>
      </c>
      <c r="W94" s="12" t="s">
        <v>578</v>
      </c>
      <c r="X94" s="12" t="s">
        <v>578</v>
      </c>
      <c r="Y94" s="12" t="s">
        <v>578</v>
      </c>
      <c r="Z94" s="12" t="s">
        <v>578</v>
      </c>
      <c r="AA94" s="12" t="s">
        <v>578</v>
      </c>
      <c r="AB94" s="12" t="s">
        <v>578</v>
      </c>
      <c r="AC94" s="12" t="s">
        <v>578</v>
      </c>
      <c r="AD94" s="12" t="s">
        <v>578</v>
      </c>
      <c r="AE94" s="12" t="s">
        <v>578</v>
      </c>
      <c r="AF94" s="12" t="s">
        <v>578</v>
      </c>
      <c r="AG94" s="12" t="s">
        <v>578</v>
      </c>
      <c r="AH94" s="12" t="s">
        <v>578</v>
      </c>
      <c r="AI94" s="12" t="s">
        <v>578</v>
      </c>
      <c r="AJ94" s="12" t="s">
        <v>578</v>
      </c>
      <c r="AK94" s="12" t="s">
        <v>578</v>
      </c>
      <c r="AL94" s="12" t="s">
        <v>578</v>
      </c>
      <c r="AM94" s="12" t="s">
        <v>578</v>
      </c>
      <c r="AN94" s="12" t="s">
        <v>578</v>
      </c>
      <c r="AO94" s="12" t="s">
        <v>578</v>
      </c>
      <c r="AP94" s="12" t="s">
        <v>578</v>
      </c>
      <c r="AQ94" s="12" t="s">
        <v>578</v>
      </c>
      <c r="AR94" s="12" t="s">
        <v>672</v>
      </c>
      <c r="AS94" s="12" t="s">
        <v>672</v>
      </c>
      <c r="AT94" s="12" t="s">
        <v>581</v>
      </c>
      <c r="AU94" s="12" t="s">
        <v>755</v>
      </c>
      <c r="AV94" s="12" t="s">
        <v>625</v>
      </c>
      <c r="AW94" s="12" t="s">
        <v>808</v>
      </c>
      <c r="AX94" s="12" t="s">
        <v>674</v>
      </c>
      <c r="AY94" s="12" t="s">
        <v>766</v>
      </c>
      <c r="AZ94" s="12" t="s">
        <v>766</v>
      </c>
      <c r="BA94" s="12" t="s">
        <v>1046</v>
      </c>
      <c r="BB94" s="12" t="s">
        <v>857</v>
      </c>
      <c r="BC94" s="12" t="s">
        <v>591</v>
      </c>
      <c r="BD94" s="12" t="s">
        <v>2013</v>
      </c>
      <c r="BE94" s="12" t="s">
        <v>1976</v>
      </c>
      <c r="BF94" s="12" t="s">
        <v>1491</v>
      </c>
      <c r="BG94" s="12" t="s">
        <v>1098</v>
      </c>
      <c r="BH94" s="12" t="s">
        <v>960</v>
      </c>
      <c r="BI94" s="12" t="s">
        <v>1843</v>
      </c>
      <c r="BJ94" s="12" t="s">
        <v>2241</v>
      </c>
      <c r="BK94" s="12" t="s">
        <v>828</v>
      </c>
      <c r="BL94" s="12" t="s">
        <v>2242</v>
      </c>
      <c r="BM94" s="12" t="s">
        <v>2243</v>
      </c>
      <c r="BN94" s="12" t="s">
        <v>2124</v>
      </c>
      <c r="BO94" s="12" t="s">
        <v>2244</v>
      </c>
      <c r="BP94" s="12" t="s">
        <v>2245</v>
      </c>
      <c r="BQ94" s="12" t="s">
        <v>2246</v>
      </c>
      <c r="BR94" s="12" t="s">
        <v>2247</v>
      </c>
      <c r="BS94" s="12" t="s">
        <v>2248</v>
      </c>
      <c r="BT94" s="12" t="s">
        <v>2249</v>
      </c>
      <c r="BU94" s="12" t="s">
        <v>2250</v>
      </c>
      <c r="BV94" s="12" t="s">
        <v>2251</v>
      </c>
      <c r="BW94" s="12" t="s">
        <v>2252</v>
      </c>
      <c r="BX94" s="12" t="s">
        <v>2253</v>
      </c>
      <c r="BY94" s="12" t="s">
        <v>2254</v>
      </c>
      <c r="BZ94" s="12" t="s">
        <v>2255</v>
      </c>
      <c r="CA94" s="12" t="s">
        <v>2256</v>
      </c>
      <c r="CB94" s="12" t="s">
        <v>2257</v>
      </c>
      <c r="CC94" s="12" t="s">
        <v>2258</v>
      </c>
      <c r="CD94" s="12" t="s">
        <v>2259</v>
      </c>
      <c r="CE94" s="12" t="s">
        <v>2260</v>
      </c>
      <c r="CF94" s="12" t="s">
        <v>2261</v>
      </c>
      <c r="CG94" s="12" t="s">
        <v>2262</v>
      </c>
      <c r="CH94" s="12" t="s">
        <v>2263</v>
      </c>
      <c r="CI94" s="12" t="s">
        <v>2264</v>
      </c>
      <c r="CJ94" s="12" t="s">
        <v>2265</v>
      </c>
      <c r="CK94" s="12" t="s">
        <v>2266</v>
      </c>
      <c r="CL94" s="12" t="s">
        <v>2267</v>
      </c>
      <c r="CM94" s="12" t="s">
        <v>2268</v>
      </c>
      <c r="CN94" s="12" t="s">
        <v>2269</v>
      </c>
      <c r="CO94" s="12" t="s">
        <v>2270</v>
      </c>
      <c r="CP94" s="12" t="s">
        <v>2271</v>
      </c>
      <c r="CQ94" s="12" t="s">
        <v>2272</v>
      </c>
      <c r="CR94" s="12" t="s">
        <v>2273</v>
      </c>
      <c r="CS94" s="12" t="s">
        <v>2274</v>
      </c>
      <c r="CT94" s="12" t="s">
        <v>2275</v>
      </c>
    </row>
    <row r="95" spans="1:98" hidden="1" x14ac:dyDescent="0.3">
      <c r="A95" s="12" t="s">
        <v>2276</v>
      </c>
      <c r="B95" s="12" t="s">
        <v>2277</v>
      </c>
      <c r="C95" s="12" t="s">
        <v>2278</v>
      </c>
      <c r="D95" s="12" t="s">
        <v>2279</v>
      </c>
      <c r="E95" s="12" t="s">
        <v>578</v>
      </c>
      <c r="F95" s="12" t="s">
        <v>578</v>
      </c>
      <c r="G95" s="12" t="s">
        <v>578</v>
      </c>
      <c r="H95" s="12" t="s">
        <v>578</v>
      </c>
      <c r="I95" s="12" t="s">
        <v>578</v>
      </c>
      <c r="J95" s="12" t="s">
        <v>578</v>
      </c>
      <c r="K95" s="12" t="s">
        <v>578</v>
      </c>
      <c r="L95" s="12" t="s">
        <v>578</v>
      </c>
      <c r="M95" s="12" t="s">
        <v>578</v>
      </c>
      <c r="N95" s="12" t="s">
        <v>578</v>
      </c>
      <c r="O95" s="12" t="s">
        <v>578</v>
      </c>
      <c r="P95" s="12" t="s">
        <v>578</v>
      </c>
      <c r="Q95" s="12" t="s">
        <v>578</v>
      </c>
      <c r="R95" s="12" t="s">
        <v>578</v>
      </c>
      <c r="S95" s="12" t="s">
        <v>578</v>
      </c>
      <c r="T95" s="12" t="s">
        <v>578</v>
      </c>
      <c r="U95" s="12" t="s">
        <v>578</v>
      </c>
      <c r="V95" s="12" t="s">
        <v>578</v>
      </c>
      <c r="W95" s="12" t="s">
        <v>578</v>
      </c>
      <c r="X95" s="12" t="s">
        <v>578</v>
      </c>
      <c r="Y95" s="12" t="s">
        <v>578</v>
      </c>
      <c r="Z95" s="12" t="s">
        <v>578</v>
      </c>
      <c r="AA95" s="12" t="s">
        <v>578</v>
      </c>
      <c r="AB95" s="12" t="s">
        <v>578</v>
      </c>
      <c r="AC95" s="12" t="s">
        <v>578</v>
      </c>
      <c r="AD95" s="12" t="s">
        <v>578</v>
      </c>
      <c r="AE95" s="12" t="s">
        <v>578</v>
      </c>
      <c r="AF95" s="12" t="s">
        <v>578</v>
      </c>
      <c r="AG95" s="12" t="s">
        <v>578</v>
      </c>
      <c r="AH95" s="12" t="s">
        <v>578</v>
      </c>
      <c r="AI95" s="12" t="s">
        <v>578</v>
      </c>
      <c r="AJ95" s="12" t="s">
        <v>578</v>
      </c>
      <c r="AK95" s="12" t="s">
        <v>578</v>
      </c>
      <c r="AL95" s="12" t="s">
        <v>578</v>
      </c>
      <c r="AM95" s="12" t="s">
        <v>578</v>
      </c>
      <c r="AN95" s="12" t="s">
        <v>578</v>
      </c>
      <c r="AO95" s="12" t="s">
        <v>578</v>
      </c>
      <c r="AP95" s="12" t="s">
        <v>578</v>
      </c>
      <c r="AQ95" s="12" t="s">
        <v>578</v>
      </c>
      <c r="AR95" s="12" t="s">
        <v>578</v>
      </c>
      <c r="AS95" s="12" t="s">
        <v>578</v>
      </c>
      <c r="AT95" s="12" t="s">
        <v>578</v>
      </c>
      <c r="AU95" s="12" t="s">
        <v>579</v>
      </c>
      <c r="AV95" s="12" t="s">
        <v>579</v>
      </c>
      <c r="AW95" s="12" t="s">
        <v>579</v>
      </c>
      <c r="AX95" s="12" t="s">
        <v>579</v>
      </c>
      <c r="AY95" s="12" t="s">
        <v>623</v>
      </c>
      <c r="AZ95" s="12" t="s">
        <v>623</v>
      </c>
      <c r="BA95" s="12" t="s">
        <v>623</v>
      </c>
      <c r="BB95" s="12" t="s">
        <v>623</v>
      </c>
      <c r="BC95" s="12" t="s">
        <v>623</v>
      </c>
      <c r="BD95" s="12" t="s">
        <v>672</v>
      </c>
      <c r="BE95" s="12" t="s">
        <v>761</v>
      </c>
      <c r="BF95" s="12" t="s">
        <v>583</v>
      </c>
      <c r="BG95" s="12" t="s">
        <v>808</v>
      </c>
      <c r="BH95" s="12" t="s">
        <v>972</v>
      </c>
      <c r="BI95" s="12" t="s">
        <v>1413</v>
      </c>
      <c r="BJ95" s="12" t="s">
        <v>975</v>
      </c>
      <c r="BK95" s="12" t="s">
        <v>856</v>
      </c>
      <c r="BL95" s="12" t="s">
        <v>871</v>
      </c>
      <c r="BM95" s="12" t="s">
        <v>811</v>
      </c>
      <c r="BN95" s="12" t="s">
        <v>1501</v>
      </c>
      <c r="BO95" s="12" t="s">
        <v>980</v>
      </c>
      <c r="BP95" s="12" t="s">
        <v>1261</v>
      </c>
      <c r="BQ95" s="12" t="s">
        <v>1025</v>
      </c>
      <c r="BR95" s="12" t="s">
        <v>920</v>
      </c>
      <c r="BS95" s="12" t="s">
        <v>1623</v>
      </c>
      <c r="BT95" s="12" t="s">
        <v>1733</v>
      </c>
      <c r="BU95" s="12" t="s">
        <v>1686</v>
      </c>
      <c r="BV95" s="12" t="s">
        <v>982</v>
      </c>
      <c r="BW95" s="12" t="s">
        <v>1516</v>
      </c>
      <c r="BX95" s="12" t="s">
        <v>1531</v>
      </c>
      <c r="BY95" s="12" t="s">
        <v>1734</v>
      </c>
      <c r="BZ95" s="12" t="s">
        <v>1569</v>
      </c>
      <c r="CA95" s="12" t="s">
        <v>1569</v>
      </c>
      <c r="CB95" s="12" t="s">
        <v>1263</v>
      </c>
      <c r="CC95" s="12" t="s">
        <v>921</v>
      </c>
      <c r="CD95" s="12" t="s">
        <v>921</v>
      </c>
      <c r="CE95" s="12" t="s">
        <v>921</v>
      </c>
      <c r="CF95" s="12" t="s">
        <v>921</v>
      </c>
      <c r="CG95" s="12" t="s">
        <v>921</v>
      </c>
      <c r="CH95" s="12" t="s">
        <v>921</v>
      </c>
      <c r="CI95" s="12" t="s">
        <v>921</v>
      </c>
      <c r="CJ95" s="12" t="s">
        <v>921</v>
      </c>
      <c r="CK95" s="12" t="s">
        <v>921</v>
      </c>
      <c r="CL95" s="12" t="s">
        <v>921</v>
      </c>
      <c r="CM95" s="12" t="s">
        <v>921</v>
      </c>
      <c r="CN95" s="12" t="s">
        <v>921</v>
      </c>
      <c r="CO95" s="12" t="s">
        <v>1532</v>
      </c>
      <c r="CP95" s="12" t="s">
        <v>1532</v>
      </c>
      <c r="CQ95" s="12" t="s">
        <v>1532</v>
      </c>
      <c r="CR95" s="12" t="s">
        <v>1532</v>
      </c>
      <c r="CS95" s="12" t="s">
        <v>1362</v>
      </c>
      <c r="CT95" s="12" t="s">
        <v>1362</v>
      </c>
    </row>
    <row r="96" spans="1:98" hidden="1" x14ac:dyDescent="0.3">
      <c r="A96" s="12" t="s">
        <v>2280</v>
      </c>
      <c r="B96" s="12" t="s">
        <v>2277</v>
      </c>
      <c r="C96" s="12" t="s">
        <v>2281</v>
      </c>
      <c r="D96" s="12" t="s">
        <v>2282</v>
      </c>
      <c r="E96" s="12" t="s">
        <v>578</v>
      </c>
      <c r="F96" s="12" t="s">
        <v>578</v>
      </c>
      <c r="G96" s="12" t="s">
        <v>578</v>
      </c>
      <c r="H96" s="12" t="s">
        <v>578</v>
      </c>
      <c r="I96" s="12" t="s">
        <v>578</v>
      </c>
      <c r="J96" s="12" t="s">
        <v>578</v>
      </c>
      <c r="K96" s="12" t="s">
        <v>578</v>
      </c>
      <c r="L96" s="12" t="s">
        <v>578</v>
      </c>
      <c r="M96" s="12" t="s">
        <v>578</v>
      </c>
      <c r="N96" s="12" t="s">
        <v>578</v>
      </c>
      <c r="O96" s="12" t="s">
        <v>578</v>
      </c>
      <c r="P96" s="12" t="s">
        <v>578</v>
      </c>
      <c r="Q96" s="12" t="s">
        <v>578</v>
      </c>
      <c r="R96" s="12" t="s">
        <v>578</v>
      </c>
      <c r="S96" s="12" t="s">
        <v>578</v>
      </c>
      <c r="T96" s="12" t="s">
        <v>578</v>
      </c>
      <c r="U96" s="12" t="s">
        <v>578</v>
      </c>
      <c r="V96" s="12" t="s">
        <v>578</v>
      </c>
      <c r="W96" s="12" t="s">
        <v>578</v>
      </c>
      <c r="X96" s="12" t="s">
        <v>578</v>
      </c>
      <c r="Y96" s="12" t="s">
        <v>578</v>
      </c>
      <c r="Z96" s="12" t="s">
        <v>578</v>
      </c>
      <c r="AA96" s="12" t="s">
        <v>578</v>
      </c>
      <c r="AB96" s="12" t="s">
        <v>578</v>
      </c>
      <c r="AC96" s="12" t="s">
        <v>578</v>
      </c>
      <c r="AD96" s="12" t="s">
        <v>578</v>
      </c>
      <c r="AE96" s="12" t="s">
        <v>578</v>
      </c>
      <c r="AF96" s="12" t="s">
        <v>578</v>
      </c>
      <c r="AG96" s="12" t="s">
        <v>578</v>
      </c>
      <c r="AH96" s="12" t="s">
        <v>578</v>
      </c>
      <c r="AI96" s="12" t="s">
        <v>578</v>
      </c>
      <c r="AJ96" s="12" t="s">
        <v>578</v>
      </c>
      <c r="AK96" s="12" t="s">
        <v>578</v>
      </c>
      <c r="AL96" s="12" t="s">
        <v>578</v>
      </c>
      <c r="AM96" s="12" t="s">
        <v>578</v>
      </c>
      <c r="AN96" s="12" t="s">
        <v>578</v>
      </c>
      <c r="AO96" s="12" t="s">
        <v>578</v>
      </c>
      <c r="AP96" s="12" t="s">
        <v>578</v>
      </c>
      <c r="AQ96" s="12" t="s">
        <v>578</v>
      </c>
      <c r="AR96" s="12" t="s">
        <v>578</v>
      </c>
      <c r="AS96" s="12" t="s">
        <v>578</v>
      </c>
      <c r="AT96" s="12" t="s">
        <v>578</v>
      </c>
      <c r="AU96" s="12" t="s">
        <v>578</v>
      </c>
      <c r="AV96" s="12" t="s">
        <v>578</v>
      </c>
      <c r="AW96" s="12" t="s">
        <v>578</v>
      </c>
      <c r="AX96" s="12" t="s">
        <v>578</v>
      </c>
      <c r="AY96" s="12" t="s">
        <v>578</v>
      </c>
      <c r="AZ96" s="12" t="s">
        <v>578</v>
      </c>
      <c r="BA96" s="12" t="s">
        <v>578</v>
      </c>
      <c r="BB96" s="12" t="s">
        <v>578</v>
      </c>
      <c r="BC96" s="12" t="s">
        <v>578</v>
      </c>
      <c r="BD96" s="12" t="s">
        <v>578</v>
      </c>
      <c r="BE96" s="12" t="s">
        <v>578</v>
      </c>
      <c r="BF96" s="12" t="s">
        <v>578</v>
      </c>
      <c r="BG96" s="12" t="s">
        <v>579</v>
      </c>
      <c r="BH96" s="12" t="s">
        <v>579</v>
      </c>
      <c r="BI96" s="12" t="s">
        <v>579</v>
      </c>
      <c r="BJ96" s="12" t="s">
        <v>623</v>
      </c>
      <c r="BK96" s="12" t="s">
        <v>623</v>
      </c>
      <c r="BL96" s="12" t="s">
        <v>623</v>
      </c>
      <c r="BM96" s="12" t="s">
        <v>580</v>
      </c>
      <c r="BN96" s="12" t="s">
        <v>580</v>
      </c>
      <c r="BO96" s="12" t="s">
        <v>581</v>
      </c>
      <c r="BP96" s="12" t="s">
        <v>851</v>
      </c>
      <c r="BQ96" s="12" t="s">
        <v>851</v>
      </c>
      <c r="BR96" s="12" t="s">
        <v>624</v>
      </c>
      <c r="BS96" s="12" t="s">
        <v>624</v>
      </c>
      <c r="BT96" s="12" t="s">
        <v>624</v>
      </c>
      <c r="BU96" s="12" t="s">
        <v>624</v>
      </c>
      <c r="BV96" s="12" t="s">
        <v>624</v>
      </c>
      <c r="BW96" s="12" t="s">
        <v>624</v>
      </c>
      <c r="BX96" s="12" t="s">
        <v>624</v>
      </c>
      <c r="BY96" s="12" t="s">
        <v>624</v>
      </c>
      <c r="BZ96" s="12" t="s">
        <v>583</v>
      </c>
      <c r="CA96" s="12" t="s">
        <v>583</v>
      </c>
      <c r="CB96" s="12" t="s">
        <v>583</v>
      </c>
      <c r="CC96" s="12" t="s">
        <v>583</v>
      </c>
      <c r="CD96" s="12" t="s">
        <v>583</v>
      </c>
      <c r="CE96" s="12" t="s">
        <v>583</v>
      </c>
      <c r="CF96" s="12" t="s">
        <v>583</v>
      </c>
      <c r="CG96" s="12" t="s">
        <v>583</v>
      </c>
      <c r="CH96" s="12" t="s">
        <v>583</v>
      </c>
      <c r="CI96" s="12" t="s">
        <v>583</v>
      </c>
      <c r="CJ96" s="12" t="s">
        <v>583</v>
      </c>
      <c r="CK96" s="12" t="s">
        <v>583</v>
      </c>
      <c r="CL96" s="12" t="s">
        <v>583</v>
      </c>
      <c r="CM96" s="12" t="s">
        <v>583</v>
      </c>
      <c r="CN96" s="12" t="s">
        <v>583</v>
      </c>
      <c r="CO96" s="12" t="s">
        <v>583</v>
      </c>
      <c r="CP96" s="12" t="s">
        <v>583</v>
      </c>
      <c r="CQ96" s="12" t="s">
        <v>583</v>
      </c>
      <c r="CR96" s="12" t="s">
        <v>583</v>
      </c>
      <c r="CS96" s="12" t="s">
        <v>583</v>
      </c>
      <c r="CT96" s="12" t="s">
        <v>583</v>
      </c>
    </row>
    <row r="97" spans="1:98" hidden="1" x14ac:dyDescent="0.3">
      <c r="A97" s="12" t="s">
        <v>25</v>
      </c>
      <c r="B97" s="12" t="s">
        <v>2277</v>
      </c>
      <c r="C97" s="12" t="s">
        <v>2283</v>
      </c>
      <c r="D97" s="12" t="s">
        <v>2284</v>
      </c>
      <c r="E97" s="12" t="s">
        <v>578</v>
      </c>
      <c r="F97" s="12" t="s">
        <v>578</v>
      </c>
      <c r="G97" s="12" t="s">
        <v>578</v>
      </c>
      <c r="H97" s="12" t="s">
        <v>578</v>
      </c>
      <c r="I97" s="12" t="s">
        <v>578</v>
      </c>
      <c r="J97" s="12" t="s">
        <v>578</v>
      </c>
      <c r="K97" s="12" t="s">
        <v>578</v>
      </c>
      <c r="L97" s="12" t="s">
        <v>578</v>
      </c>
      <c r="M97" s="12" t="s">
        <v>578</v>
      </c>
      <c r="N97" s="12" t="s">
        <v>578</v>
      </c>
      <c r="O97" s="12" t="s">
        <v>578</v>
      </c>
      <c r="P97" s="12" t="s">
        <v>578</v>
      </c>
      <c r="Q97" s="12" t="s">
        <v>578</v>
      </c>
      <c r="R97" s="12" t="s">
        <v>578</v>
      </c>
      <c r="S97" s="12" t="s">
        <v>578</v>
      </c>
      <c r="T97" s="12" t="s">
        <v>578</v>
      </c>
      <c r="U97" s="12" t="s">
        <v>578</v>
      </c>
      <c r="V97" s="12" t="s">
        <v>578</v>
      </c>
      <c r="W97" s="12" t="s">
        <v>578</v>
      </c>
      <c r="X97" s="12" t="s">
        <v>578</v>
      </c>
      <c r="Y97" s="12" t="s">
        <v>578</v>
      </c>
      <c r="Z97" s="12" t="s">
        <v>578</v>
      </c>
      <c r="AA97" s="12" t="s">
        <v>578</v>
      </c>
      <c r="AB97" s="12" t="s">
        <v>578</v>
      </c>
      <c r="AC97" s="12" t="s">
        <v>578</v>
      </c>
      <c r="AD97" s="12" t="s">
        <v>578</v>
      </c>
      <c r="AE97" s="12" t="s">
        <v>578</v>
      </c>
      <c r="AF97" s="12" t="s">
        <v>578</v>
      </c>
      <c r="AG97" s="12" t="s">
        <v>578</v>
      </c>
      <c r="AH97" s="12" t="s">
        <v>578</v>
      </c>
      <c r="AI97" s="12" t="s">
        <v>578</v>
      </c>
      <c r="AJ97" s="12" t="s">
        <v>578</v>
      </c>
      <c r="AK97" s="12" t="s">
        <v>578</v>
      </c>
      <c r="AL97" s="12" t="s">
        <v>578</v>
      </c>
      <c r="AM97" s="12" t="s">
        <v>578</v>
      </c>
      <c r="AN97" s="12" t="s">
        <v>578</v>
      </c>
      <c r="AO97" s="12" t="s">
        <v>579</v>
      </c>
      <c r="AP97" s="12" t="s">
        <v>579</v>
      </c>
      <c r="AQ97" s="12" t="s">
        <v>672</v>
      </c>
      <c r="AR97" s="12" t="s">
        <v>580</v>
      </c>
      <c r="AS97" s="12" t="s">
        <v>580</v>
      </c>
      <c r="AT97" s="12" t="s">
        <v>851</v>
      </c>
      <c r="AU97" s="12" t="s">
        <v>624</v>
      </c>
      <c r="AV97" s="12" t="s">
        <v>624</v>
      </c>
      <c r="AW97" s="12" t="s">
        <v>626</v>
      </c>
      <c r="AX97" s="12" t="s">
        <v>626</v>
      </c>
      <c r="AY97" s="12" t="s">
        <v>917</v>
      </c>
      <c r="AZ97" s="12" t="s">
        <v>682</v>
      </c>
      <c r="BA97" s="12" t="s">
        <v>1494</v>
      </c>
      <c r="BB97" s="12" t="s">
        <v>1699</v>
      </c>
      <c r="BC97" s="12" t="s">
        <v>2285</v>
      </c>
      <c r="BD97" s="12" t="s">
        <v>2182</v>
      </c>
      <c r="BE97" s="12" t="s">
        <v>1527</v>
      </c>
      <c r="BF97" s="12" t="s">
        <v>2286</v>
      </c>
      <c r="BG97" s="12" t="s">
        <v>1865</v>
      </c>
      <c r="BH97" s="12" t="s">
        <v>2287</v>
      </c>
      <c r="BI97" s="12" t="s">
        <v>2288</v>
      </c>
      <c r="BJ97" s="12" t="s">
        <v>2289</v>
      </c>
      <c r="BK97" s="12" t="s">
        <v>2129</v>
      </c>
      <c r="BL97" s="12" t="s">
        <v>2290</v>
      </c>
      <c r="BM97" s="12" t="s">
        <v>1779</v>
      </c>
      <c r="BN97" s="12" t="s">
        <v>2291</v>
      </c>
      <c r="BO97" s="12" t="s">
        <v>2292</v>
      </c>
      <c r="BP97" s="12" t="s">
        <v>1477</v>
      </c>
      <c r="BQ97" s="12" t="s">
        <v>2293</v>
      </c>
      <c r="BR97" s="12" t="s">
        <v>2294</v>
      </c>
      <c r="BS97" s="12" t="s">
        <v>2295</v>
      </c>
      <c r="BT97" s="12" t="s">
        <v>2296</v>
      </c>
      <c r="BU97" s="12" t="s">
        <v>2297</v>
      </c>
      <c r="BV97" s="12" t="s">
        <v>2298</v>
      </c>
      <c r="BW97" s="12" t="s">
        <v>2299</v>
      </c>
      <c r="BX97" s="12" t="s">
        <v>2300</v>
      </c>
      <c r="BY97" s="12" t="s">
        <v>2301</v>
      </c>
      <c r="BZ97" s="12" t="s">
        <v>2302</v>
      </c>
      <c r="CA97" s="12" t="s">
        <v>2303</v>
      </c>
      <c r="CB97" s="12" t="s">
        <v>2304</v>
      </c>
      <c r="CC97" s="12" t="s">
        <v>2305</v>
      </c>
      <c r="CD97" s="12" t="s">
        <v>2306</v>
      </c>
      <c r="CE97" s="12" t="s">
        <v>2307</v>
      </c>
      <c r="CF97" s="12" t="s">
        <v>2308</v>
      </c>
      <c r="CG97" s="12" t="s">
        <v>2309</v>
      </c>
      <c r="CH97" s="12" t="s">
        <v>2310</v>
      </c>
      <c r="CI97" s="12" t="s">
        <v>2311</v>
      </c>
      <c r="CJ97" s="12" t="s">
        <v>2312</v>
      </c>
      <c r="CK97" s="12" t="s">
        <v>2313</v>
      </c>
      <c r="CL97" s="12" t="s">
        <v>2314</v>
      </c>
      <c r="CM97" s="12" t="s">
        <v>2315</v>
      </c>
      <c r="CN97" s="12" t="s">
        <v>2316</v>
      </c>
      <c r="CO97" s="12" t="s">
        <v>2317</v>
      </c>
      <c r="CP97" s="12" t="s">
        <v>2318</v>
      </c>
      <c r="CQ97" s="12" t="s">
        <v>2319</v>
      </c>
      <c r="CR97" s="12" t="s">
        <v>2320</v>
      </c>
      <c r="CS97" s="12" t="s">
        <v>2321</v>
      </c>
      <c r="CT97" s="12" t="s">
        <v>2322</v>
      </c>
    </row>
    <row r="98" spans="1:98" hidden="1" x14ac:dyDescent="0.3">
      <c r="A98" s="12" t="s">
        <v>25</v>
      </c>
      <c r="B98" s="12" t="s">
        <v>2323</v>
      </c>
      <c r="C98" s="12" t="s">
        <v>2324</v>
      </c>
      <c r="D98" s="12" t="s">
        <v>2325</v>
      </c>
      <c r="E98" s="12" t="s">
        <v>578</v>
      </c>
      <c r="F98" s="12" t="s">
        <v>578</v>
      </c>
      <c r="G98" s="12" t="s">
        <v>578</v>
      </c>
      <c r="H98" s="12" t="s">
        <v>578</v>
      </c>
      <c r="I98" s="12" t="s">
        <v>578</v>
      </c>
      <c r="J98" s="12" t="s">
        <v>578</v>
      </c>
      <c r="K98" s="12" t="s">
        <v>578</v>
      </c>
      <c r="L98" s="12" t="s">
        <v>578</v>
      </c>
      <c r="M98" s="12" t="s">
        <v>578</v>
      </c>
      <c r="N98" s="12" t="s">
        <v>578</v>
      </c>
      <c r="O98" s="12" t="s">
        <v>578</v>
      </c>
      <c r="P98" s="12" t="s">
        <v>578</v>
      </c>
      <c r="Q98" s="12" t="s">
        <v>578</v>
      </c>
      <c r="R98" s="12" t="s">
        <v>578</v>
      </c>
      <c r="S98" s="12" t="s">
        <v>578</v>
      </c>
      <c r="T98" s="12" t="s">
        <v>578</v>
      </c>
      <c r="U98" s="12" t="s">
        <v>578</v>
      </c>
      <c r="V98" s="12" t="s">
        <v>578</v>
      </c>
      <c r="W98" s="12" t="s">
        <v>578</v>
      </c>
      <c r="X98" s="12" t="s">
        <v>578</v>
      </c>
      <c r="Y98" s="12" t="s">
        <v>578</v>
      </c>
      <c r="Z98" s="12" t="s">
        <v>578</v>
      </c>
      <c r="AA98" s="12" t="s">
        <v>578</v>
      </c>
      <c r="AB98" s="12" t="s">
        <v>578</v>
      </c>
      <c r="AC98" s="12" t="s">
        <v>578</v>
      </c>
      <c r="AD98" s="12" t="s">
        <v>578</v>
      </c>
      <c r="AE98" s="12" t="s">
        <v>578</v>
      </c>
      <c r="AF98" s="12" t="s">
        <v>578</v>
      </c>
      <c r="AG98" s="12" t="s">
        <v>578</v>
      </c>
      <c r="AH98" s="12" t="s">
        <v>578</v>
      </c>
      <c r="AI98" s="12" t="s">
        <v>578</v>
      </c>
      <c r="AJ98" s="12" t="s">
        <v>578</v>
      </c>
      <c r="AK98" s="12" t="s">
        <v>578</v>
      </c>
      <c r="AL98" s="12" t="s">
        <v>578</v>
      </c>
      <c r="AM98" s="12" t="s">
        <v>578</v>
      </c>
      <c r="AN98" s="12" t="s">
        <v>578</v>
      </c>
      <c r="AO98" s="12" t="s">
        <v>578</v>
      </c>
      <c r="AP98" s="12" t="s">
        <v>578</v>
      </c>
      <c r="AQ98" s="12" t="s">
        <v>578</v>
      </c>
      <c r="AR98" s="12" t="s">
        <v>578</v>
      </c>
      <c r="AS98" s="12" t="s">
        <v>578</v>
      </c>
      <c r="AT98" s="12" t="s">
        <v>578</v>
      </c>
      <c r="AU98" s="12" t="s">
        <v>578</v>
      </c>
      <c r="AV98" s="12" t="s">
        <v>578</v>
      </c>
      <c r="AW98" s="12" t="s">
        <v>578</v>
      </c>
      <c r="AX98" s="12" t="s">
        <v>578</v>
      </c>
      <c r="AY98" s="12" t="s">
        <v>578</v>
      </c>
      <c r="AZ98" s="12" t="s">
        <v>578</v>
      </c>
      <c r="BA98" s="12" t="s">
        <v>578</v>
      </c>
      <c r="BB98" s="12" t="s">
        <v>578</v>
      </c>
      <c r="BC98" s="12" t="s">
        <v>578</v>
      </c>
      <c r="BD98" s="12" t="s">
        <v>578</v>
      </c>
      <c r="BE98" s="12" t="s">
        <v>578</v>
      </c>
      <c r="BF98" s="12" t="s">
        <v>578</v>
      </c>
      <c r="BG98" s="12" t="s">
        <v>578</v>
      </c>
      <c r="BH98" s="12" t="s">
        <v>578</v>
      </c>
      <c r="BI98" s="12" t="s">
        <v>579</v>
      </c>
      <c r="BJ98" s="12" t="s">
        <v>579</v>
      </c>
      <c r="BK98" s="12" t="s">
        <v>579</v>
      </c>
      <c r="BL98" s="12" t="s">
        <v>579</v>
      </c>
      <c r="BM98" s="12" t="s">
        <v>579</v>
      </c>
      <c r="BN98" s="12" t="s">
        <v>672</v>
      </c>
      <c r="BO98" s="12" t="s">
        <v>672</v>
      </c>
      <c r="BP98" s="12" t="s">
        <v>583</v>
      </c>
      <c r="BQ98" s="12" t="s">
        <v>583</v>
      </c>
      <c r="BR98" s="12" t="s">
        <v>625</v>
      </c>
      <c r="BS98" s="12" t="s">
        <v>756</v>
      </c>
      <c r="BT98" s="12" t="s">
        <v>808</v>
      </c>
      <c r="BU98" s="12" t="s">
        <v>808</v>
      </c>
      <c r="BV98" s="12" t="s">
        <v>2018</v>
      </c>
      <c r="BW98" s="12" t="s">
        <v>627</v>
      </c>
      <c r="BX98" s="12" t="s">
        <v>588</v>
      </c>
      <c r="BY98" s="12" t="s">
        <v>991</v>
      </c>
      <c r="BZ98" s="12" t="s">
        <v>954</v>
      </c>
      <c r="CA98" s="12" t="s">
        <v>632</v>
      </c>
      <c r="CB98" s="12" t="s">
        <v>682</v>
      </c>
      <c r="CC98" s="12" t="s">
        <v>682</v>
      </c>
      <c r="CD98" s="12" t="s">
        <v>1356</v>
      </c>
      <c r="CE98" s="12" t="s">
        <v>1356</v>
      </c>
      <c r="CF98" s="12" t="s">
        <v>1814</v>
      </c>
      <c r="CG98" s="12" t="s">
        <v>1362</v>
      </c>
      <c r="CH98" s="12" t="s">
        <v>1126</v>
      </c>
      <c r="CI98" s="12" t="s">
        <v>1098</v>
      </c>
      <c r="CJ98" s="12" t="s">
        <v>2060</v>
      </c>
      <c r="CK98" s="12" t="s">
        <v>965</v>
      </c>
      <c r="CL98" s="12" t="s">
        <v>1670</v>
      </c>
      <c r="CM98" s="12" t="s">
        <v>2326</v>
      </c>
      <c r="CN98" s="12" t="s">
        <v>2326</v>
      </c>
      <c r="CO98" s="12" t="s">
        <v>1382</v>
      </c>
      <c r="CP98" s="12" t="s">
        <v>1382</v>
      </c>
      <c r="CQ98" s="12" t="s">
        <v>2327</v>
      </c>
      <c r="CR98" s="12" t="s">
        <v>940</v>
      </c>
      <c r="CS98" s="12" t="s">
        <v>692</v>
      </c>
      <c r="CT98" s="12" t="s">
        <v>944</v>
      </c>
    </row>
    <row r="99" spans="1:98" hidden="1" x14ac:dyDescent="0.3">
      <c r="A99" s="12" t="s">
        <v>25</v>
      </c>
      <c r="B99" s="12" t="s">
        <v>2328</v>
      </c>
      <c r="C99" s="12" t="s">
        <v>2329</v>
      </c>
      <c r="D99" s="12" t="s">
        <v>2330</v>
      </c>
      <c r="E99" s="12" t="s">
        <v>578</v>
      </c>
      <c r="F99" s="12" t="s">
        <v>578</v>
      </c>
      <c r="G99" s="12" t="s">
        <v>578</v>
      </c>
      <c r="H99" s="12" t="s">
        <v>578</v>
      </c>
      <c r="I99" s="12" t="s">
        <v>578</v>
      </c>
      <c r="J99" s="12" t="s">
        <v>578</v>
      </c>
      <c r="K99" s="12" t="s">
        <v>578</v>
      </c>
      <c r="L99" s="12" t="s">
        <v>578</v>
      </c>
      <c r="M99" s="12" t="s">
        <v>578</v>
      </c>
      <c r="N99" s="12" t="s">
        <v>578</v>
      </c>
      <c r="O99" s="12" t="s">
        <v>578</v>
      </c>
      <c r="P99" s="12" t="s">
        <v>578</v>
      </c>
      <c r="Q99" s="12" t="s">
        <v>578</v>
      </c>
      <c r="R99" s="12" t="s">
        <v>578</v>
      </c>
      <c r="S99" s="12" t="s">
        <v>578</v>
      </c>
      <c r="T99" s="12" t="s">
        <v>578</v>
      </c>
      <c r="U99" s="12" t="s">
        <v>578</v>
      </c>
      <c r="V99" s="12" t="s">
        <v>578</v>
      </c>
      <c r="W99" s="12" t="s">
        <v>578</v>
      </c>
      <c r="X99" s="12" t="s">
        <v>578</v>
      </c>
      <c r="Y99" s="12" t="s">
        <v>578</v>
      </c>
      <c r="Z99" s="12" t="s">
        <v>578</v>
      </c>
      <c r="AA99" s="12" t="s">
        <v>578</v>
      </c>
      <c r="AB99" s="12" t="s">
        <v>578</v>
      </c>
      <c r="AC99" s="12" t="s">
        <v>578</v>
      </c>
      <c r="AD99" s="12" t="s">
        <v>578</v>
      </c>
      <c r="AE99" s="12" t="s">
        <v>578</v>
      </c>
      <c r="AF99" s="12" t="s">
        <v>578</v>
      </c>
      <c r="AG99" s="12" t="s">
        <v>578</v>
      </c>
      <c r="AH99" s="12" t="s">
        <v>578</v>
      </c>
      <c r="AI99" s="12" t="s">
        <v>578</v>
      </c>
      <c r="AJ99" s="12" t="s">
        <v>578</v>
      </c>
      <c r="AK99" s="12" t="s">
        <v>578</v>
      </c>
      <c r="AL99" s="12" t="s">
        <v>578</v>
      </c>
      <c r="AM99" s="12" t="s">
        <v>578</v>
      </c>
      <c r="AN99" s="12" t="s">
        <v>578</v>
      </c>
      <c r="AO99" s="12" t="s">
        <v>578</v>
      </c>
      <c r="AP99" s="12" t="s">
        <v>578</v>
      </c>
      <c r="AQ99" s="12" t="s">
        <v>578</v>
      </c>
      <c r="AR99" s="12" t="s">
        <v>579</v>
      </c>
      <c r="AS99" s="12" t="s">
        <v>579</v>
      </c>
      <c r="AT99" s="12" t="s">
        <v>579</v>
      </c>
      <c r="AU99" s="12" t="s">
        <v>579</v>
      </c>
      <c r="AV99" s="12" t="s">
        <v>579</v>
      </c>
      <c r="AW99" s="12" t="s">
        <v>623</v>
      </c>
      <c r="AX99" s="12" t="s">
        <v>623</v>
      </c>
      <c r="AY99" s="12" t="s">
        <v>581</v>
      </c>
      <c r="AZ99" s="12" t="s">
        <v>581</v>
      </c>
      <c r="BA99" s="12" t="s">
        <v>581</v>
      </c>
      <c r="BB99" s="12" t="s">
        <v>581</v>
      </c>
      <c r="BC99" s="12" t="s">
        <v>581</v>
      </c>
      <c r="BD99" s="12" t="s">
        <v>581</v>
      </c>
      <c r="BE99" s="12" t="s">
        <v>583</v>
      </c>
      <c r="BF99" s="12" t="s">
        <v>583</v>
      </c>
      <c r="BG99" s="12" t="s">
        <v>583</v>
      </c>
      <c r="BH99" s="12" t="s">
        <v>585</v>
      </c>
      <c r="BI99" s="12" t="s">
        <v>585</v>
      </c>
      <c r="BJ99" s="12" t="s">
        <v>767</v>
      </c>
      <c r="BK99" s="12" t="s">
        <v>975</v>
      </c>
      <c r="BL99" s="12" t="s">
        <v>872</v>
      </c>
      <c r="BM99" s="12" t="s">
        <v>1980</v>
      </c>
      <c r="BN99" s="12" t="s">
        <v>1816</v>
      </c>
      <c r="BO99" s="12" t="s">
        <v>1831</v>
      </c>
      <c r="BP99" s="12" t="s">
        <v>1031</v>
      </c>
      <c r="BQ99" s="12" t="s">
        <v>1847</v>
      </c>
      <c r="BR99" s="12" t="s">
        <v>1406</v>
      </c>
      <c r="BS99" s="12" t="s">
        <v>2331</v>
      </c>
      <c r="BT99" s="12" t="s">
        <v>2332</v>
      </c>
      <c r="BU99" s="12" t="s">
        <v>1292</v>
      </c>
      <c r="BV99" s="12" t="s">
        <v>2333</v>
      </c>
      <c r="BW99" s="12" t="s">
        <v>2334</v>
      </c>
      <c r="BX99" s="12" t="s">
        <v>2335</v>
      </c>
      <c r="BY99" s="12" t="s">
        <v>2336</v>
      </c>
      <c r="BZ99" s="12" t="s">
        <v>2336</v>
      </c>
      <c r="CA99" s="12" t="s">
        <v>2337</v>
      </c>
      <c r="CB99" s="12" t="s">
        <v>2338</v>
      </c>
      <c r="CC99" s="12" t="s">
        <v>2339</v>
      </c>
      <c r="CD99" s="12" t="s">
        <v>2340</v>
      </c>
      <c r="CE99" s="12" t="s">
        <v>2341</v>
      </c>
      <c r="CF99" s="12" t="s">
        <v>2342</v>
      </c>
      <c r="CG99" s="12" t="s">
        <v>2343</v>
      </c>
      <c r="CH99" s="12" t="s">
        <v>2344</v>
      </c>
      <c r="CI99" s="12" t="s">
        <v>2345</v>
      </c>
      <c r="CJ99" s="12" t="s">
        <v>2346</v>
      </c>
      <c r="CK99" s="12" t="s">
        <v>2347</v>
      </c>
      <c r="CL99" s="12" t="s">
        <v>2348</v>
      </c>
      <c r="CM99" s="12" t="s">
        <v>2349</v>
      </c>
      <c r="CN99" s="12" t="s">
        <v>2350</v>
      </c>
      <c r="CO99" s="12" t="s">
        <v>2351</v>
      </c>
      <c r="CP99" s="12" t="s">
        <v>2352</v>
      </c>
      <c r="CQ99" s="12" t="s">
        <v>2353</v>
      </c>
      <c r="CR99" s="12" t="s">
        <v>2354</v>
      </c>
      <c r="CS99" s="12" t="s">
        <v>2355</v>
      </c>
      <c r="CT99" s="12" t="s">
        <v>2356</v>
      </c>
    </row>
    <row r="100" spans="1:98" hidden="1" x14ac:dyDescent="0.3">
      <c r="A100" s="12" t="s">
        <v>25</v>
      </c>
      <c r="B100" s="12" t="s">
        <v>2357</v>
      </c>
      <c r="C100" s="12" t="s">
        <v>2358</v>
      </c>
      <c r="D100" s="12" t="s">
        <v>2359</v>
      </c>
      <c r="E100" s="12" t="s">
        <v>578</v>
      </c>
      <c r="F100" s="12" t="s">
        <v>578</v>
      </c>
      <c r="G100" s="12" t="s">
        <v>578</v>
      </c>
      <c r="H100" s="12" t="s">
        <v>578</v>
      </c>
      <c r="I100" s="12" t="s">
        <v>578</v>
      </c>
      <c r="J100" s="12" t="s">
        <v>578</v>
      </c>
      <c r="K100" s="12" t="s">
        <v>578</v>
      </c>
      <c r="L100" s="12" t="s">
        <v>578</v>
      </c>
      <c r="M100" s="12" t="s">
        <v>578</v>
      </c>
      <c r="N100" s="12" t="s">
        <v>578</v>
      </c>
      <c r="O100" s="12" t="s">
        <v>578</v>
      </c>
      <c r="P100" s="12" t="s">
        <v>578</v>
      </c>
      <c r="Q100" s="12" t="s">
        <v>578</v>
      </c>
      <c r="R100" s="12" t="s">
        <v>578</v>
      </c>
      <c r="S100" s="12" t="s">
        <v>578</v>
      </c>
      <c r="T100" s="12" t="s">
        <v>578</v>
      </c>
      <c r="U100" s="12" t="s">
        <v>578</v>
      </c>
      <c r="V100" s="12" t="s">
        <v>578</v>
      </c>
      <c r="W100" s="12" t="s">
        <v>578</v>
      </c>
      <c r="X100" s="12" t="s">
        <v>578</v>
      </c>
      <c r="Y100" s="12" t="s">
        <v>578</v>
      </c>
      <c r="Z100" s="12" t="s">
        <v>578</v>
      </c>
      <c r="AA100" s="12" t="s">
        <v>578</v>
      </c>
      <c r="AB100" s="12" t="s">
        <v>578</v>
      </c>
      <c r="AC100" s="12" t="s">
        <v>578</v>
      </c>
      <c r="AD100" s="12" t="s">
        <v>578</v>
      </c>
      <c r="AE100" s="12" t="s">
        <v>578</v>
      </c>
      <c r="AF100" s="12" t="s">
        <v>578</v>
      </c>
      <c r="AG100" s="12" t="s">
        <v>578</v>
      </c>
      <c r="AH100" s="12" t="s">
        <v>578</v>
      </c>
      <c r="AI100" s="12" t="s">
        <v>578</v>
      </c>
      <c r="AJ100" s="12" t="s">
        <v>578</v>
      </c>
      <c r="AK100" s="12" t="s">
        <v>578</v>
      </c>
      <c r="AL100" s="12" t="s">
        <v>578</v>
      </c>
      <c r="AM100" s="12" t="s">
        <v>578</v>
      </c>
      <c r="AN100" s="12" t="s">
        <v>578</v>
      </c>
      <c r="AO100" s="12" t="s">
        <v>578</v>
      </c>
      <c r="AP100" s="12" t="s">
        <v>578</v>
      </c>
      <c r="AQ100" s="12" t="s">
        <v>578</v>
      </c>
      <c r="AR100" s="12" t="s">
        <v>851</v>
      </c>
      <c r="AS100" s="12" t="s">
        <v>851</v>
      </c>
      <c r="AT100" s="12" t="s">
        <v>582</v>
      </c>
      <c r="AU100" s="12" t="s">
        <v>624</v>
      </c>
      <c r="AV100" s="12" t="s">
        <v>868</v>
      </c>
      <c r="AW100" s="12" t="s">
        <v>868</v>
      </c>
      <c r="AX100" s="12" t="s">
        <v>868</v>
      </c>
      <c r="AY100" s="12" t="s">
        <v>756</v>
      </c>
      <c r="AZ100" s="12" t="s">
        <v>762</v>
      </c>
      <c r="BA100" s="12" t="s">
        <v>762</v>
      </c>
      <c r="BB100" s="12" t="s">
        <v>673</v>
      </c>
      <c r="BC100" s="12" t="s">
        <v>673</v>
      </c>
      <c r="BD100" s="12" t="s">
        <v>673</v>
      </c>
      <c r="BE100" s="12" t="s">
        <v>869</v>
      </c>
      <c r="BF100" s="12" t="s">
        <v>869</v>
      </c>
      <c r="BG100" s="12" t="s">
        <v>677</v>
      </c>
      <c r="BH100" s="12" t="s">
        <v>1413</v>
      </c>
      <c r="BI100" s="12" t="s">
        <v>979</v>
      </c>
      <c r="BJ100" s="12" t="s">
        <v>2360</v>
      </c>
      <c r="BK100" s="12" t="s">
        <v>601</v>
      </c>
      <c r="BL100" s="12" t="s">
        <v>1036</v>
      </c>
      <c r="BM100" s="12" t="s">
        <v>2361</v>
      </c>
      <c r="BN100" s="12" t="s">
        <v>1866</v>
      </c>
      <c r="BO100" s="12" t="s">
        <v>2362</v>
      </c>
      <c r="BP100" s="12" t="s">
        <v>2363</v>
      </c>
      <c r="BQ100" s="12" t="s">
        <v>2364</v>
      </c>
      <c r="BR100" s="12" t="s">
        <v>2365</v>
      </c>
      <c r="BS100" s="12" t="s">
        <v>2366</v>
      </c>
      <c r="BT100" s="12" t="s">
        <v>1316</v>
      </c>
      <c r="BU100" s="12" t="s">
        <v>2367</v>
      </c>
      <c r="BV100" s="12" t="s">
        <v>2368</v>
      </c>
      <c r="BW100" s="12" t="s">
        <v>2369</v>
      </c>
      <c r="BX100" s="12" t="s">
        <v>2370</v>
      </c>
      <c r="BY100" s="12" t="s">
        <v>2371</v>
      </c>
      <c r="BZ100" s="12" t="s">
        <v>2372</v>
      </c>
      <c r="CA100" s="12" t="s">
        <v>2373</v>
      </c>
      <c r="CB100" s="12" t="s">
        <v>2374</v>
      </c>
      <c r="CC100" s="12" t="s">
        <v>2374</v>
      </c>
      <c r="CD100" s="12" t="s">
        <v>2375</v>
      </c>
      <c r="CE100" s="12" t="s">
        <v>2376</v>
      </c>
      <c r="CF100" s="12" t="s">
        <v>2377</v>
      </c>
      <c r="CG100" s="12" t="s">
        <v>2378</v>
      </c>
      <c r="CH100" s="12" t="s">
        <v>2379</v>
      </c>
      <c r="CI100" s="12" t="s">
        <v>2380</v>
      </c>
      <c r="CJ100" s="12" t="s">
        <v>2381</v>
      </c>
      <c r="CK100" s="12" t="s">
        <v>2382</v>
      </c>
      <c r="CL100" s="12" t="s">
        <v>2383</v>
      </c>
      <c r="CM100" s="12" t="s">
        <v>2384</v>
      </c>
      <c r="CN100" s="12" t="s">
        <v>2385</v>
      </c>
      <c r="CO100" s="12" t="s">
        <v>2386</v>
      </c>
      <c r="CP100" s="12" t="s">
        <v>2387</v>
      </c>
      <c r="CQ100" s="12" t="s">
        <v>2388</v>
      </c>
      <c r="CR100" s="12" t="s">
        <v>2389</v>
      </c>
      <c r="CS100" s="12" t="s">
        <v>2390</v>
      </c>
      <c r="CT100" s="12" t="s">
        <v>2391</v>
      </c>
    </row>
    <row r="101" spans="1:98" hidden="1" x14ac:dyDescent="0.3">
      <c r="A101" s="12" t="s">
        <v>25</v>
      </c>
      <c r="B101" s="12" t="s">
        <v>2392</v>
      </c>
      <c r="C101" s="12" t="s">
        <v>2393</v>
      </c>
      <c r="D101" s="12" t="s">
        <v>2394</v>
      </c>
      <c r="E101" s="12" t="s">
        <v>578</v>
      </c>
      <c r="F101" s="12" t="s">
        <v>578</v>
      </c>
      <c r="G101" s="12" t="s">
        <v>578</v>
      </c>
      <c r="H101" s="12" t="s">
        <v>578</v>
      </c>
      <c r="I101" s="12" t="s">
        <v>578</v>
      </c>
      <c r="J101" s="12" t="s">
        <v>578</v>
      </c>
      <c r="K101" s="12" t="s">
        <v>578</v>
      </c>
      <c r="L101" s="12" t="s">
        <v>578</v>
      </c>
      <c r="M101" s="12" t="s">
        <v>578</v>
      </c>
      <c r="N101" s="12" t="s">
        <v>578</v>
      </c>
      <c r="O101" s="12" t="s">
        <v>578</v>
      </c>
      <c r="P101" s="12" t="s">
        <v>578</v>
      </c>
      <c r="Q101" s="12" t="s">
        <v>578</v>
      </c>
      <c r="R101" s="12" t="s">
        <v>578</v>
      </c>
      <c r="S101" s="12" t="s">
        <v>578</v>
      </c>
      <c r="T101" s="12" t="s">
        <v>578</v>
      </c>
      <c r="U101" s="12" t="s">
        <v>578</v>
      </c>
      <c r="V101" s="12" t="s">
        <v>578</v>
      </c>
      <c r="W101" s="12" t="s">
        <v>578</v>
      </c>
      <c r="X101" s="12" t="s">
        <v>578</v>
      </c>
      <c r="Y101" s="12" t="s">
        <v>578</v>
      </c>
      <c r="Z101" s="12" t="s">
        <v>578</v>
      </c>
      <c r="AA101" s="12" t="s">
        <v>578</v>
      </c>
      <c r="AB101" s="12" t="s">
        <v>579</v>
      </c>
      <c r="AC101" s="12" t="s">
        <v>579</v>
      </c>
      <c r="AD101" s="12" t="s">
        <v>579</v>
      </c>
      <c r="AE101" s="12" t="s">
        <v>579</v>
      </c>
      <c r="AF101" s="12" t="s">
        <v>579</v>
      </c>
      <c r="AG101" s="12" t="s">
        <v>579</v>
      </c>
      <c r="AH101" s="12" t="s">
        <v>579</v>
      </c>
      <c r="AI101" s="12" t="s">
        <v>579</v>
      </c>
      <c r="AJ101" s="12" t="s">
        <v>579</v>
      </c>
      <c r="AK101" s="12" t="s">
        <v>579</v>
      </c>
      <c r="AL101" s="12" t="s">
        <v>579</v>
      </c>
      <c r="AM101" s="12" t="s">
        <v>579</v>
      </c>
      <c r="AN101" s="12" t="s">
        <v>579</v>
      </c>
      <c r="AO101" s="12" t="s">
        <v>579</v>
      </c>
      <c r="AP101" s="12" t="s">
        <v>579</v>
      </c>
      <c r="AQ101" s="12" t="s">
        <v>579</v>
      </c>
      <c r="AR101" s="12" t="s">
        <v>623</v>
      </c>
      <c r="AS101" s="12" t="s">
        <v>623</v>
      </c>
      <c r="AT101" s="12" t="s">
        <v>623</v>
      </c>
      <c r="AU101" s="12" t="s">
        <v>623</v>
      </c>
      <c r="AV101" s="12" t="s">
        <v>672</v>
      </c>
      <c r="AW101" s="12" t="s">
        <v>762</v>
      </c>
      <c r="AX101" s="12" t="s">
        <v>762</v>
      </c>
      <c r="AY101" s="12" t="s">
        <v>991</v>
      </c>
      <c r="AZ101" s="12" t="s">
        <v>631</v>
      </c>
      <c r="BA101" s="12" t="s">
        <v>632</v>
      </c>
      <c r="BB101" s="12" t="s">
        <v>680</v>
      </c>
      <c r="BC101" s="12" t="s">
        <v>955</v>
      </c>
      <c r="BD101" s="12" t="s">
        <v>856</v>
      </c>
      <c r="BE101" s="12" t="s">
        <v>1208</v>
      </c>
      <c r="BF101" s="12" t="s">
        <v>592</v>
      </c>
      <c r="BG101" s="12" t="s">
        <v>1814</v>
      </c>
      <c r="BH101" s="12" t="s">
        <v>2137</v>
      </c>
      <c r="BI101" s="12" t="s">
        <v>2137</v>
      </c>
      <c r="BJ101" s="12" t="s">
        <v>1128</v>
      </c>
      <c r="BK101" s="12" t="s">
        <v>1129</v>
      </c>
      <c r="BL101" s="12" t="s">
        <v>1739</v>
      </c>
      <c r="BM101" s="12" t="s">
        <v>1834</v>
      </c>
      <c r="BN101" s="12" t="s">
        <v>1689</v>
      </c>
      <c r="BO101" s="12" t="s">
        <v>2395</v>
      </c>
      <c r="BP101" s="12" t="s">
        <v>1701</v>
      </c>
      <c r="BQ101" s="12" t="s">
        <v>1035</v>
      </c>
      <c r="BR101" s="12" t="s">
        <v>2067</v>
      </c>
      <c r="BS101" s="12" t="s">
        <v>1405</v>
      </c>
      <c r="BT101" s="12" t="s">
        <v>665</v>
      </c>
      <c r="BU101" s="12" t="s">
        <v>928</v>
      </c>
      <c r="BV101" s="12" t="s">
        <v>2396</v>
      </c>
      <c r="BW101" s="12" t="s">
        <v>1672</v>
      </c>
      <c r="BX101" s="12" t="s">
        <v>2397</v>
      </c>
      <c r="BY101" s="12" t="s">
        <v>2398</v>
      </c>
      <c r="BZ101" s="12" t="s">
        <v>2399</v>
      </c>
      <c r="CA101" s="12" t="s">
        <v>2363</v>
      </c>
      <c r="CB101" s="12" t="s">
        <v>1765</v>
      </c>
      <c r="CC101" s="12" t="s">
        <v>2291</v>
      </c>
      <c r="CD101" s="12" t="s">
        <v>2400</v>
      </c>
      <c r="CE101" s="12" t="s">
        <v>2401</v>
      </c>
      <c r="CF101" s="12" t="s">
        <v>2402</v>
      </c>
      <c r="CG101" s="12" t="s">
        <v>2403</v>
      </c>
      <c r="CH101" s="12" t="s">
        <v>2404</v>
      </c>
      <c r="CI101" s="12" t="s">
        <v>2405</v>
      </c>
      <c r="CJ101" s="12" t="s">
        <v>2406</v>
      </c>
      <c r="CK101" s="12" t="s">
        <v>2407</v>
      </c>
      <c r="CL101" s="12" t="s">
        <v>2408</v>
      </c>
      <c r="CM101" s="12" t="s">
        <v>2409</v>
      </c>
      <c r="CN101" s="12" t="s">
        <v>2410</v>
      </c>
      <c r="CO101" s="12" t="s">
        <v>802</v>
      </c>
      <c r="CP101" s="12" t="s">
        <v>2411</v>
      </c>
      <c r="CQ101" s="12" t="s">
        <v>2412</v>
      </c>
      <c r="CR101" s="12" t="s">
        <v>2413</v>
      </c>
      <c r="CS101" s="12" t="s">
        <v>2414</v>
      </c>
      <c r="CT101" s="12" t="s">
        <v>2415</v>
      </c>
    </row>
    <row r="102" spans="1:98" hidden="1" x14ac:dyDescent="0.3">
      <c r="A102" s="12" t="s">
        <v>25</v>
      </c>
      <c r="B102" s="12" t="s">
        <v>2416</v>
      </c>
      <c r="C102" s="12" t="s">
        <v>2417</v>
      </c>
      <c r="D102" s="12" t="s">
        <v>2418</v>
      </c>
      <c r="E102" s="12" t="s">
        <v>578</v>
      </c>
      <c r="F102" s="12" t="s">
        <v>578</v>
      </c>
      <c r="G102" s="12" t="s">
        <v>578</v>
      </c>
      <c r="H102" s="12" t="s">
        <v>578</v>
      </c>
      <c r="I102" s="12" t="s">
        <v>578</v>
      </c>
      <c r="J102" s="12" t="s">
        <v>578</v>
      </c>
      <c r="K102" s="12" t="s">
        <v>578</v>
      </c>
      <c r="L102" s="12" t="s">
        <v>578</v>
      </c>
      <c r="M102" s="12" t="s">
        <v>578</v>
      </c>
      <c r="N102" s="12" t="s">
        <v>578</v>
      </c>
      <c r="O102" s="12" t="s">
        <v>578</v>
      </c>
      <c r="P102" s="12" t="s">
        <v>578</v>
      </c>
      <c r="Q102" s="12" t="s">
        <v>578</v>
      </c>
      <c r="R102" s="12" t="s">
        <v>578</v>
      </c>
      <c r="S102" s="12" t="s">
        <v>578</v>
      </c>
      <c r="T102" s="12" t="s">
        <v>578</v>
      </c>
      <c r="U102" s="12" t="s">
        <v>578</v>
      </c>
      <c r="V102" s="12" t="s">
        <v>578</v>
      </c>
      <c r="W102" s="12" t="s">
        <v>578</v>
      </c>
      <c r="X102" s="12" t="s">
        <v>578</v>
      </c>
      <c r="Y102" s="12" t="s">
        <v>578</v>
      </c>
      <c r="Z102" s="12" t="s">
        <v>578</v>
      </c>
      <c r="AA102" s="12" t="s">
        <v>578</v>
      </c>
      <c r="AB102" s="12" t="s">
        <v>578</v>
      </c>
      <c r="AC102" s="12" t="s">
        <v>578</v>
      </c>
      <c r="AD102" s="12" t="s">
        <v>578</v>
      </c>
      <c r="AE102" s="12" t="s">
        <v>578</v>
      </c>
      <c r="AF102" s="12" t="s">
        <v>578</v>
      </c>
      <c r="AG102" s="12" t="s">
        <v>578</v>
      </c>
      <c r="AH102" s="12" t="s">
        <v>578</v>
      </c>
      <c r="AI102" s="12" t="s">
        <v>578</v>
      </c>
      <c r="AJ102" s="12" t="s">
        <v>578</v>
      </c>
      <c r="AK102" s="12" t="s">
        <v>578</v>
      </c>
      <c r="AL102" s="12" t="s">
        <v>578</v>
      </c>
      <c r="AM102" s="12" t="s">
        <v>578</v>
      </c>
      <c r="AN102" s="12" t="s">
        <v>578</v>
      </c>
      <c r="AO102" s="12" t="s">
        <v>578</v>
      </c>
      <c r="AP102" s="12" t="s">
        <v>578</v>
      </c>
      <c r="AQ102" s="12" t="s">
        <v>578</v>
      </c>
      <c r="AR102" s="12" t="s">
        <v>578</v>
      </c>
      <c r="AS102" s="12" t="s">
        <v>578</v>
      </c>
      <c r="AT102" s="12" t="s">
        <v>578</v>
      </c>
      <c r="AU102" s="12" t="s">
        <v>578</v>
      </c>
      <c r="AV102" s="12" t="s">
        <v>578</v>
      </c>
      <c r="AW102" s="12" t="s">
        <v>578</v>
      </c>
      <c r="AX102" s="12" t="s">
        <v>578</v>
      </c>
      <c r="AY102" s="12" t="s">
        <v>578</v>
      </c>
      <c r="AZ102" s="12" t="s">
        <v>578</v>
      </c>
      <c r="BA102" s="12" t="s">
        <v>578</v>
      </c>
      <c r="BB102" s="12" t="s">
        <v>578</v>
      </c>
      <c r="BC102" s="12" t="s">
        <v>578</v>
      </c>
      <c r="BD102" s="12" t="s">
        <v>578</v>
      </c>
      <c r="BE102" s="12" t="s">
        <v>578</v>
      </c>
      <c r="BF102" s="12" t="s">
        <v>578</v>
      </c>
      <c r="BG102" s="12" t="s">
        <v>578</v>
      </c>
      <c r="BH102" s="12" t="s">
        <v>578</v>
      </c>
      <c r="BI102" s="12" t="s">
        <v>578</v>
      </c>
      <c r="BJ102" s="12" t="s">
        <v>579</v>
      </c>
      <c r="BK102" s="12" t="s">
        <v>579</v>
      </c>
      <c r="BL102" s="12" t="s">
        <v>672</v>
      </c>
      <c r="BM102" s="12" t="s">
        <v>672</v>
      </c>
      <c r="BN102" s="12" t="s">
        <v>672</v>
      </c>
      <c r="BO102" s="12" t="s">
        <v>581</v>
      </c>
      <c r="BP102" s="12" t="s">
        <v>761</v>
      </c>
      <c r="BQ102" s="12" t="s">
        <v>868</v>
      </c>
      <c r="BR102" s="12" t="s">
        <v>868</v>
      </c>
      <c r="BS102" s="12" t="s">
        <v>674</v>
      </c>
      <c r="BT102" s="12" t="s">
        <v>587</v>
      </c>
      <c r="BU102" s="12" t="s">
        <v>2018</v>
      </c>
      <c r="BV102" s="12" t="s">
        <v>852</v>
      </c>
      <c r="BW102" s="12" t="s">
        <v>852</v>
      </c>
      <c r="BX102" s="12" t="s">
        <v>1046</v>
      </c>
      <c r="BY102" s="12" t="s">
        <v>918</v>
      </c>
      <c r="BZ102" s="12" t="s">
        <v>769</v>
      </c>
      <c r="CA102" s="12" t="s">
        <v>853</v>
      </c>
      <c r="CB102" s="12" t="s">
        <v>974</v>
      </c>
      <c r="CC102" s="12" t="s">
        <v>810</v>
      </c>
      <c r="CD102" s="12" t="s">
        <v>858</v>
      </c>
      <c r="CE102" s="12" t="s">
        <v>862</v>
      </c>
      <c r="CF102" s="12" t="s">
        <v>1417</v>
      </c>
      <c r="CG102" s="12" t="s">
        <v>1501</v>
      </c>
      <c r="CH102" s="12" t="s">
        <v>1751</v>
      </c>
      <c r="CI102" s="12" t="s">
        <v>1357</v>
      </c>
      <c r="CJ102" s="12" t="s">
        <v>2099</v>
      </c>
      <c r="CK102" s="12" t="s">
        <v>1733</v>
      </c>
      <c r="CL102" s="12" t="s">
        <v>724</v>
      </c>
      <c r="CM102" s="12" t="s">
        <v>1531</v>
      </c>
      <c r="CN102" s="12" t="s">
        <v>1838</v>
      </c>
      <c r="CO102" s="12" t="s">
        <v>684</v>
      </c>
      <c r="CP102" s="12" t="s">
        <v>1163</v>
      </c>
      <c r="CQ102" s="12" t="s">
        <v>2029</v>
      </c>
      <c r="CR102" s="12" t="s">
        <v>596</v>
      </c>
      <c r="CS102" s="12" t="s">
        <v>1490</v>
      </c>
      <c r="CT102" s="12" t="s">
        <v>1687</v>
      </c>
    </row>
    <row r="103" spans="1:98" hidden="1" x14ac:dyDescent="0.3">
      <c r="A103" s="12" t="s">
        <v>25</v>
      </c>
      <c r="B103" s="12" t="s">
        <v>2419</v>
      </c>
      <c r="C103" s="12" t="s">
        <v>2420</v>
      </c>
      <c r="D103" s="12" t="s">
        <v>2421</v>
      </c>
      <c r="E103" s="12" t="s">
        <v>578</v>
      </c>
      <c r="F103" s="12" t="s">
        <v>578</v>
      </c>
      <c r="G103" s="12" t="s">
        <v>578</v>
      </c>
      <c r="H103" s="12" t="s">
        <v>578</v>
      </c>
      <c r="I103" s="12" t="s">
        <v>578</v>
      </c>
      <c r="J103" s="12" t="s">
        <v>578</v>
      </c>
      <c r="K103" s="12" t="s">
        <v>578</v>
      </c>
      <c r="L103" s="12" t="s">
        <v>578</v>
      </c>
      <c r="M103" s="12" t="s">
        <v>578</v>
      </c>
      <c r="N103" s="12" t="s">
        <v>578</v>
      </c>
      <c r="O103" s="12" t="s">
        <v>578</v>
      </c>
      <c r="P103" s="12" t="s">
        <v>578</v>
      </c>
      <c r="Q103" s="12" t="s">
        <v>578</v>
      </c>
      <c r="R103" s="12" t="s">
        <v>578</v>
      </c>
      <c r="S103" s="12" t="s">
        <v>578</v>
      </c>
      <c r="T103" s="12" t="s">
        <v>578</v>
      </c>
      <c r="U103" s="12" t="s">
        <v>578</v>
      </c>
      <c r="V103" s="12" t="s">
        <v>578</v>
      </c>
      <c r="W103" s="12" t="s">
        <v>578</v>
      </c>
      <c r="X103" s="12" t="s">
        <v>578</v>
      </c>
      <c r="Y103" s="12" t="s">
        <v>578</v>
      </c>
      <c r="Z103" s="12" t="s">
        <v>578</v>
      </c>
      <c r="AA103" s="12" t="s">
        <v>578</v>
      </c>
      <c r="AB103" s="12" t="s">
        <v>578</v>
      </c>
      <c r="AC103" s="12" t="s">
        <v>578</v>
      </c>
      <c r="AD103" s="12" t="s">
        <v>578</v>
      </c>
      <c r="AE103" s="12" t="s">
        <v>578</v>
      </c>
      <c r="AF103" s="12" t="s">
        <v>578</v>
      </c>
      <c r="AG103" s="12" t="s">
        <v>578</v>
      </c>
      <c r="AH103" s="12" t="s">
        <v>578</v>
      </c>
      <c r="AI103" s="12" t="s">
        <v>578</v>
      </c>
      <c r="AJ103" s="12" t="s">
        <v>578</v>
      </c>
      <c r="AK103" s="12" t="s">
        <v>578</v>
      </c>
      <c r="AL103" s="12" t="s">
        <v>578</v>
      </c>
      <c r="AM103" s="12" t="s">
        <v>578</v>
      </c>
      <c r="AN103" s="12" t="s">
        <v>578</v>
      </c>
      <c r="AO103" s="12" t="s">
        <v>578</v>
      </c>
      <c r="AP103" s="12" t="s">
        <v>578</v>
      </c>
      <c r="AQ103" s="12" t="s">
        <v>578</v>
      </c>
      <c r="AR103" s="12" t="s">
        <v>578</v>
      </c>
      <c r="AS103" s="12" t="s">
        <v>578</v>
      </c>
      <c r="AT103" s="12" t="s">
        <v>578</v>
      </c>
      <c r="AU103" s="12" t="s">
        <v>578</v>
      </c>
      <c r="AV103" s="12" t="s">
        <v>578</v>
      </c>
      <c r="AW103" s="12" t="s">
        <v>578</v>
      </c>
      <c r="AX103" s="12" t="s">
        <v>578</v>
      </c>
      <c r="AY103" s="12" t="s">
        <v>578</v>
      </c>
      <c r="AZ103" s="12" t="s">
        <v>578</v>
      </c>
      <c r="BA103" s="12" t="s">
        <v>578</v>
      </c>
      <c r="BB103" s="12" t="s">
        <v>578</v>
      </c>
      <c r="BC103" s="12" t="s">
        <v>578</v>
      </c>
      <c r="BD103" s="12" t="s">
        <v>578</v>
      </c>
      <c r="BE103" s="12" t="s">
        <v>578</v>
      </c>
      <c r="BF103" s="12" t="s">
        <v>579</v>
      </c>
      <c r="BG103" s="12" t="s">
        <v>579</v>
      </c>
      <c r="BH103" s="12" t="s">
        <v>579</v>
      </c>
      <c r="BI103" s="12" t="s">
        <v>580</v>
      </c>
      <c r="BJ103" s="12" t="s">
        <v>851</v>
      </c>
      <c r="BK103" s="12" t="s">
        <v>851</v>
      </c>
      <c r="BL103" s="12" t="s">
        <v>851</v>
      </c>
      <c r="BM103" s="12" t="s">
        <v>851</v>
      </c>
      <c r="BN103" s="12" t="s">
        <v>761</v>
      </c>
      <c r="BO103" s="12" t="s">
        <v>761</v>
      </c>
      <c r="BP103" s="12" t="s">
        <v>761</v>
      </c>
      <c r="BQ103" s="12" t="s">
        <v>625</v>
      </c>
      <c r="BR103" s="12" t="s">
        <v>625</v>
      </c>
      <c r="BS103" s="12" t="s">
        <v>625</v>
      </c>
      <c r="BT103" s="12" t="s">
        <v>625</v>
      </c>
      <c r="BU103" s="12" t="s">
        <v>625</v>
      </c>
      <c r="BV103" s="12" t="s">
        <v>625</v>
      </c>
      <c r="BW103" s="12" t="s">
        <v>762</v>
      </c>
      <c r="BX103" s="12" t="s">
        <v>762</v>
      </c>
      <c r="BY103" s="12" t="s">
        <v>584</v>
      </c>
      <c r="BZ103" s="12" t="s">
        <v>584</v>
      </c>
      <c r="CA103" s="12" t="s">
        <v>584</v>
      </c>
      <c r="CB103" s="12" t="s">
        <v>584</v>
      </c>
      <c r="CC103" s="12" t="s">
        <v>584</v>
      </c>
      <c r="CD103" s="12" t="s">
        <v>808</v>
      </c>
      <c r="CE103" s="12" t="s">
        <v>808</v>
      </c>
      <c r="CF103" s="12" t="s">
        <v>808</v>
      </c>
      <c r="CG103" s="12" t="s">
        <v>808</v>
      </c>
      <c r="CH103" s="12" t="s">
        <v>585</v>
      </c>
      <c r="CI103" s="12" t="s">
        <v>585</v>
      </c>
      <c r="CJ103" s="12" t="s">
        <v>1046</v>
      </c>
      <c r="CK103" s="12" t="s">
        <v>630</v>
      </c>
      <c r="CL103" s="12" t="s">
        <v>630</v>
      </c>
      <c r="CM103" s="12" t="s">
        <v>771</v>
      </c>
      <c r="CN103" s="12" t="s">
        <v>771</v>
      </c>
      <c r="CO103" s="12" t="s">
        <v>771</v>
      </c>
      <c r="CP103" s="12" t="s">
        <v>771</v>
      </c>
      <c r="CQ103" s="12" t="s">
        <v>1352</v>
      </c>
      <c r="CR103" s="12" t="s">
        <v>590</v>
      </c>
      <c r="CS103" s="12" t="s">
        <v>590</v>
      </c>
      <c r="CT103" s="12" t="s">
        <v>1126</v>
      </c>
    </row>
    <row r="104" spans="1:98" hidden="1" x14ac:dyDescent="0.3">
      <c r="A104" s="12" t="s">
        <v>25</v>
      </c>
      <c r="B104" s="12" t="s">
        <v>2422</v>
      </c>
      <c r="C104" s="12" t="s">
        <v>2423</v>
      </c>
      <c r="D104" s="12" t="s">
        <v>2424</v>
      </c>
      <c r="E104" s="12" t="s">
        <v>578</v>
      </c>
      <c r="F104" s="12" t="s">
        <v>578</v>
      </c>
      <c r="G104" s="12" t="s">
        <v>578</v>
      </c>
      <c r="H104" s="12" t="s">
        <v>578</v>
      </c>
      <c r="I104" s="12" t="s">
        <v>578</v>
      </c>
      <c r="J104" s="12" t="s">
        <v>578</v>
      </c>
      <c r="K104" s="12" t="s">
        <v>578</v>
      </c>
      <c r="L104" s="12" t="s">
        <v>578</v>
      </c>
      <c r="M104" s="12" t="s">
        <v>578</v>
      </c>
      <c r="N104" s="12" t="s">
        <v>578</v>
      </c>
      <c r="O104" s="12" t="s">
        <v>578</v>
      </c>
      <c r="P104" s="12" t="s">
        <v>578</v>
      </c>
      <c r="Q104" s="12" t="s">
        <v>578</v>
      </c>
      <c r="R104" s="12" t="s">
        <v>578</v>
      </c>
      <c r="S104" s="12" t="s">
        <v>578</v>
      </c>
      <c r="T104" s="12" t="s">
        <v>578</v>
      </c>
      <c r="U104" s="12" t="s">
        <v>578</v>
      </c>
      <c r="V104" s="12" t="s">
        <v>578</v>
      </c>
      <c r="W104" s="12" t="s">
        <v>578</v>
      </c>
      <c r="X104" s="12" t="s">
        <v>578</v>
      </c>
      <c r="Y104" s="12" t="s">
        <v>578</v>
      </c>
      <c r="Z104" s="12" t="s">
        <v>578</v>
      </c>
      <c r="AA104" s="12" t="s">
        <v>578</v>
      </c>
      <c r="AB104" s="12" t="s">
        <v>578</v>
      </c>
      <c r="AC104" s="12" t="s">
        <v>578</v>
      </c>
      <c r="AD104" s="12" t="s">
        <v>578</v>
      </c>
      <c r="AE104" s="12" t="s">
        <v>578</v>
      </c>
      <c r="AF104" s="12" t="s">
        <v>578</v>
      </c>
      <c r="AG104" s="12" t="s">
        <v>578</v>
      </c>
      <c r="AH104" s="12" t="s">
        <v>578</v>
      </c>
      <c r="AI104" s="12" t="s">
        <v>578</v>
      </c>
      <c r="AJ104" s="12" t="s">
        <v>578</v>
      </c>
      <c r="AK104" s="12" t="s">
        <v>578</v>
      </c>
      <c r="AL104" s="12" t="s">
        <v>578</v>
      </c>
      <c r="AM104" s="12" t="s">
        <v>578</v>
      </c>
      <c r="AN104" s="12" t="s">
        <v>578</v>
      </c>
      <c r="AO104" s="12" t="s">
        <v>578</v>
      </c>
      <c r="AP104" s="12" t="s">
        <v>578</v>
      </c>
      <c r="AQ104" s="12" t="s">
        <v>578</v>
      </c>
      <c r="AR104" s="12" t="s">
        <v>578</v>
      </c>
      <c r="AS104" s="12" t="s">
        <v>578</v>
      </c>
      <c r="AT104" s="12" t="s">
        <v>578</v>
      </c>
      <c r="AU104" s="12" t="s">
        <v>578</v>
      </c>
      <c r="AV104" s="12" t="s">
        <v>578</v>
      </c>
      <c r="AW104" s="12" t="s">
        <v>578</v>
      </c>
      <c r="AX104" s="12" t="s">
        <v>578</v>
      </c>
      <c r="AY104" s="12" t="s">
        <v>578</v>
      </c>
      <c r="AZ104" s="12" t="s">
        <v>578</v>
      </c>
      <c r="BA104" s="12" t="s">
        <v>578</v>
      </c>
      <c r="BB104" s="12" t="s">
        <v>578</v>
      </c>
      <c r="BC104" s="12" t="s">
        <v>578</v>
      </c>
      <c r="BD104" s="12" t="s">
        <v>578</v>
      </c>
      <c r="BE104" s="12" t="s">
        <v>578</v>
      </c>
      <c r="BF104" s="12" t="s">
        <v>578</v>
      </c>
      <c r="BG104" s="12" t="s">
        <v>578</v>
      </c>
      <c r="BH104" s="12" t="s">
        <v>578</v>
      </c>
      <c r="BI104" s="12" t="s">
        <v>578</v>
      </c>
      <c r="BJ104" s="12" t="s">
        <v>578</v>
      </c>
      <c r="BK104" s="12" t="s">
        <v>578</v>
      </c>
      <c r="BL104" s="12" t="s">
        <v>579</v>
      </c>
      <c r="BM104" s="12" t="s">
        <v>579</v>
      </c>
      <c r="BN104" s="12" t="s">
        <v>579</v>
      </c>
      <c r="BO104" s="12" t="s">
        <v>579</v>
      </c>
      <c r="BP104" s="12" t="s">
        <v>580</v>
      </c>
      <c r="BQ104" s="12" t="s">
        <v>851</v>
      </c>
      <c r="BR104" s="12" t="s">
        <v>851</v>
      </c>
      <c r="BS104" s="12" t="s">
        <v>851</v>
      </c>
      <c r="BT104" s="12" t="s">
        <v>625</v>
      </c>
      <c r="BU104" s="12" t="s">
        <v>625</v>
      </c>
      <c r="BV104" s="12" t="s">
        <v>762</v>
      </c>
      <c r="BW104" s="12" t="s">
        <v>762</v>
      </c>
      <c r="BX104" s="12" t="s">
        <v>586</v>
      </c>
      <c r="BY104" s="12" t="s">
        <v>586</v>
      </c>
      <c r="BZ104" s="12" t="s">
        <v>953</v>
      </c>
      <c r="CA104" s="12" t="s">
        <v>953</v>
      </c>
      <c r="CB104" s="12" t="s">
        <v>766</v>
      </c>
      <c r="CC104" s="12" t="s">
        <v>766</v>
      </c>
      <c r="CD104" s="12" t="s">
        <v>627</v>
      </c>
      <c r="CE104" s="12" t="s">
        <v>627</v>
      </c>
      <c r="CF104" s="12" t="s">
        <v>767</v>
      </c>
      <c r="CG104" s="12" t="s">
        <v>767</v>
      </c>
      <c r="CH104" s="12" t="s">
        <v>767</v>
      </c>
      <c r="CI104" s="12" t="s">
        <v>767</v>
      </c>
      <c r="CJ104" s="12" t="s">
        <v>767</v>
      </c>
      <c r="CK104" s="12" t="s">
        <v>917</v>
      </c>
      <c r="CL104" s="12" t="s">
        <v>917</v>
      </c>
      <c r="CM104" s="12" t="s">
        <v>917</v>
      </c>
      <c r="CN104" s="12" t="s">
        <v>718</v>
      </c>
      <c r="CO104" s="12" t="s">
        <v>718</v>
      </c>
      <c r="CP104" s="12" t="s">
        <v>718</v>
      </c>
      <c r="CQ104" s="12" t="s">
        <v>718</v>
      </c>
      <c r="CR104" s="12" t="s">
        <v>718</v>
      </c>
      <c r="CS104" s="12" t="s">
        <v>718</v>
      </c>
      <c r="CT104" s="12" t="s">
        <v>718</v>
      </c>
    </row>
    <row r="105" spans="1:98" hidden="1" x14ac:dyDescent="0.3">
      <c r="A105" s="12" t="s">
        <v>25</v>
      </c>
      <c r="B105" s="12" t="s">
        <v>2425</v>
      </c>
      <c r="C105" s="12" t="s">
        <v>2426</v>
      </c>
      <c r="D105" s="12" t="s">
        <v>2427</v>
      </c>
      <c r="E105" s="12" t="s">
        <v>578</v>
      </c>
      <c r="F105" s="12" t="s">
        <v>578</v>
      </c>
      <c r="G105" s="12" t="s">
        <v>578</v>
      </c>
      <c r="H105" s="12" t="s">
        <v>578</v>
      </c>
      <c r="I105" s="12" t="s">
        <v>578</v>
      </c>
      <c r="J105" s="12" t="s">
        <v>578</v>
      </c>
      <c r="K105" s="12" t="s">
        <v>578</v>
      </c>
      <c r="L105" s="12" t="s">
        <v>578</v>
      </c>
      <c r="M105" s="12" t="s">
        <v>578</v>
      </c>
      <c r="N105" s="12" t="s">
        <v>578</v>
      </c>
      <c r="O105" s="12" t="s">
        <v>578</v>
      </c>
      <c r="P105" s="12" t="s">
        <v>578</v>
      </c>
      <c r="Q105" s="12" t="s">
        <v>578</v>
      </c>
      <c r="R105" s="12" t="s">
        <v>578</v>
      </c>
      <c r="S105" s="12" t="s">
        <v>578</v>
      </c>
      <c r="T105" s="12" t="s">
        <v>578</v>
      </c>
      <c r="U105" s="12" t="s">
        <v>578</v>
      </c>
      <c r="V105" s="12" t="s">
        <v>578</v>
      </c>
      <c r="W105" s="12" t="s">
        <v>578</v>
      </c>
      <c r="X105" s="12" t="s">
        <v>578</v>
      </c>
      <c r="Y105" s="12" t="s">
        <v>578</v>
      </c>
      <c r="Z105" s="12" t="s">
        <v>578</v>
      </c>
      <c r="AA105" s="12" t="s">
        <v>578</v>
      </c>
      <c r="AB105" s="12" t="s">
        <v>578</v>
      </c>
      <c r="AC105" s="12" t="s">
        <v>578</v>
      </c>
      <c r="AD105" s="12" t="s">
        <v>578</v>
      </c>
      <c r="AE105" s="12" t="s">
        <v>578</v>
      </c>
      <c r="AF105" s="12" t="s">
        <v>578</v>
      </c>
      <c r="AG105" s="12" t="s">
        <v>578</v>
      </c>
      <c r="AH105" s="12" t="s">
        <v>578</v>
      </c>
      <c r="AI105" s="12" t="s">
        <v>578</v>
      </c>
      <c r="AJ105" s="12" t="s">
        <v>578</v>
      </c>
      <c r="AK105" s="12" t="s">
        <v>578</v>
      </c>
      <c r="AL105" s="12" t="s">
        <v>578</v>
      </c>
      <c r="AM105" s="12" t="s">
        <v>578</v>
      </c>
      <c r="AN105" s="12" t="s">
        <v>578</v>
      </c>
      <c r="AO105" s="12" t="s">
        <v>579</v>
      </c>
      <c r="AP105" s="12" t="s">
        <v>579</v>
      </c>
      <c r="AQ105" s="12" t="s">
        <v>579</v>
      </c>
      <c r="AR105" s="12" t="s">
        <v>579</v>
      </c>
      <c r="AS105" s="12" t="s">
        <v>579</v>
      </c>
      <c r="AT105" s="12" t="s">
        <v>623</v>
      </c>
      <c r="AU105" s="12" t="s">
        <v>623</v>
      </c>
      <c r="AV105" s="12" t="s">
        <v>672</v>
      </c>
      <c r="AW105" s="12" t="s">
        <v>624</v>
      </c>
      <c r="AX105" s="12" t="s">
        <v>624</v>
      </c>
      <c r="AY105" s="12" t="s">
        <v>624</v>
      </c>
      <c r="AZ105" s="12" t="s">
        <v>624</v>
      </c>
      <c r="BA105" s="12" t="s">
        <v>625</v>
      </c>
      <c r="BB105" s="12" t="s">
        <v>584</v>
      </c>
      <c r="BC105" s="12" t="s">
        <v>584</v>
      </c>
      <c r="BD105" s="12" t="s">
        <v>771</v>
      </c>
      <c r="BE105" s="12" t="s">
        <v>811</v>
      </c>
      <c r="BF105" s="12" t="s">
        <v>874</v>
      </c>
      <c r="BG105" s="12" t="s">
        <v>986</v>
      </c>
      <c r="BH105" s="12" t="s">
        <v>2029</v>
      </c>
      <c r="BI105" s="12" t="s">
        <v>1280</v>
      </c>
      <c r="BJ105" s="12" t="s">
        <v>727</v>
      </c>
      <c r="BK105" s="12" t="s">
        <v>1828</v>
      </c>
      <c r="BL105" s="12" t="s">
        <v>1424</v>
      </c>
      <c r="BM105" s="12" t="s">
        <v>1612</v>
      </c>
      <c r="BN105" s="12" t="s">
        <v>1688</v>
      </c>
      <c r="BO105" s="12" t="s">
        <v>2428</v>
      </c>
      <c r="BP105" s="12" t="s">
        <v>2062</v>
      </c>
      <c r="BQ105" s="12" t="s">
        <v>2068</v>
      </c>
      <c r="BR105" s="12" t="s">
        <v>1727</v>
      </c>
      <c r="BS105" s="12" t="s">
        <v>1992</v>
      </c>
      <c r="BT105" s="12" t="s">
        <v>2429</v>
      </c>
      <c r="BU105" s="12" t="s">
        <v>2235</v>
      </c>
      <c r="BV105" s="12" t="s">
        <v>781</v>
      </c>
      <c r="BW105" s="12" t="s">
        <v>1672</v>
      </c>
      <c r="BX105" s="12" t="s">
        <v>1291</v>
      </c>
      <c r="BY105" s="12" t="s">
        <v>2430</v>
      </c>
      <c r="BZ105" s="12" t="s">
        <v>835</v>
      </c>
      <c r="CA105" s="12" t="s">
        <v>1387</v>
      </c>
      <c r="CB105" s="12" t="s">
        <v>2431</v>
      </c>
      <c r="CC105" s="12" t="s">
        <v>2432</v>
      </c>
      <c r="CD105" s="12" t="s">
        <v>2433</v>
      </c>
      <c r="CE105" s="12" t="s">
        <v>2434</v>
      </c>
      <c r="CF105" s="12" t="s">
        <v>2130</v>
      </c>
      <c r="CG105" s="12" t="s">
        <v>2435</v>
      </c>
      <c r="CH105" s="12" t="s">
        <v>1301</v>
      </c>
      <c r="CI105" s="12" t="s">
        <v>1054</v>
      </c>
      <c r="CJ105" s="12" t="s">
        <v>1110</v>
      </c>
      <c r="CK105" s="12" t="s">
        <v>1780</v>
      </c>
      <c r="CL105" s="12" t="s">
        <v>2436</v>
      </c>
      <c r="CM105" s="12" t="s">
        <v>2437</v>
      </c>
      <c r="CN105" s="12" t="s">
        <v>2438</v>
      </c>
      <c r="CO105" s="12" t="s">
        <v>1149</v>
      </c>
      <c r="CP105" s="12" t="s">
        <v>2439</v>
      </c>
      <c r="CQ105" s="12" t="s">
        <v>1800</v>
      </c>
      <c r="CR105" s="12" t="s">
        <v>2440</v>
      </c>
      <c r="CS105" s="12" t="s">
        <v>1116</v>
      </c>
      <c r="CT105" s="12" t="s">
        <v>2441</v>
      </c>
    </row>
    <row r="106" spans="1:98" hidden="1" x14ac:dyDescent="0.3">
      <c r="A106" s="12" t="s">
        <v>25</v>
      </c>
      <c r="B106" s="12" t="s">
        <v>2442</v>
      </c>
      <c r="C106" s="12" t="s">
        <v>2443</v>
      </c>
      <c r="D106" s="12" t="s">
        <v>2444</v>
      </c>
      <c r="E106" s="12" t="s">
        <v>578</v>
      </c>
      <c r="F106" s="12" t="s">
        <v>578</v>
      </c>
      <c r="G106" s="12" t="s">
        <v>578</v>
      </c>
      <c r="H106" s="12" t="s">
        <v>578</v>
      </c>
      <c r="I106" s="12" t="s">
        <v>578</v>
      </c>
      <c r="J106" s="12" t="s">
        <v>578</v>
      </c>
      <c r="K106" s="12" t="s">
        <v>578</v>
      </c>
      <c r="L106" s="12" t="s">
        <v>578</v>
      </c>
      <c r="M106" s="12" t="s">
        <v>578</v>
      </c>
      <c r="N106" s="12" t="s">
        <v>578</v>
      </c>
      <c r="O106" s="12" t="s">
        <v>578</v>
      </c>
      <c r="P106" s="12" t="s">
        <v>578</v>
      </c>
      <c r="Q106" s="12" t="s">
        <v>578</v>
      </c>
      <c r="R106" s="12" t="s">
        <v>578</v>
      </c>
      <c r="S106" s="12" t="s">
        <v>578</v>
      </c>
      <c r="T106" s="12" t="s">
        <v>578</v>
      </c>
      <c r="U106" s="12" t="s">
        <v>578</v>
      </c>
      <c r="V106" s="12" t="s">
        <v>578</v>
      </c>
      <c r="W106" s="12" t="s">
        <v>578</v>
      </c>
      <c r="X106" s="12" t="s">
        <v>578</v>
      </c>
      <c r="Y106" s="12" t="s">
        <v>578</v>
      </c>
      <c r="Z106" s="12" t="s">
        <v>578</v>
      </c>
      <c r="AA106" s="12" t="s">
        <v>578</v>
      </c>
      <c r="AB106" s="12" t="s">
        <v>578</v>
      </c>
      <c r="AC106" s="12" t="s">
        <v>578</v>
      </c>
      <c r="AD106" s="12" t="s">
        <v>578</v>
      </c>
      <c r="AE106" s="12" t="s">
        <v>578</v>
      </c>
      <c r="AF106" s="12" t="s">
        <v>578</v>
      </c>
      <c r="AG106" s="12" t="s">
        <v>578</v>
      </c>
      <c r="AH106" s="12" t="s">
        <v>578</v>
      </c>
      <c r="AI106" s="12" t="s">
        <v>578</v>
      </c>
      <c r="AJ106" s="12" t="s">
        <v>578</v>
      </c>
      <c r="AK106" s="12" t="s">
        <v>578</v>
      </c>
      <c r="AL106" s="12" t="s">
        <v>578</v>
      </c>
      <c r="AM106" s="12" t="s">
        <v>578</v>
      </c>
      <c r="AN106" s="12" t="s">
        <v>578</v>
      </c>
      <c r="AO106" s="12" t="s">
        <v>578</v>
      </c>
      <c r="AP106" s="12" t="s">
        <v>578</v>
      </c>
      <c r="AQ106" s="12" t="s">
        <v>578</v>
      </c>
      <c r="AR106" s="12" t="s">
        <v>578</v>
      </c>
      <c r="AS106" s="12" t="s">
        <v>578</v>
      </c>
      <c r="AT106" s="12" t="s">
        <v>578</v>
      </c>
      <c r="AU106" s="12" t="s">
        <v>578</v>
      </c>
      <c r="AV106" s="12" t="s">
        <v>578</v>
      </c>
      <c r="AW106" s="12" t="s">
        <v>578</v>
      </c>
      <c r="AX106" s="12" t="s">
        <v>578</v>
      </c>
      <c r="AY106" s="12" t="s">
        <v>578</v>
      </c>
      <c r="AZ106" s="12" t="s">
        <v>578</v>
      </c>
      <c r="BA106" s="12" t="s">
        <v>578</v>
      </c>
      <c r="BB106" s="12" t="s">
        <v>578</v>
      </c>
      <c r="BC106" s="12" t="s">
        <v>578</v>
      </c>
      <c r="BD106" s="12" t="s">
        <v>578</v>
      </c>
      <c r="BE106" s="12" t="s">
        <v>579</v>
      </c>
      <c r="BF106" s="12" t="s">
        <v>579</v>
      </c>
      <c r="BG106" s="12" t="s">
        <v>579</v>
      </c>
      <c r="BH106" s="12" t="s">
        <v>579</v>
      </c>
      <c r="BI106" s="12" t="s">
        <v>579</v>
      </c>
      <c r="BJ106" s="12" t="s">
        <v>579</v>
      </c>
      <c r="BK106" s="12" t="s">
        <v>579</v>
      </c>
      <c r="BL106" s="12" t="s">
        <v>579</v>
      </c>
      <c r="BM106" s="12" t="s">
        <v>580</v>
      </c>
      <c r="BN106" s="12" t="s">
        <v>580</v>
      </c>
      <c r="BO106" s="12" t="s">
        <v>580</v>
      </c>
      <c r="BP106" s="12" t="s">
        <v>580</v>
      </c>
      <c r="BQ106" s="12" t="s">
        <v>851</v>
      </c>
      <c r="BR106" s="12" t="s">
        <v>761</v>
      </c>
      <c r="BS106" s="12" t="s">
        <v>761</v>
      </c>
      <c r="BT106" s="12" t="s">
        <v>761</v>
      </c>
      <c r="BU106" s="12" t="s">
        <v>761</v>
      </c>
      <c r="BV106" s="12" t="s">
        <v>761</v>
      </c>
      <c r="BW106" s="12" t="s">
        <v>761</v>
      </c>
      <c r="BX106" s="12" t="s">
        <v>761</v>
      </c>
      <c r="BY106" s="12" t="s">
        <v>761</v>
      </c>
      <c r="BZ106" s="12" t="s">
        <v>761</v>
      </c>
      <c r="CA106" s="12" t="s">
        <v>761</v>
      </c>
      <c r="CB106" s="12" t="s">
        <v>624</v>
      </c>
      <c r="CC106" s="12" t="s">
        <v>624</v>
      </c>
      <c r="CD106" s="12" t="s">
        <v>625</v>
      </c>
      <c r="CE106" s="12" t="s">
        <v>625</v>
      </c>
      <c r="CF106" s="12" t="s">
        <v>625</v>
      </c>
      <c r="CG106" s="12" t="s">
        <v>625</v>
      </c>
      <c r="CH106" s="12" t="s">
        <v>756</v>
      </c>
      <c r="CI106" s="12" t="s">
        <v>762</v>
      </c>
      <c r="CJ106" s="12" t="s">
        <v>762</v>
      </c>
      <c r="CK106" s="12" t="s">
        <v>762</v>
      </c>
      <c r="CL106" s="12" t="s">
        <v>584</v>
      </c>
      <c r="CM106" s="12" t="s">
        <v>584</v>
      </c>
      <c r="CN106" s="12" t="s">
        <v>586</v>
      </c>
      <c r="CO106" s="12" t="s">
        <v>586</v>
      </c>
      <c r="CP106" s="12" t="s">
        <v>587</v>
      </c>
      <c r="CQ106" s="12" t="s">
        <v>766</v>
      </c>
      <c r="CR106" s="12" t="s">
        <v>766</v>
      </c>
      <c r="CS106" s="12" t="s">
        <v>766</v>
      </c>
      <c r="CT106" s="12" t="s">
        <v>971</v>
      </c>
    </row>
    <row r="107" spans="1:98" hidden="1" x14ac:dyDescent="0.3">
      <c r="A107" s="12" t="s">
        <v>25</v>
      </c>
      <c r="B107" s="12" t="s">
        <v>2445</v>
      </c>
      <c r="C107" s="12" t="s">
        <v>2446</v>
      </c>
      <c r="D107" s="12" t="s">
        <v>2447</v>
      </c>
      <c r="E107" s="12" t="s">
        <v>578</v>
      </c>
      <c r="F107" s="12" t="s">
        <v>578</v>
      </c>
      <c r="G107" s="12" t="s">
        <v>578</v>
      </c>
      <c r="H107" s="12" t="s">
        <v>578</v>
      </c>
      <c r="I107" s="12" t="s">
        <v>578</v>
      </c>
      <c r="J107" s="12" t="s">
        <v>578</v>
      </c>
      <c r="K107" s="12" t="s">
        <v>578</v>
      </c>
      <c r="L107" s="12" t="s">
        <v>578</v>
      </c>
      <c r="M107" s="12" t="s">
        <v>578</v>
      </c>
      <c r="N107" s="12" t="s">
        <v>578</v>
      </c>
      <c r="O107" s="12" t="s">
        <v>578</v>
      </c>
      <c r="P107" s="12" t="s">
        <v>578</v>
      </c>
      <c r="Q107" s="12" t="s">
        <v>578</v>
      </c>
      <c r="R107" s="12" t="s">
        <v>578</v>
      </c>
      <c r="S107" s="12" t="s">
        <v>578</v>
      </c>
      <c r="T107" s="12" t="s">
        <v>578</v>
      </c>
      <c r="U107" s="12" t="s">
        <v>578</v>
      </c>
      <c r="V107" s="12" t="s">
        <v>578</v>
      </c>
      <c r="W107" s="12" t="s">
        <v>578</v>
      </c>
      <c r="X107" s="12" t="s">
        <v>578</v>
      </c>
      <c r="Y107" s="12" t="s">
        <v>578</v>
      </c>
      <c r="Z107" s="12" t="s">
        <v>578</v>
      </c>
      <c r="AA107" s="12" t="s">
        <v>578</v>
      </c>
      <c r="AB107" s="12" t="s">
        <v>578</v>
      </c>
      <c r="AC107" s="12" t="s">
        <v>578</v>
      </c>
      <c r="AD107" s="12" t="s">
        <v>578</v>
      </c>
      <c r="AE107" s="12" t="s">
        <v>578</v>
      </c>
      <c r="AF107" s="12" t="s">
        <v>578</v>
      </c>
      <c r="AG107" s="12" t="s">
        <v>578</v>
      </c>
      <c r="AH107" s="12" t="s">
        <v>578</v>
      </c>
      <c r="AI107" s="12" t="s">
        <v>578</v>
      </c>
      <c r="AJ107" s="12" t="s">
        <v>578</v>
      </c>
      <c r="AK107" s="12" t="s">
        <v>578</v>
      </c>
      <c r="AL107" s="12" t="s">
        <v>578</v>
      </c>
      <c r="AM107" s="12" t="s">
        <v>578</v>
      </c>
      <c r="AN107" s="12" t="s">
        <v>578</v>
      </c>
      <c r="AO107" s="12" t="s">
        <v>578</v>
      </c>
      <c r="AP107" s="12" t="s">
        <v>578</v>
      </c>
      <c r="AQ107" s="12" t="s">
        <v>578</v>
      </c>
      <c r="AR107" s="12" t="s">
        <v>578</v>
      </c>
      <c r="AS107" s="12" t="s">
        <v>578</v>
      </c>
      <c r="AT107" s="12" t="s">
        <v>578</v>
      </c>
      <c r="AU107" s="12" t="s">
        <v>578</v>
      </c>
      <c r="AV107" s="12" t="s">
        <v>578</v>
      </c>
      <c r="AW107" s="12" t="s">
        <v>578</v>
      </c>
      <c r="AX107" s="12" t="s">
        <v>578</v>
      </c>
      <c r="AY107" s="12" t="s">
        <v>578</v>
      </c>
      <c r="AZ107" s="12" t="s">
        <v>578</v>
      </c>
      <c r="BA107" s="12" t="s">
        <v>578</v>
      </c>
      <c r="BB107" s="12" t="s">
        <v>578</v>
      </c>
      <c r="BC107" s="12" t="s">
        <v>578</v>
      </c>
      <c r="BD107" s="12" t="s">
        <v>579</v>
      </c>
      <c r="BE107" s="12" t="s">
        <v>579</v>
      </c>
      <c r="BF107" s="12" t="s">
        <v>579</v>
      </c>
      <c r="BG107" s="12" t="s">
        <v>581</v>
      </c>
      <c r="BH107" s="12" t="s">
        <v>581</v>
      </c>
      <c r="BI107" s="12" t="s">
        <v>851</v>
      </c>
      <c r="BJ107" s="12" t="s">
        <v>851</v>
      </c>
      <c r="BK107" s="12" t="s">
        <v>761</v>
      </c>
      <c r="BL107" s="12" t="s">
        <v>761</v>
      </c>
      <c r="BM107" s="12" t="s">
        <v>583</v>
      </c>
      <c r="BN107" s="12" t="s">
        <v>583</v>
      </c>
      <c r="BO107" s="12" t="s">
        <v>625</v>
      </c>
      <c r="BP107" s="12" t="s">
        <v>625</v>
      </c>
      <c r="BQ107" s="12" t="s">
        <v>625</v>
      </c>
      <c r="BR107" s="12" t="s">
        <v>584</v>
      </c>
      <c r="BS107" s="12" t="s">
        <v>584</v>
      </c>
      <c r="BT107" s="12" t="s">
        <v>585</v>
      </c>
      <c r="BU107" s="12" t="s">
        <v>626</v>
      </c>
      <c r="BV107" s="12" t="s">
        <v>676</v>
      </c>
      <c r="BW107" s="12" t="s">
        <v>953</v>
      </c>
      <c r="BX107" s="12" t="s">
        <v>953</v>
      </c>
      <c r="BY107" s="12" t="s">
        <v>917</v>
      </c>
      <c r="BZ107" s="12" t="s">
        <v>628</v>
      </c>
      <c r="CA107" s="12" t="s">
        <v>1259</v>
      </c>
      <c r="CB107" s="12" t="s">
        <v>1096</v>
      </c>
      <c r="CC107" s="12" t="s">
        <v>809</v>
      </c>
      <c r="CD107" s="12" t="s">
        <v>631</v>
      </c>
      <c r="CE107" s="12" t="s">
        <v>769</v>
      </c>
      <c r="CF107" s="12" t="s">
        <v>870</v>
      </c>
      <c r="CG107" s="12" t="s">
        <v>974</v>
      </c>
      <c r="CH107" s="12" t="s">
        <v>854</v>
      </c>
      <c r="CI107" s="12" t="s">
        <v>589</v>
      </c>
      <c r="CJ107" s="12" t="s">
        <v>976</v>
      </c>
      <c r="CK107" s="12" t="s">
        <v>1124</v>
      </c>
      <c r="CL107" s="12" t="s">
        <v>871</v>
      </c>
      <c r="CM107" s="12" t="s">
        <v>859</v>
      </c>
      <c r="CN107" s="12" t="s">
        <v>864</v>
      </c>
      <c r="CO107" s="12" t="s">
        <v>1499</v>
      </c>
      <c r="CP107" s="12" t="s">
        <v>979</v>
      </c>
      <c r="CQ107" s="12" t="s">
        <v>1353</v>
      </c>
      <c r="CR107" s="12" t="s">
        <v>1500</v>
      </c>
      <c r="CS107" s="12" t="s">
        <v>1500</v>
      </c>
      <c r="CT107" s="12" t="s">
        <v>1417</v>
      </c>
    </row>
    <row r="108" spans="1:98" hidden="1" x14ac:dyDescent="0.3">
      <c r="A108" s="12" t="s">
        <v>25</v>
      </c>
      <c r="B108" s="12" t="s">
        <v>2448</v>
      </c>
      <c r="C108" s="12" t="s">
        <v>2449</v>
      </c>
      <c r="D108" s="12" t="s">
        <v>2450</v>
      </c>
      <c r="E108" s="12" t="s">
        <v>578</v>
      </c>
      <c r="F108" s="12" t="s">
        <v>578</v>
      </c>
      <c r="G108" s="12" t="s">
        <v>578</v>
      </c>
      <c r="H108" s="12" t="s">
        <v>578</v>
      </c>
      <c r="I108" s="12" t="s">
        <v>578</v>
      </c>
      <c r="J108" s="12" t="s">
        <v>578</v>
      </c>
      <c r="K108" s="12" t="s">
        <v>578</v>
      </c>
      <c r="L108" s="12" t="s">
        <v>578</v>
      </c>
      <c r="M108" s="12" t="s">
        <v>578</v>
      </c>
      <c r="N108" s="12" t="s">
        <v>578</v>
      </c>
      <c r="O108" s="12" t="s">
        <v>578</v>
      </c>
      <c r="P108" s="12" t="s">
        <v>578</v>
      </c>
      <c r="Q108" s="12" t="s">
        <v>578</v>
      </c>
      <c r="R108" s="12" t="s">
        <v>578</v>
      </c>
      <c r="S108" s="12" t="s">
        <v>578</v>
      </c>
      <c r="T108" s="12" t="s">
        <v>578</v>
      </c>
      <c r="U108" s="12" t="s">
        <v>578</v>
      </c>
      <c r="V108" s="12" t="s">
        <v>578</v>
      </c>
      <c r="W108" s="12" t="s">
        <v>578</v>
      </c>
      <c r="X108" s="12" t="s">
        <v>578</v>
      </c>
      <c r="Y108" s="12" t="s">
        <v>578</v>
      </c>
      <c r="Z108" s="12" t="s">
        <v>578</v>
      </c>
      <c r="AA108" s="12" t="s">
        <v>578</v>
      </c>
      <c r="AB108" s="12" t="s">
        <v>578</v>
      </c>
      <c r="AC108" s="12" t="s">
        <v>578</v>
      </c>
      <c r="AD108" s="12" t="s">
        <v>578</v>
      </c>
      <c r="AE108" s="12" t="s">
        <v>578</v>
      </c>
      <c r="AF108" s="12" t="s">
        <v>578</v>
      </c>
      <c r="AG108" s="12" t="s">
        <v>578</v>
      </c>
      <c r="AH108" s="12" t="s">
        <v>578</v>
      </c>
      <c r="AI108" s="12" t="s">
        <v>578</v>
      </c>
      <c r="AJ108" s="12" t="s">
        <v>578</v>
      </c>
      <c r="AK108" s="12" t="s">
        <v>578</v>
      </c>
      <c r="AL108" s="12" t="s">
        <v>578</v>
      </c>
      <c r="AM108" s="12" t="s">
        <v>578</v>
      </c>
      <c r="AN108" s="12" t="s">
        <v>578</v>
      </c>
      <c r="AO108" s="12" t="s">
        <v>578</v>
      </c>
      <c r="AP108" s="12" t="s">
        <v>578</v>
      </c>
      <c r="AQ108" s="12" t="s">
        <v>578</v>
      </c>
      <c r="AR108" s="12" t="s">
        <v>578</v>
      </c>
      <c r="AS108" s="12" t="s">
        <v>578</v>
      </c>
      <c r="AT108" s="12" t="s">
        <v>578</v>
      </c>
      <c r="AU108" s="12" t="s">
        <v>578</v>
      </c>
      <c r="AV108" s="12" t="s">
        <v>578</v>
      </c>
      <c r="AW108" s="12" t="s">
        <v>578</v>
      </c>
      <c r="AX108" s="12" t="s">
        <v>578</v>
      </c>
      <c r="AY108" s="12" t="s">
        <v>578</v>
      </c>
      <c r="AZ108" s="12" t="s">
        <v>578</v>
      </c>
      <c r="BA108" s="12" t="s">
        <v>578</v>
      </c>
      <c r="BB108" s="12" t="s">
        <v>578</v>
      </c>
      <c r="BC108" s="12" t="s">
        <v>578</v>
      </c>
      <c r="BD108" s="12" t="s">
        <v>578</v>
      </c>
      <c r="BE108" s="12" t="s">
        <v>578</v>
      </c>
      <c r="BF108" s="12" t="s">
        <v>578</v>
      </c>
      <c r="BG108" s="12" t="s">
        <v>578</v>
      </c>
      <c r="BH108" s="12" t="s">
        <v>578</v>
      </c>
      <c r="BI108" s="12" t="s">
        <v>578</v>
      </c>
      <c r="BJ108" s="12" t="s">
        <v>579</v>
      </c>
      <c r="BK108" s="12" t="s">
        <v>579</v>
      </c>
      <c r="BL108" s="12" t="s">
        <v>579</v>
      </c>
      <c r="BM108" s="12" t="s">
        <v>623</v>
      </c>
      <c r="BN108" s="12" t="s">
        <v>672</v>
      </c>
      <c r="BO108" s="12" t="s">
        <v>580</v>
      </c>
      <c r="BP108" s="12" t="s">
        <v>581</v>
      </c>
      <c r="BQ108" s="12" t="s">
        <v>581</v>
      </c>
      <c r="BR108" s="12" t="s">
        <v>581</v>
      </c>
      <c r="BS108" s="12" t="s">
        <v>581</v>
      </c>
      <c r="BT108" s="12" t="s">
        <v>581</v>
      </c>
      <c r="BU108" s="12" t="s">
        <v>581</v>
      </c>
      <c r="BV108" s="12" t="s">
        <v>581</v>
      </c>
      <c r="BW108" s="12" t="s">
        <v>581</v>
      </c>
      <c r="BX108" s="12" t="s">
        <v>582</v>
      </c>
      <c r="BY108" s="12" t="s">
        <v>582</v>
      </c>
      <c r="BZ108" s="12" t="s">
        <v>625</v>
      </c>
      <c r="CA108" s="12" t="s">
        <v>625</v>
      </c>
      <c r="CB108" s="12" t="s">
        <v>756</v>
      </c>
      <c r="CC108" s="12" t="s">
        <v>762</v>
      </c>
      <c r="CD108" s="12" t="s">
        <v>762</v>
      </c>
      <c r="CE108" s="12" t="s">
        <v>762</v>
      </c>
      <c r="CF108" s="12" t="s">
        <v>584</v>
      </c>
      <c r="CG108" s="12" t="s">
        <v>584</v>
      </c>
      <c r="CH108" s="12" t="s">
        <v>584</v>
      </c>
      <c r="CI108" s="12" t="s">
        <v>584</v>
      </c>
      <c r="CJ108" s="12" t="s">
        <v>584</v>
      </c>
      <c r="CK108" s="12" t="s">
        <v>584</v>
      </c>
      <c r="CL108" s="12" t="s">
        <v>673</v>
      </c>
      <c r="CM108" s="12" t="s">
        <v>673</v>
      </c>
      <c r="CN108" s="12" t="s">
        <v>673</v>
      </c>
      <c r="CO108" s="12" t="s">
        <v>673</v>
      </c>
      <c r="CP108" s="12" t="s">
        <v>808</v>
      </c>
      <c r="CQ108" s="12" t="s">
        <v>808</v>
      </c>
      <c r="CR108" s="12" t="s">
        <v>808</v>
      </c>
      <c r="CS108" s="12" t="s">
        <v>808</v>
      </c>
      <c r="CT108" s="12" t="s">
        <v>808</v>
      </c>
    </row>
    <row r="109" spans="1:98" hidden="1" x14ac:dyDescent="0.3">
      <c r="A109" s="12" t="s">
        <v>25</v>
      </c>
      <c r="B109" s="12" t="s">
        <v>2451</v>
      </c>
      <c r="C109" s="12" t="s">
        <v>2452</v>
      </c>
      <c r="D109" s="12" t="s">
        <v>2393</v>
      </c>
      <c r="E109" s="12" t="s">
        <v>578</v>
      </c>
      <c r="F109" s="12" t="s">
        <v>578</v>
      </c>
      <c r="G109" s="12" t="s">
        <v>578</v>
      </c>
      <c r="H109" s="12" t="s">
        <v>578</v>
      </c>
      <c r="I109" s="12" t="s">
        <v>578</v>
      </c>
      <c r="J109" s="12" t="s">
        <v>578</v>
      </c>
      <c r="K109" s="12" t="s">
        <v>578</v>
      </c>
      <c r="L109" s="12" t="s">
        <v>579</v>
      </c>
      <c r="M109" s="12" t="s">
        <v>579</v>
      </c>
      <c r="N109" s="12" t="s">
        <v>579</v>
      </c>
      <c r="O109" s="12" t="s">
        <v>579</v>
      </c>
      <c r="P109" s="12" t="s">
        <v>579</v>
      </c>
      <c r="Q109" s="12" t="s">
        <v>579</v>
      </c>
      <c r="R109" s="12" t="s">
        <v>579</v>
      </c>
      <c r="S109" s="12" t="s">
        <v>579</v>
      </c>
      <c r="T109" s="12" t="s">
        <v>579</v>
      </c>
      <c r="U109" s="12" t="s">
        <v>579</v>
      </c>
      <c r="V109" s="12" t="s">
        <v>579</v>
      </c>
      <c r="W109" s="12" t="s">
        <v>579</v>
      </c>
      <c r="X109" s="12" t="s">
        <v>579</v>
      </c>
      <c r="Y109" s="12" t="s">
        <v>579</v>
      </c>
      <c r="Z109" s="12" t="s">
        <v>579</v>
      </c>
      <c r="AA109" s="12" t="s">
        <v>579</v>
      </c>
      <c r="AB109" s="12" t="s">
        <v>579</v>
      </c>
      <c r="AC109" s="12" t="s">
        <v>579</v>
      </c>
      <c r="AD109" s="12" t="s">
        <v>579</v>
      </c>
      <c r="AE109" s="12" t="s">
        <v>579</v>
      </c>
      <c r="AF109" s="12" t="s">
        <v>579</v>
      </c>
      <c r="AG109" s="12" t="s">
        <v>579</v>
      </c>
      <c r="AH109" s="12" t="s">
        <v>579</v>
      </c>
      <c r="AI109" s="12" t="s">
        <v>579</v>
      </c>
      <c r="AJ109" s="12" t="s">
        <v>579</v>
      </c>
      <c r="AK109" s="12" t="s">
        <v>579</v>
      </c>
      <c r="AL109" s="12" t="s">
        <v>579</v>
      </c>
      <c r="AM109" s="12" t="s">
        <v>579</v>
      </c>
      <c r="AN109" s="12" t="s">
        <v>623</v>
      </c>
      <c r="AO109" s="12" t="s">
        <v>623</v>
      </c>
      <c r="AP109" s="12" t="s">
        <v>623</v>
      </c>
      <c r="AQ109" s="12" t="s">
        <v>672</v>
      </c>
      <c r="AR109" s="12" t="s">
        <v>851</v>
      </c>
      <c r="AS109" s="12" t="s">
        <v>851</v>
      </c>
      <c r="AT109" s="12" t="s">
        <v>851</v>
      </c>
      <c r="AU109" s="12" t="s">
        <v>851</v>
      </c>
      <c r="AV109" s="12" t="s">
        <v>625</v>
      </c>
      <c r="AW109" s="12" t="s">
        <v>762</v>
      </c>
      <c r="AX109" s="12" t="s">
        <v>762</v>
      </c>
      <c r="AY109" s="12" t="s">
        <v>626</v>
      </c>
      <c r="AZ109" s="12" t="s">
        <v>2018</v>
      </c>
      <c r="BA109" s="12" t="s">
        <v>588</v>
      </c>
      <c r="BB109" s="12" t="s">
        <v>632</v>
      </c>
      <c r="BC109" s="12" t="s">
        <v>632</v>
      </c>
      <c r="BD109" s="12" t="s">
        <v>1623</v>
      </c>
      <c r="BE109" s="12" t="s">
        <v>2029</v>
      </c>
      <c r="BF109" s="12" t="s">
        <v>1509</v>
      </c>
      <c r="BG109" s="12" t="s">
        <v>646</v>
      </c>
      <c r="BH109" s="12" t="s">
        <v>1311</v>
      </c>
      <c r="BI109" s="12" t="s">
        <v>2057</v>
      </c>
      <c r="BJ109" s="12" t="s">
        <v>652</v>
      </c>
      <c r="BK109" s="12" t="s">
        <v>2453</v>
      </c>
      <c r="BL109" s="12" t="s">
        <v>2037</v>
      </c>
      <c r="BM109" s="12" t="s">
        <v>1986</v>
      </c>
      <c r="BN109" s="12" t="s">
        <v>1140</v>
      </c>
      <c r="BO109" s="12" t="s">
        <v>2454</v>
      </c>
      <c r="BP109" s="12" t="s">
        <v>2455</v>
      </c>
      <c r="BQ109" s="12" t="s">
        <v>2456</v>
      </c>
      <c r="BR109" s="12" t="s">
        <v>2457</v>
      </c>
      <c r="BS109" s="12" t="s">
        <v>1298</v>
      </c>
      <c r="BT109" s="12" t="s">
        <v>2126</v>
      </c>
      <c r="BU109" s="12" t="s">
        <v>1773</v>
      </c>
      <c r="BV109" s="12" t="s">
        <v>2458</v>
      </c>
      <c r="BW109" s="12" t="s">
        <v>2459</v>
      </c>
      <c r="BX109" s="12" t="s">
        <v>1114</v>
      </c>
      <c r="BY109" s="12" t="s">
        <v>2460</v>
      </c>
      <c r="BZ109" s="12" t="s">
        <v>2461</v>
      </c>
      <c r="CA109" s="12" t="s">
        <v>2462</v>
      </c>
      <c r="CB109" s="12" t="s">
        <v>2463</v>
      </c>
      <c r="CC109" s="12" t="s">
        <v>2464</v>
      </c>
      <c r="CD109" s="12" t="s">
        <v>2465</v>
      </c>
      <c r="CE109" s="12" t="s">
        <v>2466</v>
      </c>
      <c r="CF109" s="12" t="s">
        <v>2467</v>
      </c>
      <c r="CG109" s="12" t="s">
        <v>2468</v>
      </c>
      <c r="CH109" s="12" t="s">
        <v>2469</v>
      </c>
      <c r="CI109" s="12" t="s">
        <v>2470</v>
      </c>
      <c r="CJ109" s="12" t="s">
        <v>2471</v>
      </c>
      <c r="CK109" s="12" t="s">
        <v>2472</v>
      </c>
      <c r="CL109" s="12" t="s">
        <v>2473</v>
      </c>
      <c r="CM109" s="12" t="s">
        <v>2474</v>
      </c>
      <c r="CN109" s="12" t="s">
        <v>2475</v>
      </c>
      <c r="CO109" s="12" t="s">
        <v>2476</v>
      </c>
      <c r="CP109" s="12" t="s">
        <v>2477</v>
      </c>
      <c r="CQ109" s="12" t="s">
        <v>2478</v>
      </c>
      <c r="CR109" s="12" t="s">
        <v>2479</v>
      </c>
      <c r="CS109" s="12" t="s">
        <v>2480</v>
      </c>
      <c r="CT109" s="12" t="s">
        <v>2481</v>
      </c>
    </row>
    <row r="110" spans="1:98" hidden="1" x14ac:dyDescent="0.3">
      <c r="A110" s="12" t="s">
        <v>2482</v>
      </c>
      <c r="B110" s="12" t="s">
        <v>2483</v>
      </c>
      <c r="C110" s="12" t="s">
        <v>2484</v>
      </c>
      <c r="D110" s="12" t="s">
        <v>2485</v>
      </c>
      <c r="E110" s="12" t="s">
        <v>578</v>
      </c>
      <c r="F110" s="12" t="s">
        <v>578</v>
      </c>
      <c r="G110" s="12" t="s">
        <v>578</v>
      </c>
      <c r="H110" s="12" t="s">
        <v>578</v>
      </c>
      <c r="I110" s="12" t="s">
        <v>578</v>
      </c>
      <c r="J110" s="12" t="s">
        <v>578</v>
      </c>
      <c r="K110" s="12" t="s">
        <v>578</v>
      </c>
      <c r="L110" s="12" t="s">
        <v>578</v>
      </c>
      <c r="M110" s="12" t="s">
        <v>578</v>
      </c>
      <c r="N110" s="12" t="s">
        <v>578</v>
      </c>
      <c r="O110" s="12" t="s">
        <v>578</v>
      </c>
      <c r="P110" s="12" t="s">
        <v>578</v>
      </c>
      <c r="Q110" s="12" t="s">
        <v>578</v>
      </c>
      <c r="R110" s="12" t="s">
        <v>578</v>
      </c>
      <c r="S110" s="12" t="s">
        <v>578</v>
      </c>
      <c r="T110" s="12" t="s">
        <v>578</v>
      </c>
      <c r="U110" s="12" t="s">
        <v>578</v>
      </c>
      <c r="V110" s="12" t="s">
        <v>578</v>
      </c>
      <c r="W110" s="12" t="s">
        <v>578</v>
      </c>
      <c r="X110" s="12" t="s">
        <v>578</v>
      </c>
      <c r="Y110" s="12" t="s">
        <v>578</v>
      </c>
      <c r="Z110" s="12" t="s">
        <v>578</v>
      </c>
      <c r="AA110" s="12" t="s">
        <v>578</v>
      </c>
      <c r="AB110" s="12" t="s">
        <v>578</v>
      </c>
      <c r="AC110" s="12" t="s">
        <v>578</v>
      </c>
      <c r="AD110" s="12" t="s">
        <v>578</v>
      </c>
      <c r="AE110" s="12" t="s">
        <v>578</v>
      </c>
      <c r="AF110" s="12" t="s">
        <v>578</v>
      </c>
      <c r="AG110" s="12" t="s">
        <v>578</v>
      </c>
      <c r="AH110" s="12" t="s">
        <v>578</v>
      </c>
      <c r="AI110" s="12" t="s">
        <v>578</v>
      </c>
      <c r="AJ110" s="12" t="s">
        <v>578</v>
      </c>
      <c r="AK110" s="12" t="s">
        <v>578</v>
      </c>
      <c r="AL110" s="12" t="s">
        <v>578</v>
      </c>
      <c r="AM110" s="12" t="s">
        <v>578</v>
      </c>
      <c r="AN110" s="12" t="s">
        <v>578</v>
      </c>
      <c r="AO110" s="12" t="s">
        <v>578</v>
      </c>
      <c r="AP110" s="12" t="s">
        <v>578</v>
      </c>
      <c r="AQ110" s="12" t="s">
        <v>578</v>
      </c>
      <c r="AR110" s="12" t="s">
        <v>578</v>
      </c>
      <c r="AS110" s="12" t="s">
        <v>578</v>
      </c>
      <c r="AT110" s="12" t="s">
        <v>578</v>
      </c>
      <c r="AU110" s="12" t="s">
        <v>578</v>
      </c>
      <c r="AV110" s="12" t="s">
        <v>578</v>
      </c>
      <c r="AW110" s="12" t="s">
        <v>578</v>
      </c>
      <c r="AX110" s="12" t="s">
        <v>581</v>
      </c>
      <c r="AY110" s="12" t="s">
        <v>581</v>
      </c>
      <c r="AZ110" s="12" t="s">
        <v>581</v>
      </c>
      <c r="BA110" s="12" t="s">
        <v>581</v>
      </c>
      <c r="BB110" s="12" t="s">
        <v>581</v>
      </c>
      <c r="BC110" s="12" t="s">
        <v>581</v>
      </c>
      <c r="BD110" s="12" t="s">
        <v>581</v>
      </c>
      <c r="BE110" s="12" t="s">
        <v>581</v>
      </c>
      <c r="BF110" s="12" t="s">
        <v>582</v>
      </c>
      <c r="BG110" s="12" t="s">
        <v>583</v>
      </c>
      <c r="BH110" s="12" t="s">
        <v>583</v>
      </c>
      <c r="BI110" s="12" t="s">
        <v>583</v>
      </c>
      <c r="BJ110" s="12" t="s">
        <v>583</v>
      </c>
      <c r="BK110" s="12" t="s">
        <v>762</v>
      </c>
      <c r="BL110" s="12" t="s">
        <v>808</v>
      </c>
      <c r="BM110" s="12" t="s">
        <v>808</v>
      </c>
      <c r="BN110" s="12" t="s">
        <v>675</v>
      </c>
      <c r="BO110" s="12" t="s">
        <v>626</v>
      </c>
      <c r="BP110" s="12" t="s">
        <v>869</v>
      </c>
      <c r="BQ110" s="12" t="s">
        <v>869</v>
      </c>
      <c r="BR110" s="12" t="s">
        <v>869</v>
      </c>
      <c r="BS110" s="12" t="s">
        <v>869</v>
      </c>
      <c r="BT110" s="12" t="s">
        <v>869</v>
      </c>
      <c r="BU110" s="12" t="s">
        <v>1259</v>
      </c>
      <c r="BV110" s="12" t="s">
        <v>1259</v>
      </c>
      <c r="BW110" s="12" t="s">
        <v>630</v>
      </c>
      <c r="BX110" s="12" t="s">
        <v>630</v>
      </c>
      <c r="BY110" s="12" t="s">
        <v>992</v>
      </c>
      <c r="BZ110" s="12" t="s">
        <v>919</v>
      </c>
      <c r="CA110" s="12" t="s">
        <v>919</v>
      </c>
      <c r="CB110" s="12" t="s">
        <v>975</v>
      </c>
      <c r="CC110" s="12" t="s">
        <v>975</v>
      </c>
      <c r="CD110" s="12" t="s">
        <v>855</v>
      </c>
      <c r="CE110" s="12" t="s">
        <v>1352</v>
      </c>
      <c r="CF110" s="12" t="s">
        <v>1352</v>
      </c>
      <c r="CG110" s="12" t="s">
        <v>1352</v>
      </c>
      <c r="CH110" s="12" t="s">
        <v>977</v>
      </c>
      <c r="CI110" s="12" t="s">
        <v>977</v>
      </c>
      <c r="CJ110" s="12" t="s">
        <v>977</v>
      </c>
      <c r="CK110" s="12" t="s">
        <v>977</v>
      </c>
      <c r="CL110" s="12" t="s">
        <v>977</v>
      </c>
      <c r="CM110" s="12" t="s">
        <v>859</v>
      </c>
      <c r="CN110" s="12" t="s">
        <v>859</v>
      </c>
      <c r="CO110" s="12" t="s">
        <v>859</v>
      </c>
      <c r="CP110" s="12" t="s">
        <v>772</v>
      </c>
      <c r="CQ110" s="12" t="s">
        <v>772</v>
      </c>
      <c r="CR110" s="12" t="s">
        <v>772</v>
      </c>
      <c r="CS110" s="12" t="s">
        <v>1260</v>
      </c>
      <c r="CT110" s="12" t="s">
        <v>979</v>
      </c>
    </row>
    <row r="111" spans="1:98" hidden="1" x14ac:dyDescent="0.3">
      <c r="A111" s="12" t="s">
        <v>2486</v>
      </c>
      <c r="B111" s="12" t="s">
        <v>2483</v>
      </c>
      <c r="C111" s="12" t="s">
        <v>2487</v>
      </c>
      <c r="D111" s="12" t="s">
        <v>2488</v>
      </c>
      <c r="E111" s="12" t="s">
        <v>578</v>
      </c>
      <c r="F111" s="12" t="s">
        <v>578</v>
      </c>
      <c r="G111" s="12" t="s">
        <v>578</v>
      </c>
      <c r="H111" s="12" t="s">
        <v>578</v>
      </c>
      <c r="I111" s="12" t="s">
        <v>578</v>
      </c>
      <c r="J111" s="12" t="s">
        <v>578</v>
      </c>
      <c r="K111" s="12" t="s">
        <v>578</v>
      </c>
      <c r="L111" s="12" t="s">
        <v>578</v>
      </c>
      <c r="M111" s="12" t="s">
        <v>578</v>
      </c>
      <c r="N111" s="12" t="s">
        <v>578</v>
      </c>
      <c r="O111" s="12" t="s">
        <v>578</v>
      </c>
      <c r="P111" s="12" t="s">
        <v>578</v>
      </c>
      <c r="Q111" s="12" t="s">
        <v>578</v>
      </c>
      <c r="R111" s="12" t="s">
        <v>578</v>
      </c>
      <c r="S111" s="12" t="s">
        <v>578</v>
      </c>
      <c r="T111" s="12" t="s">
        <v>578</v>
      </c>
      <c r="U111" s="12" t="s">
        <v>578</v>
      </c>
      <c r="V111" s="12" t="s">
        <v>578</v>
      </c>
      <c r="W111" s="12" t="s">
        <v>578</v>
      </c>
      <c r="X111" s="12" t="s">
        <v>578</v>
      </c>
      <c r="Y111" s="12" t="s">
        <v>578</v>
      </c>
      <c r="Z111" s="12" t="s">
        <v>578</v>
      </c>
      <c r="AA111" s="12" t="s">
        <v>578</v>
      </c>
      <c r="AB111" s="12" t="s">
        <v>578</v>
      </c>
      <c r="AC111" s="12" t="s">
        <v>578</v>
      </c>
      <c r="AD111" s="12" t="s">
        <v>578</v>
      </c>
      <c r="AE111" s="12" t="s">
        <v>578</v>
      </c>
      <c r="AF111" s="12" t="s">
        <v>578</v>
      </c>
      <c r="AG111" s="12" t="s">
        <v>578</v>
      </c>
      <c r="AH111" s="12" t="s">
        <v>578</v>
      </c>
      <c r="AI111" s="12" t="s">
        <v>578</v>
      </c>
      <c r="AJ111" s="12" t="s">
        <v>578</v>
      </c>
      <c r="AK111" s="12" t="s">
        <v>578</v>
      </c>
      <c r="AL111" s="12" t="s">
        <v>578</v>
      </c>
      <c r="AM111" s="12" t="s">
        <v>578</v>
      </c>
      <c r="AN111" s="12" t="s">
        <v>578</v>
      </c>
      <c r="AO111" s="12" t="s">
        <v>578</v>
      </c>
      <c r="AP111" s="12" t="s">
        <v>578</v>
      </c>
      <c r="AQ111" s="12" t="s">
        <v>578</v>
      </c>
      <c r="AR111" s="12" t="s">
        <v>578</v>
      </c>
      <c r="AS111" s="12" t="s">
        <v>578</v>
      </c>
      <c r="AT111" s="12" t="s">
        <v>578</v>
      </c>
      <c r="AU111" s="12" t="s">
        <v>578</v>
      </c>
      <c r="AV111" s="12" t="s">
        <v>578</v>
      </c>
      <c r="AW111" s="12" t="s">
        <v>578</v>
      </c>
      <c r="AX111" s="12" t="s">
        <v>578</v>
      </c>
      <c r="AY111" s="12" t="s">
        <v>578</v>
      </c>
      <c r="AZ111" s="12" t="s">
        <v>578</v>
      </c>
      <c r="BA111" s="12" t="s">
        <v>578</v>
      </c>
      <c r="BB111" s="12" t="s">
        <v>578</v>
      </c>
      <c r="BC111" s="12" t="s">
        <v>578</v>
      </c>
      <c r="BD111" s="12" t="s">
        <v>672</v>
      </c>
      <c r="BE111" s="12" t="s">
        <v>672</v>
      </c>
      <c r="BF111" s="12" t="s">
        <v>672</v>
      </c>
      <c r="BG111" s="12" t="s">
        <v>672</v>
      </c>
      <c r="BH111" s="12" t="s">
        <v>672</v>
      </c>
      <c r="BI111" s="12" t="s">
        <v>672</v>
      </c>
      <c r="BJ111" s="12" t="s">
        <v>851</v>
      </c>
      <c r="BK111" s="12" t="s">
        <v>583</v>
      </c>
      <c r="BL111" s="12" t="s">
        <v>762</v>
      </c>
      <c r="BM111" s="12" t="s">
        <v>808</v>
      </c>
      <c r="BN111" s="12" t="s">
        <v>808</v>
      </c>
      <c r="BO111" s="12" t="s">
        <v>757</v>
      </c>
      <c r="BP111" s="12" t="s">
        <v>757</v>
      </c>
      <c r="BQ111" s="12" t="s">
        <v>2018</v>
      </c>
      <c r="BR111" s="12" t="s">
        <v>2018</v>
      </c>
      <c r="BS111" s="12" t="s">
        <v>2018</v>
      </c>
      <c r="BT111" s="12" t="s">
        <v>2018</v>
      </c>
      <c r="BU111" s="12" t="s">
        <v>971</v>
      </c>
      <c r="BV111" s="12" t="s">
        <v>971</v>
      </c>
      <c r="BW111" s="12" t="s">
        <v>677</v>
      </c>
      <c r="BX111" s="12" t="s">
        <v>677</v>
      </c>
      <c r="BY111" s="12" t="s">
        <v>718</v>
      </c>
      <c r="BZ111" s="12" t="s">
        <v>588</v>
      </c>
      <c r="CA111" s="12" t="s">
        <v>1046</v>
      </c>
      <c r="CB111" s="12" t="s">
        <v>629</v>
      </c>
      <c r="CC111" s="12" t="s">
        <v>972</v>
      </c>
      <c r="CD111" s="12" t="s">
        <v>630</v>
      </c>
      <c r="CE111" s="12" t="s">
        <v>630</v>
      </c>
      <c r="CF111" s="12" t="s">
        <v>630</v>
      </c>
      <c r="CG111" s="12" t="s">
        <v>630</v>
      </c>
      <c r="CH111" s="12" t="s">
        <v>719</v>
      </c>
      <c r="CI111" s="12" t="s">
        <v>631</v>
      </c>
      <c r="CJ111" s="12" t="s">
        <v>631</v>
      </c>
      <c r="CK111" s="12" t="s">
        <v>631</v>
      </c>
      <c r="CL111" s="12" t="s">
        <v>631</v>
      </c>
      <c r="CM111" s="12" t="s">
        <v>631</v>
      </c>
      <c r="CN111" s="12" t="s">
        <v>631</v>
      </c>
      <c r="CO111" s="12" t="s">
        <v>631</v>
      </c>
      <c r="CP111" s="12" t="s">
        <v>769</v>
      </c>
      <c r="CQ111" s="12" t="s">
        <v>769</v>
      </c>
      <c r="CR111" s="12" t="s">
        <v>992</v>
      </c>
      <c r="CS111" s="12" t="s">
        <v>992</v>
      </c>
      <c r="CT111" s="12" t="s">
        <v>992</v>
      </c>
    </row>
    <row r="112" spans="1:98" hidden="1" x14ac:dyDescent="0.3">
      <c r="A112" s="12" t="s">
        <v>2489</v>
      </c>
      <c r="B112" s="12" t="s">
        <v>2483</v>
      </c>
      <c r="C112" s="12" t="s">
        <v>2490</v>
      </c>
      <c r="D112" s="12" t="s">
        <v>2491</v>
      </c>
      <c r="E112" s="12" t="s">
        <v>578</v>
      </c>
      <c r="F112" s="12" t="s">
        <v>578</v>
      </c>
      <c r="G112" s="12" t="s">
        <v>578</v>
      </c>
      <c r="H112" s="12" t="s">
        <v>578</v>
      </c>
      <c r="I112" s="12" t="s">
        <v>578</v>
      </c>
      <c r="J112" s="12" t="s">
        <v>578</v>
      </c>
      <c r="K112" s="12" t="s">
        <v>578</v>
      </c>
      <c r="L112" s="12" t="s">
        <v>578</v>
      </c>
      <c r="M112" s="12" t="s">
        <v>578</v>
      </c>
      <c r="N112" s="12" t="s">
        <v>578</v>
      </c>
      <c r="O112" s="12" t="s">
        <v>578</v>
      </c>
      <c r="P112" s="12" t="s">
        <v>578</v>
      </c>
      <c r="Q112" s="12" t="s">
        <v>578</v>
      </c>
      <c r="R112" s="12" t="s">
        <v>578</v>
      </c>
      <c r="S112" s="12" t="s">
        <v>578</v>
      </c>
      <c r="T112" s="12" t="s">
        <v>578</v>
      </c>
      <c r="U112" s="12" t="s">
        <v>578</v>
      </c>
      <c r="V112" s="12" t="s">
        <v>578</v>
      </c>
      <c r="W112" s="12" t="s">
        <v>578</v>
      </c>
      <c r="X112" s="12" t="s">
        <v>578</v>
      </c>
      <c r="Y112" s="12" t="s">
        <v>578</v>
      </c>
      <c r="Z112" s="12" t="s">
        <v>578</v>
      </c>
      <c r="AA112" s="12" t="s">
        <v>578</v>
      </c>
      <c r="AB112" s="12" t="s">
        <v>578</v>
      </c>
      <c r="AC112" s="12" t="s">
        <v>578</v>
      </c>
      <c r="AD112" s="12" t="s">
        <v>578</v>
      </c>
      <c r="AE112" s="12" t="s">
        <v>578</v>
      </c>
      <c r="AF112" s="12" t="s">
        <v>578</v>
      </c>
      <c r="AG112" s="12" t="s">
        <v>578</v>
      </c>
      <c r="AH112" s="12" t="s">
        <v>578</v>
      </c>
      <c r="AI112" s="12" t="s">
        <v>578</v>
      </c>
      <c r="AJ112" s="12" t="s">
        <v>578</v>
      </c>
      <c r="AK112" s="12" t="s">
        <v>578</v>
      </c>
      <c r="AL112" s="12" t="s">
        <v>578</v>
      </c>
      <c r="AM112" s="12" t="s">
        <v>578</v>
      </c>
      <c r="AN112" s="12" t="s">
        <v>578</v>
      </c>
      <c r="AO112" s="12" t="s">
        <v>578</v>
      </c>
      <c r="AP112" s="12" t="s">
        <v>578</v>
      </c>
      <c r="AQ112" s="12" t="s">
        <v>578</v>
      </c>
      <c r="AR112" s="12" t="s">
        <v>578</v>
      </c>
      <c r="AS112" s="12" t="s">
        <v>578</v>
      </c>
      <c r="AT112" s="12" t="s">
        <v>578</v>
      </c>
      <c r="AU112" s="12" t="s">
        <v>578</v>
      </c>
      <c r="AV112" s="12" t="s">
        <v>578</v>
      </c>
      <c r="AW112" s="12" t="s">
        <v>578</v>
      </c>
      <c r="AX112" s="12" t="s">
        <v>578</v>
      </c>
      <c r="AY112" s="12" t="s">
        <v>578</v>
      </c>
      <c r="AZ112" s="12" t="s">
        <v>578</v>
      </c>
      <c r="BA112" s="12" t="s">
        <v>578</v>
      </c>
      <c r="BB112" s="12" t="s">
        <v>578</v>
      </c>
      <c r="BC112" s="12" t="s">
        <v>578</v>
      </c>
      <c r="BD112" s="12" t="s">
        <v>579</v>
      </c>
      <c r="BE112" s="12" t="s">
        <v>579</v>
      </c>
      <c r="BF112" s="12" t="s">
        <v>672</v>
      </c>
      <c r="BG112" s="12" t="s">
        <v>851</v>
      </c>
      <c r="BH112" s="12" t="s">
        <v>808</v>
      </c>
      <c r="BI112" s="12" t="s">
        <v>913</v>
      </c>
      <c r="BJ112" s="12" t="s">
        <v>627</v>
      </c>
      <c r="BK112" s="12" t="s">
        <v>768</v>
      </c>
      <c r="BL112" s="12" t="s">
        <v>719</v>
      </c>
      <c r="BM112" s="12" t="s">
        <v>1413</v>
      </c>
      <c r="BN112" s="12" t="s">
        <v>853</v>
      </c>
      <c r="BO112" s="12" t="s">
        <v>853</v>
      </c>
      <c r="BP112" s="12" t="s">
        <v>1120</v>
      </c>
      <c r="BQ112" s="12" t="s">
        <v>1120</v>
      </c>
      <c r="BR112" s="12" t="s">
        <v>1120</v>
      </c>
      <c r="BS112" s="12" t="s">
        <v>863</v>
      </c>
      <c r="BT112" s="12" t="s">
        <v>1664</v>
      </c>
      <c r="BU112" s="12" t="s">
        <v>1664</v>
      </c>
      <c r="BV112" s="12" t="s">
        <v>1353</v>
      </c>
      <c r="BW112" s="12" t="s">
        <v>1751</v>
      </c>
      <c r="BX112" s="12" t="s">
        <v>773</v>
      </c>
      <c r="BY112" s="12" t="s">
        <v>2034</v>
      </c>
      <c r="BZ112" s="12" t="s">
        <v>873</v>
      </c>
      <c r="CA112" s="12" t="s">
        <v>1356</v>
      </c>
      <c r="CB112" s="12" t="s">
        <v>1356</v>
      </c>
      <c r="CC112" s="12" t="s">
        <v>683</v>
      </c>
      <c r="CD112" s="12" t="s">
        <v>2013</v>
      </c>
      <c r="CE112" s="12" t="s">
        <v>2013</v>
      </c>
      <c r="CF112" s="12" t="s">
        <v>1821</v>
      </c>
      <c r="CG112" s="12" t="s">
        <v>1821</v>
      </c>
      <c r="CH112" s="12" t="s">
        <v>1821</v>
      </c>
      <c r="CI112" s="12" t="s">
        <v>1821</v>
      </c>
      <c r="CJ112" s="12" t="s">
        <v>1886</v>
      </c>
      <c r="CK112" s="12" t="s">
        <v>1886</v>
      </c>
      <c r="CL112" s="12" t="s">
        <v>1886</v>
      </c>
      <c r="CM112" s="12" t="s">
        <v>1886</v>
      </c>
      <c r="CN112" s="12" t="s">
        <v>1505</v>
      </c>
      <c r="CO112" s="12" t="s">
        <v>1505</v>
      </c>
      <c r="CP112" s="12" t="s">
        <v>1505</v>
      </c>
      <c r="CQ112" s="12" t="s">
        <v>1505</v>
      </c>
      <c r="CR112" s="12" t="s">
        <v>1505</v>
      </c>
      <c r="CS112" s="12" t="s">
        <v>1505</v>
      </c>
      <c r="CT112" s="12" t="s">
        <v>2099</v>
      </c>
    </row>
    <row r="113" spans="1:98" hidden="1" x14ac:dyDescent="0.3">
      <c r="A113" s="12" t="s">
        <v>2492</v>
      </c>
      <c r="B113" s="12" t="s">
        <v>2483</v>
      </c>
      <c r="C113" s="12" t="s">
        <v>2493</v>
      </c>
      <c r="D113" s="12" t="s">
        <v>2494</v>
      </c>
      <c r="E113" s="12" t="s">
        <v>578</v>
      </c>
      <c r="F113" s="12" t="s">
        <v>578</v>
      </c>
      <c r="G113" s="12" t="s">
        <v>578</v>
      </c>
      <c r="H113" s="12" t="s">
        <v>578</v>
      </c>
      <c r="I113" s="12" t="s">
        <v>578</v>
      </c>
      <c r="J113" s="12" t="s">
        <v>578</v>
      </c>
      <c r="K113" s="12" t="s">
        <v>578</v>
      </c>
      <c r="L113" s="12" t="s">
        <v>578</v>
      </c>
      <c r="M113" s="12" t="s">
        <v>578</v>
      </c>
      <c r="N113" s="12" t="s">
        <v>578</v>
      </c>
      <c r="O113" s="12" t="s">
        <v>578</v>
      </c>
      <c r="P113" s="12" t="s">
        <v>578</v>
      </c>
      <c r="Q113" s="12" t="s">
        <v>578</v>
      </c>
      <c r="R113" s="12" t="s">
        <v>578</v>
      </c>
      <c r="S113" s="12" t="s">
        <v>578</v>
      </c>
      <c r="T113" s="12" t="s">
        <v>578</v>
      </c>
      <c r="U113" s="12" t="s">
        <v>578</v>
      </c>
      <c r="V113" s="12" t="s">
        <v>578</v>
      </c>
      <c r="W113" s="12" t="s">
        <v>578</v>
      </c>
      <c r="X113" s="12" t="s">
        <v>578</v>
      </c>
      <c r="Y113" s="12" t="s">
        <v>578</v>
      </c>
      <c r="Z113" s="12" t="s">
        <v>578</v>
      </c>
      <c r="AA113" s="12" t="s">
        <v>578</v>
      </c>
      <c r="AB113" s="12" t="s">
        <v>578</v>
      </c>
      <c r="AC113" s="12" t="s">
        <v>578</v>
      </c>
      <c r="AD113" s="12" t="s">
        <v>578</v>
      </c>
      <c r="AE113" s="12" t="s">
        <v>578</v>
      </c>
      <c r="AF113" s="12" t="s">
        <v>578</v>
      </c>
      <c r="AG113" s="12" t="s">
        <v>578</v>
      </c>
      <c r="AH113" s="12" t="s">
        <v>578</v>
      </c>
      <c r="AI113" s="12" t="s">
        <v>578</v>
      </c>
      <c r="AJ113" s="12" t="s">
        <v>578</v>
      </c>
      <c r="AK113" s="12" t="s">
        <v>578</v>
      </c>
      <c r="AL113" s="12" t="s">
        <v>578</v>
      </c>
      <c r="AM113" s="12" t="s">
        <v>578</v>
      </c>
      <c r="AN113" s="12" t="s">
        <v>578</v>
      </c>
      <c r="AO113" s="12" t="s">
        <v>578</v>
      </c>
      <c r="AP113" s="12" t="s">
        <v>578</v>
      </c>
      <c r="AQ113" s="12" t="s">
        <v>578</v>
      </c>
      <c r="AR113" s="12" t="s">
        <v>578</v>
      </c>
      <c r="AS113" s="12" t="s">
        <v>578</v>
      </c>
      <c r="AT113" s="12" t="s">
        <v>578</v>
      </c>
      <c r="AU113" s="12" t="s">
        <v>578</v>
      </c>
      <c r="AV113" s="12" t="s">
        <v>578</v>
      </c>
      <c r="AW113" s="12" t="s">
        <v>578</v>
      </c>
      <c r="AX113" s="12" t="s">
        <v>578</v>
      </c>
      <c r="AY113" s="12" t="s">
        <v>578</v>
      </c>
      <c r="AZ113" s="12" t="s">
        <v>578</v>
      </c>
      <c r="BA113" s="12" t="s">
        <v>578</v>
      </c>
      <c r="BB113" s="12" t="s">
        <v>578</v>
      </c>
      <c r="BC113" s="12" t="s">
        <v>578</v>
      </c>
      <c r="BD113" s="12" t="s">
        <v>578</v>
      </c>
      <c r="BE113" s="12" t="s">
        <v>578</v>
      </c>
      <c r="BF113" s="12" t="s">
        <v>579</v>
      </c>
      <c r="BG113" s="12" t="s">
        <v>579</v>
      </c>
      <c r="BH113" s="12" t="s">
        <v>579</v>
      </c>
      <c r="BI113" s="12" t="s">
        <v>672</v>
      </c>
      <c r="BJ113" s="12" t="s">
        <v>672</v>
      </c>
      <c r="BK113" s="12" t="s">
        <v>851</v>
      </c>
      <c r="BL113" s="12" t="s">
        <v>582</v>
      </c>
      <c r="BM113" s="12" t="s">
        <v>583</v>
      </c>
      <c r="BN113" s="12" t="s">
        <v>587</v>
      </c>
      <c r="BO113" s="12" t="s">
        <v>971</v>
      </c>
      <c r="BP113" s="12" t="s">
        <v>971</v>
      </c>
      <c r="BQ113" s="12" t="s">
        <v>971</v>
      </c>
      <c r="BR113" s="12" t="s">
        <v>954</v>
      </c>
      <c r="BS113" s="12" t="s">
        <v>1180</v>
      </c>
      <c r="BT113" s="12" t="s">
        <v>1180</v>
      </c>
      <c r="BU113" s="12" t="s">
        <v>976</v>
      </c>
      <c r="BV113" s="12" t="s">
        <v>591</v>
      </c>
      <c r="BW113" s="12" t="s">
        <v>591</v>
      </c>
      <c r="BX113" s="12" t="s">
        <v>1500</v>
      </c>
      <c r="BY113" s="12" t="s">
        <v>773</v>
      </c>
      <c r="BZ113" s="12" t="s">
        <v>873</v>
      </c>
      <c r="CA113" s="12" t="s">
        <v>1515</v>
      </c>
      <c r="CB113" s="12" t="s">
        <v>1515</v>
      </c>
      <c r="CC113" s="12" t="s">
        <v>874</v>
      </c>
      <c r="CD113" s="12" t="s">
        <v>874</v>
      </c>
      <c r="CE113" s="12" t="s">
        <v>921</v>
      </c>
      <c r="CF113" s="12" t="s">
        <v>1279</v>
      </c>
      <c r="CG113" s="12" t="s">
        <v>2137</v>
      </c>
      <c r="CH113" s="12" t="s">
        <v>2137</v>
      </c>
      <c r="CI113" s="12" t="s">
        <v>987</v>
      </c>
      <c r="CJ113" s="12" t="s">
        <v>1489</v>
      </c>
      <c r="CK113" s="12" t="s">
        <v>1489</v>
      </c>
      <c r="CL113" s="12" t="s">
        <v>1423</v>
      </c>
      <c r="CM113" s="12" t="s">
        <v>1816</v>
      </c>
      <c r="CN113" s="12" t="s">
        <v>1492</v>
      </c>
      <c r="CO113" s="12" t="s">
        <v>1459</v>
      </c>
      <c r="CP113" s="12" t="s">
        <v>1459</v>
      </c>
      <c r="CQ113" s="12" t="s">
        <v>1029</v>
      </c>
      <c r="CR113" s="12" t="s">
        <v>1612</v>
      </c>
      <c r="CS113" s="12" t="s">
        <v>1612</v>
      </c>
      <c r="CT113" s="12" t="s">
        <v>1267</v>
      </c>
    </row>
    <row r="114" spans="1:98" hidden="1" x14ac:dyDescent="0.3">
      <c r="A114" s="12" t="s">
        <v>2495</v>
      </c>
      <c r="B114" s="12" t="s">
        <v>2483</v>
      </c>
      <c r="C114" s="12" t="s">
        <v>2496</v>
      </c>
      <c r="D114" s="12" t="s">
        <v>2497</v>
      </c>
      <c r="E114" s="12" t="s">
        <v>578</v>
      </c>
      <c r="F114" s="12" t="s">
        <v>578</v>
      </c>
      <c r="G114" s="12" t="s">
        <v>578</v>
      </c>
      <c r="H114" s="12" t="s">
        <v>578</v>
      </c>
      <c r="I114" s="12" t="s">
        <v>578</v>
      </c>
      <c r="J114" s="12" t="s">
        <v>578</v>
      </c>
      <c r="K114" s="12" t="s">
        <v>578</v>
      </c>
      <c r="L114" s="12" t="s">
        <v>578</v>
      </c>
      <c r="M114" s="12" t="s">
        <v>578</v>
      </c>
      <c r="N114" s="12" t="s">
        <v>578</v>
      </c>
      <c r="O114" s="12" t="s">
        <v>578</v>
      </c>
      <c r="P114" s="12" t="s">
        <v>578</v>
      </c>
      <c r="Q114" s="12" t="s">
        <v>578</v>
      </c>
      <c r="R114" s="12" t="s">
        <v>578</v>
      </c>
      <c r="S114" s="12" t="s">
        <v>578</v>
      </c>
      <c r="T114" s="12" t="s">
        <v>578</v>
      </c>
      <c r="U114" s="12" t="s">
        <v>578</v>
      </c>
      <c r="V114" s="12" t="s">
        <v>578</v>
      </c>
      <c r="W114" s="12" t="s">
        <v>578</v>
      </c>
      <c r="X114" s="12" t="s">
        <v>578</v>
      </c>
      <c r="Y114" s="12" t="s">
        <v>578</v>
      </c>
      <c r="Z114" s="12" t="s">
        <v>578</v>
      </c>
      <c r="AA114" s="12" t="s">
        <v>578</v>
      </c>
      <c r="AB114" s="12" t="s">
        <v>578</v>
      </c>
      <c r="AC114" s="12" t="s">
        <v>578</v>
      </c>
      <c r="AD114" s="12" t="s">
        <v>578</v>
      </c>
      <c r="AE114" s="12" t="s">
        <v>578</v>
      </c>
      <c r="AF114" s="12" t="s">
        <v>578</v>
      </c>
      <c r="AG114" s="12" t="s">
        <v>578</v>
      </c>
      <c r="AH114" s="12" t="s">
        <v>578</v>
      </c>
      <c r="AI114" s="12" t="s">
        <v>578</v>
      </c>
      <c r="AJ114" s="12" t="s">
        <v>578</v>
      </c>
      <c r="AK114" s="12" t="s">
        <v>578</v>
      </c>
      <c r="AL114" s="12" t="s">
        <v>578</v>
      </c>
      <c r="AM114" s="12" t="s">
        <v>578</v>
      </c>
      <c r="AN114" s="12" t="s">
        <v>578</v>
      </c>
      <c r="AO114" s="12" t="s">
        <v>578</v>
      </c>
      <c r="AP114" s="12" t="s">
        <v>578</v>
      </c>
      <c r="AQ114" s="12" t="s">
        <v>578</v>
      </c>
      <c r="AR114" s="12" t="s">
        <v>578</v>
      </c>
      <c r="AS114" s="12" t="s">
        <v>578</v>
      </c>
      <c r="AT114" s="12" t="s">
        <v>578</v>
      </c>
      <c r="AU114" s="12" t="s">
        <v>578</v>
      </c>
      <c r="AV114" s="12" t="s">
        <v>578</v>
      </c>
      <c r="AW114" s="12" t="s">
        <v>578</v>
      </c>
      <c r="AX114" s="12" t="s">
        <v>578</v>
      </c>
      <c r="AY114" s="12" t="s">
        <v>578</v>
      </c>
      <c r="AZ114" s="12" t="s">
        <v>578</v>
      </c>
      <c r="BA114" s="12" t="s">
        <v>578</v>
      </c>
      <c r="BB114" s="12" t="s">
        <v>578</v>
      </c>
      <c r="BC114" s="12" t="s">
        <v>578</v>
      </c>
      <c r="BD114" s="12" t="s">
        <v>578</v>
      </c>
      <c r="BE114" s="12" t="s">
        <v>578</v>
      </c>
      <c r="BF114" s="12" t="s">
        <v>578</v>
      </c>
      <c r="BG114" s="12" t="s">
        <v>578</v>
      </c>
      <c r="BH114" s="12" t="s">
        <v>578</v>
      </c>
      <c r="BI114" s="12" t="s">
        <v>578</v>
      </c>
      <c r="BJ114" s="12" t="s">
        <v>623</v>
      </c>
      <c r="BK114" s="12" t="s">
        <v>623</v>
      </c>
      <c r="BL114" s="12" t="s">
        <v>580</v>
      </c>
      <c r="BM114" s="12" t="s">
        <v>580</v>
      </c>
      <c r="BN114" s="12" t="s">
        <v>755</v>
      </c>
      <c r="BO114" s="12" t="s">
        <v>624</v>
      </c>
      <c r="BP114" s="12" t="s">
        <v>756</v>
      </c>
      <c r="BQ114" s="12" t="s">
        <v>756</v>
      </c>
      <c r="BR114" s="12" t="s">
        <v>762</v>
      </c>
      <c r="BS114" s="12" t="s">
        <v>762</v>
      </c>
      <c r="BT114" s="12" t="s">
        <v>762</v>
      </c>
      <c r="BU114" s="12" t="s">
        <v>762</v>
      </c>
      <c r="BV114" s="12" t="s">
        <v>584</v>
      </c>
      <c r="BW114" s="12" t="s">
        <v>584</v>
      </c>
      <c r="BX114" s="12" t="s">
        <v>808</v>
      </c>
      <c r="BY114" s="12" t="s">
        <v>808</v>
      </c>
      <c r="BZ114" s="12" t="s">
        <v>673</v>
      </c>
      <c r="CA114" s="12" t="s">
        <v>808</v>
      </c>
      <c r="CB114" s="12" t="s">
        <v>808</v>
      </c>
      <c r="CC114" s="12" t="s">
        <v>808</v>
      </c>
      <c r="CD114" s="12" t="s">
        <v>808</v>
      </c>
      <c r="CE114" s="12" t="s">
        <v>808</v>
      </c>
      <c r="CF114" s="12" t="s">
        <v>808</v>
      </c>
      <c r="CG114" s="12" t="s">
        <v>808</v>
      </c>
      <c r="CH114" s="12" t="s">
        <v>808</v>
      </c>
      <c r="CI114" s="12" t="s">
        <v>808</v>
      </c>
      <c r="CJ114" s="12" t="s">
        <v>808</v>
      </c>
      <c r="CK114" s="12" t="s">
        <v>808</v>
      </c>
      <c r="CL114" s="12" t="s">
        <v>808</v>
      </c>
      <c r="CM114" s="12" t="s">
        <v>808</v>
      </c>
      <c r="CN114" s="12" t="s">
        <v>808</v>
      </c>
      <c r="CO114" s="12" t="s">
        <v>808</v>
      </c>
      <c r="CP114" s="12" t="s">
        <v>808</v>
      </c>
      <c r="CQ114" s="12" t="s">
        <v>808</v>
      </c>
      <c r="CR114" s="12" t="s">
        <v>808</v>
      </c>
      <c r="CS114" s="12" t="s">
        <v>808</v>
      </c>
      <c r="CT114" s="12" t="s">
        <v>808</v>
      </c>
    </row>
    <row r="115" spans="1:98" hidden="1" x14ac:dyDescent="0.3">
      <c r="A115" s="12" t="s">
        <v>2498</v>
      </c>
      <c r="B115" s="12" t="s">
        <v>2483</v>
      </c>
      <c r="C115" s="12" t="s">
        <v>2499</v>
      </c>
      <c r="D115" s="12" t="s">
        <v>2500</v>
      </c>
      <c r="E115" s="12" t="s">
        <v>578</v>
      </c>
      <c r="F115" s="12" t="s">
        <v>578</v>
      </c>
      <c r="G115" s="12" t="s">
        <v>578</v>
      </c>
      <c r="H115" s="12" t="s">
        <v>578</v>
      </c>
      <c r="I115" s="12" t="s">
        <v>578</v>
      </c>
      <c r="J115" s="12" t="s">
        <v>578</v>
      </c>
      <c r="K115" s="12" t="s">
        <v>578</v>
      </c>
      <c r="L115" s="12" t="s">
        <v>578</v>
      </c>
      <c r="M115" s="12" t="s">
        <v>578</v>
      </c>
      <c r="N115" s="12" t="s">
        <v>578</v>
      </c>
      <c r="O115" s="12" t="s">
        <v>578</v>
      </c>
      <c r="P115" s="12" t="s">
        <v>578</v>
      </c>
      <c r="Q115" s="12" t="s">
        <v>578</v>
      </c>
      <c r="R115" s="12" t="s">
        <v>578</v>
      </c>
      <c r="S115" s="12" t="s">
        <v>578</v>
      </c>
      <c r="T115" s="12" t="s">
        <v>578</v>
      </c>
      <c r="U115" s="12" t="s">
        <v>578</v>
      </c>
      <c r="V115" s="12" t="s">
        <v>578</v>
      </c>
      <c r="W115" s="12" t="s">
        <v>578</v>
      </c>
      <c r="X115" s="12" t="s">
        <v>578</v>
      </c>
      <c r="Y115" s="12" t="s">
        <v>578</v>
      </c>
      <c r="Z115" s="12" t="s">
        <v>578</v>
      </c>
      <c r="AA115" s="12" t="s">
        <v>578</v>
      </c>
      <c r="AB115" s="12" t="s">
        <v>578</v>
      </c>
      <c r="AC115" s="12" t="s">
        <v>578</v>
      </c>
      <c r="AD115" s="12" t="s">
        <v>578</v>
      </c>
      <c r="AE115" s="12" t="s">
        <v>578</v>
      </c>
      <c r="AF115" s="12" t="s">
        <v>578</v>
      </c>
      <c r="AG115" s="12" t="s">
        <v>578</v>
      </c>
      <c r="AH115" s="12" t="s">
        <v>578</v>
      </c>
      <c r="AI115" s="12" t="s">
        <v>578</v>
      </c>
      <c r="AJ115" s="12" t="s">
        <v>578</v>
      </c>
      <c r="AK115" s="12" t="s">
        <v>578</v>
      </c>
      <c r="AL115" s="12" t="s">
        <v>578</v>
      </c>
      <c r="AM115" s="12" t="s">
        <v>578</v>
      </c>
      <c r="AN115" s="12" t="s">
        <v>578</v>
      </c>
      <c r="AO115" s="12" t="s">
        <v>578</v>
      </c>
      <c r="AP115" s="12" t="s">
        <v>578</v>
      </c>
      <c r="AQ115" s="12" t="s">
        <v>578</v>
      </c>
      <c r="AR115" s="12" t="s">
        <v>578</v>
      </c>
      <c r="AS115" s="12" t="s">
        <v>578</v>
      </c>
      <c r="AT115" s="12" t="s">
        <v>578</v>
      </c>
      <c r="AU115" s="12" t="s">
        <v>578</v>
      </c>
      <c r="AV115" s="12" t="s">
        <v>578</v>
      </c>
      <c r="AW115" s="12" t="s">
        <v>578</v>
      </c>
      <c r="AX115" s="12" t="s">
        <v>578</v>
      </c>
      <c r="AY115" s="12" t="s">
        <v>578</v>
      </c>
      <c r="AZ115" s="12" t="s">
        <v>578</v>
      </c>
      <c r="BA115" s="12" t="s">
        <v>578</v>
      </c>
      <c r="BB115" s="12" t="s">
        <v>579</v>
      </c>
      <c r="BC115" s="12" t="s">
        <v>579</v>
      </c>
      <c r="BD115" s="12" t="s">
        <v>581</v>
      </c>
      <c r="BE115" s="12" t="s">
        <v>851</v>
      </c>
      <c r="BF115" s="12" t="s">
        <v>582</v>
      </c>
      <c r="BG115" s="12" t="s">
        <v>761</v>
      </c>
      <c r="BH115" s="12" t="s">
        <v>761</v>
      </c>
      <c r="BI115" s="12" t="s">
        <v>625</v>
      </c>
      <c r="BJ115" s="12" t="s">
        <v>756</v>
      </c>
      <c r="BK115" s="12" t="s">
        <v>869</v>
      </c>
      <c r="BL115" s="12" t="s">
        <v>768</v>
      </c>
      <c r="BM115" s="12" t="s">
        <v>633</v>
      </c>
      <c r="BN115" s="12" t="s">
        <v>854</v>
      </c>
      <c r="BO115" s="12" t="s">
        <v>591</v>
      </c>
      <c r="BP115" s="12" t="s">
        <v>979</v>
      </c>
      <c r="BQ115" s="12" t="s">
        <v>1356</v>
      </c>
      <c r="BR115" s="12" t="s">
        <v>1886</v>
      </c>
      <c r="BS115" s="12" t="s">
        <v>1263</v>
      </c>
      <c r="BT115" s="12" t="s">
        <v>1263</v>
      </c>
      <c r="BU115" s="12" t="s">
        <v>726</v>
      </c>
      <c r="BV115" s="12" t="s">
        <v>1510</v>
      </c>
      <c r="BW115" s="12" t="s">
        <v>598</v>
      </c>
      <c r="BX115" s="12" t="s">
        <v>728</v>
      </c>
      <c r="BY115" s="12" t="s">
        <v>1311</v>
      </c>
      <c r="BZ115" s="12" t="s">
        <v>729</v>
      </c>
      <c r="CA115" s="12" t="s">
        <v>2059</v>
      </c>
      <c r="CB115" s="12" t="s">
        <v>600</v>
      </c>
      <c r="CC115" s="12" t="s">
        <v>1438</v>
      </c>
      <c r="CD115" s="12" t="s">
        <v>1438</v>
      </c>
      <c r="CE115" s="12" t="s">
        <v>2501</v>
      </c>
      <c r="CF115" s="12" t="s">
        <v>2189</v>
      </c>
      <c r="CG115" s="12" t="s">
        <v>2502</v>
      </c>
      <c r="CH115" s="12" t="s">
        <v>1719</v>
      </c>
      <c r="CI115" s="12" t="s">
        <v>2002</v>
      </c>
      <c r="CJ115" s="12" t="s">
        <v>2002</v>
      </c>
      <c r="CK115" s="12" t="s">
        <v>2002</v>
      </c>
      <c r="CL115" s="12" t="s">
        <v>2167</v>
      </c>
      <c r="CM115" s="12" t="s">
        <v>2395</v>
      </c>
      <c r="CN115" s="12" t="s">
        <v>820</v>
      </c>
      <c r="CO115" s="12" t="s">
        <v>1667</v>
      </c>
      <c r="CP115" s="12" t="s">
        <v>1667</v>
      </c>
      <c r="CQ115" s="12" t="s">
        <v>1695</v>
      </c>
      <c r="CR115" s="12" t="s">
        <v>1695</v>
      </c>
      <c r="CS115" s="12" t="s">
        <v>2503</v>
      </c>
      <c r="CT115" s="12" t="s">
        <v>2503</v>
      </c>
    </row>
    <row r="116" spans="1:98" hidden="1" x14ac:dyDescent="0.3">
      <c r="A116" s="12" t="s">
        <v>2504</v>
      </c>
      <c r="B116" s="12" t="s">
        <v>2483</v>
      </c>
      <c r="C116" s="12" t="s">
        <v>2505</v>
      </c>
      <c r="D116" s="12" t="s">
        <v>2506</v>
      </c>
      <c r="E116" s="12" t="s">
        <v>578</v>
      </c>
      <c r="F116" s="12" t="s">
        <v>578</v>
      </c>
      <c r="G116" s="12" t="s">
        <v>578</v>
      </c>
      <c r="H116" s="12" t="s">
        <v>578</v>
      </c>
      <c r="I116" s="12" t="s">
        <v>578</v>
      </c>
      <c r="J116" s="12" t="s">
        <v>578</v>
      </c>
      <c r="K116" s="12" t="s">
        <v>578</v>
      </c>
      <c r="L116" s="12" t="s">
        <v>578</v>
      </c>
      <c r="M116" s="12" t="s">
        <v>578</v>
      </c>
      <c r="N116" s="12" t="s">
        <v>578</v>
      </c>
      <c r="O116" s="12" t="s">
        <v>578</v>
      </c>
      <c r="P116" s="12" t="s">
        <v>578</v>
      </c>
      <c r="Q116" s="12" t="s">
        <v>578</v>
      </c>
      <c r="R116" s="12" t="s">
        <v>578</v>
      </c>
      <c r="S116" s="12" t="s">
        <v>578</v>
      </c>
      <c r="T116" s="12" t="s">
        <v>578</v>
      </c>
      <c r="U116" s="12" t="s">
        <v>578</v>
      </c>
      <c r="V116" s="12" t="s">
        <v>578</v>
      </c>
      <c r="W116" s="12" t="s">
        <v>578</v>
      </c>
      <c r="X116" s="12" t="s">
        <v>578</v>
      </c>
      <c r="Y116" s="12" t="s">
        <v>578</v>
      </c>
      <c r="Z116" s="12" t="s">
        <v>578</v>
      </c>
      <c r="AA116" s="12" t="s">
        <v>578</v>
      </c>
      <c r="AB116" s="12" t="s">
        <v>578</v>
      </c>
      <c r="AC116" s="12" t="s">
        <v>578</v>
      </c>
      <c r="AD116" s="12" t="s">
        <v>578</v>
      </c>
      <c r="AE116" s="12" t="s">
        <v>578</v>
      </c>
      <c r="AF116" s="12" t="s">
        <v>578</v>
      </c>
      <c r="AG116" s="12" t="s">
        <v>578</v>
      </c>
      <c r="AH116" s="12" t="s">
        <v>578</v>
      </c>
      <c r="AI116" s="12" t="s">
        <v>578</v>
      </c>
      <c r="AJ116" s="12" t="s">
        <v>578</v>
      </c>
      <c r="AK116" s="12" t="s">
        <v>578</v>
      </c>
      <c r="AL116" s="12" t="s">
        <v>578</v>
      </c>
      <c r="AM116" s="12" t="s">
        <v>578</v>
      </c>
      <c r="AN116" s="12" t="s">
        <v>578</v>
      </c>
      <c r="AO116" s="12" t="s">
        <v>578</v>
      </c>
      <c r="AP116" s="12" t="s">
        <v>578</v>
      </c>
      <c r="AQ116" s="12" t="s">
        <v>578</v>
      </c>
      <c r="AR116" s="12" t="s">
        <v>578</v>
      </c>
      <c r="AS116" s="12" t="s">
        <v>578</v>
      </c>
      <c r="AT116" s="12" t="s">
        <v>578</v>
      </c>
      <c r="AU116" s="12" t="s">
        <v>672</v>
      </c>
      <c r="AV116" s="12" t="s">
        <v>672</v>
      </c>
      <c r="AW116" s="12" t="s">
        <v>672</v>
      </c>
      <c r="AX116" s="12" t="s">
        <v>672</v>
      </c>
      <c r="AY116" s="12" t="s">
        <v>672</v>
      </c>
      <c r="AZ116" s="12" t="s">
        <v>579</v>
      </c>
      <c r="BA116" s="12" t="s">
        <v>579</v>
      </c>
      <c r="BB116" s="12" t="s">
        <v>579</v>
      </c>
      <c r="BC116" s="12" t="s">
        <v>579</v>
      </c>
      <c r="BD116" s="12" t="s">
        <v>579</v>
      </c>
      <c r="BE116" s="12" t="s">
        <v>579</v>
      </c>
      <c r="BF116" s="12" t="s">
        <v>579</v>
      </c>
      <c r="BG116" s="12" t="s">
        <v>672</v>
      </c>
      <c r="BH116" s="12" t="s">
        <v>672</v>
      </c>
      <c r="BI116" s="12" t="s">
        <v>672</v>
      </c>
      <c r="BJ116" s="12" t="s">
        <v>672</v>
      </c>
      <c r="BK116" s="12" t="s">
        <v>672</v>
      </c>
      <c r="BL116" s="12" t="s">
        <v>672</v>
      </c>
      <c r="BM116" s="12" t="s">
        <v>672</v>
      </c>
      <c r="BN116" s="12" t="s">
        <v>672</v>
      </c>
      <c r="BO116" s="12" t="s">
        <v>672</v>
      </c>
      <c r="BP116" s="12" t="s">
        <v>672</v>
      </c>
      <c r="BQ116" s="12" t="s">
        <v>672</v>
      </c>
      <c r="BR116" s="12" t="s">
        <v>581</v>
      </c>
      <c r="BS116" s="12" t="s">
        <v>581</v>
      </c>
      <c r="BT116" s="12" t="s">
        <v>581</v>
      </c>
      <c r="BU116" s="12" t="s">
        <v>851</v>
      </c>
      <c r="BV116" s="12" t="s">
        <v>851</v>
      </c>
      <c r="BW116" s="12" t="s">
        <v>851</v>
      </c>
      <c r="BX116" s="12" t="s">
        <v>851</v>
      </c>
      <c r="BY116" s="12" t="s">
        <v>851</v>
      </c>
      <c r="BZ116" s="12" t="s">
        <v>851</v>
      </c>
      <c r="CA116" s="12" t="s">
        <v>851</v>
      </c>
      <c r="CB116" s="12" t="s">
        <v>851</v>
      </c>
      <c r="CC116" s="12" t="s">
        <v>851</v>
      </c>
      <c r="CD116" s="12" t="s">
        <v>851</v>
      </c>
      <c r="CE116" s="12" t="s">
        <v>851</v>
      </c>
      <c r="CF116" s="12" t="s">
        <v>851</v>
      </c>
      <c r="CG116" s="12" t="s">
        <v>851</v>
      </c>
      <c r="CH116" s="12" t="s">
        <v>851</v>
      </c>
      <c r="CI116" s="12" t="s">
        <v>851</v>
      </c>
      <c r="CJ116" s="12" t="s">
        <v>851</v>
      </c>
      <c r="CK116" s="12" t="s">
        <v>851</v>
      </c>
      <c r="CL116" s="12" t="s">
        <v>851</v>
      </c>
      <c r="CM116" s="12" t="s">
        <v>851</v>
      </c>
      <c r="CN116" s="12" t="s">
        <v>851</v>
      </c>
      <c r="CO116" s="12" t="s">
        <v>851</v>
      </c>
      <c r="CP116" s="12" t="s">
        <v>851</v>
      </c>
      <c r="CQ116" s="12" t="s">
        <v>851</v>
      </c>
      <c r="CR116" s="12" t="s">
        <v>851</v>
      </c>
      <c r="CS116" s="12" t="s">
        <v>851</v>
      </c>
      <c r="CT116" s="12" t="s">
        <v>851</v>
      </c>
    </row>
    <row r="117" spans="1:98" hidden="1" x14ac:dyDescent="0.3">
      <c r="A117" s="12" t="s">
        <v>2507</v>
      </c>
      <c r="B117" s="12" t="s">
        <v>2483</v>
      </c>
      <c r="C117" s="12" t="s">
        <v>2508</v>
      </c>
      <c r="D117" s="12" t="s">
        <v>2509</v>
      </c>
      <c r="E117" s="12" t="s">
        <v>578</v>
      </c>
      <c r="F117" s="12" t="s">
        <v>578</v>
      </c>
      <c r="G117" s="12" t="s">
        <v>578</v>
      </c>
      <c r="H117" s="12" t="s">
        <v>578</v>
      </c>
      <c r="I117" s="12" t="s">
        <v>578</v>
      </c>
      <c r="J117" s="12" t="s">
        <v>578</v>
      </c>
      <c r="K117" s="12" t="s">
        <v>578</v>
      </c>
      <c r="L117" s="12" t="s">
        <v>578</v>
      </c>
      <c r="M117" s="12" t="s">
        <v>578</v>
      </c>
      <c r="N117" s="12" t="s">
        <v>578</v>
      </c>
      <c r="O117" s="12" t="s">
        <v>578</v>
      </c>
      <c r="P117" s="12" t="s">
        <v>578</v>
      </c>
      <c r="Q117" s="12" t="s">
        <v>578</v>
      </c>
      <c r="R117" s="12" t="s">
        <v>578</v>
      </c>
      <c r="S117" s="12" t="s">
        <v>578</v>
      </c>
      <c r="T117" s="12" t="s">
        <v>578</v>
      </c>
      <c r="U117" s="12" t="s">
        <v>578</v>
      </c>
      <c r="V117" s="12" t="s">
        <v>578</v>
      </c>
      <c r="W117" s="12" t="s">
        <v>578</v>
      </c>
      <c r="X117" s="12" t="s">
        <v>578</v>
      </c>
      <c r="Y117" s="12" t="s">
        <v>578</v>
      </c>
      <c r="Z117" s="12" t="s">
        <v>578</v>
      </c>
      <c r="AA117" s="12" t="s">
        <v>578</v>
      </c>
      <c r="AB117" s="12" t="s">
        <v>578</v>
      </c>
      <c r="AC117" s="12" t="s">
        <v>578</v>
      </c>
      <c r="AD117" s="12" t="s">
        <v>578</v>
      </c>
      <c r="AE117" s="12" t="s">
        <v>578</v>
      </c>
      <c r="AF117" s="12" t="s">
        <v>578</v>
      </c>
      <c r="AG117" s="12" t="s">
        <v>578</v>
      </c>
      <c r="AH117" s="12" t="s">
        <v>578</v>
      </c>
      <c r="AI117" s="12" t="s">
        <v>578</v>
      </c>
      <c r="AJ117" s="12" t="s">
        <v>578</v>
      </c>
      <c r="AK117" s="12" t="s">
        <v>578</v>
      </c>
      <c r="AL117" s="12" t="s">
        <v>578</v>
      </c>
      <c r="AM117" s="12" t="s">
        <v>578</v>
      </c>
      <c r="AN117" s="12" t="s">
        <v>578</v>
      </c>
      <c r="AO117" s="12" t="s">
        <v>578</v>
      </c>
      <c r="AP117" s="12" t="s">
        <v>578</v>
      </c>
      <c r="AQ117" s="12" t="s">
        <v>578</v>
      </c>
      <c r="AR117" s="12" t="s">
        <v>578</v>
      </c>
      <c r="AS117" s="12" t="s">
        <v>578</v>
      </c>
      <c r="AT117" s="12" t="s">
        <v>578</v>
      </c>
      <c r="AU117" s="12" t="s">
        <v>578</v>
      </c>
      <c r="AV117" s="12" t="s">
        <v>578</v>
      </c>
      <c r="AW117" s="12" t="s">
        <v>578</v>
      </c>
      <c r="AX117" s="12" t="s">
        <v>578</v>
      </c>
      <c r="AY117" s="12" t="s">
        <v>578</v>
      </c>
      <c r="AZ117" s="12" t="s">
        <v>623</v>
      </c>
      <c r="BA117" s="12" t="s">
        <v>623</v>
      </c>
      <c r="BB117" s="12" t="s">
        <v>623</v>
      </c>
      <c r="BC117" s="12" t="s">
        <v>623</v>
      </c>
      <c r="BD117" s="12" t="s">
        <v>623</v>
      </c>
      <c r="BE117" s="12" t="s">
        <v>623</v>
      </c>
      <c r="BF117" s="12" t="s">
        <v>623</v>
      </c>
      <c r="BG117" s="12" t="s">
        <v>623</v>
      </c>
      <c r="BH117" s="12" t="s">
        <v>623</v>
      </c>
      <c r="BI117" s="12" t="s">
        <v>672</v>
      </c>
      <c r="BJ117" s="12" t="s">
        <v>580</v>
      </c>
      <c r="BK117" s="12" t="s">
        <v>580</v>
      </c>
      <c r="BL117" s="12" t="s">
        <v>580</v>
      </c>
      <c r="BM117" s="12" t="s">
        <v>581</v>
      </c>
      <c r="BN117" s="12" t="s">
        <v>755</v>
      </c>
      <c r="BO117" s="12" t="s">
        <v>755</v>
      </c>
      <c r="BP117" s="12" t="s">
        <v>583</v>
      </c>
      <c r="BQ117" s="12" t="s">
        <v>583</v>
      </c>
      <c r="BR117" s="12" t="s">
        <v>583</v>
      </c>
      <c r="BS117" s="12" t="s">
        <v>583</v>
      </c>
      <c r="BT117" s="12" t="s">
        <v>583</v>
      </c>
      <c r="BU117" s="12" t="s">
        <v>762</v>
      </c>
      <c r="BV117" s="12" t="s">
        <v>762</v>
      </c>
      <c r="BW117" s="12" t="s">
        <v>762</v>
      </c>
      <c r="BX117" s="12" t="s">
        <v>586</v>
      </c>
      <c r="BY117" s="12" t="s">
        <v>586</v>
      </c>
      <c r="BZ117" s="12" t="s">
        <v>587</v>
      </c>
      <c r="CA117" s="12" t="s">
        <v>852</v>
      </c>
      <c r="CB117" s="12" t="s">
        <v>852</v>
      </c>
      <c r="CC117" s="12" t="s">
        <v>852</v>
      </c>
      <c r="CD117" s="12" t="s">
        <v>852</v>
      </c>
      <c r="CE117" s="12" t="s">
        <v>852</v>
      </c>
      <c r="CF117" s="12" t="s">
        <v>852</v>
      </c>
      <c r="CG117" s="12" t="s">
        <v>852</v>
      </c>
      <c r="CH117" s="12" t="s">
        <v>852</v>
      </c>
      <c r="CI117" s="12" t="s">
        <v>852</v>
      </c>
      <c r="CJ117" s="12" t="s">
        <v>852</v>
      </c>
      <c r="CK117" s="12" t="s">
        <v>917</v>
      </c>
      <c r="CL117" s="12" t="s">
        <v>917</v>
      </c>
      <c r="CM117" s="12" t="s">
        <v>917</v>
      </c>
      <c r="CN117" s="12" t="s">
        <v>677</v>
      </c>
      <c r="CO117" s="12" t="s">
        <v>677</v>
      </c>
      <c r="CP117" s="12" t="s">
        <v>677</v>
      </c>
      <c r="CQ117" s="12" t="s">
        <v>677</v>
      </c>
      <c r="CR117" s="12" t="s">
        <v>628</v>
      </c>
      <c r="CS117" s="12" t="s">
        <v>628</v>
      </c>
      <c r="CT117" s="12" t="s">
        <v>628</v>
      </c>
    </row>
    <row r="118" spans="1:98" hidden="1" x14ac:dyDescent="0.3">
      <c r="A118" s="12" t="s">
        <v>2510</v>
      </c>
      <c r="B118" s="12" t="s">
        <v>2483</v>
      </c>
      <c r="C118" s="12" t="s">
        <v>2511</v>
      </c>
      <c r="D118" s="12" t="s">
        <v>2512</v>
      </c>
      <c r="E118" s="12" t="s">
        <v>578</v>
      </c>
      <c r="F118" s="12" t="s">
        <v>578</v>
      </c>
      <c r="G118" s="12" t="s">
        <v>578</v>
      </c>
      <c r="H118" s="12" t="s">
        <v>578</v>
      </c>
      <c r="I118" s="12" t="s">
        <v>578</v>
      </c>
      <c r="J118" s="12" t="s">
        <v>578</v>
      </c>
      <c r="K118" s="12" t="s">
        <v>578</v>
      </c>
      <c r="L118" s="12" t="s">
        <v>578</v>
      </c>
      <c r="M118" s="12" t="s">
        <v>578</v>
      </c>
      <c r="N118" s="12" t="s">
        <v>578</v>
      </c>
      <c r="O118" s="12" t="s">
        <v>578</v>
      </c>
      <c r="P118" s="12" t="s">
        <v>578</v>
      </c>
      <c r="Q118" s="12" t="s">
        <v>578</v>
      </c>
      <c r="R118" s="12" t="s">
        <v>578</v>
      </c>
      <c r="S118" s="12" t="s">
        <v>578</v>
      </c>
      <c r="T118" s="12" t="s">
        <v>578</v>
      </c>
      <c r="U118" s="12" t="s">
        <v>578</v>
      </c>
      <c r="V118" s="12" t="s">
        <v>578</v>
      </c>
      <c r="W118" s="12" t="s">
        <v>578</v>
      </c>
      <c r="X118" s="12" t="s">
        <v>578</v>
      </c>
      <c r="Y118" s="12" t="s">
        <v>578</v>
      </c>
      <c r="Z118" s="12" t="s">
        <v>578</v>
      </c>
      <c r="AA118" s="12" t="s">
        <v>578</v>
      </c>
      <c r="AB118" s="12" t="s">
        <v>578</v>
      </c>
      <c r="AC118" s="12" t="s">
        <v>578</v>
      </c>
      <c r="AD118" s="12" t="s">
        <v>578</v>
      </c>
      <c r="AE118" s="12" t="s">
        <v>578</v>
      </c>
      <c r="AF118" s="12" t="s">
        <v>578</v>
      </c>
      <c r="AG118" s="12" t="s">
        <v>578</v>
      </c>
      <c r="AH118" s="12" t="s">
        <v>578</v>
      </c>
      <c r="AI118" s="12" t="s">
        <v>578</v>
      </c>
      <c r="AJ118" s="12" t="s">
        <v>578</v>
      </c>
      <c r="AK118" s="12" t="s">
        <v>578</v>
      </c>
      <c r="AL118" s="12" t="s">
        <v>578</v>
      </c>
      <c r="AM118" s="12" t="s">
        <v>578</v>
      </c>
      <c r="AN118" s="12" t="s">
        <v>578</v>
      </c>
      <c r="AO118" s="12" t="s">
        <v>578</v>
      </c>
      <c r="AP118" s="12" t="s">
        <v>578</v>
      </c>
      <c r="AQ118" s="12" t="s">
        <v>578</v>
      </c>
      <c r="AR118" s="12" t="s">
        <v>578</v>
      </c>
      <c r="AS118" s="12" t="s">
        <v>578</v>
      </c>
      <c r="AT118" s="12" t="s">
        <v>578</v>
      </c>
      <c r="AU118" s="12" t="s">
        <v>578</v>
      </c>
      <c r="AV118" s="12" t="s">
        <v>578</v>
      </c>
      <c r="AW118" s="12" t="s">
        <v>578</v>
      </c>
      <c r="AX118" s="12" t="s">
        <v>623</v>
      </c>
      <c r="AY118" s="12" t="s">
        <v>623</v>
      </c>
      <c r="AZ118" s="12" t="s">
        <v>623</v>
      </c>
      <c r="BA118" s="12" t="s">
        <v>623</v>
      </c>
      <c r="BB118" s="12" t="s">
        <v>672</v>
      </c>
      <c r="BC118" s="12" t="s">
        <v>672</v>
      </c>
      <c r="BD118" s="12" t="s">
        <v>672</v>
      </c>
      <c r="BE118" s="12" t="s">
        <v>761</v>
      </c>
      <c r="BF118" s="12" t="s">
        <v>761</v>
      </c>
      <c r="BG118" s="12" t="s">
        <v>762</v>
      </c>
      <c r="BH118" s="12" t="s">
        <v>584</v>
      </c>
      <c r="BI118" s="12" t="s">
        <v>674</v>
      </c>
      <c r="BJ118" s="12" t="s">
        <v>626</v>
      </c>
      <c r="BK118" s="12" t="s">
        <v>852</v>
      </c>
      <c r="BL118" s="12" t="s">
        <v>852</v>
      </c>
      <c r="BM118" s="12" t="s">
        <v>1096</v>
      </c>
      <c r="BN118" s="12" t="s">
        <v>719</v>
      </c>
      <c r="BO118" s="12" t="s">
        <v>992</v>
      </c>
      <c r="BP118" s="12" t="s">
        <v>973</v>
      </c>
      <c r="BQ118" s="12" t="s">
        <v>973</v>
      </c>
      <c r="BR118" s="12" t="s">
        <v>1184</v>
      </c>
      <c r="BS118" s="12" t="s">
        <v>858</v>
      </c>
      <c r="BT118" s="12" t="s">
        <v>858</v>
      </c>
      <c r="BU118" s="12" t="s">
        <v>858</v>
      </c>
      <c r="BV118" s="12" t="s">
        <v>773</v>
      </c>
      <c r="BW118" s="12" t="s">
        <v>1356</v>
      </c>
      <c r="BX118" s="12" t="s">
        <v>1358</v>
      </c>
      <c r="BY118" s="12" t="s">
        <v>1821</v>
      </c>
      <c r="BZ118" s="12" t="s">
        <v>1886</v>
      </c>
      <c r="CA118" s="12" t="s">
        <v>2099</v>
      </c>
      <c r="CB118" s="12" t="s">
        <v>1309</v>
      </c>
      <c r="CC118" s="12" t="s">
        <v>1185</v>
      </c>
      <c r="CD118" s="12" t="s">
        <v>2101</v>
      </c>
      <c r="CE118" s="12" t="s">
        <v>2101</v>
      </c>
      <c r="CF118" s="12" t="s">
        <v>1623</v>
      </c>
      <c r="CG118" s="12" t="s">
        <v>1623</v>
      </c>
      <c r="CH118" s="12" t="s">
        <v>1623</v>
      </c>
      <c r="CI118" s="12" t="s">
        <v>1262</v>
      </c>
      <c r="CJ118" s="12" t="s">
        <v>1262</v>
      </c>
      <c r="CK118" s="12" t="s">
        <v>774</v>
      </c>
      <c r="CL118" s="12" t="s">
        <v>774</v>
      </c>
      <c r="CM118" s="12" t="s">
        <v>774</v>
      </c>
      <c r="CN118" s="12" t="s">
        <v>774</v>
      </c>
      <c r="CO118" s="12" t="s">
        <v>1186</v>
      </c>
      <c r="CP118" s="12" t="s">
        <v>1186</v>
      </c>
      <c r="CQ118" s="12" t="s">
        <v>1186</v>
      </c>
      <c r="CR118" s="12" t="s">
        <v>724</v>
      </c>
      <c r="CS118" s="12" t="s">
        <v>724</v>
      </c>
      <c r="CT118" s="12" t="s">
        <v>594</v>
      </c>
    </row>
    <row r="119" spans="1:98" hidden="1" x14ac:dyDescent="0.3">
      <c r="A119" s="12" t="s">
        <v>25</v>
      </c>
      <c r="B119" s="12" t="s">
        <v>2483</v>
      </c>
      <c r="C119" s="12" t="s">
        <v>2513</v>
      </c>
      <c r="D119" s="12" t="s">
        <v>2514</v>
      </c>
      <c r="E119" s="12" t="s">
        <v>578</v>
      </c>
      <c r="F119" s="12" t="s">
        <v>578</v>
      </c>
      <c r="G119" s="12" t="s">
        <v>623</v>
      </c>
      <c r="H119" s="12" t="s">
        <v>672</v>
      </c>
      <c r="I119" s="12" t="s">
        <v>672</v>
      </c>
      <c r="J119" s="12" t="s">
        <v>672</v>
      </c>
      <c r="K119" s="12" t="s">
        <v>580</v>
      </c>
      <c r="L119" s="12" t="s">
        <v>581</v>
      </c>
      <c r="M119" s="12" t="s">
        <v>581</v>
      </c>
      <c r="N119" s="12" t="s">
        <v>581</v>
      </c>
      <c r="O119" s="12" t="s">
        <v>851</v>
      </c>
      <c r="P119" s="12" t="s">
        <v>851</v>
      </c>
      <c r="Q119" s="12" t="s">
        <v>851</v>
      </c>
      <c r="R119" s="12" t="s">
        <v>851</v>
      </c>
      <c r="S119" s="12" t="s">
        <v>851</v>
      </c>
      <c r="T119" s="12" t="s">
        <v>851</v>
      </c>
      <c r="U119" s="12" t="s">
        <v>851</v>
      </c>
      <c r="V119" s="12" t="s">
        <v>583</v>
      </c>
      <c r="W119" s="12" t="s">
        <v>583</v>
      </c>
      <c r="X119" s="12" t="s">
        <v>583</v>
      </c>
      <c r="Y119" s="12" t="s">
        <v>583</v>
      </c>
      <c r="Z119" s="12" t="s">
        <v>583</v>
      </c>
      <c r="AA119" s="12" t="s">
        <v>583</v>
      </c>
      <c r="AB119" s="12" t="s">
        <v>583</v>
      </c>
      <c r="AC119" s="12" t="s">
        <v>625</v>
      </c>
      <c r="AD119" s="12" t="s">
        <v>625</v>
      </c>
      <c r="AE119" s="12" t="s">
        <v>625</v>
      </c>
      <c r="AF119" s="12" t="s">
        <v>625</v>
      </c>
      <c r="AG119" s="12" t="s">
        <v>625</v>
      </c>
      <c r="AH119" s="12" t="s">
        <v>625</v>
      </c>
      <c r="AI119" s="12" t="s">
        <v>625</v>
      </c>
      <c r="AJ119" s="12" t="s">
        <v>625</v>
      </c>
      <c r="AK119" s="12" t="s">
        <v>625</v>
      </c>
      <c r="AL119" s="12" t="s">
        <v>625</v>
      </c>
      <c r="AM119" s="12" t="s">
        <v>756</v>
      </c>
      <c r="AN119" s="12" t="s">
        <v>808</v>
      </c>
      <c r="AO119" s="12" t="s">
        <v>628</v>
      </c>
      <c r="AP119" s="12" t="s">
        <v>992</v>
      </c>
      <c r="AQ119" s="12" t="s">
        <v>861</v>
      </c>
      <c r="AR119" s="12" t="s">
        <v>2034</v>
      </c>
      <c r="AS119" s="12" t="s">
        <v>1279</v>
      </c>
      <c r="AT119" s="12" t="s">
        <v>2515</v>
      </c>
      <c r="AU119" s="12" t="s">
        <v>1129</v>
      </c>
      <c r="AV119" s="12" t="s">
        <v>650</v>
      </c>
      <c r="AW119" s="12" t="s">
        <v>1996</v>
      </c>
      <c r="AX119" s="12" t="s">
        <v>2516</v>
      </c>
      <c r="AY119" s="12" t="s">
        <v>2195</v>
      </c>
      <c r="AZ119" s="12" t="s">
        <v>2517</v>
      </c>
      <c r="BA119" s="12" t="s">
        <v>2518</v>
      </c>
      <c r="BB119" s="12" t="s">
        <v>2519</v>
      </c>
      <c r="BC119" s="12" t="s">
        <v>2519</v>
      </c>
      <c r="BD119" s="12" t="s">
        <v>2520</v>
      </c>
      <c r="BE119" s="12" t="s">
        <v>2521</v>
      </c>
      <c r="BF119" s="12" t="s">
        <v>2522</v>
      </c>
      <c r="BG119" s="12" t="s">
        <v>2523</v>
      </c>
      <c r="BH119" s="12" t="s">
        <v>2524</v>
      </c>
      <c r="BI119" s="12" t="s">
        <v>2525</v>
      </c>
      <c r="BJ119" s="12" t="s">
        <v>2526</v>
      </c>
      <c r="BK119" s="12" t="s">
        <v>2527</v>
      </c>
      <c r="BL119" s="12" t="s">
        <v>2528</v>
      </c>
      <c r="BM119" s="12" t="s">
        <v>2529</v>
      </c>
      <c r="BN119" s="12" t="s">
        <v>2530</v>
      </c>
      <c r="BO119" s="12" t="s">
        <v>2531</v>
      </c>
      <c r="BP119" s="12" t="s">
        <v>2532</v>
      </c>
      <c r="BQ119" s="12" t="s">
        <v>2533</v>
      </c>
      <c r="BR119" s="12" t="s">
        <v>2534</v>
      </c>
      <c r="BS119" s="12" t="s">
        <v>2535</v>
      </c>
      <c r="BT119" s="12" t="s">
        <v>2536</v>
      </c>
      <c r="BU119" s="12" t="s">
        <v>2537</v>
      </c>
      <c r="BV119" s="12" t="s">
        <v>2538</v>
      </c>
      <c r="BW119" s="12" t="s">
        <v>2539</v>
      </c>
      <c r="BX119" s="12" t="s">
        <v>2540</v>
      </c>
      <c r="BY119" s="12" t="s">
        <v>2541</v>
      </c>
      <c r="BZ119" s="12" t="s">
        <v>2542</v>
      </c>
      <c r="CA119" s="12" t="s">
        <v>2543</v>
      </c>
      <c r="CB119" s="12" t="s">
        <v>2544</v>
      </c>
      <c r="CC119" s="12" t="s">
        <v>2545</v>
      </c>
      <c r="CD119" s="12" t="s">
        <v>2546</v>
      </c>
      <c r="CE119" s="12" t="s">
        <v>2547</v>
      </c>
      <c r="CF119" s="12" t="s">
        <v>2548</v>
      </c>
      <c r="CG119" s="12" t="s">
        <v>2549</v>
      </c>
      <c r="CH119" s="12" t="s">
        <v>2550</v>
      </c>
      <c r="CI119" s="12" t="s">
        <v>2551</v>
      </c>
      <c r="CJ119" s="12" t="s">
        <v>2552</v>
      </c>
      <c r="CK119" s="12" t="s">
        <v>2553</v>
      </c>
      <c r="CL119" s="12" t="s">
        <v>2554</v>
      </c>
      <c r="CM119" s="12" t="s">
        <v>2555</v>
      </c>
      <c r="CN119" s="12" t="s">
        <v>2556</v>
      </c>
      <c r="CO119" s="12" t="s">
        <v>2557</v>
      </c>
      <c r="CP119" s="12" t="s">
        <v>2558</v>
      </c>
      <c r="CQ119" s="12" t="s">
        <v>2559</v>
      </c>
      <c r="CR119" s="12" t="s">
        <v>2560</v>
      </c>
      <c r="CS119" s="12" t="s">
        <v>2561</v>
      </c>
      <c r="CT119" s="12" t="s">
        <v>2562</v>
      </c>
    </row>
    <row r="120" spans="1:98" hidden="1" x14ac:dyDescent="0.3">
      <c r="A120" s="12" t="s">
        <v>25</v>
      </c>
      <c r="B120" s="12" t="s">
        <v>2563</v>
      </c>
      <c r="C120" s="12" t="s">
        <v>2564</v>
      </c>
      <c r="D120" s="12" t="s">
        <v>2565</v>
      </c>
      <c r="E120" s="12" t="s">
        <v>578</v>
      </c>
      <c r="F120" s="12" t="s">
        <v>578</v>
      </c>
      <c r="G120" s="12" t="s">
        <v>578</v>
      </c>
      <c r="H120" s="12" t="s">
        <v>578</v>
      </c>
      <c r="I120" s="12" t="s">
        <v>578</v>
      </c>
      <c r="J120" s="12" t="s">
        <v>578</v>
      </c>
      <c r="K120" s="12" t="s">
        <v>578</v>
      </c>
      <c r="L120" s="12" t="s">
        <v>578</v>
      </c>
      <c r="M120" s="12" t="s">
        <v>578</v>
      </c>
      <c r="N120" s="12" t="s">
        <v>578</v>
      </c>
      <c r="O120" s="12" t="s">
        <v>578</v>
      </c>
      <c r="P120" s="12" t="s">
        <v>578</v>
      </c>
      <c r="Q120" s="12" t="s">
        <v>578</v>
      </c>
      <c r="R120" s="12" t="s">
        <v>578</v>
      </c>
      <c r="S120" s="12" t="s">
        <v>578</v>
      </c>
      <c r="T120" s="12" t="s">
        <v>578</v>
      </c>
      <c r="U120" s="12" t="s">
        <v>578</v>
      </c>
      <c r="V120" s="12" t="s">
        <v>578</v>
      </c>
      <c r="W120" s="12" t="s">
        <v>578</v>
      </c>
      <c r="X120" s="12" t="s">
        <v>578</v>
      </c>
      <c r="Y120" s="12" t="s">
        <v>578</v>
      </c>
      <c r="Z120" s="12" t="s">
        <v>578</v>
      </c>
      <c r="AA120" s="12" t="s">
        <v>578</v>
      </c>
      <c r="AB120" s="12" t="s">
        <v>578</v>
      </c>
      <c r="AC120" s="12" t="s">
        <v>578</v>
      </c>
      <c r="AD120" s="12" t="s">
        <v>578</v>
      </c>
      <c r="AE120" s="12" t="s">
        <v>578</v>
      </c>
      <c r="AF120" s="12" t="s">
        <v>578</v>
      </c>
      <c r="AG120" s="12" t="s">
        <v>578</v>
      </c>
      <c r="AH120" s="12" t="s">
        <v>578</v>
      </c>
      <c r="AI120" s="12" t="s">
        <v>578</v>
      </c>
      <c r="AJ120" s="12" t="s">
        <v>578</v>
      </c>
      <c r="AK120" s="12" t="s">
        <v>578</v>
      </c>
      <c r="AL120" s="12" t="s">
        <v>578</v>
      </c>
      <c r="AM120" s="12" t="s">
        <v>578</v>
      </c>
      <c r="AN120" s="12" t="s">
        <v>578</v>
      </c>
      <c r="AO120" s="12" t="s">
        <v>578</v>
      </c>
      <c r="AP120" s="12" t="s">
        <v>578</v>
      </c>
      <c r="AQ120" s="12" t="s">
        <v>578</v>
      </c>
      <c r="AR120" s="12" t="s">
        <v>578</v>
      </c>
      <c r="AS120" s="12" t="s">
        <v>578</v>
      </c>
      <c r="AT120" s="12" t="s">
        <v>578</v>
      </c>
      <c r="AU120" s="12" t="s">
        <v>578</v>
      </c>
      <c r="AV120" s="12" t="s">
        <v>578</v>
      </c>
      <c r="AW120" s="12" t="s">
        <v>578</v>
      </c>
      <c r="AX120" s="12" t="s">
        <v>578</v>
      </c>
      <c r="AY120" s="12" t="s">
        <v>578</v>
      </c>
      <c r="AZ120" s="12" t="s">
        <v>578</v>
      </c>
      <c r="BA120" s="12" t="s">
        <v>578</v>
      </c>
      <c r="BB120" s="12" t="s">
        <v>578</v>
      </c>
      <c r="BC120" s="12" t="s">
        <v>578</v>
      </c>
      <c r="BD120" s="12" t="s">
        <v>578</v>
      </c>
      <c r="BE120" s="12" t="s">
        <v>579</v>
      </c>
      <c r="BF120" s="12" t="s">
        <v>579</v>
      </c>
      <c r="BG120" s="12" t="s">
        <v>579</v>
      </c>
      <c r="BH120" s="12" t="s">
        <v>579</v>
      </c>
      <c r="BI120" s="12" t="s">
        <v>579</v>
      </c>
      <c r="BJ120" s="12" t="s">
        <v>579</v>
      </c>
      <c r="BK120" s="12" t="s">
        <v>672</v>
      </c>
      <c r="BL120" s="12" t="s">
        <v>580</v>
      </c>
      <c r="BM120" s="12" t="s">
        <v>581</v>
      </c>
      <c r="BN120" s="12" t="s">
        <v>581</v>
      </c>
      <c r="BO120" s="12" t="s">
        <v>851</v>
      </c>
      <c r="BP120" s="12" t="s">
        <v>851</v>
      </c>
      <c r="BQ120" s="12" t="s">
        <v>582</v>
      </c>
      <c r="BR120" s="12" t="s">
        <v>582</v>
      </c>
      <c r="BS120" s="12" t="s">
        <v>582</v>
      </c>
      <c r="BT120" s="12" t="s">
        <v>582</v>
      </c>
      <c r="BU120" s="12" t="s">
        <v>582</v>
      </c>
      <c r="BV120" s="12" t="s">
        <v>584</v>
      </c>
      <c r="BW120" s="12" t="s">
        <v>808</v>
      </c>
      <c r="BX120" s="12" t="s">
        <v>585</v>
      </c>
      <c r="BY120" s="12" t="s">
        <v>585</v>
      </c>
      <c r="BZ120" s="12" t="s">
        <v>585</v>
      </c>
      <c r="CA120" s="12" t="s">
        <v>585</v>
      </c>
      <c r="CB120" s="12" t="s">
        <v>587</v>
      </c>
      <c r="CC120" s="12" t="s">
        <v>2018</v>
      </c>
      <c r="CD120" s="12" t="s">
        <v>767</v>
      </c>
      <c r="CE120" s="12" t="s">
        <v>1096</v>
      </c>
      <c r="CF120" s="12" t="s">
        <v>1096</v>
      </c>
      <c r="CG120" s="12" t="s">
        <v>918</v>
      </c>
      <c r="CH120" s="12" t="s">
        <v>991</v>
      </c>
      <c r="CI120" s="12" t="s">
        <v>992</v>
      </c>
      <c r="CJ120" s="12" t="s">
        <v>992</v>
      </c>
      <c r="CK120" s="12" t="s">
        <v>856</v>
      </c>
      <c r="CL120" s="12" t="s">
        <v>856</v>
      </c>
      <c r="CM120" s="12" t="s">
        <v>1499</v>
      </c>
      <c r="CN120" s="12" t="s">
        <v>1499</v>
      </c>
      <c r="CO120" s="12" t="s">
        <v>1208</v>
      </c>
      <c r="CP120" s="12" t="s">
        <v>593</v>
      </c>
      <c r="CQ120" s="12" t="s">
        <v>1603</v>
      </c>
      <c r="CR120" s="12" t="s">
        <v>1277</v>
      </c>
      <c r="CS120" s="12" t="s">
        <v>1487</v>
      </c>
      <c r="CT120" s="12" t="s">
        <v>1815</v>
      </c>
    </row>
    <row r="121" spans="1:98" hidden="1" x14ac:dyDescent="0.3">
      <c r="A121" s="12" t="s">
        <v>25</v>
      </c>
      <c r="B121" s="12" t="s">
        <v>2566</v>
      </c>
      <c r="C121" s="12" t="s">
        <v>2567</v>
      </c>
      <c r="D121" s="12" t="s">
        <v>2568</v>
      </c>
      <c r="E121" s="12" t="s">
        <v>578</v>
      </c>
      <c r="F121" s="12" t="s">
        <v>578</v>
      </c>
      <c r="G121" s="12" t="s">
        <v>578</v>
      </c>
      <c r="H121" s="12" t="s">
        <v>578</v>
      </c>
      <c r="I121" s="12" t="s">
        <v>578</v>
      </c>
      <c r="J121" s="12" t="s">
        <v>578</v>
      </c>
      <c r="K121" s="12" t="s">
        <v>578</v>
      </c>
      <c r="L121" s="12" t="s">
        <v>578</v>
      </c>
      <c r="M121" s="12" t="s">
        <v>578</v>
      </c>
      <c r="N121" s="12" t="s">
        <v>578</v>
      </c>
      <c r="O121" s="12" t="s">
        <v>578</v>
      </c>
      <c r="P121" s="12" t="s">
        <v>578</v>
      </c>
      <c r="Q121" s="12" t="s">
        <v>578</v>
      </c>
      <c r="R121" s="12" t="s">
        <v>578</v>
      </c>
      <c r="S121" s="12" t="s">
        <v>578</v>
      </c>
      <c r="T121" s="12" t="s">
        <v>578</v>
      </c>
      <c r="U121" s="12" t="s">
        <v>578</v>
      </c>
      <c r="V121" s="12" t="s">
        <v>578</v>
      </c>
      <c r="W121" s="12" t="s">
        <v>578</v>
      </c>
      <c r="X121" s="12" t="s">
        <v>578</v>
      </c>
      <c r="Y121" s="12" t="s">
        <v>578</v>
      </c>
      <c r="Z121" s="12" t="s">
        <v>578</v>
      </c>
      <c r="AA121" s="12" t="s">
        <v>578</v>
      </c>
      <c r="AB121" s="12" t="s">
        <v>578</v>
      </c>
      <c r="AC121" s="12" t="s">
        <v>578</v>
      </c>
      <c r="AD121" s="12" t="s">
        <v>578</v>
      </c>
      <c r="AE121" s="12" t="s">
        <v>578</v>
      </c>
      <c r="AF121" s="12" t="s">
        <v>578</v>
      </c>
      <c r="AG121" s="12" t="s">
        <v>578</v>
      </c>
      <c r="AH121" s="12" t="s">
        <v>578</v>
      </c>
      <c r="AI121" s="12" t="s">
        <v>578</v>
      </c>
      <c r="AJ121" s="12" t="s">
        <v>578</v>
      </c>
      <c r="AK121" s="12" t="s">
        <v>578</v>
      </c>
      <c r="AL121" s="12" t="s">
        <v>578</v>
      </c>
      <c r="AM121" s="12" t="s">
        <v>578</v>
      </c>
      <c r="AN121" s="12" t="s">
        <v>578</v>
      </c>
      <c r="AO121" s="12" t="s">
        <v>578</v>
      </c>
      <c r="AP121" s="12" t="s">
        <v>578</v>
      </c>
      <c r="AQ121" s="12" t="s">
        <v>578</v>
      </c>
      <c r="AR121" s="12" t="s">
        <v>578</v>
      </c>
      <c r="AS121" s="12" t="s">
        <v>578</v>
      </c>
      <c r="AT121" s="12" t="s">
        <v>578</v>
      </c>
      <c r="AU121" s="12" t="s">
        <v>578</v>
      </c>
      <c r="AV121" s="12" t="s">
        <v>578</v>
      </c>
      <c r="AW121" s="12" t="s">
        <v>578</v>
      </c>
      <c r="AX121" s="12" t="s">
        <v>578</v>
      </c>
      <c r="AY121" s="12" t="s">
        <v>578</v>
      </c>
      <c r="AZ121" s="12" t="s">
        <v>578</v>
      </c>
      <c r="BA121" s="12" t="s">
        <v>578</v>
      </c>
      <c r="BB121" s="12" t="s">
        <v>578</v>
      </c>
      <c r="BC121" s="12" t="s">
        <v>578</v>
      </c>
      <c r="BD121" s="12" t="s">
        <v>578</v>
      </c>
      <c r="BE121" s="12" t="s">
        <v>578</v>
      </c>
      <c r="BF121" s="12" t="s">
        <v>578</v>
      </c>
      <c r="BG121" s="12" t="s">
        <v>578</v>
      </c>
      <c r="BH121" s="12" t="s">
        <v>579</v>
      </c>
      <c r="BI121" s="12" t="s">
        <v>579</v>
      </c>
      <c r="BJ121" s="12" t="s">
        <v>579</v>
      </c>
      <c r="BK121" s="12" t="s">
        <v>579</v>
      </c>
      <c r="BL121" s="12" t="s">
        <v>579</v>
      </c>
      <c r="BM121" s="12" t="s">
        <v>579</v>
      </c>
      <c r="BN121" s="12" t="s">
        <v>623</v>
      </c>
      <c r="BO121" s="12" t="s">
        <v>672</v>
      </c>
      <c r="BP121" s="12" t="s">
        <v>672</v>
      </c>
      <c r="BQ121" s="12" t="s">
        <v>672</v>
      </c>
      <c r="BR121" s="12" t="s">
        <v>672</v>
      </c>
      <c r="BS121" s="12" t="s">
        <v>672</v>
      </c>
      <c r="BT121" s="12" t="s">
        <v>580</v>
      </c>
      <c r="BU121" s="12" t="s">
        <v>580</v>
      </c>
      <c r="BV121" s="12" t="s">
        <v>580</v>
      </c>
      <c r="BW121" s="12" t="s">
        <v>580</v>
      </c>
      <c r="BX121" s="12" t="s">
        <v>580</v>
      </c>
      <c r="BY121" s="12" t="s">
        <v>580</v>
      </c>
      <c r="BZ121" s="12" t="s">
        <v>580</v>
      </c>
      <c r="CA121" s="12" t="s">
        <v>580</v>
      </c>
      <c r="CB121" s="12" t="s">
        <v>580</v>
      </c>
      <c r="CC121" s="12" t="s">
        <v>580</v>
      </c>
      <c r="CD121" s="12" t="s">
        <v>580</v>
      </c>
      <c r="CE121" s="12" t="s">
        <v>580</v>
      </c>
      <c r="CF121" s="12" t="s">
        <v>580</v>
      </c>
      <c r="CG121" s="12" t="s">
        <v>761</v>
      </c>
      <c r="CH121" s="12" t="s">
        <v>761</v>
      </c>
      <c r="CI121" s="12" t="s">
        <v>761</v>
      </c>
      <c r="CJ121" s="12" t="s">
        <v>761</v>
      </c>
      <c r="CK121" s="12" t="s">
        <v>761</v>
      </c>
      <c r="CL121" s="12" t="s">
        <v>761</v>
      </c>
      <c r="CM121" s="12" t="s">
        <v>761</v>
      </c>
      <c r="CN121" s="12" t="s">
        <v>761</v>
      </c>
      <c r="CO121" s="12" t="s">
        <v>624</v>
      </c>
      <c r="CP121" s="12" t="s">
        <v>624</v>
      </c>
      <c r="CQ121" s="12" t="s">
        <v>624</v>
      </c>
      <c r="CR121" s="12" t="s">
        <v>624</v>
      </c>
      <c r="CS121" s="12" t="s">
        <v>624</v>
      </c>
      <c r="CT121" s="12" t="s">
        <v>624</v>
      </c>
    </row>
    <row r="122" spans="1:98" hidden="1" x14ac:dyDescent="0.3">
      <c r="A122" s="12" t="s">
        <v>25</v>
      </c>
      <c r="B122" s="12" t="s">
        <v>2569</v>
      </c>
      <c r="C122" s="12" t="s">
        <v>2570</v>
      </c>
      <c r="D122" s="12" t="s">
        <v>2571</v>
      </c>
      <c r="E122" s="12" t="s">
        <v>578</v>
      </c>
      <c r="F122" s="12" t="s">
        <v>578</v>
      </c>
      <c r="G122" s="12" t="s">
        <v>578</v>
      </c>
      <c r="H122" s="12" t="s">
        <v>578</v>
      </c>
      <c r="I122" s="12" t="s">
        <v>578</v>
      </c>
      <c r="J122" s="12" t="s">
        <v>578</v>
      </c>
      <c r="K122" s="12" t="s">
        <v>578</v>
      </c>
      <c r="L122" s="12" t="s">
        <v>578</v>
      </c>
      <c r="M122" s="12" t="s">
        <v>578</v>
      </c>
      <c r="N122" s="12" t="s">
        <v>578</v>
      </c>
      <c r="O122" s="12" t="s">
        <v>578</v>
      </c>
      <c r="P122" s="12" t="s">
        <v>578</v>
      </c>
      <c r="Q122" s="12" t="s">
        <v>578</v>
      </c>
      <c r="R122" s="12" t="s">
        <v>578</v>
      </c>
      <c r="S122" s="12" t="s">
        <v>578</v>
      </c>
      <c r="T122" s="12" t="s">
        <v>578</v>
      </c>
      <c r="U122" s="12" t="s">
        <v>578</v>
      </c>
      <c r="V122" s="12" t="s">
        <v>578</v>
      </c>
      <c r="W122" s="12" t="s">
        <v>578</v>
      </c>
      <c r="X122" s="12" t="s">
        <v>578</v>
      </c>
      <c r="Y122" s="12" t="s">
        <v>578</v>
      </c>
      <c r="Z122" s="12" t="s">
        <v>578</v>
      </c>
      <c r="AA122" s="12" t="s">
        <v>578</v>
      </c>
      <c r="AB122" s="12" t="s">
        <v>578</v>
      </c>
      <c r="AC122" s="12" t="s">
        <v>578</v>
      </c>
      <c r="AD122" s="12" t="s">
        <v>578</v>
      </c>
      <c r="AE122" s="12" t="s">
        <v>578</v>
      </c>
      <c r="AF122" s="12" t="s">
        <v>578</v>
      </c>
      <c r="AG122" s="12" t="s">
        <v>578</v>
      </c>
      <c r="AH122" s="12" t="s">
        <v>578</v>
      </c>
      <c r="AI122" s="12" t="s">
        <v>578</v>
      </c>
      <c r="AJ122" s="12" t="s">
        <v>578</v>
      </c>
      <c r="AK122" s="12" t="s">
        <v>578</v>
      </c>
      <c r="AL122" s="12" t="s">
        <v>578</v>
      </c>
      <c r="AM122" s="12" t="s">
        <v>578</v>
      </c>
      <c r="AN122" s="12" t="s">
        <v>579</v>
      </c>
      <c r="AO122" s="12" t="s">
        <v>579</v>
      </c>
      <c r="AP122" s="12" t="s">
        <v>579</v>
      </c>
      <c r="AQ122" s="12" t="s">
        <v>579</v>
      </c>
      <c r="AR122" s="12" t="s">
        <v>672</v>
      </c>
      <c r="AS122" s="12" t="s">
        <v>672</v>
      </c>
      <c r="AT122" s="12" t="s">
        <v>672</v>
      </c>
      <c r="AU122" s="12" t="s">
        <v>672</v>
      </c>
      <c r="AV122" s="12" t="s">
        <v>580</v>
      </c>
      <c r="AW122" s="12" t="s">
        <v>580</v>
      </c>
      <c r="AX122" s="12" t="s">
        <v>580</v>
      </c>
      <c r="AY122" s="12" t="s">
        <v>868</v>
      </c>
      <c r="AZ122" s="12" t="s">
        <v>762</v>
      </c>
      <c r="BA122" s="12" t="s">
        <v>762</v>
      </c>
      <c r="BB122" s="12" t="s">
        <v>587</v>
      </c>
      <c r="BC122" s="12" t="s">
        <v>587</v>
      </c>
      <c r="BD122" s="12" t="s">
        <v>757</v>
      </c>
      <c r="BE122" s="12" t="s">
        <v>2018</v>
      </c>
      <c r="BF122" s="12" t="s">
        <v>627</v>
      </c>
      <c r="BG122" s="12" t="s">
        <v>627</v>
      </c>
      <c r="BH122" s="12" t="s">
        <v>767</v>
      </c>
      <c r="BI122" s="12" t="s">
        <v>628</v>
      </c>
      <c r="BJ122" s="12" t="s">
        <v>588</v>
      </c>
      <c r="BK122" s="12" t="s">
        <v>1259</v>
      </c>
      <c r="BL122" s="12" t="s">
        <v>991</v>
      </c>
      <c r="BM122" s="12" t="s">
        <v>679</v>
      </c>
      <c r="BN122" s="12" t="s">
        <v>919</v>
      </c>
      <c r="BO122" s="12" t="s">
        <v>634</v>
      </c>
      <c r="BP122" s="12" t="s">
        <v>720</v>
      </c>
      <c r="BQ122" s="12" t="s">
        <v>771</v>
      </c>
      <c r="BR122" s="12" t="s">
        <v>1352</v>
      </c>
      <c r="BS122" s="12" t="s">
        <v>682</v>
      </c>
      <c r="BT122" s="12" t="s">
        <v>857</v>
      </c>
      <c r="BU122" s="12" t="s">
        <v>862</v>
      </c>
      <c r="BV122" s="12" t="s">
        <v>592</v>
      </c>
      <c r="BW122" s="12" t="s">
        <v>1417</v>
      </c>
      <c r="BX122" s="12" t="s">
        <v>873</v>
      </c>
      <c r="BY122" s="12" t="s">
        <v>1623</v>
      </c>
      <c r="BZ122" s="12" t="s">
        <v>1310</v>
      </c>
      <c r="CA122" s="12" t="s">
        <v>595</v>
      </c>
      <c r="CB122" s="12" t="s">
        <v>725</v>
      </c>
      <c r="CC122" s="12" t="s">
        <v>2137</v>
      </c>
      <c r="CD122" s="12" t="s">
        <v>1718</v>
      </c>
      <c r="CE122" s="12" t="s">
        <v>1163</v>
      </c>
      <c r="CF122" s="12" t="s">
        <v>2166</v>
      </c>
      <c r="CG122" s="12" t="s">
        <v>1363</v>
      </c>
      <c r="CH122" s="12" t="s">
        <v>956</v>
      </c>
      <c r="CI122" s="12" t="s">
        <v>1736</v>
      </c>
      <c r="CJ122" s="12" t="s">
        <v>1266</v>
      </c>
      <c r="CK122" s="12" t="s">
        <v>1424</v>
      </c>
      <c r="CL122" s="12" t="s">
        <v>2572</v>
      </c>
      <c r="CM122" s="12" t="s">
        <v>730</v>
      </c>
      <c r="CN122" s="12" t="s">
        <v>2502</v>
      </c>
      <c r="CO122" s="12" t="s">
        <v>2167</v>
      </c>
      <c r="CP122" s="12" t="s">
        <v>2395</v>
      </c>
      <c r="CQ122" s="12" t="s">
        <v>1667</v>
      </c>
      <c r="CR122" s="12" t="s">
        <v>654</v>
      </c>
      <c r="CS122" s="12" t="s">
        <v>1533</v>
      </c>
      <c r="CT122" s="12" t="s">
        <v>603</v>
      </c>
    </row>
    <row r="123" spans="1:98" hidden="1" x14ac:dyDescent="0.3">
      <c r="A123" s="12" t="s">
        <v>25</v>
      </c>
      <c r="B123" s="12" t="s">
        <v>2573</v>
      </c>
      <c r="C123" s="12" t="s">
        <v>2574</v>
      </c>
      <c r="D123" s="12" t="s">
        <v>2575</v>
      </c>
      <c r="E123" s="12" t="s">
        <v>578</v>
      </c>
      <c r="F123" s="12" t="s">
        <v>578</v>
      </c>
      <c r="G123" s="12" t="s">
        <v>578</v>
      </c>
      <c r="H123" s="12" t="s">
        <v>578</v>
      </c>
      <c r="I123" s="12" t="s">
        <v>578</v>
      </c>
      <c r="J123" s="12" t="s">
        <v>579</v>
      </c>
      <c r="K123" s="12" t="s">
        <v>580</v>
      </c>
      <c r="L123" s="12" t="s">
        <v>580</v>
      </c>
      <c r="M123" s="12" t="s">
        <v>580</v>
      </c>
      <c r="N123" s="12" t="s">
        <v>581</v>
      </c>
      <c r="O123" s="12" t="s">
        <v>755</v>
      </c>
      <c r="P123" s="12" t="s">
        <v>624</v>
      </c>
      <c r="Q123" s="12" t="s">
        <v>625</v>
      </c>
      <c r="R123" s="12" t="s">
        <v>625</v>
      </c>
      <c r="S123" s="12" t="s">
        <v>625</v>
      </c>
      <c r="T123" s="12" t="s">
        <v>625</v>
      </c>
      <c r="U123" s="12" t="s">
        <v>868</v>
      </c>
      <c r="V123" s="12" t="s">
        <v>868</v>
      </c>
      <c r="W123" s="12" t="s">
        <v>756</v>
      </c>
      <c r="X123" s="12" t="s">
        <v>756</v>
      </c>
      <c r="Y123" s="12" t="s">
        <v>584</v>
      </c>
      <c r="Z123" s="12" t="s">
        <v>584</v>
      </c>
      <c r="AA123" s="12" t="s">
        <v>584</v>
      </c>
      <c r="AB123" s="12" t="s">
        <v>584</v>
      </c>
      <c r="AC123" s="12" t="s">
        <v>584</v>
      </c>
      <c r="AD123" s="12" t="s">
        <v>584</v>
      </c>
      <c r="AE123" s="12" t="s">
        <v>584</v>
      </c>
      <c r="AF123" s="12" t="s">
        <v>584</v>
      </c>
      <c r="AG123" s="12" t="s">
        <v>584</v>
      </c>
      <c r="AH123" s="12" t="s">
        <v>584</v>
      </c>
      <c r="AI123" s="12" t="s">
        <v>584</v>
      </c>
      <c r="AJ123" s="12" t="s">
        <v>584</v>
      </c>
      <c r="AK123" s="12" t="s">
        <v>584</v>
      </c>
      <c r="AL123" s="12" t="s">
        <v>584</v>
      </c>
      <c r="AM123" s="12" t="s">
        <v>673</v>
      </c>
      <c r="AN123" s="12" t="s">
        <v>913</v>
      </c>
      <c r="AO123" s="12" t="s">
        <v>918</v>
      </c>
      <c r="AP123" s="12" t="s">
        <v>678</v>
      </c>
      <c r="AQ123" s="12" t="s">
        <v>771</v>
      </c>
      <c r="AR123" s="12" t="s">
        <v>2034</v>
      </c>
      <c r="AS123" s="12" t="s">
        <v>1733</v>
      </c>
      <c r="AT123" s="12" t="s">
        <v>2137</v>
      </c>
      <c r="AU123" s="12" t="s">
        <v>1494</v>
      </c>
      <c r="AV123" s="12" t="s">
        <v>822</v>
      </c>
      <c r="AW123" s="12" t="s">
        <v>2576</v>
      </c>
      <c r="AX123" s="12" t="s">
        <v>2577</v>
      </c>
      <c r="AY123" s="12" t="s">
        <v>1146</v>
      </c>
      <c r="AZ123" s="12" t="s">
        <v>617</v>
      </c>
      <c r="BA123" s="12" t="s">
        <v>2578</v>
      </c>
      <c r="BB123" s="12" t="s">
        <v>2209</v>
      </c>
      <c r="BC123" s="12" t="s">
        <v>2579</v>
      </c>
      <c r="BD123" s="12" t="s">
        <v>2580</v>
      </c>
      <c r="BE123" s="12" t="s">
        <v>2581</v>
      </c>
      <c r="BF123" s="12" t="s">
        <v>2582</v>
      </c>
      <c r="BG123" s="12" t="s">
        <v>2583</v>
      </c>
      <c r="BH123" s="12" t="s">
        <v>2584</v>
      </c>
      <c r="BI123" s="12" t="s">
        <v>2585</v>
      </c>
      <c r="BJ123" s="12" t="s">
        <v>2586</v>
      </c>
      <c r="BK123" s="12" t="s">
        <v>2587</v>
      </c>
      <c r="BL123" s="12" t="s">
        <v>2588</v>
      </c>
      <c r="BM123" s="12" t="s">
        <v>2589</v>
      </c>
      <c r="BN123" s="12" t="s">
        <v>2590</v>
      </c>
      <c r="BO123" s="12" t="s">
        <v>2591</v>
      </c>
      <c r="BP123" s="12" t="s">
        <v>2592</v>
      </c>
      <c r="BQ123" s="12" t="s">
        <v>2593</v>
      </c>
      <c r="BR123" s="12" t="s">
        <v>2594</v>
      </c>
      <c r="BS123" s="12" t="s">
        <v>2595</v>
      </c>
      <c r="BT123" s="12" t="s">
        <v>2596</v>
      </c>
      <c r="BU123" s="12" t="s">
        <v>2597</v>
      </c>
      <c r="BV123" s="12" t="s">
        <v>2598</v>
      </c>
      <c r="BW123" s="12" t="s">
        <v>2599</v>
      </c>
      <c r="BX123" s="12" t="s">
        <v>2600</v>
      </c>
      <c r="BY123" s="12" t="s">
        <v>2601</v>
      </c>
      <c r="BZ123" s="12" t="s">
        <v>2602</v>
      </c>
      <c r="CA123" s="12" t="s">
        <v>2603</v>
      </c>
      <c r="CB123" s="12" t="s">
        <v>2604</v>
      </c>
      <c r="CC123" s="12" t="s">
        <v>2605</v>
      </c>
      <c r="CD123" s="12" t="s">
        <v>2606</v>
      </c>
      <c r="CE123" s="12" t="s">
        <v>2607</v>
      </c>
      <c r="CF123" s="12" t="s">
        <v>2608</v>
      </c>
      <c r="CG123" s="12" t="s">
        <v>2609</v>
      </c>
      <c r="CH123" s="12" t="s">
        <v>2610</v>
      </c>
      <c r="CI123" s="12" t="s">
        <v>2611</v>
      </c>
      <c r="CJ123" s="12" t="s">
        <v>2612</v>
      </c>
      <c r="CK123" s="12" t="s">
        <v>2613</v>
      </c>
      <c r="CL123" s="12" t="s">
        <v>2614</v>
      </c>
      <c r="CM123" s="12" t="s">
        <v>2615</v>
      </c>
      <c r="CN123" s="12" t="s">
        <v>2616</v>
      </c>
      <c r="CO123" s="12" t="s">
        <v>2617</v>
      </c>
      <c r="CP123" s="12" t="s">
        <v>2618</v>
      </c>
      <c r="CQ123" s="12" t="s">
        <v>2619</v>
      </c>
      <c r="CR123" s="12" t="s">
        <v>2620</v>
      </c>
      <c r="CS123" s="12" t="s">
        <v>2621</v>
      </c>
      <c r="CT123" s="12" t="s">
        <v>2622</v>
      </c>
    </row>
    <row r="124" spans="1:98" hidden="1" x14ac:dyDescent="0.3">
      <c r="A124" s="12" t="s">
        <v>25</v>
      </c>
      <c r="B124" s="12" t="s">
        <v>2623</v>
      </c>
      <c r="C124" s="12" t="s">
        <v>2624</v>
      </c>
      <c r="D124" s="12" t="s">
        <v>2625</v>
      </c>
      <c r="E124" s="12" t="s">
        <v>578</v>
      </c>
      <c r="F124" s="12" t="s">
        <v>578</v>
      </c>
      <c r="G124" s="12" t="s">
        <v>578</v>
      </c>
      <c r="H124" s="12" t="s">
        <v>578</v>
      </c>
      <c r="I124" s="12" t="s">
        <v>578</v>
      </c>
      <c r="J124" s="12" t="s">
        <v>578</v>
      </c>
      <c r="K124" s="12" t="s">
        <v>578</v>
      </c>
      <c r="L124" s="12" t="s">
        <v>578</v>
      </c>
      <c r="M124" s="12" t="s">
        <v>578</v>
      </c>
      <c r="N124" s="12" t="s">
        <v>578</v>
      </c>
      <c r="O124" s="12" t="s">
        <v>578</v>
      </c>
      <c r="P124" s="12" t="s">
        <v>578</v>
      </c>
      <c r="Q124" s="12" t="s">
        <v>578</v>
      </c>
      <c r="R124" s="12" t="s">
        <v>578</v>
      </c>
      <c r="S124" s="12" t="s">
        <v>578</v>
      </c>
      <c r="T124" s="12" t="s">
        <v>578</v>
      </c>
      <c r="U124" s="12" t="s">
        <v>578</v>
      </c>
      <c r="V124" s="12" t="s">
        <v>578</v>
      </c>
      <c r="W124" s="12" t="s">
        <v>578</v>
      </c>
      <c r="X124" s="12" t="s">
        <v>578</v>
      </c>
      <c r="Y124" s="12" t="s">
        <v>578</v>
      </c>
      <c r="Z124" s="12" t="s">
        <v>578</v>
      </c>
      <c r="AA124" s="12" t="s">
        <v>578</v>
      </c>
      <c r="AB124" s="12" t="s">
        <v>578</v>
      </c>
      <c r="AC124" s="12" t="s">
        <v>578</v>
      </c>
      <c r="AD124" s="12" t="s">
        <v>578</v>
      </c>
      <c r="AE124" s="12" t="s">
        <v>578</v>
      </c>
      <c r="AF124" s="12" t="s">
        <v>578</v>
      </c>
      <c r="AG124" s="12" t="s">
        <v>578</v>
      </c>
      <c r="AH124" s="12" t="s">
        <v>578</v>
      </c>
      <c r="AI124" s="12" t="s">
        <v>578</v>
      </c>
      <c r="AJ124" s="12" t="s">
        <v>578</v>
      </c>
      <c r="AK124" s="12" t="s">
        <v>578</v>
      </c>
      <c r="AL124" s="12" t="s">
        <v>578</v>
      </c>
      <c r="AM124" s="12" t="s">
        <v>578</v>
      </c>
      <c r="AN124" s="12" t="s">
        <v>578</v>
      </c>
      <c r="AO124" s="12" t="s">
        <v>578</v>
      </c>
      <c r="AP124" s="12" t="s">
        <v>578</v>
      </c>
      <c r="AQ124" s="12" t="s">
        <v>578</v>
      </c>
      <c r="AR124" s="12" t="s">
        <v>578</v>
      </c>
      <c r="AS124" s="12" t="s">
        <v>578</v>
      </c>
      <c r="AT124" s="12" t="s">
        <v>578</v>
      </c>
      <c r="AU124" s="12" t="s">
        <v>578</v>
      </c>
      <c r="AV124" s="12" t="s">
        <v>578</v>
      </c>
      <c r="AW124" s="12" t="s">
        <v>578</v>
      </c>
      <c r="AX124" s="12" t="s">
        <v>578</v>
      </c>
      <c r="AY124" s="12" t="s">
        <v>578</v>
      </c>
      <c r="AZ124" s="12" t="s">
        <v>578</v>
      </c>
      <c r="BA124" s="12" t="s">
        <v>578</v>
      </c>
      <c r="BB124" s="12" t="s">
        <v>578</v>
      </c>
      <c r="BC124" s="12" t="s">
        <v>578</v>
      </c>
      <c r="BD124" s="12" t="s">
        <v>578</v>
      </c>
      <c r="BE124" s="12" t="s">
        <v>672</v>
      </c>
      <c r="BF124" s="12" t="s">
        <v>851</v>
      </c>
      <c r="BG124" s="12" t="s">
        <v>851</v>
      </c>
      <c r="BH124" s="12" t="s">
        <v>582</v>
      </c>
      <c r="BI124" s="12" t="s">
        <v>582</v>
      </c>
      <c r="BJ124" s="12" t="s">
        <v>583</v>
      </c>
      <c r="BK124" s="12" t="s">
        <v>584</v>
      </c>
      <c r="BL124" s="12" t="s">
        <v>674</v>
      </c>
      <c r="BM124" s="12" t="s">
        <v>626</v>
      </c>
      <c r="BN124" s="12" t="s">
        <v>913</v>
      </c>
      <c r="BO124" s="12" t="s">
        <v>719</v>
      </c>
      <c r="BP124" s="12" t="s">
        <v>858</v>
      </c>
      <c r="BQ124" s="12" t="s">
        <v>1261</v>
      </c>
      <c r="BR124" s="12" t="s">
        <v>1357</v>
      </c>
      <c r="BS124" s="12" t="s">
        <v>2013</v>
      </c>
      <c r="BT124" s="12" t="s">
        <v>1185</v>
      </c>
      <c r="BU124" s="12" t="s">
        <v>1185</v>
      </c>
      <c r="BV124" s="12" t="s">
        <v>2089</v>
      </c>
      <c r="BW124" s="12" t="s">
        <v>984</v>
      </c>
      <c r="BX124" s="12" t="s">
        <v>2515</v>
      </c>
      <c r="BY124" s="12" t="s">
        <v>986</v>
      </c>
      <c r="BZ124" s="12" t="s">
        <v>986</v>
      </c>
      <c r="CA124" s="12" t="s">
        <v>1126</v>
      </c>
      <c r="CB124" s="12" t="s">
        <v>1126</v>
      </c>
      <c r="CC124" s="12" t="s">
        <v>957</v>
      </c>
      <c r="CD124" s="12" t="s">
        <v>1608</v>
      </c>
      <c r="CE124" s="12" t="s">
        <v>1842</v>
      </c>
      <c r="CF124" s="12" t="s">
        <v>1842</v>
      </c>
      <c r="CG124" s="12" t="s">
        <v>1667</v>
      </c>
      <c r="CH124" s="12" t="s">
        <v>1707</v>
      </c>
      <c r="CI124" s="12" t="s">
        <v>1707</v>
      </c>
      <c r="CJ124" s="12" t="s">
        <v>1989</v>
      </c>
      <c r="CK124" s="12" t="s">
        <v>1989</v>
      </c>
      <c r="CL124" s="12" t="s">
        <v>1100</v>
      </c>
      <c r="CM124" s="12" t="s">
        <v>1100</v>
      </c>
      <c r="CN124" s="12" t="s">
        <v>2626</v>
      </c>
      <c r="CO124" s="12" t="s">
        <v>2627</v>
      </c>
      <c r="CP124" s="12" t="s">
        <v>2627</v>
      </c>
      <c r="CQ124" s="12" t="s">
        <v>2627</v>
      </c>
      <c r="CR124" s="12" t="s">
        <v>2628</v>
      </c>
      <c r="CS124" s="12" t="s">
        <v>2628</v>
      </c>
      <c r="CT124" s="12" t="s">
        <v>618</v>
      </c>
    </row>
    <row r="125" spans="1:98" hidden="1" x14ac:dyDescent="0.3">
      <c r="A125" s="12" t="s">
        <v>25</v>
      </c>
      <c r="B125" s="12" t="s">
        <v>2629</v>
      </c>
      <c r="C125" s="12" t="s">
        <v>2630</v>
      </c>
      <c r="D125" s="12" t="s">
        <v>2631</v>
      </c>
      <c r="E125" s="12" t="s">
        <v>578</v>
      </c>
      <c r="F125" s="12" t="s">
        <v>578</v>
      </c>
      <c r="G125" s="12" t="s">
        <v>578</v>
      </c>
      <c r="H125" s="12" t="s">
        <v>578</v>
      </c>
      <c r="I125" s="12" t="s">
        <v>578</v>
      </c>
      <c r="J125" s="12" t="s">
        <v>578</v>
      </c>
      <c r="K125" s="12" t="s">
        <v>578</v>
      </c>
      <c r="L125" s="12" t="s">
        <v>578</v>
      </c>
      <c r="M125" s="12" t="s">
        <v>578</v>
      </c>
      <c r="N125" s="12" t="s">
        <v>578</v>
      </c>
      <c r="O125" s="12" t="s">
        <v>578</v>
      </c>
      <c r="P125" s="12" t="s">
        <v>578</v>
      </c>
      <c r="Q125" s="12" t="s">
        <v>578</v>
      </c>
      <c r="R125" s="12" t="s">
        <v>578</v>
      </c>
      <c r="S125" s="12" t="s">
        <v>578</v>
      </c>
      <c r="T125" s="12" t="s">
        <v>578</v>
      </c>
      <c r="U125" s="12" t="s">
        <v>578</v>
      </c>
      <c r="V125" s="12" t="s">
        <v>578</v>
      </c>
      <c r="W125" s="12" t="s">
        <v>578</v>
      </c>
      <c r="X125" s="12" t="s">
        <v>578</v>
      </c>
      <c r="Y125" s="12" t="s">
        <v>578</v>
      </c>
      <c r="Z125" s="12" t="s">
        <v>578</v>
      </c>
      <c r="AA125" s="12" t="s">
        <v>578</v>
      </c>
      <c r="AB125" s="12" t="s">
        <v>578</v>
      </c>
      <c r="AC125" s="12" t="s">
        <v>578</v>
      </c>
      <c r="AD125" s="12" t="s">
        <v>578</v>
      </c>
      <c r="AE125" s="12" t="s">
        <v>578</v>
      </c>
      <c r="AF125" s="12" t="s">
        <v>578</v>
      </c>
      <c r="AG125" s="12" t="s">
        <v>578</v>
      </c>
      <c r="AH125" s="12" t="s">
        <v>578</v>
      </c>
      <c r="AI125" s="12" t="s">
        <v>578</v>
      </c>
      <c r="AJ125" s="12" t="s">
        <v>578</v>
      </c>
      <c r="AK125" s="12" t="s">
        <v>578</v>
      </c>
      <c r="AL125" s="12" t="s">
        <v>578</v>
      </c>
      <c r="AM125" s="12" t="s">
        <v>578</v>
      </c>
      <c r="AN125" s="12" t="s">
        <v>579</v>
      </c>
      <c r="AO125" s="12" t="s">
        <v>672</v>
      </c>
      <c r="AP125" s="12" t="s">
        <v>580</v>
      </c>
      <c r="AQ125" s="12" t="s">
        <v>580</v>
      </c>
      <c r="AR125" s="12" t="s">
        <v>582</v>
      </c>
      <c r="AS125" s="12" t="s">
        <v>582</v>
      </c>
      <c r="AT125" s="12" t="s">
        <v>582</v>
      </c>
      <c r="AU125" s="12" t="s">
        <v>761</v>
      </c>
      <c r="AV125" s="12" t="s">
        <v>766</v>
      </c>
      <c r="AW125" s="12" t="s">
        <v>768</v>
      </c>
      <c r="AX125" s="12" t="s">
        <v>918</v>
      </c>
      <c r="AY125" s="12" t="s">
        <v>1120</v>
      </c>
      <c r="AZ125" s="12" t="s">
        <v>1120</v>
      </c>
      <c r="BA125" s="12" t="s">
        <v>636</v>
      </c>
      <c r="BB125" s="12" t="s">
        <v>860</v>
      </c>
      <c r="BC125" s="12" t="s">
        <v>860</v>
      </c>
      <c r="BD125" s="12" t="s">
        <v>1838</v>
      </c>
      <c r="BE125" s="12" t="s">
        <v>1127</v>
      </c>
      <c r="BF125" s="12" t="s">
        <v>1365</v>
      </c>
      <c r="BG125" s="12" t="s">
        <v>1365</v>
      </c>
      <c r="BH125" s="12" t="s">
        <v>777</v>
      </c>
      <c r="BI125" s="12" t="s">
        <v>1697</v>
      </c>
      <c r="BJ125" s="12" t="s">
        <v>1697</v>
      </c>
      <c r="BK125" s="12" t="s">
        <v>1035</v>
      </c>
      <c r="BL125" s="12" t="s">
        <v>1669</v>
      </c>
      <c r="BM125" s="12" t="s">
        <v>1286</v>
      </c>
      <c r="BN125" s="12" t="s">
        <v>2234</v>
      </c>
      <c r="BO125" s="12" t="s">
        <v>930</v>
      </c>
      <c r="BP125" s="12" t="s">
        <v>1000</v>
      </c>
      <c r="BQ125" s="12" t="s">
        <v>1855</v>
      </c>
      <c r="BR125" s="12" t="s">
        <v>2632</v>
      </c>
      <c r="BS125" s="12" t="s">
        <v>2633</v>
      </c>
      <c r="BT125" s="12" t="s">
        <v>2634</v>
      </c>
      <c r="BU125" s="12" t="s">
        <v>1009</v>
      </c>
      <c r="BV125" s="12" t="s">
        <v>2635</v>
      </c>
      <c r="BW125" s="12" t="s">
        <v>1781</v>
      </c>
      <c r="BX125" s="12" t="s">
        <v>1799</v>
      </c>
      <c r="BY125" s="12" t="s">
        <v>2636</v>
      </c>
      <c r="BZ125" s="12" t="s">
        <v>2637</v>
      </c>
      <c r="CA125" s="12" t="s">
        <v>2638</v>
      </c>
      <c r="CB125" s="12" t="s">
        <v>2639</v>
      </c>
      <c r="CC125" s="12" t="s">
        <v>2207</v>
      </c>
      <c r="CD125" s="12" t="s">
        <v>2640</v>
      </c>
      <c r="CE125" s="12" t="s">
        <v>2641</v>
      </c>
      <c r="CF125" s="12" t="s">
        <v>2642</v>
      </c>
      <c r="CG125" s="12" t="s">
        <v>2643</v>
      </c>
      <c r="CH125" s="12" t="s">
        <v>2644</v>
      </c>
      <c r="CI125" s="12" t="s">
        <v>2645</v>
      </c>
      <c r="CJ125" s="12" t="s">
        <v>2646</v>
      </c>
      <c r="CK125" s="12" t="s">
        <v>2647</v>
      </c>
      <c r="CL125" s="12" t="s">
        <v>2648</v>
      </c>
      <c r="CM125" s="12" t="s">
        <v>2649</v>
      </c>
      <c r="CN125" s="12" t="s">
        <v>2650</v>
      </c>
      <c r="CO125" s="12" t="s">
        <v>2650</v>
      </c>
      <c r="CP125" s="12" t="s">
        <v>2651</v>
      </c>
      <c r="CQ125" s="12" t="s">
        <v>2652</v>
      </c>
      <c r="CR125" s="12" t="s">
        <v>2653</v>
      </c>
      <c r="CS125" s="12" t="s">
        <v>2654</v>
      </c>
      <c r="CT125" s="12" t="s">
        <v>2655</v>
      </c>
    </row>
    <row r="126" spans="1:98" hidden="1" x14ac:dyDescent="0.3">
      <c r="A126" s="12" t="s">
        <v>25</v>
      </c>
      <c r="B126" s="12" t="s">
        <v>2656</v>
      </c>
      <c r="C126" s="12" t="s">
        <v>2657</v>
      </c>
      <c r="D126" s="12" t="s">
        <v>2658</v>
      </c>
      <c r="E126" s="12" t="s">
        <v>578</v>
      </c>
      <c r="F126" s="12" t="s">
        <v>578</v>
      </c>
      <c r="G126" s="12" t="s">
        <v>578</v>
      </c>
      <c r="H126" s="12" t="s">
        <v>578</v>
      </c>
      <c r="I126" s="12" t="s">
        <v>578</v>
      </c>
      <c r="J126" s="12" t="s">
        <v>578</v>
      </c>
      <c r="K126" s="12" t="s">
        <v>578</v>
      </c>
      <c r="L126" s="12" t="s">
        <v>578</v>
      </c>
      <c r="M126" s="12" t="s">
        <v>578</v>
      </c>
      <c r="N126" s="12" t="s">
        <v>578</v>
      </c>
      <c r="O126" s="12" t="s">
        <v>578</v>
      </c>
      <c r="P126" s="12" t="s">
        <v>578</v>
      </c>
      <c r="Q126" s="12" t="s">
        <v>578</v>
      </c>
      <c r="R126" s="12" t="s">
        <v>578</v>
      </c>
      <c r="S126" s="12" t="s">
        <v>578</v>
      </c>
      <c r="T126" s="12" t="s">
        <v>578</v>
      </c>
      <c r="U126" s="12" t="s">
        <v>578</v>
      </c>
      <c r="V126" s="12" t="s">
        <v>578</v>
      </c>
      <c r="W126" s="12" t="s">
        <v>578</v>
      </c>
      <c r="X126" s="12" t="s">
        <v>578</v>
      </c>
      <c r="Y126" s="12" t="s">
        <v>578</v>
      </c>
      <c r="Z126" s="12" t="s">
        <v>578</v>
      </c>
      <c r="AA126" s="12" t="s">
        <v>578</v>
      </c>
      <c r="AB126" s="12" t="s">
        <v>578</v>
      </c>
      <c r="AC126" s="12" t="s">
        <v>578</v>
      </c>
      <c r="AD126" s="12" t="s">
        <v>578</v>
      </c>
      <c r="AE126" s="12" t="s">
        <v>578</v>
      </c>
      <c r="AF126" s="12" t="s">
        <v>578</v>
      </c>
      <c r="AG126" s="12" t="s">
        <v>578</v>
      </c>
      <c r="AH126" s="12" t="s">
        <v>578</v>
      </c>
      <c r="AI126" s="12" t="s">
        <v>578</v>
      </c>
      <c r="AJ126" s="12" t="s">
        <v>578</v>
      </c>
      <c r="AK126" s="12" t="s">
        <v>578</v>
      </c>
      <c r="AL126" s="12" t="s">
        <v>578</v>
      </c>
      <c r="AM126" s="12" t="s">
        <v>578</v>
      </c>
      <c r="AN126" s="12" t="s">
        <v>578</v>
      </c>
      <c r="AO126" s="12" t="s">
        <v>578</v>
      </c>
      <c r="AP126" s="12" t="s">
        <v>578</v>
      </c>
      <c r="AQ126" s="12" t="s">
        <v>578</v>
      </c>
      <c r="AR126" s="12" t="s">
        <v>578</v>
      </c>
      <c r="AS126" s="12" t="s">
        <v>578</v>
      </c>
      <c r="AT126" s="12" t="s">
        <v>578</v>
      </c>
      <c r="AU126" s="12" t="s">
        <v>578</v>
      </c>
      <c r="AV126" s="12" t="s">
        <v>578</v>
      </c>
      <c r="AW126" s="12" t="s">
        <v>578</v>
      </c>
      <c r="AX126" s="12" t="s">
        <v>578</v>
      </c>
      <c r="AY126" s="12" t="s">
        <v>578</v>
      </c>
      <c r="AZ126" s="12" t="s">
        <v>578</v>
      </c>
      <c r="BA126" s="12" t="s">
        <v>578</v>
      </c>
      <c r="BB126" s="12" t="s">
        <v>578</v>
      </c>
      <c r="BC126" s="12" t="s">
        <v>578</v>
      </c>
      <c r="BD126" s="12" t="s">
        <v>578</v>
      </c>
      <c r="BE126" s="12" t="s">
        <v>579</v>
      </c>
      <c r="BF126" s="12" t="s">
        <v>579</v>
      </c>
      <c r="BG126" s="12" t="s">
        <v>623</v>
      </c>
      <c r="BH126" s="12" t="s">
        <v>851</v>
      </c>
      <c r="BI126" s="12" t="s">
        <v>851</v>
      </c>
      <c r="BJ126" s="12" t="s">
        <v>761</v>
      </c>
      <c r="BK126" s="12" t="s">
        <v>625</v>
      </c>
      <c r="BL126" s="12" t="s">
        <v>673</v>
      </c>
      <c r="BM126" s="12" t="s">
        <v>674</v>
      </c>
      <c r="BN126" s="12" t="s">
        <v>675</v>
      </c>
      <c r="BO126" s="12" t="s">
        <v>585</v>
      </c>
      <c r="BP126" s="12" t="s">
        <v>587</v>
      </c>
      <c r="BQ126" s="12" t="s">
        <v>757</v>
      </c>
      <c r="BR126" s="12" t="s">
        <v>869</v>
      </c>
      <c r="BS126" s="12" t="s">
        <v>767</v>
      </c>
      <c r="BT126" s="12" t="s">
        <v>767</v>
      </c>
      <c r="BU126" s="12" t="s">
        <v>971</v>
      </c>
      <c r="BV126" s="12" t="s">
        <v>628</v>
      </c>
      <c r="BW126" s="12" t="s">
        <v>718</v>
      </c>
      <c r="BX126" s="12" t="s">
        <v>972</v>
      </c>
      <c r="BY126" s="12" t="s">
        <v>954</v>
      </c>
      <c r="BZ126" s="12" t="s">
        <v>919</v>
      </c>
      <c r="CA126" s="12" t="s">
        <v>919</v>
      </c>
      <c r="CB126" s="12" t="s">
        <v>634</v>
      </c>
      <c r="CC126" s="12" t="s">
        <v>855</v>
      </c>
      <c r="CD126" s="12" t="s">
        <v>681</v>
      </c>
      <c r="CE126" s="12" t="s">
        <v>1125</v>
      </c>
      <c r="CF126" s="12" t="s">
        <v>1276</v>
      </c>
      <c r="CG126" s="12" t="s">
        <v>1357</v>
      </c>
      <c r="CH126" s="12" t="s">
        <v>1623</v>
      </c>
      <c r="CI126" s="12" t="s">
        <v>1603</v>
      </c>
      <c r="CJ126" s="12" t="s">
        <v>1487</v>
      </c>
      <c r="CK126" s="12" t="s">
        <v>983</v>
      </c>
      <c r="CL126" s="12" t="s">
        <v>2137</v>
      </c>
      <c r="CM126" s="12" t="s">
        <v>1126</v>
      </c>
      <c r="CN126" s="12" t="s">
        <v>815</v>
      </c>
      <c r="CO126" s="12" t="s">
        <v>956</v>
      </c>
      <c r="CP126" s="12" t="s">
        <v>1607</v>
      </c>
      <c r="CQ126" s="12" t="s">
        <v>1739</v>
      </c>
      <c r="CR126" s="12" t="s">
        <v>1610</v>
      </c>
      <c r="CS126" s="12" t="s">
        <v>1398</v>
      </c>
      <c r="CT126" s="12" t="s">
        <v>2659</v>
      </c>
    </row>
    <row r="127" spans="1:98" hidden="1" x14ac:dyDescent="0.3">
      <c r="A127" s="12" t="s">
        <v>25</v>
      </c>
      <c r="B127" s="12" t="s">
        <v>2660</v>
      </c>
      <c r="C127" s="12" t="s">
        <v>2661</v>
      </c>
      <c r="D127" s="12" t="s">
        <v>2662</v>
      </c>
      <c r="E127" s="12" t="s">
        <v>578</v>
      </c>
      <c r="F127" s="12" t="s">
        <v>578</v>
      </c>
      <c r="G127" s="12" t="s">
        <v>578</v>
      </c>
      <c r="H127" s="12" t="s">
        <v>578</v>
      </c>
      <c r="I127" s="12" t="s">
        <v>578</v>
      </c>
      <c r="J127" s="12" t="s">
        <v>578</v>
      </c>
      <c r="K127" s="12" t="s">
        <v>578</v>
      </c>
      <c r="L127" s="12" t="s">
        <v>578</v>
      </c>
      <c r="M127" s="12" t="s">
        <v>578</v>
      </c>
      <c r="N127" s="12" t="s">
        <v>578</v>
      </c>
      <c r="O127" s="12" t="s">
        <v>578</v>
      </c>
      <c r="P127" s="12" t="s">
        <v>578</v>
      </c>
      <c r="Q127" s="12" t="s">
        <v>578</v>
      </c>
      <c r="R127" s="12" t="s">
        <v>578</v>
      </c>
      <c r="S127" s="12" t="s">
        <v>578</v>
      </c>
      <c r="T127" s="12" t="s">
        <v>578</v>
      </c>
      <c r="U127" s="12" t="s">
        <v>578</v>
      </c>
      <c r="V127" s="12" t="s">
        <v>578</v>
      </c>
      <c r="W127" s="12" t="s">
        <v>578</v>
      </c>
      <c r="X127" s="12" t="s">
        <v>578</v>
      </c>
      <c r="Y127" s="12" t="s">
        <v>578</v>
      </c>
      <c r="Z127" s="12" t="s">
        <v>578</v>
      </c>
      <c r="AA127" s="12" t="s">
        <v>578</v>
      </c>
      <c r="AB127" s="12" t="s">
        <v>578</v>
      </c>
      <c r="AC127" s="12" t="s">
        <v>578</v>
      </c>
      <c r="AD127" s="12" t="s">
        <v>578</v>
      </c>
      <c r="AE127" s="12" t="s">
        <v>578</v>
      </c>
      <c r="AF127" s="12" t="s">
        <v>578</v>
      </c>
      <c r="AG127" s="12" t="s">
        <v>578</v>
      </c>
      <c r="AH127" s="12" t="s">
        <v>578</v>
      </c>
      <c r="AI127" s="12" t="s">
        <v>578</v>
      </c>
      <c r="AJ127" s="12" t="s">
        <v>578</v>
      </c>
      <c r="AK127" s="12" t="s">
        <v>578</v>
      </c>
      <c r="AL127" s="12" t="s">
        <v>578</v>
      </c>
      <c r="AM127" s="12" t="s">
        <v>578</v>
      </c>
      <c r="AN127" s="12" t="s">
        <v>578</v>
      </c>
      <c r="AO127" s="12" t="s">
        <v>578</v>
      </c>
      <c r="AP127" s="12" t="s">
        <v>578</v>
      </c>
      <c r="AQ127" s="12" t="s">
        <v>578</v>
      </c>
      <c r="AR127" s="12" t="s">
        <v>578</v>
      </c>
      <c r="AS127" s="12" t="s">
        <v>578</v>
      </c>
      <c r="AT127" s="12" t="s">
        <v>578</v>
      </c>
      <c r="AU127" s="12" t="s">
        <v>578</v>
      </c>
      <c r="AV127" s="12" t="s">
        <v>578</v>
      </c>
      <c r="AW127" s="12" t="s">
        <v>578</v>
      </c>
      <c r="AX127" s="12" t="s">
        <v>578</v>
      </c>
      <c r="AY127" s="12" t="s">
        <v>578</v>
      </c>
      <c r="AZ127" s="12" t="s">
        <v>578</v>
      </c>
      <c r="BA127" s="12" t="s">
        <v>578</v>
      </c>
      <c r="BB127" s="12" t="s">
        <v>578</v>
      </c>
      <c r="BC127" s="12" t="s">
        <v>578</v>
      </c>
      <c r="BD127" s="12" t="s">
        <v>579</v>
      </c>
      <c r="BE127" s="12" t="s">
        <v>579</v>
      </c>
      <c r="BF127" s="12" t="s">
        <v>579</v>
      </c>
      <c r="BG127" s="12" t="s">
        <v>579</v>
      </c>
      <c r="BH127" s="12" t="s">
        <v>579</v>
      </c>
      <c r="BI127" s="12" t="s">
        <v>579</v>
      </c>
      <c r="BJ127" s="12" t="s">
        <v>579</v>
      </c>
      <c r="BK127" s="12" t="s">
        <v>579</v>
      </c>
      <c r="BL127" s="12" t="s">
        <v>623</v>
      </c>
      <c r="BM127" s="12" t="s">
        <v>623</v>
      </c>
      <c r="BN127" s="12" t="s">
        <v>580</v>
      </c>
      <c r="BO127" s="12" t="s">
        <v>580</v>
      </c>
      <c r="BP127" s="12" t="s">
        <v>580</v>
      </c>
      <c r="BQ127" s="12" t="s">
        <v>580</v>
      </c>
      <c r="BR127" s="12" t="s">
        <v>755</v>
      </c>
      <c r="BS127" s="12" t="s">
        <v>755</v>
      </c>
      <c r="BT127" s="12" t="s">
        <v>584</v>
      </c>
      <c r="BU127" s="12" t="s">
        <v>586</v>
      </c>
      <c r="BV127" s="12" t="s">
        <v>586</v>
      </c>
      <c r="BW127" s="12" t="s">
        <v>2018</v>
      </c>
      <c r="BX127" s="12" t="s">
        <v>809</v>
      </c>
      <c r="BY127" s="12" t="s">
        <v>1120</v>
      </c>
      <c r="BZ127" s="12" t="s">
        <v>979</v>
      </c>
      <c r="CA127" s="12" t="s">
        <v>993</v>
      </c>
      <c r="CB127" s="12" t="s">
        <v>773</v>
      </c>
      <c r="CC127" s="12" t="s">
        <v>920</v>
      </c>
      <c r="CD127" s="12" t="s">
        <v>724</v>
      </c>
      <c r="CE127" s="12" t="s">
        <v>814</v>
      </c>
      <c r="CF127" s="12" t="s">
        <v>642</v>
      </c>
      <c r="CG127" s="12" t="s">
        <v>1490</v>
      </c>
      <c r="CH127" s="12" t="s">
        <v>1490</v>
      </c>
      <c r="CI127" s="12" t="s">
        <v>923</v>
      </c>
      <c r="CJ127" s="12" t="s">
        <v>2060</v>
      </c>
      <c r="CK127" s="12" t="s">
        <v>2062</v>
      </c>
      <c r="CL127" s="12" t="s">
        <v>967</v>
      </c>
      <c r="CM127" s="12" t="s">
        <v>2663</v>
      </c>
      <c r="CN127" s="12" t="s">
        <v>660</v>
      </c>
      <c r="CO127" s="12" t="s">
        <v>1285</v>
      </c>
      <c r="CP127" s="12" t="s">
        <v>2070</v>
      </c>
      <c r="CQ127" s="12" t="s">
        <v>1139</v>
      </c>
      <c r="CR127" s="12" t="s">
        <v>1906</v>
      </c>
      <c r="CS127" s="12" t="s">
        <v>1895</v>
      </c>
      <c r="CT127" s="12" t="s">
        <v>2109</v>
      </c>
    </row>
    <row r="128" spans="1:98" hidden="1" x14ac:dyDescent="0.3">
      <c r="A128" s="12" t="s">
        <v>25</v>
      </c>
      <c r="B128" s="12" t="s">
        <v>2664</v>
      </c>
      <c r="C128" s="12" t="s">
        <v>2665</v>
      </c>
      <c r="D128" s="12" t="s">
        <v>2666</v>
      </c>
      <c r="E128" s="12" t="s">
        <v>578</v>
      </c>
      <c r="F128" s="12" t="s">
        <v>578</v>
      </c>
      <c r="G128" s="12" t="s">
        <v>578</v>
      </c>
      <c r="H128" s="12" t="s">
        <v>578</v>
      </c>
      <c r="I128" s="12" t="s">
        <v>578</v>
      </c>
      <c r="J128" s="12" t="s">
        <v>578</v>
      </c>
      <c r="K128" s="12" t="s">
        <v>578</v>
      </c>
      <c r="L128" s="12" t="s">
        <v>578</v>
      </c>
      <c r="M128" s="12" t="s">
        <v>578</v>
      </c>
      <c r="N128" s="12" t="s">
        <v>578</v>
      </c>
      <c r="O128" s="12" t="s">
        <v>578</v>
      </c>
      <c r="P128" s="12" t="s">
        <v>578</v>
      </c>
      <c r="Q128" s="12" t="s">
        <v>578</v>
      </c>
      <c r="R128" s="12" t="s">
        <v>578</v>
      </c>
      <c r="S128" s="12" t="s">
        <v>578</v>
      </c>
      <c r="T128" s="12" t="s">
        <v>578</v>
      </c>
      <c r="U128" s="12" t="s">
        <v>578</v>
      </c>
      <c r="V128" s="12" t="s">
        <v>578</v>
      </c>
      <c r="W128" s="12" t="s">
        <v>578</v>
      </c>
      <c r="X128" s="12" t="s">
        <v>578</v>
      </c>
      <c r="Y128" s="12" t="s">
        <v>578</v>
      </c>
      <c r="Z128" s="12" t="s">
        <v>578</v>
      </c>
      <c r="AA128" s="12" t="s">
        <v>578</v>
      </c>
      <c r="AB128" s="12" t="s">
        <v>578</v>
      </c>
      <c r="AC128" s="12" t="s">
        <v>578</v>
      </c>
      <c r="AD128" s="12" t="s">
        <v>578</v>
      </c>
      <c r="AE128" s="12" t="s">
        <v>578</v>
      </c>
      <c r="AF128" s="12" t="s">
        <v>578</v>
      </c>
      <c r="AG128" s="12" t="s">
        <v>578</v>
      </c>
      <c r="AH128" s="12" t="s">
        <v>578</v>
      </c>
      <c r="AI128" s="12" t="s">
        <v>578</v>
      </c>
      <c r="AJ128" s="12" t="s">
        <v>578</v>
      </c>
      <c r="AK128" s="12" t="s">
        <v>578</v>
      </c>
      <c r="AL128" s="12" t="s">
        <v>578</v>
      </c>
      <c r="AM128" s="12" t="s">
        <v>578</v>
      </c>
      <c r="AN128" s="12" t="s">
        <v>578</v>
      </c>
      <c r="AO128" s="12" t="s">
        <v>578</v>
      </c>
      <c r="AP128" s="12" t="s">
        <v>578</v>
      </c>
      <c r="AQ128" s="12" t="s">
        <v>578</v>
      </c>
      <c r="AR128" s="12" t="s">
        <v>578</v>
      </c>
      <c r="AS128" s="12" t="s">
        <v>578</v>
      </c>
      <c r="AT128" s="12" t="s">
        <v>578</v>
      </c>
      <c r="AU128" s="12" t="s">
        <v>578</v>
      </c>
      <c r="AV128" s="12" t="s">
        <v>578</v>
      </c>
      <c r="AW128" s="12" t="s">
        <v>578</v>
      </c>
      <c r="AX128" s="12" t="s">
        <v>578</v>
      </c>
      <c r="AY128" s="12" t="s">
        <v>578</v>
      </c>
      <c r="AZ128" s="12" t="s">
        <v>578</v>
      </c>
      <c r="BA128" s="12" t="s">
        <v>578</v>
      </c>
      <c r="BB128" s="12" t="s">
        <v>578</v>
      </c>
      <c r="BC128" s="12" t="s">
        <v>579</v>
      </c>
      <c r="BD128" s="12" t="s">
        <v>579</v>
      </c>
      <c r="BE128" s="12" t="s">
        <v>579</v>
      </c>
      <c r="BF128" s="12" t="s">
        <v>580</v>
      </c>
      <c r="BG128" s="12" t="s">
        <v>580</v>
      </c>
      <c r="BH128" s="12" t="s">
        <v>582</v>
      </c>
      <c r="BI128" s="12" t="s">
        <v>582</v>
      </c>
      <c r="BJ128" s="12" t="s">
        <v>582</v>
      </c>
      <c r="BK128" s="12" t="s">
        <v>582</v>
      </c>
      <c r="BL128" s="12" t="s">
        <v>582</v>
      </c>
      <c r="BM128" s="12" t="s">
        <v>674</v>
      </c>
      <c r="BN128" s="12" t="s">
        <v>675</v>
      </c>
      <c r="BO128" s="12" t="s">
        <v>581</v>
      </c>
      <c r="BP128" s="12" t="s">
        <v>581</v>
      </c>
      <c r="BQ128" s="12" t="s">
        <v>581</v>
      </c>
      <c r="BR128" s="12" t="s">
        <v>581</v>
      </c>
      <c r="BS128" s="12" t="s">
        <v>755</v>
      </c>
      <c r="BT128" s="12" t="s">
        <v>755</v>
      </c>
      <c r="BU128" s="12" t="s">
        <v>755</v>
      </c>
      <c r="BV128" s="12" t="s">
        <v>625</v>
      </c>
      <c r="BW128" s="12" t="s">
        <v>674</v>
      </c>
      <c r="BX128" s="12" t="s">
        <v>674</v>
      </c>
      <c r="BY128" s="12" t="s">
        <v>626</v>
      </c>
      <c r="BZ128" s="12" t="s">
        <v>626</v>
      </c>
      <c r="CA128" s="12" t="s">
        <v>587</v>
      </c>
      <c r="CB128" s="12" t="s">
        <v>766</v>
      </c>
      <c r="CC128" s="12" t="s">
        <v>627</v>
      </c>
      <c r="CD128" s="12" t="s">
        <v>677</v>
      </c>
      <c r="CE128" s="12" t="s">
        <v>677</v>
      </c>
      <c r="CF128" s="12" t="s">
        <v>677</v>
      </c>
      <c r="CG128" s="12" t="s">
        <v>768</v>
      </c>
      <c r="CH128" s="12" t="s">
        <v>768</v>
      </c>
      <c r="CI128" s="12" t="s">
        <v>768</v>
      </c>
      <c r="CJ128" s="12" t="s">
        <v>972</v>
      </c>
      <c r="CK128" s="12" t="s">
        <v>631</v>
      </c>
      <c r="CL128" s="12" t="s">
        <v>631</v>
      </c>
      <c r="CM128" s="12" t="s">
        <v>1180</v>
      </c>
      <c r="CN128" s="12" t="s">
        <v>1180</v>
      </c>
      <c r="CO128" s="12" t="s">
        <v>870</v>
      </c>
      <c r="CP128" s="12" t="s">
        <v>870</v>
      </c>
      <c r="CQ128" s="12" t="s">
        <v>973</v>
      </c>
      <c r="CR128" s="12" t="s">
        <v>955</v>
      </c>
      <c r="CS128" s="12" t="s">
        <v>634</v>
      </c>
      <c r="CT128" s="12" t="s">
        <v>1120</v>
      </c>
    </row>
    <row r="129" spans="1:98" hidden="1" x14ac:dyDescent="0.3">
      <c r="A129" s="12" t="s">
        <v>25</v>
      </c>
      <c r="B129" s="12" t="s">
        <v>2667</v>
      </c>
      <c r="C129" s="12" t="s">
        <v>2668</v>
      </c>
      <c r="D129" s="12" t="s">
        <v>2669</v>
      </c>
      <c r="E129" s="12" t="s">
        <v>578</v>
      </c>
      <c r="F129" s="12" t="s">
        <v>578</v>
      </c>
      <c r="G129" s="12" t="s">
        <v>578</v>
      </c>
      <c r="H129" s="12" t="s">
        <v>578</v>
      </c>
      <c r="I129" s="12" t="s">
        <v>578</v>
      </c>
      <c r="J129" s="12" t="s">
        <v>578</v>
      </c>
      <c r="K129" s="12" t="s">
        <v>578</v>
      </c>
      <c r="L129" s="12" t="s">
        <v>578</v>
      </c>
      <c r="M129" s="12" t="s">
        <v>578</v>
      </c>
      <c r="N129" s="12" t="s">
        <v>578</v>
      </c>
      <c r="O129" s="12" t="s">
        <v>578</v>
      </c>
      <c r="P129" s="12" t="s">
        <v>578</v>
      </c>
      <c r="Q129" s="12" t="s">
        <v>578</v>
      </c>
      <c r="R129" s="12" t="s">
        <v>578</v>
      </c>
      <c r="S129" s="12" t="s">
        <v>578</v>
      </c>
      <c r="T129" s="12" t="s">
        <v>578</v>
      </c>
      <c r="U129" s="12" t="s">
        <v>578</v>
      </c>
      <c r="V129" s="12" t="s">
        <v>578</v>
      </c>
      <c r="W129" s="12" t="s">
        <v>578</v>
      </c>
      <c r="X129" s="12" t="s">
        <v>578</v>
      </c>
      <c r="Y129" s="12" t="s">
        <v>578</v>
      </c>
      <c r="Z129" s="12" t="s">
        <v>578</v>
      </c>
      <c r="AA129" s="12" t="s">
        <v>578</v>
      </c>
      <c r="AB129" s="12" t="s">
        <v>578</v>
      </c>
      <c r="AC129" s="12" t="s">
        <v>578</v>
      </c>
      <c r="AD129" s="12" t="s">
        <v>578</v>
      </c>
      <c r="AE129" s="12" t="s">
        <v>578</v>
      </c>
      <c r="AF129" s="12" t="s">
        <v>578</v>
      </c>
      <c r="AG129" s="12" t="s">
        <v>578</v>
      </c>
      <c r="AH129" s="12" t="s">
        <v>578</v>
      </c>
      <c r="AI129" s="12" t="s">
        <v>578</v>
      </c>
      <c r="AJ129" s="12" t="s">
        <v>578</v>
      </c>
      <c r="AK129" s="12" t="s">
        <v>578</v>
      </c>
      <c r="AL129" s="12" t="s">
        <v>578</v>
      </c>
      <c r="AM129" s="12" t="s">
        <v>578</v>
      </c>
      <c r="AN129" s="12" t="s">
        <v>578</v>
      </c>
      <c r="AO129" s="12" t="s">
        <v>578</v>
      </c>
      <c r="AP129" s="12" t="s">
        <v>578</v>
      </c>
      <c r="AQ129" s="12" t="s">
        <v>578</v>
      </c>
      <c r="AR129" s="12" t="s">
        <v>578</v>
      </c>
      <c r="AS129" s="12" t="s">
        <v>578</v>
      </c>
      <c r="AT129" s="12" t="s">
        <v>578</v>
      </c>
      <c r="AU129" s="12" t="s">
        <v>578</v>
      </c>
      <c r="AV129" s="12" t="s">
        <v>578</v>
      </c>
      <c r="AW129" s="12" t="s">
        <v>578</v>
      </c>
      <c r="AX129" s="12" t="s">
        <v>578</v>
      </c>
      <c r="AY129" s="12" t="s">
        <v>578</v>
      </c>
      <c r="AZ129" s="12" t="s">
        <v>578</v>
      </c>
      <c r="BA129" s="12" t="s">
        <v>578</v>
      </c>
      <c r="BB129" s="12" t="s">
        <v>578</v>
      </c>
      <c r="BC129" s="12" t="s">
        <v>578</v>
      </c>
      <c r="BD129" s="12" t="s">
        <v>578</v>
      </c>
      <c r="BE129" s="12" t="s">
        <v>578</v>
      </c>
      <c r="BF129" s="12" t="s">
        <v>578</v>
      </c>
      <c r="BG129" s="12" t="s">
        <v>578</v>
      </c>
      <c r="BH129" s="12" t="s">
        <v>578</v>
      </c>
      <c r="BI129" s="12" t="s">
        <v>578</v>
      </c>
      <c r="BJ129" s="12" t="s">
        <v>578</v>
      </c>
      <c r="BK129" s="12" t="s">
        <v>623</v>
      </c>
      <c r="BL129" s="12" t="s">
        <v>623</v>
      </c>
      <c r="BM129" s="12" t="s">
        <v>623</v>
      </c>
      <c r="BN129" s="12" t="s">
        <v>851</v>
      </c>
      <c r="BO129" s="12" t="s">
        <v>582</v>
      </c>
      <c r="BP129" s="12" t="s">
        <v>755</v>
      </c>
      <c r="BQ129" s="12" t="s">
        <v>755</v>
      </c>
      <c r="BR129" s="12" t="s">
        <v>755</v>
      </c>
      <c r="BS129" s="12" t="s">
        <v>755</v>
      </c>
      <c r="BT129" s="12" t="s">
        <v>762</v>
      </c>
      <c r="BU129" s="12" t="s">
        <v>762</v>
      </c>
      <c r="BV129" s="12" t="s">
        <v>762</v>
      </c>
      <c r="BW129" s="12" t="s">
        <v>584</v>
      </c>
      <c r="BX129" s="12" t="s">
        <v>584</v>
      </c>
      <c r="BY129" s="12" t="s">
        <v>808</v>
      </c>
      <c r="BZ129" s="12" t="s">
        <v>675</v>
      </c>
      <c r="CA129" s="12" t="s">
        <v>585</v>
      </c>
      <c r="CB129" s="12" t="s">
        <v>587</v>
      </c>
      <c r="CC129" s="12" t="s">
        <v>757</v>
      </c>
      <c r="CD129" s="12" t="s">
        <v>913</v>
      </c>
      <c r="CE129" s="12" t="s">
        <v>2018</v>
      </c>
      <c r="CF129" s="12" t="s">
        <v>766</v>
      </c>
      <c r="CG129" s="12" t="s">
        <v>627</v>
      </c>
      <c r="CH129" s="12" t="s">
        <v>627</v>
      </c>
      <c r="CI129" s="12" t="s">
        <v>588</v>
      </c>
      <c r="CJ129" s="12" t="s">
        <v>588</v>
      </c>
      <c r="CK129" s="12" t="s">
        <v>1046</v>
      </c>
      <c r="CL129" s="12" t="s">
        <v>1046</v>
      </c>
      <c r="CM129" s="12" t="s">
        <v>1259</v>
      </c>
      <c r="CN129" s="12" t="s">
        <v>1096</v>
      </c>
      <c r="CO129" s="12" t="s">
        <v>972</v>
      </c>
      <c r="CP129" s="12" t="s">
        <v>992</v>
      </c>
      <c r="CQ129" s="12" t="s">
        <v>992</v>
      </c>
      <c r="CR129" s="12" t="s">
        <v>853</v>
      </c>
      <c r="CS129" s="12" t="s">
        <v>975</v>
      </c>
      <c r="CT129" s="12" t="s">
        <v>975</v>
      </c>
    </row>
    <row r="130" spans="1:98" hidden="1" x14ac:dyDescent="0.3">
      <c r="A130" s="12" t="s">
        <v>25</v>
      </c>
      <c r="B130" s="12" t="s">
        <v>2670</v>
      </c>
      <c r="C130" s="12" t="s">
        <v>2671</v>
      </c>
      <c r="D130" s="12" t="s">
        <v>2672</v>
      </c>
      <c r="E130" s="12" t="s">
        <v>578</v>
      </c>
      <c r="F130" s="12" t="s">
        <v>578</v>
      </c>
      <c r="G130" s="12" t="s">
        <v>578</v>
      </c>
      <c r="H130" s="12" t="s">
        <v>578</v>
      </c>
      <c r="I130" s="12" t="s">
        <v>578</v>
      </c>
      <c r="J130" s="12" t="s">
        <v>578</v>
      </c>
      <c r="K130" s="12" t="s">
        <v>578</v>
      </c>
      <c r="L130" s="12" t="s">
        <v>578</v>
      </c>
      <c r="M130" s="12" t="s">
        <v>578</v>
      </c>
      <c r="N130" s="12" t="s">
        <v>578</v>
      </c>
      <c r="O130" s="12" t="s">
        <v>578</v>
      </c>
      <c r="P130" s="12" t="s">
        <v>578</v>
      </c>
      <c r="Q130" s="12" t="s">
        <v>578</v>
      </c>
      <c r="R130" s="12" t="s">
        <v>578</v>
      </c>
      <c r="S130" s="12" t="s">
        <v>578</v>
      </c>
      <c r="T130" s="12" t="s">
        <v>578</v>
      </c>
      <c r="U130" s="12" t="s">
        <v>578</v>
      </c>
      <c r="V130" s="12" t="s">
        <v>578</v>
      </c>
      <c r="W130" s="12" t="s">
        <v>578</v>
      </c>
      <c r="X130" s="12" t="s">
        <v>578</v>
      </c>
      <c r="Y130" s="12" t="s">
        <v>578</v>
      </c>
      <c r="Z130" s="12" t="s">
        <v>578</v>
      </c>
      <c r="AA130" s="12" t="s">
        <v>578</v>
      </c>
      <c r="AB130" s="12" t="s">
        <v>578</v>
      </c>
      <c r="AC130" s="12" t="s">
        <v>578</v>
      </c>
      <c r="AD130" s="12" t="s">
        <v>578</v>
      </c>
      <c r="AE130" s="12" t="s">
        <v>578</v>
      </c>
      <c r="AF130" s="12" t="s">
        <v>578</v>
      </c>
      <c r="AG130" s="12" t="s">
        <v>578</v>
      </c>
      <c r="AH130" s="12" t="s">
        <v>578</v>
      </c>
      <c r="AI130" s="12" t="s">
        <v>578</v>
      </c>
      <c r="AJ130" s="12" t="s">
        <v>578</v>
      </c>
      <c r="AK130" s="12" t="s">
        <v>578</v>
      </c>
      <c r="AL130" s="12" t="s">
        <v>578</v>
      </c>
      <c r="AM130" s="12" t="s">
        <v>578</v>
      </c>
      <c r="AN130" s="12" t="s">
        <v>578</v>
      </c>
      <c r="AO130" s="12" t="s">
        <v>578</v>
      </c>
      <c r="AP130" s="12" t="s">
        <v>578</v>
      </c>
      <c r="AQ130" s="12" t="s">
        <v>578</v>
      </c>
      <c r="AR130" s="12" t="s">
        <v>578</v>
      </c>
      <c r="AS130" s="12" t="s">
        <v>578</v>
      </c>
      <c r="AT130" s="12" t="s">
        <v>578</v>
      </c>
      <c r="AU130" s="12" t="s">
        <v>578</v>
      </c>
      <c r="AV130" s="12" t="s">
        <v>578</v>
      </c>
      <c r="AW130" s="12" t="s">
        <v>579</v>
      </c>
      <c r="AX130" s="12" t="s">
        <v>579</v>
      </c>
      <c r="AY130" s="12" t="s">
        <v>579</v>
      </c>
      <c r="AZ130" s="12" t="s">
        <v>579</v>
      </c>
      <c r="BA130" s="12" t="s">
        <v>579</v>
      </c>
      <c r="BB130" s="12" t="s">
        <v>579</v>
      </c>
      <c r="BC130" s="12" t="s">
        <v>579</v>
      </c>
      <c r="BD130" s="12" t="s">
        <v>579</v>
      </c>
      <c r="BE130" s="12" t="s">
        <v>579</v>
      </c>
      <c r="BF130" s="12" t="s">
        <v>579</v>
      </c>
      <c r="BG130" s="12" t="s">
        <v>579</v>
      </c>
      <c r="BH130" s="12" t="s">
        <v>579</v>
      </c>
      <c r="BI130" s="12" t="s">
        <v>579</v>
      </c>
      <c r="BJ130" s="12" t="s">
        <v>579</v>
      </c>
      <c r="BK130" s="12" t="s">
        <v>579</v>
      </c>
      <c r="BL130" s="12" t="s">
        <v>579</v>
      </c>
      <c r="BM130" s="12" t="s">
        <v>579</v>
      </c>
      <c r="BN130" s="12" t="s">
        <v>579</v>
      </c>
      <c r="BO130" s="12" t="s">
        <v>580</v>
      </c>
      <c r="BP130" s="12" t="s">
        <v>580</v>
      </c>
      <c r="BQ130" s="12" t="s">
        <v>580</v>
      </c>
      <c r="BR130" s="12" t="s">
        <v>580</v>
      </c>
      <c r="BS130" s="12" t="s">
        <v>851</v>
      </c>
      <c r="BT130" s="12" t="s">
        <v>851</v>
      </c>
      <c r="BU130" s="12" t="s">
        <v>851</v>
      </c>
      <c r="BV130" s="12" t="s">
        <v>851</v>
      </c>
      <c r="BW130" s="12" t="s">
        <v>851</v>
      </c>
      <c r="BX130" s="12" t="s">
        <v>582</v>
      </c>
      <c r="BY130" s="12" t="s">
        <v>582</v>
      </c>
      <c r="BZ130" s="12" t="s">
        <v>582</v>
      </c>
      <c r="CA130" s="12" t="s">
        <v>582</v>
      </c>
      <c r="CB130" s="12" t="s">
        <v>582</v>
      </c>
      <c r="CC130" s="12" t="s">
        <v>582</v>
      </c>
      <c r="CD130" s="12" t="s">
        <v>755</v>
      </c>
      <c r="CE130" s="12" t="s">
        <v>755</v>
      </c>
      <c r="CF130" s="12" t="s">
        <v>755</v>
      </c>
      <c r="CG130" s="12" t="s">
        <v>755</v>
      </c>
      <c r="CH130" s="12" t="s">
        <v>755</v>
      </c>
      <c r="CI130" s="12" t="s">
        <v>755</v>
      </c>
      <c r="CJ130" s="12" t="s">
        <v>755</v>
      </c>
      <c r="CK130" s="12" t="s">
        <v>755</v>
      </c>
      <c r="CL130" s="12" t="s">
        <v>755</v>
      </c>
      <c r="CM130" s="12" t="s">
        <v>755</v>
      </c>
      <c r="CN130" s="12" t="s">
        <v>755</v>
      </c>
      <c r="CO130" s="12" t="s">
        <v>755</v>
      </c>
      <c r="CP130" s="12" t="s">
        <v>761</v>
      </c>
      <c r="CQ130" s="12" t="s">
        <v>761</v>
      </c>
      <c r="CR130" s="12" t="s">
        <v>761</v>
      </c>
      <c r="CS130" s="12" t="s">
        <v>761</v>
      </c>
      <c r="CT130" s="12" t="s">
        <v>761</v>
      </c>
    </row>
    <row r="131" spans="1:98" hidden="1" x14ac:dyDescent="0.3">
      <c r="A131" s="12" t="s">
        <v>25</v>
      </c>
      <c r="B131" s="12" t="s">
        <v>2673</v>
      </c>
      <c r="C131" s="12" t="s">
        <v>2188</v>
      </c>
      <c r="D131" s="12" t="s">
        <v>2674</v>
      </c>
      <c r="E131" s="12" t="s">
        <v>578</v>
      </c>
      <c r="F131" s="12" t="s">
        <v>578</v>
      </c>
      <c r="G131" s="12" t="s">
        <v>578</v>
      </c>
      <c r="H131" s="12" t="s">
        <v>578</v>
      </c>
      <c r="I131" s="12" t="s">
        <v>578</v>
      </c>
      <c r="J131" s="12" t="s">
        <v>578</v>
      </c>
      <c r="K131" s="12" t="s">
        <v>578</v>
      </c>
      <c r="L131" s="12" t="s">
        <v>578</v>
      </c>
      <c r="M131" s="12" t="s">
        <v>578</v>
      </c>
      <c r="N131" s="12" t="s">
        <v>578</v>
      </c>
      <c r="O131" s="12" t="s">
        <v>578</v>
      </c>
      <c r="P131" s="12" t="s">
        <v>578</v>
      </c>
      <c r="Q131" s="12" t="s">
        <v>578</v>
      </c>
      <c r="R131" s="12" t="s">
        <v>578</v>
      </c>
      <c r="S131" s="12" t="s">
        <v>578</v>
      </c>
      <c r="T131" s="12" t="s">
        <v>578</v>
      </c>
      <c r="U131" s="12" t="s">
        <v>578</v>
      </c>
      <c r="V131" s="12" t="s">
        <v>578</v>
      </c>
      <c r="W131" s="12" t="s">
        <v>578</v>
      </c>
      <c r="X131" s="12" t="s">
        <v>578</v>
      </c>
      <c r="Y131" s="12" t="s">
        <v>578</v>
      </c>
      <c r="Z131" s="12" t="s">
        <v>578</v>
      </c>
      <c r="AA131" s="12" t="s">
        <v>578</v>
      </c>
      <c r="AB131" s="12" t="s">
        <v>578</v>
      </c>
      <c r="AC131" s="12" t="s">
        <v>578</v>
      </c>
      <c r="AD131" s="12" t="s">
        <v>578</v>
      </c>
      <c r="AE131" s="12" t="s">
        <v>578</v>
      </c>
      <c r="AF131" s="12" t="s">
        <v>578</v>
      </c>
      <c r="AG131" s="12" t="s">
        <v>578</v>
      </c>
      <c r="AH131" s="12" t="s">
        <v>578</v>
      </c>
      <c r="AI131" s="12" t="s">
        <v>578</v>
      </c>
      <c r="AJ131" s="12" t="s">
        <v>578</v>
      </c>
      <c r="AK131" s="12" t="s">
        <v>578</v>
      </c>
      <c r="AL131" s="12" t="s">
        <v>578</v>
      </c>
      <c r="AM131" s="12" t="s">
        <v>578</v>
      </c>
      <c r="AN131" s="12" t="s">
        <v>578</v>
      </c>
      <c r="AO131" s="12" t="s">
        <v>578</v>
      </c>
      <c r="AP131" s="12" t="s">
        <v>578</v>
      </c>
      <c r="AQ131" s="12" t="s">
        <v>578</v>
      </c>
      <c r="AR131" s="12" t="s">
        <v>578</v>
      </c>
      <c r="AS131" s="12" t="s">
        <v>578</v>
      </c>
      <c r="AT131" s="12" t="s">
        <v>578</v>
      </c>
      <c r="AU131" s="12" t="s">
        <v>578</v>
      </c>
      <c r="AV131" s="12" t="s">
        <v>578</v>
      </c>
      <c r="AW131" s="12" t="s">
        <v>578</v>
      </c>
      <c r="AX131" s="12" t="s">
        <v>578</v>
      </c>
      <c r="AY131" s="12" t="s">
        <v>578</v>
      </c>
      <c r="AZ131" s="12" t="s">
        <v>578</v>
      </c>
      <c r="BA131" s="12" t="s">
        <v>578</v>
      </c>
      <c r="BB131" s="12" t="s">
        <v>623</v>
      </c>
      <c r="BC131" s="12" t="s">
        <v>623</v>
      </c>
      <c r="BD131" s="12" t="s">
        <v>623</v>
      </c>
      <c r="BE131" s="12" t="s">
        <v>623</v>
      </c>
      <c r="BF131" s="12" t="s">
        <v>672</v>
      </c>
      <c r="BG131" s="12" t="s">
        <v>851</v>
      </c>
      <c r="BH131" s="12" t="s">
        <v>755</v>
      </c>
      <c r="BI131" s="12" t="s">
        <v>761</v>
      </c>
      <c r="BJ131" s="12" t="s">
        <v>625</v>
      </c>
      <c r="BK131" s="12" t="s">
        <v>587</v>
      </c>
      <c r="BL131" s="12" t="s">
        <v>587</v>
      </c>
      <c r="BM131" s="12" t="s">
        <v>676</v>
      </c>
      <c r="BN131" s="12" t="s">
        <v>2018</v>
      </c>
      <c r="BO131" s="12" t="s">
        <v>2018</v>
      </c>
      <c r="BP131" s="12" t="s">
        <v>971</v>
      </c>
      <c r="BQ131" s="12" t="s">
        <v>809</v>
      </c>
      <c r="BR131" s="12" t="s">
        <v>770</v>
      </c>
      <c r="BS131" s="12" t="s">
        <v>1125</v>
      </c>
      <c r="BT131" s="12" t="s">
        <v>592</v>
      </c>
      <c r="BU131" s="12" t="s">
        <v>683</v>
      </c>
      <c r="BV131" s="12" t="s">
        <v>2013</v>
      </c>
      <c r="BW131" s="12" t="s">
        <v>1815</v>
      </c>
      <c r="BX131" s="12" t="s">
        <v>1570</v>
      </c>
      <c r="BY131" s="12" t="s">
        <v>1392</v>
      </c>
      <c r="BZ131" s="12" t="s">
        <v>686</v>
      </c>
      <c r="CA131" s="12" t="s">
        <v>1264</v>
      </c>
      <c r="CB131" s="12" t="s">
        <v>1098</v>
      </c>
      <c r="CC131" s="12" t="s">
        <v>958</v>
      </c>
      <c r="CD131" s="12" t="s">
        <v>1831</v>
      </c>
      <c r="CE131" s="12" t="s">
        <v>1745</v>
      </c>
      <c r="CF131" s="12" t="s">
        <v>2189</v>
      </c>
      <c r="CG131" s="12" t="s">
        <v>1031</v>
      </c>
      <c r="CH131" s="12" t="s">
        <v>1693</v>
      </c>
      <c r="CI131" s="12" t="s">
        <v>924</v>
      </c>
      <c r="CJ131" s="12" t="s">
        <v>820</v>
      </c>
      <c r="CK131" s="12" t="s">
        <v>1130</v>
      </c>
      <c r="CL131" s="12" t="s">
        <v>1698</v>
      </c>
      <c r="CM131" s="12" t="s">
        <v>1699</v>
      </c>
      <c r="CN131" s="12" t="s">
        <v>1369</v>
      </c>
      <c r="CO131" s="12" t="s">
        <v>1460</v>
      </c>
      <c r="CP131" s="12" t="s">
        <v>2663</v>
      </c>
      <c r="CQ131" s="12" t="s">
        <v>659</v>
      </c>
      <c r="CR131" s="12" t="s">
        <v>2675</v>
      </c>
      <c r="CS131" s="12" t="s">
        <v>1890</v>
      </c>
      <c r="CT131" s="12" t="s">
        <v>1670</v>
      </c>
    </row>
    <row r="132" spans="1:98" hidden="1" x14ac:dyDescent="0.3">
      <c r="A132" s="12" t="s">
        <v>25</v>
      </c>
      <c r="B132" s="12" t="s">
        <v>2676</v>
      </c>
      <c r="C132" s="12" t="s">
        <v>2677</v>
      </c>
      <c r="D132" s="12" t="s">
        <v>2678</v>
      </c>
      <c r="E132" s="12" t="s">
        <v>578</v>
      </c>
      <c r="F132" s="12" t="s">
        <v>578</v>
      </c>
      <c r="G132" s="12" t="s">
        <v>578</v>
      </c>
      <c r="H132" s="12" t="s">
        <v>578</v>
      </c>
      <c r="I132" s="12" t="s">
        <v>578</v>
      </c>
      <c r="J132" s="12" t="s">
        <v>578</v>
      </c>
      <c r="K132" s="12" t="s">
        <v>578</v>
      </c>
      <c r="L132" s="12" t="s">
        <v>578</v>
      </c>
      <c r="M132" s="12" t="s">
        <v>578</v>
      </c>
      <c r="N132" s="12" t="s">
        <v>578</v>
      </c>
      <c r="O132" s="12" t="s">
        <v>578</v>
      </c>
      <c r="P132" s="12" t="s">
        <v>578</v>
      </c>
      <c r="Q132" s="12" t="s">
        <v>578</v>
      </c>
      <c r="R132" s="12" t="s">
        <v>578</v>
      </c>
      <c r="S132" s="12" t="s">
        <v>578</v>
      </c>
      <c r="T132" s="12" t="s">
        <v>578</v>
      </c>
      <c r="U132" s="12" t="s">
        <v>578</v>
      </c>
      <c r="V132" s="12" t="s">
        <v>578</v>
      </c>
      <c r="W132" s="12" t="s">
        <v>578</v>
      </c>
      <c r="X132" s="12" t="s">
        <v>578</v>
      </c>
      <c r="Y132" s="12" t="s">
        <v>578</v>
      </c>
      <c r="Z132" s="12" t="s">
        <v>578</v>
      </c>
      <c r="AA132" s="12" t="s">
        <v>578</v>
      </c>
      <c r="AB132" s="12" t="s">
        <v>578</v>
      </c>
      <c r="AC132" s="12" t="s">
        <v>578</v>
      </c>
      <c r="AD132" s="12" t="s">
        <v>578</v>
      </c>
      <c r="AE132" s="12" t="s">
        <v>578</v>
      </c>
      <c r="AF132" s="12" t="s">
        <v>578</v>
      </c>
      <c r="AG132" s="12" t="s">
        <v>578</v>
      </c>
      <c r="AH132" s="12" t="s">
        <v>578</v>
      </c>
      <c r="AI132" s="12" t="s">
        <v>578</v>
      </c>
      <c r="AJ132" s="12" t="s">
        <v>578</v>
      </c>
      <c r="AK132" s="12" t="s">
        <v>578</v>
      </c>
      <c r="AL132" s="12" t="s">
        <v>578</v>
      </c>
      <c r="AM132" s="12" t="s">
        <v>578</v>
      </c>
      <c r="AN132" s="12" t="s">
        <v>578</v>
      </c>
      <c r="AO132" s="12" t="s">
        <v>578</v>
      </c>
      <c r="AP132" s="12" t="s">
        <v>578</v>
      </c>
      <c r="AQ132" s="12" t="s">
        <v>578</v>
      </c>
      <c r="AR132" s="12" t="s">
        <v>578</v>
      </c>
      <c r="AS132" s="12" t="s">
        <v>578</v>
      </c>
      <c r="AT132" s="12" t="s">
        <v>578</v>
      </c>
      <c r="AU132" s="12" t="s">
        <v>623</v>
      </c>
      <c r="AV132" s="12" t="s">
        <v>623</v>
      </c>
      <c r="AW132" s="12" t="s">
        <v>623</v>
      </c>
      <c r="AX132" s="12" t="s">
        <v>580</v>
      </c>
      <c r="AY132" s="12" t="s">
        <v>582</v>
      </c>
      <c r="AZ132" s="12" t="s">
        <v>761</v>
      </c>
      <c r="BA132" s="12" t="s">
        <v>761</v>
      </c>
      <c r="BB132" s="12" t="s">
        <v>868</v>
      </c>
      <c r="BC132" s="12" t="s">
        <v>868</v>
      </c>
      <c r="BD132" s="12" t="s">
        <v>674</v>
      </c>
      <c r="BE132" s="12" t="s">
        <v>2018</v>
      </c>
      <c r="BF132" s="12" t="s">
        <v>852</v>
      </c>
      <c r="BG132" s="12" t="s">
        <v>718</v>
      </c>
      <c r="BH132" s="12" t="s">
        <v>954</v>
      </c>
      <c r="BI132" s="12" t="s">
        <v>1413</v>
      </c>
      <c r="BJ132" s="12" t="s">
        <v>1120</v>
      </c>
      <c r="BK132" s="12" t="s">
        <v>1124</v>
      </c>
      <c r="BL132" s="12" t="s">
        <v>862</v>
      </c>
      <c r="BM132" s="12" t="s">
        <v>1047</v>
      </c>
      <c r="BN132" s="12" t="s">
        <v>1487</v>
      </c>
      <c r="BO132" s="12" t="s">
        <v>1362</v>
      </c>
      <c r="BP132" s="12" t="s">
        <v>1506</v>
      </c>
      <c r="BQ132" s="12" t="s">
        <v>1393</v>
      </c>
      <c r="BR132" s="12" t="s">
        <v>1266</v>
      </c>
      <c r="BS132" s="12" t="s">
        <v>1745</v>
      </c>
      <c r="BT132" s="12" t="s">
        <v>1667</v>
      </c>
      <c r="BU132" s="12" t="s">
        <v>2679</v>
      </c>
      <c r="BV132" s="12" t="s">
        <v>1982</v>
      </c>
      <c r="BW132" s="12" t="s">
        <v>737</v>
      </c>
      <c r="BX132" s="12" t="s">
        <v>1711</v>
      </c>
      <c r="BY132" s="12" t="s">
        <v>2680</v>
      </c>
      <c r="BZ132" s="12" t="s">
        <v>668</v>
      </c>
      <c r="CA132" s="12" t="s">
        <v>1671</v>
      </c>
      <c r="CB132" s="12" t="s">
        <v>2681</v>
      </c>
      <c r="CC132" s="12" t="s">
        <v>2682</v>
      </c>
      <c r="CD132" s="12" t="s">
        <v>1757</v>
      </c>
      <c r="CE132" s="12" t="s">
        <v>2683</v>
      </c>
      <c r="CF132" s="12" t="s">
        <v>2684</v>
      </c>
      <c r="CG132" s="12" t="s">
        <v>2685</v>
      </c>
      <c r="CH132" s="12" t="s">
        <v>2686</v>
      </c>
      <c r="CI132" s="12" t="s">
        <v>2687</v>
      </c>
      <c r="CJ132" s="12" t="s">
        <v>2438</v>
      </c>
      <c r="CK132" s="12" t="s">
        <v>1806</v>
      </c>
      <c r="CL132" s="12" t="s">
        <v>2688</v>
      </c>
      <c r="CM132" s="12" t="s">
        <v>2689</v>
      </c>
      <c r="CN132" s="12" t="s">
        <v>2690</v>
      </c>
      <c r="CO132" s="12" t="s">
        <v>2691</v>
      </c>
      <c r="CP132" s="12" t="s">
        <v>2692</v>
      </c>
      <c r="CQ132" s="12" t="s">
        <v>2693</v>
      </c>
      <c r="CR132" s="12" t="s">
        <v>2694</v>
      </c>
      <c r="CS132" s="12" t="s">
        <v>2695</v>
      </c>
      <c r="CT132" s="12" t="s">
        <v>795</v>
      </c>
    </row>
    <row r="133" spans="1:98" hidden="1" x14ac:dyDescent="0.3">
      <c r="A133" s="12" t="s">
        <v>25</v>
      </c>
      <c r="B133" s="12" t="s">
        <v>2696</v>
      </c>
      <c r="C133" s="12" t="s">
        <v>2697</v>
      </c>
      <c r="D133" s="12" t="s">
        <v>2698</v>
      </c>
      <c r="E133" s="12" t="s">
        <v>578</v>
      </c>
      <c r="F133" s="12" t="s">
        <v>578</v>
      </c>
      <c r="G133" s="12" t="s">
        <v>578</v>
      </c>
      <c r="H133" s="12" t="s">
        <v>578</v>
      </c>
      <c r="I133" s="12" t="s">
        <v>578</v>
      </c>
      <c r="J133" s="12" t="s">
        <v>578</v>
      </c>
      <c r="K133" s="12" t="s">
        <v>578</v>
      </c>
      <c r="L133" s="12" t="s">
        <v>578</v>
      </c>
      <c r="M133" s="12" t="s">
        <v>578</v>
      </c>
      <c r="N133" s="12" t="s">
        <v>578</v>
      </c>
      <c r="O133" s="12" t="s">
        <v>578</v>
      </c>
      <c r="P133" s="12" t="s">
        <v>578</v>
      </c>
      <c r="Q133" s="12" t="s">
        <v>578</v>
      </c>
      <c r="R133" s="12" t="s">
        <v>578</v>
      </c>
      <c r="S133" s="12" t="s">
        <v>578</v>
      </c>
      <c r="T133" s="12" t="s">
        <v>578</v>
      </c>
      <c r="U133" s="12" t="s">
        <v>578</v>
      </c>
      <c r="V133" s="12" t="s">
        <v>578</v>
      </c>
      <c r="W133" s="12" t="s">
        <v>578</v>
      </c>
      <c r="X133" s="12" t="s">
        <v>578</v>
      </c>
      <c r="Y133" s="12" t="s">
        <v>578</v>
      </c>
      <c r="Z133" s="12" t="s">
        <v>578</v>
      </c>
      <c r="AA133" s="12" t="s">
        <v>578</v>
      </c>
      <c r="AB133" s="12" t="s">
        <v>578</v>
      </c>
      <c r="AC133" s="12" t="s">
        <v>578</v>
      </c>
      <c r="AD133" s="12" t="s">
        <v>578</v>
      </c>
      <c r="AE133" s="12" t="s">
        <v>578</v>
      </c>
      <c r="AF133" s="12" t="s">
        <v>578</v>
      </c>
      <c r="AG133" s="12" t="s">
        <v>578</v>
      </c>
      <c r="AH133" s="12" t="s">
        <v>578</v>
      </c>
      <c r="AI133" s="12" t="s">
        <v>578</v>
      </c>
      <c r="AJ133" s="12" t="s">
        <v>578</v>
      </c>
      <c r="AK133" s="12" t="s">
        <v>578</v>
      </c>
      <c r="AL133" s="12" t="s">
        <v>578</v>
      </c>
      <c r="AM133" s="12" t="s">
        <v>578</v>
      </c>
      <c r="AN133" s="12" t="s">
        <v>578</v>
      </c>
      <c r="AO133" s="12" t="s">
        <v>578</v>
      </c>
      <c r="AP133" s="12" t="s">
        <v>579</v>
      </c>
      <c r="AQ133" s="12" t="s">
        <v>579</v>
      </c>
      <c r="AR133" s="12" t="s">
        <v>672</v>
      </c>
      <c r="AS133" s="12" t="s">
        <v>851</v>
      </c>
      <c r="AT133" s="12" t="s">
        <v>583</v>
      </c>
      <c r="AU133" s="12" t="s">
        <v>676</v>
      </c>
      <c r="AV133" s="12" t="s">
        <v>767</v>
      </c>
      <c r="AW133" s="12" t="s">
        <v>1259</v>
      </c>
      <c r="AX133" s="12" t="s">
        <v>954</v>
      </c>
      <c r="AY133" s="12" t="s">
        <v>954</v>
      </c>
      <c r="AZ133" s="12" t="s">
        <v>1413</v>
      </c>
      <c r="BA133" s="12" t="s">
        <v>974</v>
      </c>
      <c r="BB133" s="12" t="s">
        <v>1124</v>
      </c>
      <c r="BC133" s="12" t="s">
        <v>862</v>
      </c>
      <c r="BD133" s="12" t="s">
        <v>873</v>
      </c>
      <c r="BE133" s="12" t="s">
        <v>1603</v>
      </c>
      <c r="BF133" s="12" t="s">
        <v>874</v>
      </c>
      <c r="BG133" s="12" t="s">
        <v>983</v>
      </c>
      <c r="BH133" s="12" t="s">
        <v>1605</v>
      </c>
      <c r="BI133" s="12" t="s">
        <v>1490</v>
      </c>
      <c r="BJ133" s="12" t="s">
        <v>1164</v>
      </c>
      <c r="BK133" s="12" t="s">
        <v>653</v>
      </c>
      <c r="BL133" s="12" t="s">
        <v>2699</v>
      </c>
      <c r="BM133" s="12" t="s">
        <v>2700</v>
      </c>
      <c r="BN133" s="12" t="s">
        <v>1534</v>
      </c>
      <c r="BO133" s="12" t="s">
        <v>2701</v>
      </c>
      <c r="BP133" s="12" t="s">
        <v>1525</v>
      </c>
      <c r="BQ133" s="12" t="s">
        <v>1893</v>
      </c>
      <c r="BR133" s="12" t="s">
        <v>1896</v>
      </c>
      <c r="BS133" s="12" t="s">
        <v>2193</v>
      </c>
      <c r="BT133" s="12" t="s">
        <v>2702</v>
      </c>
      <c r="BU133" s="12" t="s">
        <v>2703</v>
      </c>
      <c r="BV133" s="12" t="s">
        <v>1006</v>
      </c>
      <c r="BW133" s="12" t="s">
        <v>2704</v>
      </c>
      <c r="BX133" s="12" t="s">
        <v>1016</v>
      </c>
      <c r="BY133" s="12" t="s">
        <v>1777</v>
      </c>
      <c r="BZ133" s="12" t="s">
        <v>2705</v>
      </c>
      <c r="CA133" s="12" t="s">
        <v>1191</v>
      </c>
      <c r="CB133" s="12" t="s">
        <v>2706</v>
      </c>
      <c r="CC133" s="12" t="s">
        <v>2707</v>
      </c>
      <c r="CD133" s="12" t="s">
        <v>2708</v>
      </c>
      <c r="CE133" s="12" t="s">
        <v>2709</v>
      </c>
      <c r="CF133" s="12" t="s">
        <v>2710</v>
      </c>
      <c r="CG133" s="12" t="s">
        <v>2711</v>
      </c>
      <c r="CH133" s="12" t="s">
        <v>2712</v>
      </c>
      <c r="CI133" s="12" t="s">
        <v>2713</v>
      </c>
      <c r="CJ133" s="12" t="s">
        <v>2714</v>
      </c>
      <c r="CK133" s="12" t="s">
        <v>2715</v>
      </c>
      <c r="CL133" s="12" t="s">
        <v>2716</v>
      </c>
      <c r="CM133" s="12" t="s">
        <v>2717</v>
      </c>
      <c r="CN133" s="12" t="s">
        <v>2718</v>
      </c>
      <c r="CO133" s="12" t="s">
        <v>2719</v>
      </c>
      <c r="CP133" s="12" t="s">
        <v>1153</v>
      </c>
      <c r="CQ133" s="12" t="s">
        <v>2720</v>
      </c>
      <c r="CR133" s="12" t="s">
        <v>2721</v>
      </c>
      <c r="CS133" s="12" t="s">
        <v>2722</v>
      </c>
      <c r="CT133" s="12" t="s">
        <v>2722</v>
      </c>
    </row>
    <row r="134" spans="1:98" hidden="1" x14ac:dyDescent="0.3">
      <c r="A134" s="12" t="s">
        <v>25</v>
      </c>
      <c r="B134" s="12" t="s">
        <v>2723</v>
      </c>
      <c r="C134" s="12" t="s">
        <v>2724</v>
      </c>
      <c r="D134" s="12" t="s">
        <v>2725</v>
      </c>
      <c r="E134" s="12" t="s">
        <v>578</v>
      </c>
      <c r="F134" s="12" t="s">
        <v>578</v>
      </c>
      <c r="G134" s="12" t="s">
        <v>578</v>
      </c>
      <c r="H134" s="12" t="s">
        <v>578</v>
      </c>
      <c r="I134" s="12" t="s">
        <v>578</v>
      </c>
      <c r="J134" s="12" t="s">
        <v>578</v>
      </c>
      <c r="K134" s="12" t="s">
        <v>578</v>
      </c>
      <c r="L134" s="12" t="s">
        <v>578</v>
      </c>
      <c r="M134" s="12" t="s">
        <v>579</v>
      </c>
      <c r="N134" s="12" t="s">
        <v>579</v>
      </c>
      <c r="O134" s="12" t="s">
        <v>579</v>
      </c>
      <c r="P134" s="12" t="s">
        <v>623</v>
      </c>
      <c r="Q134" s="12" t="s">
        <v>672</v>
      </c>
      <c r="R134" s="12" t="s">
        <v>672</v>
      </c>
      <c r="S134" s="12" t="s">
        <v>672</v>
      </c>
      <c r="T134" s="12" t="s">
        <v>672</v>
      </c>
      <c r="U134" s="12" t="s">
        <v>672</v>
      </c>
      <c r="V134" s="12" t="s">
        <v>672</v>
      </c>
      <c r="W134" s="12" t="s">
        <v>672</v>
      </c>
      <c r="X134" s="12" t="s">
        <v>672</v>
      </c>
      <c r="Y134" s="12" t="s">
        <v>672</v>
      </c>
      <c r="Z134" s="12" t="s">
        <v>672</v>
      </c>
      <c r="AA134" s="12" t="s">
        <v>672</v>
      </c>
      <c r="AB134" s="12" t="s">
        <v>672</v>
      </c>
      <c r="AC134" s="12" t="s">
        <v>672</v>
      </c>
      <c r="AD134" s="12" t="s">
        <v>672</v>
      </c>
      <c r="AE134" s="12" t="s">
        <v>672</v>
      </c>
      <c r="AF134" s="12" t="s">
        <v>672</v>
      </c>
      <c r="AG134" s="12" t="s">
        <v>672</v>
      </c>
      <c r="AH134" s="12" t="s">
        <v>672</v>
      </c>
      <c r="AI134" s="12" t="s">
        <v>672</v>
      </c>
      <c r="AJ134" s="12" t="s">
        <v>672</v>
      </c>
      <c r="AK134" s="12" t="s">
        <v>672</v>
      </c>
      <c r="AL134" s="12" t="s">
        <v>672</v>
      </c>
      <c r="AM134" s="12" t="s">
        <v>672</v>
      </c>
      <c r="AN134" s="12" t="s">
        <v>672</v>
      </c>
      <c r="AO134" s="12" t="s">
        <v>672</v>
      </c>
      <c r="AP134" s="12" t="s">
        <v>672</v>
      </c>
      <c r="AQ134" s="12" t="s">
        <v>672</v>
      </c>
      <c r="AR134" s="12" t="s">
        <v>672</v>
      </c>
      <c r="AS134" s="12" t="s">
        <v>581</v>
      </c>
      <c r="AT134" s="12" t="s">
        <v>581</v>
      </c>
      <c r="AU134" s="12" t="s">
        <v>869</v>
      </c>
      <c r="AV134" s="12" t="s">
        <v>2018</v>
      </c>
      <c r="AW134" s="12" t="s">
        <v>766</v>
      </c>
      <c r="AX134" s="12" t="s">
        <v>767</v>
      </c>
      <c r="AY134" s="12" t="s">
        <v>718</v>
      </c>
      <c r="AZ134" s="12" t="s">
        <v>1259</v>
      </c>
      <c r="BA134" s="12" t="s">
        <v>769</v>
      </c>
      <c r="BB134" s="12" t="s">
        <v>853</v>
      </c>
      <c r="BC134" s="12" t="s">
        <v>1120</v>
      </c>
      <c r="BD134" s="12" t="s">
        <v>976</v>
      </c>
      <c r="BE134" s="12" t="s">
        <v>863</v>
      </c>
      <c r="BF134" s="12" t="s">
        <v>722</v>
      </c>
      <c r="BG134" s="12" t="s">
        <v>1418</v>
      </c>
      <c r="BH134" s="12" t="s">
        <v>2014</v>
      </c>
      <c r="BI134" s="12" t="s">
        <v>1603</v>
      </c>
      <c r="BJ134" s="12" t="s">
        <v>814</v>
      </c>
      <c r="BK134" s="12" t="s">
        <v>1509</v>
      </c>
      <c r="BL134" s="12" t="s">
        <v>1164</v>
      </c>
      <c r="BM134" s="12" t="s">
        <v>960</v>
      </c>
      <c r="BN134" s="12" t="s">
        <v>1133</v>
      </c>
      <c r="BO134" s="12" t="s">
        <v>2067</v>
      </c>
      <c r="BP134" s="12" t="s">
        <v>2190</v>
      </c>
      <c r="BQ134" s="12" t="s">
        <v>2726</v>
      </c>
      <c r="BR134" s="12" t="s">
        <v>1144</v>
      </c>
      <c r="BS134" s="12" t="s">
        <v>942</v>
      </c>
      <c r="BT134" s="12" t="s">
        <v>949</v>
      </c>
      <c r="BU134" s="12" t="s">
        <v>694</v>
      </c>
      <c r="BV134" s="12" t="s">
        <v>2727</v>
      </c>
      <c r="BW134" s="12" t="s">
        <v>2728</v>
      </c>
      <c r="BX134" s="12" t="s">
        <v>2729</v>
      </c>
      <c r="BY134" s="12" t="s">
        <v>2730</v>
      </c>
      <c r="BZ134" s="12" t="s">
        <v>2731</v>
      </c>
      <c r="CA134" s="12" t="s">
        <v>2732</v>
      </c>
      <c r="CB134" s="12" t="s">
        <v>2733</v>
      </c>
      <c r="CC134" s="12" t="s">
        <v>2734</v>
      </c>
      <c r="CD134" s="12" t="s">
        <v>2735</v>
      </c>
      <c r="CE134" s="12" t="s">
        <v>2736</v>
      </c>
      <c r="CF134" s="12" t="s">
        <v>2737</v>
      </c>
      <c r="CG134" s="12" t="s">
        <v>2738</v>
      </c>
      <c r="CH134" s="12" t="s">
        <v>2739</v>
      </c>
      <c r="CI134" s="12" t="s">
        <v>2740</v>
      </c>
      <c r="CJ134" s="12" t="s">
        <v>2741</v>
      </c>
      <c r="CK134" s="12" t="s">
        <v>2742</v>
      </c>
      <c r="CL134" s="12" t="s">
        <v>2743</v>
      </c>
      <c r="CM134" s="12" t="s">
        <v>2744</v>
      </c>
      <c r="CN134" s="12" t="s">
        <v>2745</v>
      </c>
      <c r="CO134" s="12" t="s">
        <v>2746</v>
      </c>
      <c r="CP134" s="12" t="s">
        <v>2747</v>
      </c>
      <c r="CQ134" s="12" t="s">
        <v>2748</v>
      </c>
      <c r="CR134" s="12" t="s">
        <v>2749</v>
      </c>
      <c r="CS134" s="12" t="s">
        <v>2750</v>
      </c>
      <c r="CT134" s="12" t="s">
        <v>2751</v>
      </c>
    </row>
    <row r="135" spans="1:98" hidden="1" x14ac:dyDescent="0.3">
      <c r="A135" s="12" t="s">
        <v>25</v>
      </c>
      <c r="B135" s="12" t="s">
        <v>2752</v>
      </c>
      <c r="C135" s="12" t="s">
        <v>2753</v>
      </c>
      <c r="D135" s="12" t="s">
        <v>2754</v>
      </c>
      <c r="E135" s="12" t="s">
        <v>578</v>
      </c>
      <c r="F135" s="12" t="s">
        <v>578</v>
      </c>
      <c r="G135" s="12" t="s">
        <v>578</v>
      </c>
      <c r="H135" s="12" t="s">
        <v>578</v>
      </c>
      <c r="I135" s="12" t="s">
        <v>578</v>
      </c>
      <c r="J135" s="12" t="s">
        <v>578</v>
      </c>
      <c r="K135" s="12" t="s">
        <v>578</v>
      </c>
      <c r="L135" s="12" t="s">
        <v>578</v>
      </c>
      <c r="M135" s="12" t="s">
        <v>578</v>
      </c>
      <c r="N135" s="12" t="s">
        <v>578</v>
      </c>
      <c r="O135" s="12" t="s">
        <v>578</v>
      </c>
      <c r="P135" s="12" t="s">
        <v>578</v>
      </c>
      <c r="Q135" s="12" t="s">
        <v>578</v>
      </c>
      <c r="R135" s="12" t="s">
        <v>578</v>
      </c>
      <c r="S135" s="12" t="s">
        <v>578</v>
      </c>
      <c r="T135" s="12" t="s">
        <v>578</v>
      </c>
      <c r="U135" s="12" t="s">
        <v>578</v>
      </c>
      <c r="V135" s="12" t="s">
        <v>578</v>
      </c>
      <c r="W135" s="12" t="s">
        <v>578</v>
      </c>
      <c r="X135" s="12" t="s">
        <v>578</v>
      </c>
      <c r="Y135" s="12" t="s">
        <v>578</v>
      </c>
      <c r="Z135" s="12" t="s">
        <v>578</v>
      </c>
      <c r="AA135" s="12" t="s">
        <v>578</v>
      </c>
      <c r="AB135" s="12" t="s">
        <v>578</v>
      </c>
      <c r="AC135" s="12" t="s">
        <v>578</v>
      </c>
      <c r="AD135" s="12" t="s">
        <v>578</v>
      </c>
      <c r="AE135" s="12" t="s">
        <v>578</v>
      </c>
      <c r="AF135" s="12" t="s">
        <v>578</v>
      </c>
      <c r="AG135" s="12" t="s">
        <v>578</v>
      </c>
      <c r="AH135" s="12" t="s">
        <v>578</v>
      </c>
      <c r="AI135" s="12" t="s">
        <v>578</v>
      </c>
      <c r="AJ135" s="12" t="s">
        <v>578</v>
      </c>
      <c r="AK135" s="12" t="s">
        <v>578</v>
      </c>
      <c r="AL135" s="12" t="s">
        <v>578</v>
      </c>
      <c r="AM135" s="12" t="s">
        <v>578</v>
      </c>
      <c r="AN135" s="12" t="s">
        <v>578</v>
      </c>
      <c r="AO135" s="12" t="s">
        <v>578</v>
      </c>
      <c r="AP135" s="12" t="s">
        <v>578</v>
      </c>
      <c r="AQ135" s="12" t="s">
        <v>578</v>
      </c>
      <c r="AR135" s="12" t="s">
        <v>578</v>
      </c>
      <c r="AS135" s="12" t="s">
        <v>623</v>
      </c>
      <c r="AT135" s="12" t="s">
        <v>623</v>
      </c>
      <c r="AU135" s="12" t="s">
        <v>623</v>
      </c>
      <c r="AV135" s="12" t="s">
        <v>623</v>
      </c>
      <c r="AW135" s="12" t="s">
        <v>580</v>
      </c>
      <c r="AX135" s="12" t="s">
        <v>580</v>
      </c>
      <c r="AY135" s="12" t="s">
        <v>851</v>
      </c>
      <c r="AZ135" s="12" t="s">
        <v>674</v>
      </c>
      <c r="BA135" s="12" t="s">
        <v>913</v>
      </c>
      <c r="BB135" s="12" t="s">
        <v>767</v>
      </c>
      <c r="BC135" s="12" t="s">
        <v>767</v>
      </c>
      <c r="BD135" s="12" t="s">
        <v>974</v>
      </c>
      <c r="BE135" s="12" t="s">
        <v>859</v>
      </c>
      <c r="BF135" s="12" t="s">
        <v>1417</v>
      </c>
      <c r="BG135" s="12" t="s">
        <v>873</v>
      </c>
      <c r="BH135" s="12" t="s">
        <v>1815</v>
      </c>
      <c r="BI135" s="12" t="s">
        <v>1839</v>
      </c>
      <c r="BJ135" s="12" t="s">
        <v>1029</v>
      </c>
      <c r="BK135" s="12" t="s">
        <v>2428</v>
      </c>
      <c r="BL135" s="12" t="s">
        <v>2453</v>
      </c>
      <c r="BM135" s="12" t="s">
        <v>1037</v>
      </c>
      <c r="BN135" s="12" t="s">
        <v>1285</v>
      </c>
      <c r="BO135" s="12" t="s">
        <v>2177</v>
      </c>
      <c r="BP135" s="12" t="s">
        <v>2191</v>
      </c>
      <c r="BQ135" s="12" t="s">
        <v>2755</v>
      </c>
      <c r="BR135" s="12" t="s">
        <v>2756</v>
      </c>
      <c r="BS135" s="12" t="s">
        <v>2113</v>
      </c>
      <c r="BT135" s="12" t="s">
        <v>1300</v>
      </c>
      <c r="BU135" s="12" t="s">
        <v>2757</v>
      </c>
      <c r="BV135" s="12" t="s">
        <v>1149</v>
      </c>
      <c r="BW135" s="12" t="s">
        <v>2758</v>
      </c>
      <c r="BX135" s="12" t="s">
        <v>2759</v>
      </c>
      <c r="BY135" s="12" t="s">
        <v>2760</v>
      </c>
      <c r="BZ135" s="12" t="s">
        <v>2761</v>
      </c>
      <c r="CA135" s="12" t="s">
        <v>2762</v>
      </c>
      <c r="CB135" s="12" t="s">
        <v>2763</v>
      </c>
      <c r="CC135" s="12" t="s">
        <v>1636</v>
      </c>
      <c r="CD135" s="12" t="s">
        <v>2764</v>
      </c>
      <c r="CE135" s="12" t="s">
        <v>2765</v>
      </c>
      <c r="CF135" s="12" t="s">
        <v>2766</v>
      </c>
      <c r="CG135" s="12" t="s">
        <v>2767</v>
      </c>
      <c r="CH135" s="12" t="s">
        <v>2768</v>
      </c>
      <c r="CI135" s="12" t="s">
        <v>2769</v>
      </c>
      <c r="CJ135" s="12" t="s">
        <v>2770</v>
      </c>
      <c r="CK135" s="12" t="s">
        <v>2771</v>
      </c>
      <c r="CL135" s="12" t="s">
        <v>2772</v>
      </c>
      <c r="CM135" s="12" t="s">
        <v>2773</v>
      </c>
      <c r="CN135" s="12" t="s">
        <v>2774</v>
      </c>
      <c r="CO135" s="12" t="s">
        <v>2775</v>
      </c>
      <c r="CP135" s="12" t="s">
        <v>2776</v>
      </c>
      <c r="CQ135" s="12" t="s">
        <v>2777</v>
      </c>
      <c r="CR135" s="12" t="s">
        <v>2778</v>
      </c>
      <c r="CS135" s="12" t="s">
        <v>2779</v>
      </c>
      <c r="CT135" s="12" t="s">
        <v>2780</v>
      </c>
    </row>
    <row r="136" spans="1:98" hidden="1" x14ac:dyDescent="0.3">
      <c r="A136" s="12" t="s">
        <v>25</v>
      </c>
      <c r="B136" s="12" t="s">
        <v>2781</v>
      </c>
      <c r="C136" s="12" t="s">
        <v>2782</v>
      </c>
      <c r="D136" s="12" t="s">
        <v>2783</v>
      </c>
      <c r="E136" s="12" t="s">
        <v>578</v>
      </c>
      <c r="F136" s="12" t="s">
        <v>578</v>
      </c>
      <c r="G136" s="12" t="s">
        <v>578</v>
      </c>
      <c r="H136" s="12" t="s">
        <v>578</v>
      </c>
      <c r="I136" s="12" t="s">
        <v>578</v>
      </c>
      <c r="J136" s="12" t="s">
        <v>578</v>
      </c>
      <c r="K136" s="12" t="s">
        <v>578</v>
      </c>
      <c r="L136" s="12" t="s">
        <v>578</v>
      </c>
      <c r="M136" s="12" t="s">
        <v>578</v>
      </c>
      <c r="N136" s="12" t="s">
        <v>578</v>
      </c>
      <c r="O136" s="12" t="s">
        <v>578</v>
      </c>
      <c r="P136" s="12" t="s">
        <v>578</v>
      </c>
      <c r="Q136" s="12" t="s">
        <v>578</v>
      </c>
      <c r="R136" s="12" t="s">
        <v>578</v>
      </c>
      <c r="S136" s="12" t="s">
        <v>578</v>
      </c>
      <c r="T136" s="12" t="s">
        <v>578</v>
      </c>
      <c r="U136" s="12" t="s">
        <v>578</v>
      </c>
      <c r="V136" s="12" t="s">
        <v>578</v>
      </c>
      <c r="W136" s="12" t="s">
        <v>578</v>
      </c>
      <c r="X136" s="12" t="s">
        <v>578</v>
      </c>
      <c r="Y136" s="12" t="s">
        <v>578</v>
      </c>
      <c r="Z136" s="12" t="s">
        <v>578</v>
      </c>
      <c r="AA136" s="12" t="s">
        <v>578</v>
      </c>
      <c r="AB136" s="12" t="s">
        <v>578</v>
      </c>
      <c r="AC136" s="12" t="s">
        <v>578</v>
      </c>
      <c r="AD136" s="12" t="s">
        <v>578</v>
      </c>
      <c r="AE136" s="12" t="s">
        <v>578</v>
      </c>
      <c r="AF136" s="12" t="s">
        <v>578</v>
      </c>
      <c r="AG136" s="12" t="s">
        <v>623</v>
      </c>
      <c r="AH136" s="12" t="s">
        <v>581</v>
      </c>
      <c r="AI136" s="12" t="s">
        <v>808</v>
      </c>
      <c r="AJ136" s="12" t="s">
        <v>869</v>
      </c>
      <c r="AK136" s="12" t="s">
        <v>1259</v>
      </c>
      <c r="AL136" s="12" t="s">
        <v>919</v>
      </c>
      <c r="AM136" s="12" t="s">
        <v>1125</v>
      </c>
      <c r="AN136" s="12" t="s">
        <v>683</v>
      </c>
      <c r="AO136" s="12" t="s">
        <v>1816</v>
      </c>
      <c r="AP136" s="12" t="s">
        <v>2502</v>
      </c>
      <c r="AQ136" s="12" t="s">
        <v>1375</v>
      </c>
      <c r="AR136" s="12" t="s">
        <v>2784</v>
      </c>
      <c r="AS136" s="12" t="s">
        <v>1790</v>
      </c>
      <c r="AT136" s="12" t="s">
        <v>2785</v>
      </c>
      <c r="AU136" s="12" t="s">
        <v>2786</v>
      </c>
      <c r="AV136" s="12" t="s">
        <v>2787</v>
      </c>
      <c r="AW136" s="12" t="s">
        <v>2788</v>
      </c>
      <c r="AX136" s="12" t="s">
        <v>2789</v>
      </c>
      <c r="AY136" s="12" t="s">
        <v>2790</v>
      </c>
      <c r="AZ136" s="12" t="s">
        <v>2377</v>
      </c>
      <c r="BA136" s="12" t="s">
        <v>2791</v>
      </c>
      <c r="BB136" s="12" t="s">
        <v>2792</v>
      </c>
      <c r="BC136" s="12" t="s">
        <v>2793</v>
      </c>
      <c r="BD136" s="12" t="s">
        <v>2794</v>
      </c>
      <c r="BE136" s="12" t="s">
        <v>2795</v>
      </c>
      <c r="BF136" s="12" t="s">
        <v>2796</v>
      </c>
      <c r="BG136" s="12" t="s">
        <v>2797</v>
      </c>
      <c r="BH136" s="12" t="s">
        <v>2798</v>
      </c>
      <c r="BI136" s="12" t="s">
        <v>2799</v>
      </c>
      <c r="BJ136" s="12" t="s">
        <v>2800</v>
      </c>
      <c r="BK136" s="12" t="s">
        <v>2801</v>
      </c>
      <c r="BL136" s="12" t="s">
        <v>2802</v>
      </c>
      <c r="BM136" s="12" t="s">
        <v>2803</v>
      </c>
      <c r="BN136" s="12" t="s">
        <v>2804</v>
      </c>
      <c r="BO136" s="12" t="s">
        <v>2805</v>
      </c>
      <c r="BP136" s="12" t="s">
        <v>2806</v>
      </c>
      <c r="BQ136" s="12" t="s">
        <v>2807</v>
      </c>
      <c r="BR136" s="12" t="s">
        <v>2808</v>
      </c>
      <c r="BS136" s="12" t="s">
        <v>2809</v>
      </c>
      <c r="BT136" s="12" t="s">
        <v>2810</v>
      </c>
      <c r="BU136" s="12" t="s">
        <v>2811</v>
      </c>
      <c r="BV136" s="12" t="s">
        <v>2812</v>
      </c>
      <c r="BW136" s="12" t="s">
        <v>2813</v>
      </c>
      <c r="BX136" s="12" t="s">
        <v>2814</v>
      </c>
      <c r="BY136" s="12" t="s">
        <v>2815</v>
      </c>
      <c r="BZ136" s="12" t="s">
        <v>2816</v>
      </c>
      <c r="CA136" s="12" t="s">
        <v>2817</v>
      </c>
      <c r="CB136" s="12" t="s">
        <v>2818</v>
      </c>
      <c r="CC136" s="12" t="s">
        <v>2819</v>
      </c>
      <c r="CD136" s="12" t="s">
        <v>2820</v>
      </c>
      <c r="CE136" s="12" t="s">
        <v>2821</v>
      </c>
      <c r="CF136" s="12" t="s">
        <v>2822</v>
      </c>
      <c r="CG136" s="12" t="s">
        <v>2823</v>
      </c>
      <c r="CH136" s="12" t="s">
        <v>2824</v>
      </c>
      <c r="CI136" s="12" t="s">
        <v>2825</v>
      </c>
      <c r="CJ136" s="12" t="s">
        <v>2826</v>
      </c>
      <c r="CK136" s="12" t="s">
        <v>2827</v>
      </c>
      <c r="CL136" s="12" t="s">
        <v>2828</v>
      </c>
      <c r="CM136" s="12" t="s">
        <v>2829</v>
      </c>
      <c r="CN136" s="12" t="s">
        <v>2830</v>
      </c>
      <c r="CO136" s="12" t="s">
        <v>2831</v>
      </c>
      <c r="CP136" s="12" t="s">
        <v>2832</v>
      </c>
      <c r="CQ136" s="12" t="s">
        <v>2833</v>
      </c>
      <c r="CR136" s="12" t="s">
        <v>2834</v>
      </c>
      <c r="CS136" s="12" t="s">
        <v>2835</v>
      </c>
      <c r="CT136" s="12" t="s">
        <v>2836</v>
      </c>
    </row>
    <row r="137" spans="1:98" hidden="1" x14ac:dyDescent="0.3">
      <c r="A137" s="12" t="s">
        <v>25</v>
      </c>
      <c r="B137" s="12" t="s">
        <v>2837</v>
      </c>
      <c r="C137" s="12" t="s">
        <v>576</v>
      </c>
      <c r="D137" s="12" t="s">
        <v>2838</v>
      </c>
      <c r="E137" s="12" t="s">
        <v>578</v>
      </c>
      <c r="F137" s="12" t="s">
        <v>578</v>
      </c>
      <c r="G137" s="12" t="s">
        <v>578</v>
      </c>
      <c r="H137" s="12" t="s">
        <v>578</v>
      </c>
      <c r="I137" s="12" t="s">
        <v>578</v>
      </c>
      <c r="J137" s="12" t="s">
        <v>578</v>
      </c>
      <c r="K137" s="12" t="s">
        <v>578</v>
      </c>
      <c r="L137" s="12" t="s">
        <v>578</v>
      </c>
      <c r="M137" s="12" t="s">
        <v>578</v>
      </c>
      <c r="N137" s="12" t="s">
        <v>578</v>
      </c>
      <c r="O137" s="12" t="s">
        <v>578</v>
      </c>
      <c r="P137" s="12" t="s">
        <v>578</v>
      </c>
      <c r="Q137" s="12" t="s">
        <v>578</v>
      </c>
      <c r="R137" s="12" t="s">
        <v>578</v>
      </c>
      <c r="S137" s="12" t="s">
        <v>578</v>
      </c>
      <c r="T137" s="12" t="s">
        <v>578</v>
      </c>
      <c r="U137" s="12" t="s">
        <v>578</v>
      </c>
      <c r="V137" s="12" t="s">
        <v>578</v>
      </c>
      <c r="W137" s="12" t="s">
        <v>578</v>
      </c>
      <c r="X137" s="12" t="s">
        <v>578</v>
      </c>
      <c r="Y137" s="12" t="s">
        <v>578</v>
      </c>
      <c r="Z137" s="12" t="s">
        <v>578</v>
      </c>
      <c r="AA137" s="12" t="s">
        <v>578</v>
      </c>
      <c r="AB137" s="12" t="s">
        <v>578</v>
      </c>
      <c r="AC137" s="12" t="s">
        <v>578</v>
      </c>
      <c r="AD137" s="12" t="s">
        <v>578</v>
      </c>
      <c r="AE137" s="12" t="s">
        <v>578</v>
      </c>
      <c r="AF137" s="12" t="s">
        <v>578</v>
      </c>
      <c r="AG137" s="12" t="s">
        <v>578</v>
      </c>
      <c r="AH137" s="12" t="s">
        <v>578</v>
      </c>
      <c r="AI137" s="12" t="s">
        <v>578</v>
      </c>
      <c r="AJ137" s="12" t="s">
        <v>578</v>
      </c>
      <c r="AK137" s="12" t="s">
        <v>578</v>
      </c>
      <c r="AL137" s="12" t="s">
        <v>579</v>
      </c>
      <c r="AM137" s="12" t="s">
        <v>579</v>
      </c>
      <c r="AN137" s="12" t="s">
        <v>581</v>
      </c>
      <c r="AO137" s="12" t="s">
        <v>582</v>
      </c>
      <c r="AP137" s="12" t="s">
        <v>582</v>
      </c>
      <c r="AQ137" s="12" t="s">
        <v>868</v>
      </c>
      <c r="AR137" s="12" t="s">
        <v>674</v>
      </c>
      <c r="AS137" s="12" t="s">
        <v>676</v>
      </c>
      <c r="AT137" s="12" t="s">
        <v>852</v>
      </c>
      <c r="AU137" s="12" t="s">
        <v>917</v>
      </c>
      <c r="AV137" s="12" t="s">
        <v>917</v>
      </c>
      <c r="AW137" s="12" t="s">
        <v>588</v>
      </c>
      <c r="AX137" s="12" t="s">
        <v>679</v>
      </c>
      <c r="AY137" s="12" t="s">
        <v>680</v>
      </c>
      <c r="AZ137" s="12" t="s">
        <v>680</v>
      </c>
      <c r="BA137" s="12" t="s">
        <v>854</v>
      </c>
      <c r="BB137" s="12" t="s">
        <v>854</v>
      </c>
      <c r="BC137" s="12" t="s">
        <v>854</v>
      </c>
      <c r="BD137" s="12" t="s">
        <v>1732</v>
      </c>
      <c r="BE137" s="12" t="s">
        <v>592</v>
      </c>
      <c r="BF137" s="12" t="s">
        <v>1500</v>
      </c>
      <c r="BG137" s="12" t="s">
        <v>1750</v>
      </c>
      <c r="BH137" s="12" t="s">
        <v>2101</v>
      </c>
      <c r="BI137" s="12" t="s">
        <v>724</v>
      </c>
      <c r="BJ137" s="12" t="s">
        <v>2839</v>
      </c>
      <c r="BK137" s="12" t="s">
        <v>1887</v>
      </c>
      <c r="BL137" s="12" t="s">
        <v>1126</v>
      </c>
      <c r="BM137" s="12" t="s">
        <v>1423</v>
      </c>
      <c r="BN137" s="12" t="s">
        <v>775</v>
      </c>
      <c r="BO137" s="12" t="s">
        <v>1610</v>
      </c>
      <c r="BP137" s="12" t="s">
        <v>1366</v>
      </c>
      <c r="BQ137" s="12" t="s">
        <v>2189</v>
      </c>
      <c r="BR137" s="12" t="s">
        <v>1131</v>
      </c>
      <c r="BS137" s="12" t="s">
        <v>1036</v>
      </c>
      <c r="BT137" s="12" t="s">
        <v>2083</v>
      </c>
      <c r="BU137" s="12" t="s">
        <v>2840</v>
      </c>
      <c r="BV137" s="12" t="s">
        <v>2241</v>
      </c>
      <c r="BW137" s="12" t="s">
        <v>2841</v>
      </c>
      <c r="BX137" s="12" t="s">
        <v>1526</v>
      </c>
      <c r="BY137" s="12" t="s">
        <v>782</v>
      </c>
      <c r="BZ137" s="12" t="s">
        <v>1383</v>
      </c>
      <c r="CA137" s="12" t="s">
        <v>2430</v>
      </c>
      <c r="CB137" s="12" t="s">
        <v>2842</v>
      </c>
      <c r="CC137" s="12" t="s">
        <v>2843</v>
      </c>
      <c r="CD137" s="12" t="s">
        <v>2844</v>
      </c>
      <c r="CE137" s="12" t="s">
        <v>2122</v>
      </c>
      <c r="CF137" s="12" t="s">
        <v>618</v>
      </c>
      <c r="CG137" s="12" t="s">
        <v>2845</v>
      </c>
      <c r="CH137" s="12" t="s">
        <v>1773</v>
      </c>
      <c r="CI137" s="12" t="s">
        <v>1778</v>
      </c>
      <c r="CJ137" s="12" t="s">
        <v>1780</v>
      </c>
      <c r="CK137" s="12" t="s">
        <v>1781</v>
      </c>
      <c r="CL137" s="12" t="s">
        <v>2436</v>
      </c>
      <c r="CM137" s="12" t="s">
        <v>2846</v>
      </c>
      <c r="CN137" s="12" t="s">
        <v>2847</v>
      </c>
      <c r="CO137" s="12" t="s">
        <v>1798</v>
      </c>
      <c r="CP137" s="12" t="s">
        <v>2848</v>
      </c>
      <c r="CQ137" s="12" t="s">
        <v>2849</v>
      </c>
      <c r="CR137" s="12" t="s">
        <v>2850</v>
      </c>
      <c r="CS137" s="12" t="s">
        <v>2758</v>
      </c>
      <c r="CT137" s="12" t="s">
        <v>2851</v>
      </c>
    </row>
    <row r="138" spans="1:98" hidden="1" x14ac:dyDescent="0.3">
      <c r="A138" s="12" t="s">
        <v>25</v>
      </c>
      <c r="B138" s="12" t="s">
        <v>2852</v>
      </c>
      <c r="C138" s="12" t="s">
        <v>2853</v>
      </c>
      <c r="D138" s="12" t="s">
        <v>2854</v>
      </c>
      <c r="E138" s="12" t="s">
        <v>578</v>
      </c>
      <c r="F138" s="12" t="s">
        <v>578</v>
      </c>
      <c r="G138" s="12" t="s">
        <v>578</v>
      </c>
      <c r="H138" s="12" t="s">
        <v>578</v>
      </c>
      <c r="I138" s="12" t="s">
        <v>578</v>
      </c>
      <c r="J138" s="12" t="s">
        <v>578</v>
      </c>
      <c r="K138" s="12" t="s">
        <v>578</v>
      </c>
      <c r="L138" s="12" t="s">
        <v>578</v>
      </c>
      <c r="M138" s="12" t="s">
        <v>578</v>
      </c>
      <c r="N138" s="12" t="s">
        <v>578</v>
      </c>
      <c r="O138" s="12" t="s">
        <v>578</v>
      </c>
      <c r="P138" s="12" t="s">
        <v>578</v>
      </c>
      <c r="Q138" s="12" t="s">
        <v>578</v>
      </c>
      <c r="R138" s="12" t="s">
        <v>578</v>
      </c>
      <c r="S138" s="12" t="s">
        <v>578</v>
      </c>
      <c r="T138" s="12" t="s">
        <v>578</v>
      </c>
      <c r="U138" s="12" t="s">
        <v>578</v>
      </c>
      <c r="V138" s="12" t="s">
        <v>578</v>
      </c>
      <c r="W138" s="12" t="s">
        <v>578</v>
      </c>
      <c r="X138" s="12" t="s">
        <v>578</v>
      </c>
      <c r="Y138" s="12" t="s">
        <v>578</v>
      </c>
      <c r="Z138" s="12" t="s">
        <v>578</v>
      </c>
      <c r="AA138" s="12" t="s">
        <v>578</v>
      </c>
      <c r="AB138" s="12" t="s">
        <v>578</v>
      </c>
      <c r="AC138" s="12" t="s">
        <v>578</v>
      </c>
      <c r="AD138" s="12" t="s">
        <v>578</v>
      </c>
      <c r="AE138" s="12" t="s">
        <v>578</v>
      </c>
      <c r="AF138" s="12" t="s">
        <v>578</v>
      </c>
      <c r="AG138" s="12" t="s">
        <v>578</v>
      </c>
      <c r="AH138" s="12" t="s">
        <v>578</v>
      </c>
      <c r="AI138" s="12" t="s">
        <v>578</v>
      </c>
      <c r="AJ138" s="12" t="s">
        <v>578</v>
      </c>
      <c r="AK138" s="12" t="s">
        <v>578</v>
      </c>
      <c r="AL138" s="12" t="s">
        <v>578</v>
      </c>
      <c r="AM138" s="12" t="s">
        <v>578</v>
      </c>
      <c r="AN138" s="12" t="s">
        <v>578</v>
      </c>
      <c r="AO138" s="12" t="s">
        <v>578</v>
      </c>
      <c r="AP138" s="12" t="s">
        <v>578</v>
      </c>
      <c r="AQ138" s="12" t="s">
        <v>579</v>
      </c>
      <c r="AR138" s="12" t="s">
        <v>579</v>
      </c>
      <c r="AS138" s="12" t="s">
        <v>579</v>
      </c>
      <c r="AT138" s="12" t="s">
        <v>623</v>
      </c>
      <c r="AU138" s="12" t="s">
        <v>851</v>
      </c>
      <c r="AV138" s="12" t="s">
        <v>851</v>
      </c>
      <c r="AW138" s="12" t="s">
        <v>808</v>
      </c>
      <c r="AX138" s="12" t="s">
        <v>808</v>
      </c>
      <c r="AY138" s="12" t="s">
        <v>674</v>
      </c>
      <c r="AZ138" s="12" t="s">
        <v>585</v>
      </c>
      <c r="BA138" s="12" t="s">
        <v>767</v>
      </c>
      <c r="BB138" s="12" t="s">
        <v>1259</v>
      </c>
      <c r="BC138" s="12" t="s">
        <v>1259</v>
      </c>
      <c r="BD138" s="12" t="s">
        <v>682</v>
      </c>
      <c r="BE138" s="12" t="s">
        <v>1355</v>
      </c>
      <c r="BF138" s="12" t="s">
        <v>1355</v>
      </c>
      <c r="BG138" s="12" t="s">
        <v>982</v>
      </c>
      <c r="BH138" s="12" t="s">
        <v>643</v>
      </c>
      <c r="BI138" s="12" t="s">
        <v>1738</v>
      </c>
      <c r="BJ138" s="12" t="s">
        <v>1403</v>
      </c>
      <c r="BK138" s="12" t="s">
        <v>2855</v>
      </c>
      <c r="BL138" s="12" t="s">
        <v>2856</v>
      </c>
      <c r="BM138" s="12" t="s">
        <v>612</v>
      </c>
      <c r="BN138" s="12" t="s">
        <v>2857</v>
      </c>
      <c r="BO138" s="12" t="s">
        <v>1018</v>
      </c>
      <c r="BP138" s="12" t="s">
        <v>1802</v>
      </c>
      <c r="BQ138" s="12" t="s">
        <v>2858</v>
      </c>
      <c r="BR138" s="12" t="s">
        <v>2859</v>
      </c>
      <c r="BS138" s="12" t="s">
        <v>2860</v>
      </c>
      <c r="BT138" s="12" t="s">
        <v>2861</v>
      </c>
      <c r="BU138" s="12" t="s">
        <v>712</v>
      </c>
      <c r="BV138" s="12" t="s">
        <v>2862</v>
      </c>
      <c r="BW138" s="12" t="s">
        <v>2863</v>
      </c>
      <c r="BX138" s="12" t="s">
        <v>2864</v>
      </c>
      <c r="BY138" s="12" t="s">
        <v>2865</v>
      </c>
      <c r="BZ138" s="12" t="s">
        <v>2866</v>
      </c>
      <c r="CA138" s="12" t="s">
        <v>2867</v>
      </c>
      <c r="CB138" s="12" t="s">
        <v>2868</v>
      </c>
      <c r="CC138" s="12" t="s">
        <v>2869</v>
      </c>
      <c r="CD138" s="12" t="s">
        <v>2870</v>
      </c>
      <c r="CE138" s="12" t="s">
        <v>2871</v>
      </c>
      <c r="CF138" s="12" t="s">
        <v>2872</v>
      </c>
      <c r="CG138" s="12" t="s">
        <v>2873</v>
      </c>
      <c r="CH138" s="12" t="s">
        <v>2874</v>
      </c>
      <c r="CI138" s="12" t="s">
        <v>2875</v>
      </c>
      <c r="CJ138" s="12" t="s">
        <v>2876</v>
      </c>
      <c r="CK138" s="12" t="s">
        <v>2877</v>
      </c>
      <c r="CL138" s="12" t="s">
        <v>2878</v>
      </c>
      <c r="CM138" s="12" t="s">
        <v>2879</v>
      </c>
      <c r="CN138" s="12" t="s">
        <v>2880</v>
      </c>
      <c r="CO138" s="12" t="s">
        <v>2881</v>
      </c>
      <c r="CP138" s="12" t="s">
        <v>2882</v>
      </c>
      <c r="CQ138" s="12" t="s">
        <v>2883</v>
      </c>
      <c r="CR138" s="12" t="s">
        <v>2884</v>
      </c>
      <c r="CS138" s="12" t="s">
        <v>2885</v>
      </c>
      <c r="CT138" s="12" t="s">
        <v>2886</v>
      </c>
    </row>
    <row r="139" spans="1:98" hidden="1" x14ac:dyDescent="0.3">
      <c r="A139" s="12" t="s">
        <v>25</v>
      </c>
      <c r="B139" s="12" t="s">
        <v>2887</v>
      </c>
      <c r="C139" s="12" t="s">
        <v>2888</v>
      </c>
      <c r="D139" s="12" t="s">
        <v>2889</v>
      </c>
      <c r="E139" s="12" t="s">
        <v>578</v>
      </c>
      <c r="F139" s="12" t="s">
        <v>578</v>
      </c>
      <c r="G139" s="12" t="s">
        <v>578</v>
      </c>
      <c r="H139" s="12" t="s">
        <v>578</v>
      </c>
      <c r="I139" s="12" t="s">
        <v>578</v>
      </c>
      <c r="J139" s="12" t="s">
        <v>578</v>
      </c>
      <c r="K139" s="12" t="s">
        <v>578</v>
      </c>
      <c r="L139" s="12" t="s">
        <v>578</v>
      </c>
      <c r="M139" s="12" t="s">
        <v>578</v>
      </c>
      <c r="N139" s="12" t="s">
        <v>578</v>
      </c>
      <c r="O139" s="12" t="s">
        <v>578</v>
      </c>
      <c r="P139" s="12" t="s">
        <v>578</v>
      </c>
      <c r="Q139" s="12" t="s">
        <v>578</v>
      </c>
      <c r="R139" s="12" t="s">
        <v>578</v>
      </c>
      <c r="S139" s="12" t="s">
        <v>578</v>
      </c>
      <c r="T139" s="12" t="s">
        <v>578</v>
      </c>
      <c r="U139" s="12" t="s">
        <v>578</v>
      </c>
      <c r="V139" s="12" t="s">
        <v>578</v>
      </c>
      <c r="W139" s="12" t="s">
        <v>578</v>
      </c>
      <c r="X139" s="12" t="s">
        <v>578</v>
      </c>
      <c r="Y139" s="12" t="s">
        <v>578</v>
      </c>
      <c r="Z139" s="12" t="s">
        <v>578</v>
      </c>
      <c r="AA139" s="12" t="s">
        <v>578</v>
      </c>
      <c r="AB139" s="12" t="s">
        <v>578</v>
      </c>
      <c r="AC139" s="12" t="s">
        <v>578</v>
      </c>
      <c r="AD139" s="12" t="s">
        <v>578</v>
      </c>
      <c r="AE139" s="12" t="s">
        <v>578</v>
      </c>
      <c r="AF139" s="12" t="s">
        <v>578</v>
      </c>
      <c r="AG139" s="12" t="s">
        <v>578</v>
      </c>
      <c r="AH139" s="12" t="s">
        <v>578</v>
      </c>
      <c r="AI139" s="12" t="s">
        <v>579</v>
      </c>
      <c r="AJ139" s="12" t="s">
        <v>579</v>
      </c>
      <c r="AK139" s="12" t="s">
        <v>579</v>
      </c>
      <c r="AL139" s="12" t="s">
        <v>579</v>
      </c>
      <c r="AM139" s="12" t="s">
        <v>579</v>
      </c>
      <c r="AN139" s="12" t="s">
        <v>623</v>
      </c>
      <c r="AO139" s="12" t="s">
        <v>672</v>
      </c>
      <c r="AP139" s="12" t="s">
        <v>580</v>
      </c>
      <c r="AQ139" s="12" t="s">
        <v>582</v>
      </c>
      <c r="AR139" s="12" t="s">
        <v>624</v>
      </c>
      <c r="AS139" s="12" t="s">
        <v>624</v>
      </c>
      <c r="AT139" s="12" t="s">
        <v>625</v>
      </c>
      <c r="AU139" s="12" t="s">
        <v>762</v>
      </c>
      <c r="AV139" s="12" t="s">
        <v>675</v>
      </c>
      <c r="AW139" s="12" t="s">
        <v>677</v>
      </c>
      <c r="AX139" s="12" t="s">
        <v>1259</v>
      </c>
      <c r="AY139" s="12" t="s">
        <v>919</v>
      </c>
      <c r="AZ139" s="12" t="s">
        <v>919</v>
      </c>
      <c r="BA139" s="12" t="s">
        <v>720</v>
      </c>
      <c r="BB139" s="12" t="s">
        <v>771</v>
      </c>
      <c r="BC139" s="12" t="s">
        <v>861</v>
      </c>
      <c r="BD139" s="12" t="s">
        <v>1276</v>
      </c>
      <c r="BE139" s="12" t="s">
        <v>1623</v>
      </c>
      <c r="BF139" s="12" t="s">
        <v>2028</v>
      </c>
      <c r="BG139" s="12" t="s">
        <v>1163</v>
      </c>
      <c r="BH139" s="12" t="s">
        <v>1490</v>
      </c>
      <c r="BI139" s="12" t="s">
        <v>647</v>
      </c>
      <c r="BJ139" s="12" t="s">
        <v>2890</v>
      </c>
      <c r="BK139" s="12" t="s">
        <v>1722</v>
      </c>
      <c r="BL139" s="12" t="s">
        <v>2217</v>
      </c>
      <c r="BM139" s="12" t="s">
        <v>2891</v>
      </c>
      <c r="BN139" s="12" t="s">
        <v>2892</v>
      </c>
      <c r="BO139" s="12" t="s">
        <v>2125</v>
      </c>
      <c r="BP139" s="12" t="s">
        <v>2893</v>
      </c>
      <c r="BQ139" s="12" t="s">
        <v>2894</v>
      </c>
      <c r="BR139" s="12" t="s">
        <v>2895</v>
      </c>
      <c r="BS139" s="12" t="s">
        <v>2896</v>
      </c>
      <c r="BT139" s="12" t="s">
        <v>2897</v>
      </c>
      <c r="BU139" s="12" t="s">
        <v>2898</v>
      </c>
      <c r="BV139" s="12" t="s">
        <v>2899</v>
      </c>
      <c r="BW139" s="12" t="s">
        <v>2900</v>
      </c>
      <c r="BX139" s="12" t="s">
        <v>2901</v>
      </c>
      <c r="BY139" s="12" t="s">
        <v>2902</v>
      </c>
      <c r="BZ139" s="12" t="s">
        <v>2903</v>
      </c>
      <c r="CA139" s="12" t="s">
        <v>2904</v>
      </c>
      <c r="CB139" s="12" t="s">
        <v>2905</v>
      </c>
      <c r="CC139" s="12" t="s">
        <v>2906</v>
      </c>
      <c r="CD139" s="12" t="s">
        <v>2907</v>
      </c>
      <c r="CE139" s="12" t="s">
        <v>2908</v>
      </c>
      <c r="CF139" s="12" t="s">
        <v>2909</v>
      </c>
      <c r="CG139" s="12" t="s">
        <v>2910</v>
      </c>
      <c r="CH139" s="12" t="s">
        <v>2911</v>
      </c>
      <c r="CI139" s="12" t="s">
        <v>2912</v>
      </c>
      <c r="CJ139" s="12" t="s">
        <v>2913</v>
      </c>
      <c r="CK139" s="12" t="s">
        <v>2914</v>
      </c>
      <c r="CL139" s="12" t="s">
        <v>2915</v>
      </c>
      <c r="CM139" s="12" t="s">
        <v>2916</v>
      </c>
      <c r="CN139" s="12" t="s">
        <v>2917</v>
      </c>
      <c r="CO139" s="12" t="s">
        <v>2918</v>
      </c>
      <c r="CP139" s="12" t="s">
        <v>2919</v>
      </c>
      <c r="CQ139" s="12" t="s">
        <v>2920</v>
      </c>
      <c r="CR139" s="12" t="s">
        <v>2921</v>
      </c>
      <c r="CS139" s="12" t="s">
        <v>2922</v>
      </c>
      <c r="CT139" s="12" t="s">
        <v>2923</v>
      </c>
    </row>
    <row r="140" spans="1:98" x14ac:dyDescent="0.3">
      <c r="A140" s="12" t="s">
        <v>25</v>
      </c>
      <c r="B140" s="12" t="s">
        <v>357</v>
      </c>
      <c r="C140" s="12" t="s">
        <v>2924</v>
      </c>
      <c r="D140" s="12" t="s">
        <v>2925</v>
      </c>
      <c r="E140" s="12" t="s">
        <v>578</v>
      </c>
      <c r="F140" s="12" t="s">
        <v>578</v>
      </c>
      <c r="G140" s="12" t="s">
        <v>578</v>
      </c>
      <c r="H140" s="12" t="s">
        <v>578</v>
      </c>
      <c r="I140" s="12" t="s">
        <v>578</v>
      </c>
      <c r="J140" s="12" t="s">
        <v>578</v>
      </c>
      <c r="K140" s="12" t="s">
        <v>578</v>
      </c>
      <c r="L140" s="12" t="s">
        <v>578</v>
      </c>
      <c r="M140" s="12" t="s">
        <v>578</v>
      </c>
      <c r="N140" s="12" t="s">
        <v>623</v>
      </c>
      <c r="O140" s="12" t="s">
        <v>623</v>
      </c>
      <c r="P140" s="12" t="s">
        <v>623</v>
      </c>
      <c r="Q140" s="12" t="s">
        <v>623</v>
      </c>
      <c r="R140" s="12" t="s">
        <v>623</v>
      </c>
      <c r="S140" s="12" t="s">
        <v>623</v>
      </c>
      <c r="T140" s="12" t="s">
        <v>623</v>
      </c>
      <c r="U140" s="12" t="s">
        <v>672</v>
      </c>
      <c r="V140" s="12" t="s">
        <v>672</v>
      </c>
      <c r="W140" s="12" t="s">
        <v>672</v>
      </c>
      <c r="X140" s="12" t="s">
        <v>672</v>
      </c>
      <c r="Y140" s="12" t="s">
        <v>672</v>
      </c>
      <c r="Z140" s="12" t="s">
        <v>672</v>
      </c>
      <c r="AA140" s="12" t="s">
        <v>672</v>
      </c>
      <c r="AB140" s="12" t="s">
        <v>672</v>
      </c>
      <c r="AC140" s="12" t="s">
        <v>672</v>
      </c>
      <c r="AD140" s="12" t="s">
        <v>672</v>
      </c>
      <c r="AE140" s="12" t="s">
        <v>672</v>
      </c>
      <c r="AF140" s="12" t="s">
        <v>672</v>
      </c>
      <c r="AG140" s="12" t="s">
        <v>672</v>
      </c>
      <c r="AH140" s="12" t="s">
        <v>672</v>
      </c>
      <c r="AI140" s="12" t="s">
        <v>675</v>
      </c>
      <c r="AJ140" s="12" t="s">
        <v>853</v>
      </c>
      <c r="AK140" s="12" t="s">
        <v>1623</v>
      </c>
      <c r="AL140" s="12" t="s">
        <v>994</v>
      </c>
      <c r="AM140" s="12" t="s">
        <v>1742</v>
      </c>
      <c r="AN140" s="12" t="s">
        <v>1032</v>
      </c>
      <c r="AO140" s="12" t="s">
        <v>1051</v>
      </c>
      <c r="AP140" s="12" t="s">
        <v>2926</v>
      </c>
      <c r="AQ140" s="12" t="s">
        <v>2927</v>
      </c>
      <c r="AR140" s="12" t="s">
        <v>2928</v>
      </c>
      <c r="AS140" s="12" t="s">
        <v>2929</v>
      </c>
      <c r="AT140" s="12" t="s">
        <v>2930</v>
      </c>
      <c r="AU140" s="12" t="s">
        <v>2931</v>
      </c>
      <c r="AV140" s="12" t="s">
        <v>2253</v>
      </c>
      <c r="AW140" s="12" t="s">
        <v>2932</v>
      </c>
      <c r="AX140" s="12" t="s">
        <v>2933</v>
      </c>
      <c r="AY140" s="12" t="s">
        <v>2934</v>
      </c>
      <c r="AZ140" s="12" t="s">
        <v>2935</v>
      </c>
      <c r="BA140" s="12" t="s">
        <v>2936</v>
      </c>
      <c r="BB140" s="12" t="s">
        <v>2937</v>
      </c>
      <c r="BC140" s="12" t="s">
        <v>2937</v>
      </c>
      <c r="BD140" s="12" t="s">
        <v>2938</v>
      </c>
      <c r="BE140" s="12" t="s">
        <v>2939</v>
      </c>
      <c r="BF140" s="12" t="s">
        <v>2940</v>
      </c>
      <c r="BG140" s="12" t="s">
        <v>2941</v>
      </c>
      <c r="BH140" s="12" t="s">
        <v>2942</v>
      </c>
      <c r="BI140" s="12" t="s">
        <v>2943</v>
      </c>
      <c r="BJ140" s="12" t="s">
        <v>2944</v>
      </c>
      <c r="BK140" s="12" t="s">
        <v>2945</v>
      </c>
      <c r="BL140" s="12" t="s">
        <v>2946</v>
      </c>
      <c r="BM140" s="12" t="s">
        <v>2947</v>
      </c>
      <c r="BN140" s="12" t="s">
        <v>2948</v>
      </c>
      <c r="BO140" s="12" t="s">
        <v>2949</v>
      </c>
      <c r="BP140" s="12" t="s">
        <v>2950</v>
      </c>
      <c r="BQ140" s="12" t="s">
        <v>2951</v>
      </c>
      <c r="BR140" s="12" t="s">
        <v>2952</v>
      </c>
      <c r="BS140" s="12" t="s">
        <v>2953</v>
      </c>
      <c r="BT140" s="12" t="s">
        <v>2954</v>
      </c>
      <c r="BU140" s="12" t="s">
        <v>2955</v>
      </c>
      <c r="BV140" s="12" t="s">
        <v>2956</v>
      </c>
      <c r="BW140" s="12" t="s">
        <v>2957</v>
      </c>
      <c r="BX140" s="12" t="s">
        <v>2958</v>
      </c>
      <c r="BY140" s="12" t="s">
        <v>2959</v>
      </c>
      <c r="BZ140" s="12" t="s">
        <v>2960</v>
      </c>
      <c r="CA140" s="12" t="s">
        <v>2961</v>
      </c>
      <c r="CB140" s="12" t="s">
        <v>2962</v>
      </c>
      <c r="CC140" s="12" t="s">
        <v>2963</v>
      </c>
      <c r="CD140" s="12" t="s">
        <v>2964</v>
      </c>
      <c r="CE140" s="12" t="s">
        <v>2965</v>
      </c>
      <c r="CF140" s="12" t="s">
        <v>2966</v>
      </c>
      <c r="CG140" s="12" t="s">
        <v>2967</v>
      </c>
      <c r="CH140" s="12" t="s">
        <v>2968</v>
      </c>
      <c r="CI140" s="12" t="s">
        <v>2969</v>
      </c>
      <c r="CJ140" s="12" t="s">
        <v>2970</v>
      </c>
      <c r="CK140" s="12" t="s">
        <v>2971</v>
      </c>
      <c r="CL140" s="12" t="s">
        <v>2972</v>
      </c>
      <c r="CM140" s="12" t="s">
        <v>2973</v>
      </c>
      <c r="CN140" s="12" t="s">
        <v>2974</v>
      </c>
      <c r="CO140" s="12" t="s">
        <v>2975</v>
      </c>
      <c r="CP140" s="12" t="s">
        <v>2976</v>
      </c>
      <c r="CQ140" s="12" t="s">
        <v>2977</v>
      </c>
      <c r="CR140" s="12" t="s">
        <v>2978</v>
      </c>
      <c r="CS140" s="12" t="s">
        <v>2979</v>
      </c>
      <c r="CT140" s="12" t="s">
        <v>2980</v>
      </c>
    </row>
    <row r="141" spans="1:98" hidden="1" x14ac:dyDescent="0.3">
      <c r="A141" s="12" t="s">
        <v>25</v>
      </c>
      <c r="B141" s="12" t="s">
        <v>2981</v>
      </c>
      <c r="C141" s="12" t="s">
        <v>2982</v>
      </c>
      <c r="D141" s="12" t="s">
        <v>2983</v>
      </c>
      <c r="E141" s="12" t="s">
        <v>578</v>
      </c>
      <c r="F141" s="12" t="s">
        <v>578</v>
      </c>
      <c r="G141" s="12" t="s">
        <v>578</v>
      </c>
      <c r="H141" s="12" t="s">
        <v>578</v>
      </c>
      <c r="I141" s="12" t="s">
        <v>578</v>
      </c>
      <c r="J141" s="12" t="s">
        <v>578</v>
      </c>
      <c r="K141" s="12" t="s">
        <v>578</v>
      </c>
      <c r="L141" s="12" t="s">
        <v>578</v>
      </c>
      <c r="M141" s="12" t="s">
        <v>578</v>
      </c>
      <c r="N141" s="12" t="s">
        <v>578</v>
      </c>
      <c r="O141" s="12" t="s">
        <v>578</v>
      </c>
      <c r="P141" s="12" t="s">
        <v>578</v>
      </c>
      <c r="Q141" s="12" t="s">
        <v>578</v>
      </c>
      <c r="R141" s="12" t="s">
        <v>578</v>
      </c>
      <c r="S141" s="12" t="s">
        <v>578</v>
      </c>
      <c r="T141" s="12" t="s">
        <v>578</v>
      </c>
      <c r="U141" s="12" t="s">
        <v>578</v>
      </c>
      <c r="V141" s="12" t="s">
        <v>578</v>
      </c>
      <c r="W141" s="12" t="s">
        <v>578</v>
      </c>
      <c r="X141" s="12" t="s">
        <v>578</v>
      </c>
      <c r="Y141" s="12" t="s">
        <v>578</v>
      </c>
      <c r="Z141" s="12" t="s">
        <v>578</v>
      </c>
      <c r="AA141" s="12" t="s">
        <v>578</v>
      </c>
      <c r="AB141" s="12" t="s">
        <v>578</v>
      </c>
      <c r="AC141" s="12" t="s">
        <v>578</v>
      </c>
      <c r="AD141" s="12" t="s">
        <v>578</v>
      </c>
      <c r="AE141" s="12" t="s">
        <v>578</v>
      </c>
      <c r="AF141" s="12" t="s">
        <v>578</v>
      </c>
      <c r="AG141" s="12" t="s">
        <v>578</v>
      </c>
      <c r="AH141" s="12" t="s">
        <v>578</v>
      </c>
      <c r="AI141" s="12" t="s">
        <v>578</v>
      </c>
      <c r="AJ141" s="12" t="s">
        <v>578</v>
      </c>
      <c r="AK141" s="12" t="s">
        <v>578</v>
      </c>
      <c r="AL141" s="12" t="s">
        <v>578</v>
      </c>
      <c r="AM141" s="12" t="s">
        <v>578</v>
      </c>
      <c r="AN141" s="12" t="s">
        <v>578</v>
      </c>
      <c r="AO141" s="12" t="s">
        <v>578</v>
      </c>
      <c r="AP141" s="12" t="s">
        <v>578</v>
      </c>
      <c r="AQ141" s="12" t="s">
        <v>578</v>
      </c>
      <c r="AR141" s="12" t="s">
        <v>578</v>
      </c>
      <c r="AS141" s="12" t="s">
        <v>578</v>
      </c>
      <c r="AT141" s="12" t="s">
        <v>578</v>
      </c>
      <c r="AU141" s="12" t="s">
        <v>578</v>
      </c>
      <c r="AV141" s="12" t="s">
        <v>578</v>
      </c>
      <c r="AW141" s="12" t="s">
        <v>578</v>
      </c>
      <c r="AX141" s="12" t="s">
        <v>578</v>
      </c>
      <c r="AY141" s="12" t="s">
        <v>578</v>
      </c>
      <c r="AZ141" s="12" t="s">
        <v>578</v>
      </c>
      <c r="BA141" s="12" t="s">
        <v>578</v>
      </c>
      <c r="BB141" s="12" t="s">
        <v>579</v>
      </c>
      <c r="BC141" s="12" t="s">
        <v>623</v>
      </c>
      <c r="BD141" s="12" t="s">
        <v>755</v>
      </c>
      <c r="BE141" s="12" t="s">
        <v>755</v>
      </c>
      <c r="BF141" s="12" t="s">
        <v>624</v>
      </c>
      <c r="BG141" s="12" t="s">
        <v>624</v>
      </c>
      <c r="BH141" s="12" t="s">
        <v>625</v>
      </c>
      <c r="BI141" s="12" t="s">
        <v>868</v>
      </c>
      <c r="BJ141" s="12" t="s">
        <v>762</v>
      </c>
      <c r="BK141" s="12" t="s">
        <v>584</v>
      </c>
      <c r="BL141" s="12" t="s">
        <v>584</v>
      </c>
      <c r="BM141" s="12" t="s">
        <v>674</v>
      </c>
      <c r="BN141" s="12" t="s">
        <v>674</v>
      </c>
      <c r="BO141" s="12" t="s">
        <v>585</v>
      </c>
      <c r="BP141" s="12" t="s">
        <v>676</v>
      </c>
      <c r="BQ141" s="12" t="s">
        <v>676</v>
      </c>
      <c r="BR141" s="12" t="s">
        <v>676</v>
      </c>
      <c r="BS141" s="12" t="s">
        <v>2018</v>
      </c>
      <c r="BT141" s="12" t="s">
        <v>852</v>
      </c>
      <c r="BU141" s="12" t="s">
        <v>971</v>
      </c>
      <c r="BV141" s="12" t="s">
        <v>971</v>
      </c>
      <c r="BW141" s="12" t="s">
        <v>1096</v>
      </c>
      <c r="BX141" s="12" t="s">
        <v>972</v>
      </c>
      <c r="BY141" s="12" t="s">
        <v>972</v>
      </c>
      <c r="BZ141" s="12" t="s">
        <v>719</v>
      </c>
      <c r="CA141" s="12" t="s">
        <v>1413</v>
      </c>
      <c r="CB141" s="12" t="s">
        <v>1413</v>
      </c>
      <c r="CC141" s="12" t="s">
        <v>1180</v>
      </c>
      <c r="CD141" s="12" t="s">
        <v>1180</v>
      </c>
      <c r="CE141" s="12" t="s">
        <v>1180</v>
      </c>
      <c r="CF141" s="12" t="s">
        <v>1180</v>
      </c>
      <c r="CG141" s="12" t="s">
        <v>870</v>
      </c>
      <c r="CH141" s="12" t="s">
        <v>974</v>
      </c>
      <c r="CI141" s="12" t="s">
        <v>1120</v>
      </c>
      <c r="CJ141" s="12" t="s">
        <v>1120</v>
      </c>
      <c r="CK141" s="12" t="s">
        <v>1751</v>
      </c>
      <c r="CL141" s="12" t="s">
        <v>1821</v>
      </c>
      <c r="CM141" s="12" t="s">
        <v>1821</v>
      </c>
      <c r="CN141" s="12" t="s">
        <v>1186</v>
      </c>
      <c r="CO141" s="12" t="s">
        <v>1516</v>
      </c>
      <c r="CP141" s="12" t="s">
        <v>643</v>
      </c>
      <c r="CQ141" s="12" t="s">
        <v>643</v>
      </c>
      <c r="CR141" s="12" t="s">
        <v>1423</v>
      </c>
      <c r="CS141" s="12" t="s">
        <v>956</v>
      </c>
      <c r="CT141" s="12" t="s">
        <v>1395</v>
      </c>
    </row>
    <row r="142" spans="1:98" hidden="1" x14ac:dyDescent="0.3">
      <c r="A142" s="12" t="s">
        <v>25</v>
      </c>
      <c r="B142" s="12" t="s">
        <v>2984</v>
      </c>
      <c r="C142" s="12" t="s">
        <v>2985</v>
      </c>
      <c r="D142" s="12" t="s">
        <v>2986</v>
      </c>
      <c r="E142" s="12" t="s">
        <v>623</v>
      </c>
      <c r="F142" s="12" t="s">
        <v>623</v>
      </c>
      <c r="G142" s="12" t="s">
        <v>623</v>
      </c>
      <c r="H142" s="12" t="s">
        <v>623</v>
      </c>
      <c r="I142" s="12" t="s">
        <v>580</v>
      </c>
      <c r="J142" s="12" t="s">
        <v>580</v>
      </c>
      <c r="K142" s="12" t="s">
        <v>582</v>
      </c>
      <c r="L142" s="12" t="s">
        <v>582</v>
      </c>
      <c r="M142" s="12" t="s">
        <v>583</v>
      </c>
      <c r="N142" s="12" t="s">
        <v>762</v>
      </c>
      <c r="O142" s="12" t="s">
        <v>675</v>
      </c>
      <c r="P142" s="12" t="s">
        <v>675</v>
      </c>
      <c r="Q142" s="12" t="s">
        <v>675</v>
      </c>
      <c r="R142" s="12" t="s">
        <v>586</v>
      </c>
      <c r="S142" s="12" t="s">
        <v>586</v>
      </c>
      <c r="T142" s="12" t="s">
        <v>586</v>
      </c>
      <c r="U142" s="12" t="s">
        <v>757</v>
      </c>
      <c r="V142" s="12" t="s">
        <v>757</v>
      </c>
      <c r="W142" s="12" t="s">
        <v>676</v>
      </c>
      <c r="X142" s="12" t="s">
        <v>676</v>
      </c>
      <c r="Y142" s="12" t="s">
        <v>676</v>
      </c>
      <c r="Z142" s="12" t="s">
        <v>869</v>
      </c>
      <c r="AA142" s="12" t="s">
        <v>869</v>
      </c>
      <c r="AB142" s="12" t="s">
        <v>953</v>
      </c>
      <c r="AC142" s="12" t="s">
        <v>1259</v>
      </c>
      <c r="AD142" s="12" t="s">
        <v>632</v>
      </c>
      <c r="AE142" s="12" t="s">
        <v>973</v>
      </c>
      <c r="AF142" s="12" t="s">
        <v>589</v>
      </c>
      <c r="AG142" s="12" t="s">
        <v>590</v>
      </c>
      <c r="AH142" s="12" t="s">
        <v>591</v>
      </c>
      <c r="AI142" s="12" t="s">
        <v>864</v>
      </c>
      <c r="AJ142" s="12" t="s">
        <v>980</v>
      </c>
      <c r="AK142" s="12" t="s">
        <v>1515</v>
      </c>
      <c r="AL142" s="12" t="s">
        <v>1733</v>
      </c>
      <c r="AM142" s="12" t="s">
        <v>594</v>
      </c>
      <c r="AN142" s="12" t="s">
        <v>1976</v>
      </c>
      <c r="AO142" s="12" t="s">
        <v>1126</v>
      </c>
      <c r="AP142" s="12" t="s">
        <v>1127</v>
      </c>
      <c r="AQ142" s="12" t="s">
        <v>1508</v>
      </c>
      <c r="AR142" s="12" t="s">
        <v>1128</v>
      </c>
      <c r="AS142" s="12" t="s">
        <v>1687</v>
      </c>
      <c r="AT142" s="12" t="s">
        <v>1364</v>
      </c>
      <c r="AU142" s="12" t="s">
        <v>1365</v>
      </c>
      <c r="AV142" s="12" t="s">
        <v>1841</v>
      </c>
      <c r="AW142" s="12" t="s">
        <v>963</v>
      </c>
      <c r="AX142" s="12" t="s">
        <v>2987</v>
      </c>
      <c r="AY142" s="12" t="s">
        <v>778</v>
      </c>
      <c r="AZ142" s="12" t="s">
        <v>689</v>
      </c>
      <c r="BA142" s="12" t="s">
        <v>1406</v>
      </c>
      <c r="BB142" s="12" t="s">
        <v>2071</v>
      </c>
      <c r="BC142" s="12" t="s">
        <v>2071</v>
      </c>
      <c r="BD142" s="12" t="s">
        <v>2988</v>
      </c>
      <c r="BE142" s="12" t="s">
        <v>2046</v>
      </c>
      <c r="BF142" s="12" t="s">
        <v>2989</v>
      </c>
      <c r="BG142" s="12" t="s">
        <v>2989</v>
      </c>
      <c r="BH142" s="12" t="s">
        <v>1383</v>
      </c>
      <c r="BI142" s="12" t="s">
        <v>1674</v>
      </c>
      <c r="BJ142" s="12" t="s">
        <v>2990</v>
      </c>
      <c r="BK142" s="12" t="s">
        <v>2193</v>
      </c>
      <c r="BL142" s="12" t="s">
        <v>946</v>
      </c>
      <c r="BM142" s="12" t="s">
        <v>2991</v>
      </c>
      <c r="BN142" s="12" t="s">
        <v>2927</v>
      </c>
      <c r="BO142" s="12" t="s">
        <v>2992</v>
      </c>
      <c r="BP142" s="12" t="s">
        <v>2993</v>
      </c>
      <c r="BQ142" s="12" t="s">
        <v>2994</v>
      </c>
      <c r="BR142" s="12" t="s">
        <v>697</v>
      </c>
      <c r="BS142" s="12" t="s">
        <v>2995</v>
      </c>
      <c r="BT142" s="12" t="s">
        <v>2996</v>
      </c>
      <c r="BU142" s="12" t="s">
        <v>2996</v>
      </c>
      <c r="BV142" s="12" t="s">
        <v>2997</v>
      </c>
      <c r="BW142" s="12" t="s">
        <v>2998</v>
      </c>
      <c r="BX142" s="12" t="s">
        <v>2999</v>
      </c>
      <c r="BY142" s="12" t="s">
        <v>3000</v>
      </c>
      <c r="BZ142" s="12" t="s">
        <v>3001</v>
      </c>
      <c r="CA142" s="12" t="s">
        <v>3001</v>
      </c>
      <c r="CB142" s="12" t="s">
        <v>3002</v>
      </c>
      <c r="CC142" s="12" t="s">
        <v>3003</v>
      </c>
      <c r="CD142" s="12" t="s">
        <v>3004</v>
      </c>
      <c r="CE142" s="12" t="s">
        <v>3005</v>
      </c>
      <c r="CF142" s="12" t="s">
        <v>3006</v>
      </c>
      <c r="CG142" s="12" t="s">
        <v>3007</v>
      </c>
      <c r="CH142" s="12" t="s">
        <v>3008</v>
      </c>
      <c r="CI142" s="12" t="s">
        <v>3009</v>
      </c>
      <c r="CJ142" s="12" t="s">
        <v>3010</v>
      </c>
      <c r="CK142" s="12" t="s">
        <v>3011</v>
      </c>
      <c r="CL142" s="12" t="s">
        <v>3012</v>
      </c>
      <c r="CM142" s="12" t="s">
        <v>3013</v>
      </c>
      <c r="CN142" s="12" t="s">
        <v>3014</v>
      </c>
      <c r="CO142" s="12" t="s">
        <v>3015</v>
      </c>
      <c r="CP142" s="12" t="s">
        <v>3015</v>
      </c>
      <c r="CQ142" s="12" t="s">
        <v>3016</v>
      </c>
      <c r="CR142" s="12" t="s">
        <v>3017</v>
      </c>
      <c r="CS142" s="12" t="s">
        <v>3018</v>
      </c>
      <c r="CT142" s="12" t="s">
        <v>3019</v>
      </c>
    </row>
    <row r="143" spans="1:98" hidden="1" x14ac:dyDescent="0.3">
      <c r="A143" s="12" t="s">
        <v>25</v>
      </c>
      <c r="B143" s="12" t="s">
        <v>3020</v>
      </c>
      <c r="C143" s="12" t="s">
        <v>3021</v>
      </c>
      <c r="D143" s="12" t="s">
        <v>3022</v>
      </c>
      <c r="E143" s="12" t="s">
        <v>578</v>
      </c>
      <c r="F143" s="12" t="s">
        <v>578</v>
      </c>
      <c r="G143" s="12" t="s">
        <v>578</v>
      </c>
      <c r="H143" s="12" t="s">
        <v>578</v>
      </c>
      <c r="I143" s="12" t="s">
        <v>578</v>
      </c>
      <c r="J143" s="12" t="s">
        <v>578</v>
      </c>
      <c r="K143" s="12" t="s">
        <v>578</v>
      </c>
      <c r="L143" s="12" t="s">
        <v>578</v>
      </c>
      <c r="M143" s="12" t="s">
        <v>578</v>
      </c>
      <c r="N143" s="12" t="s">
        <v>578</v>
      </c>
      <c r="O143" s="12" t="s">
        <v>578</v>
      </c>
      <c r="P143" s="12" t="s">
        <v>578</v>
      </c>
      <c r="Q143" s="12" t="s">
        <v>578</v>
      </c>
      <c r="R143" s="12" t="s">
        <v>578</v>
      </c>
      <c r="S143" s="12" t="s">
        <v>578</v>
      </c>
      <c r="T143" s="12" t="s">
        <v>578</v>
      </c>
      <c r="U143" s="12" t="s">
        <v>578</v>
      </c>
      <c r="V143" s="12" t="s">
        <v>578</v>
      </c>
      <c r="W143" s="12" t="s">
        <v>578</v>
      </c>
      <c r="X143" s="12" t="s">
        <v>578</v>
      </c>
      <c r="Y143" s="12" t="s">
        <v>578</v>
      </c>
      <c r="Z143" s="12" t="s">
        <v>578</v>
      </c>
      <c r="AA143" s="12" t="s">
        <v>578</v>
      </c>
      <c r="AB143" s="12" t="s">
        <v>578</v>
      </c>
      <c r="AC143" s="12" t="s">
        <v>578</v>
      </c>
      <c r="AD143" s="12" t="s">
        <v>578</v>
      </c>
      <c r="AE143" s="12" t="s">
        <v>578</v>
      </c>
      <c r="AF143" s="12" t="s">
        <v>578</v>
      </c>
      <c r="AG143" s="12" t="s">
        <v>578</v>
      </c>
      <c r="AH143" s="12" t="s">
        <v>578</v>
      </c>
      <c r="AI143" s="12" t="s">
        <v>578</v>
      </c>
      <c r="AJ143" s="12" t="s">
        <v>578</v>
      </c>
      <c r="AK143" s="12" t="s">
        <v>578</v>
      </c>
      <c r="AL143" s="12" t="s">
        <v>578</v>
      </c>
      <c r="AM143" s="12" t="s">
        <v>578</v>
      </c>
      <c r="AN143" s="12" t="s">
        <v>578</v>
      </c>
      <c r="AO143" s="12" t="s">
        <v>578</v>
      </c>
      <c r="AP143" s="12" t="s">
        <v>578</v>
      </c>
      <c r="AQ143" s="12" t="s">
        <v>578</v>
      </c>
      <c r="AR143" s="12" t="s">
        <v>578</v>
      </c>
      <c r="AS143" s="12" t="s">
        <v>578</v>
      </c>
      <c r="AT143" s="12" t="s">
        <v>579</v>
      </c>
      <c r="AU143" s="12" t="s">
        <v>579</v>
      </c>
      <c r="AV143" s="12" t="s">
        <v>579</v>
      </c>
      <c r="AW143" s="12" t="s">
        <v>579</v>
      </c>
      <c r="AX143" s="12" t="s">
        <v>579</v>
      </c>
      <c r="AY143" s="12" t="s">
        <v>579</v>
      </c>
      <c r="AZ143" s="12" t="s">
        <v>579</v>
      </c>
      <c r="BA143" s="12" t="s">
        <v>579</v>
      </c>
      <c r="BB143" s="12" t="s">
        <v>579</v>
      </c>
      <c r="BC143" s="12" t="s">
        <v>579</v>
      </c>
      <c r="BD143" s="12" t="s">
        <v>579</v>
      </c>
      <c r="BE143" s="12" t="s">
        <v>579</v>
      </c>
      <c r="BF143" s="12" t="s">
        <v>755</v>
      </c>
      <c r="BG143" s="12" t="s">
        <v>673</v>
      </c>
      <c r="BH143" s="12" t="s">
        <v>767</v>
      </c>
      <c r="BI143" s="12" t="s">
        <v>809</v>
      </c>
      <c r="BJ143" s="12" t="s">
        <v>974</v>
      </c>
      <c r="BK143" s="12" t="s">
        <v>1124</v>
      </c>
      <c r="BL143" s="12" t="s">
        <v>1124</v>
      </c>
      <c r="BM143" s="12" t="s">
        <v>872</v>
      </c>
      <c r="BN143" s="12" t="s">
        <v>1354</v>
      </c>
      <c r="BO143" s="12" t="s">
        <v>2101</v>
      </c>
      <c r="BP143" s="12" t="s">
        <v>1815</v>
      </c>
      <c r="BQ143" s="12" t="s">
        <v>642</v>
      </c>
      <c r="BR143" s="12" t="s">
        <v>815</v>
      </c>
      <c r="BS143" s="12" t="s">
        <v>1049</v>
      </c>
      <c r="BT143" s="12" t="s">
        <v>645</v>
      </c>
      <c r="BU143" s="12" t="s">
        <v>1264</v>
      </c>
      <c r="BV143" s="12" t="s">
        <v>1687</v>
      </c>
      <c r="BW143" s="12" t="s">
        <v>1028</v>
      </c>
      <c r="BX143" s="12" t="s">
        <v>599</v>
      </c>
      <c r="BY143" s="12" t="s">
        <v>1518</v>
      </c>
      <c r="BZ143" s="12" t="s">
        <v>1281</v>
      </c>
      <c r="CA143" s="12" t="s">
        <v>1397</v>
      </c>
      <c r="CB143" s="12" t="s">
        <v>600</v>
      </c>
      <c r="CC143" s="12" t="s">
        <v>877</v>
      </c>
      <c r="CD143" s="12" t="s">
        <v>1438</v>
      </c>
      <c r="CE143" s="12" t="s">
        <v>1312</v>
      </c>
      <c r="CF143" s="12" t="s">
        <v>1312</v>
      </c>
      <c r="CG143" s="12" t="s">
        <v>1692</v>
      </c>
      <c r="CH143" s="12" t="s">
        <v>1719</v>
      </c>
      <c r="CI143" s="12" t="s">
        <v>2002</v>
      </c>
      <c r="CJ143" s="12" t="s">
        <v>924</v>
      </c>
      <c r="CK143" s="12" t="s">
        <v>3023</v>
      </c>
      <c r="CL143" s="12" t="s">
        <v>2395</v>
      </c>
      <c r="CM143" s="12" t="s">
        <v>820</v>
      </c>
      <c r="CN143" s="12" t="s">
        <v>1696</v>
      </c>
      <c r="CO143" s="12" t="s">
        <v>2079</v>
      </c>
      <c r="CP143" s="12" t="s">
        <v>1533</v>
      </c>
      <c r="CQ143" s="12" t="s">
        <v>733</v>
      </c>
      <c r="CR143" s="12" t="s">
        <v>965</v>
      </c>
      <c r="CS143" s="12" t="s">
        <v>966</v>
      </c>
      <c r="CT143" s="12" t="s">
        <v>1268</v>
      </c>
    </row>
    <row r="144" spans="1:98" hidden="1" x14ac:dyDescent="0.3">
      <c r="A144" s="12" t="s">
        <v>25</v>
      </c>
      <c r="B144" s="12" t="s">
        <v>3024</v>
      </c>
      <c r="C144" s="12" t="s">
        <v>3025</v>
      </c>
      <c r="D144" s="12" t="s">
        <v>3026</v>
      </c>
      <c r="E144" s="12" t="s">
        <v>578</v>
      </c>
      <c r="F144" s="12" t="s">
        <v>578</v>
      </c>
      <c r="G144" s="12" t="s">
        <v>578</v>
      </c>
      <c r="H144" s="12" t="s">
        <v>578</v>
      </c>
      <c r="I144" s="12" t="s">
        <v>578</v>
      </c>
      <c r="J144" s="12" t="s">
        <v>578</v>
      </c>
      <c r="K144" s="12" t="s">
        <v>578</v>
      </c>
      <c r="L144" s="12" t="s">
        <v>578</v>
      </c>
      <c r="M144" s="12" t="s">
        <v>578</v>
      </c>
      <c r="N144" s="12" t="s">
        <v>578</v>
      </c>
      <c r="O144" s="12" t="s">
        <v>578</v>
      </c>
      <c r="P144" s="12" t="s">
        <v>578</v>
      </c>
      <c r="Q144" s="12" t="s">
        <v>578</v>
      </c>
      <c r="R144" s="12" t="s">
        <v>578</v>
      </c>
      <c r="S144" s="12" t="s">
        <v>578</v>
      </c>
      <c r="T144" s="12" t="s">
        <v>578</v>
      </c>
      <c r="U144" s="12" t="s">
        <v>578</v>
      </c>
      <c r="V144" s="12" t="s">
        <v>578</v>
      </c>
      <c r="W144" s="12" t="s">
        <v>578</v>
      </c>
      <c r="X144" s="12" t="s">
        <v>578</v>
      </c>
      <c r="Y144" s="12" t="s">
        <v>578</v>
      </c>
      <c r="Z144" s="12" t="s">
        <v>578</v>
      </c>
      <c r="AA144" s="12" t="s">
        <v>578</v>
      </c>
      <c r="AB144" s="12" t="s">
        <v>578</v>
      </c>
      <c r="AC144" s="12" t="s">
        <v>578</v>
      </c>
      <c r="AD144" s="12" t="s">
        <v>578</v>
      </c>
      <c r="AE144" s="12" t="s">
        <v>578</v>
      </c>
      <c r="AF144" s="12" t="s">
        <v>578</v>
      </c>
      <c r="AG144" s="12" t="s">
        <v>578</v>
      </c>
      <c r="AH144" s="12" t="s">
        <v>578</v>
      </c>
      <c r="AI144" s="12" t="s">
        <v>578</v>
      </c>
      <c r="AJ144" s="12" t="s">
        <v>578</v>
      </c>
      <c r="AK144" s="12" t="s">
        <v>578</v>
      </c>
      <c r="AL144" s="12" t="s">
        <v>578</v>
      </c>
      <c r="AM144" s="12" t="s">
        <v>578</v>
      </c>
      <c r="AN144" s="12" t="s">
        <v>578</v>
      </c>
      <c r="AO144" s="12" t="s">
        <v>578</v>
      </c>
      <c r="AP144" s="12" t="s">
        <v>578</v>
      </c>
      <c r="AQ144" s="12" t="s">
        <v>578</v>
      </c>
      <c r="AR144" s="12" t="s">
        <v>578</v>
      </c>
      <c r="AS144" s="12" t="s">
        <v>578</v>
      </c>
      <c r="AT144" s="12" t="s">
        <v>578</v>
      </c>
      <c r="AU144" s="12" t="s">
        <v>578</v>
      </c>
      <c r="AV144" s="12" t="s">
        <v>578</v>
      </c>
      <c r="AW144" s="12" t="s">
        <v>578</v>
      </c>
      <c r="AX144" s="12" t="s">
        <v>578</v>
      </c>
      <c r="AY144" s="12" t="s">
        <v>578</v>
      </c>
      <c r="AZ144" s="12" t="s">
        <v>578</v>
      </c>
      <c r="BA144" s="12" t="s">
        <v>578</v>
      </c>
      <c r="BB144" s="12" t="s">
        <v>578</v>
      </c>
      <c r="BC144" s="12" t="s">
        <v>578</v>
      </c>
      <c r="BD144" s="12" t="s">
        <v>580</v>
      </c>
      <c r="BE144" s="12" t="s">
        <v>851</v>
      </c>
      <c r="BF144" s="12" t="s">
        <v>761</v>
      </c>
      <c r="BG144" s="12" t="s">
        <v>624</v>
      </c>
      <c r="BH144" s="12" t="s">
        <v>627</v>
      </c>
      <c r="BI144" s="12" t="s">
        <v>917</v>
      </c>
      <c r="BJ144" s="12" t="s">
        <v>1096</v>
      </c>
      <c r="BK144" s="12" t="s">
        <v>991</v>
      </c>
      <c r="BL144" s="12" t="s">
        <v>719</v>
      </c>
      <c r="BM144" s="12" t="s">
        <v>680</v>
      </c>
      <c r="BN144" s="12" t="s">
        <v>853</v>
      </c>
      <c r="BO144" s="12" t="s">
        <v>975</v>
      </c>
      <c r="BP144" s="12" t="s">
        <v>1184</v>
      </c>
      <c r="BQ144" s="12" t="s">
        <v>979</v>
      </c>
      <c r="BR144" s="12" t="s">
        <v>1814</v>
      </c>
      <c r="BS144" s="12" t="s">
        <v>1127</v>
      </c>
      <c r="BT144" s="12" t="s">
        <v>3027</v>
      </c>
      <c r="BU144" s="12" t="s">
        <v>687</v>
      </c>
      <c r="BV144" s="12" t="s">
        <v>1745</v>
      </c>
      <c r="BW144" s="12" t="s">
        <v>1691</v>
      </c>
      <c r="BX144" s="12" t="s">
        <v>965</v>
      </c>
      <c r="BY144" s="12" t="s">
        <v>1843</v>
      </c>
      <c r="BZ144" s="12" t="s">
        <v>1372</v>
      </c>
      <c r="CA144" s="12" t="s">
        <v>664</v>
      </c>
      <c r="CB144" s="12" t="s">
        <v>2175</v>
      </c>
      <c r="CC144" s="12" t="s">
        <v>3028</v>
      </c>
      <c r="CD144" s="12" t="s">
        <v>2726</v>
      </c>
      <c r="CE144" s="12" t="s">
        <v>931</v>
      </c>
      <c r="CF144" s="12" t="s">
        <v>3029</v>
      </c>
      <c r="CG144" s="12" t="s">
        <v>2397</v>
      </c>
      <c r="CH144" s="12" t="s">
        <v>3030</v>
      </c>
      <c r="CI144" s="12" t="s">
        <v>3031</v>
      </c>
      <c r="CJ144" s="12" t="s">
        <v>2122</v>
      </c>
      <c r="CK144" s="12" t="s">
        <v>3032</v>
      </c>
      <c r="CL144" s="12" t="s">
        <v>3033</v>
      </c>
      <c r="CM144" s="12" t="s">
        <v>1315</v>
      </c>
      <c r="CN144" s="12" t="s">
        <v>2460</v>
      </c>
      <c r="CO144" s="12" t="s">
        <v>3034</v>
      </c>
      <c r="CP144" s="12" t="s">
        <v>3035</v>
      </c>
      <c r="CQ144" s="12" t="s">
        <v>3036</v>
      </c>
      <c r="CR144" s="12" t="s">
        <v>3037</v>
      </c>
      <c r="CS144" s="12" t="s">
        <v>3038</v>
      </c>
      <c r="CT144" s="12" t="s">
        <v>3039</v>
      </c>
    </row>
    <row r="145" spans="1:98" hidden="1" x14ac:dyDescent="0.3">
      <c r="A145" s="12" t="s">
        <v>25</v>
      </c>
      <c r="B145" s="12" t="s">
        <v>3040</v>
      </c>
      <c r="C145" s="12" t="s">
        <v>3041</v>
      </c>
      <c r="D145" s="12" t="s">
        <v>3042</v>
      </c>
      <c r="E145" s="12" t="s">
        <v>578</v>
      </c>
      <c r="F145" s="12" t="s">
        <v>578</v>
      </c>
      <c r="G145" s="12" t="s">
        <v>578</v>
      </c>
      <c r="H145" s="12" t="s">
        <v>578</v>
      </c>
      <c r="I145" s="12" t="s">
        <v>578</v>
      </c>
      <c r="J145" s="12" t="s">
        <v>578</v>
      </c>
      <c r="K145" s="12" t="s">
        <v>578</v>
      </c>
      <c r="L145" s="12" t="s">
        <v>578</v>
      </c>
      <c r="M145" s="12" t="s">
        <v>578</v>
      </c>
      <c r="N145" s="12" t="s">
        <v>578</v>
      </c>
      <c r="O145" s="12" t="s">
        <v>578</v>
      </c>
      <c r="P145" s="12" t="s">
        <v>578</v>
      </c>
      <c r="Q145" s="12" t="s">
        <v>578</v>
      </c>
      <c r="R145" s="12" t="s">
        <v>578</v>
      </c>
      <c r="S145" s="12" t="s">
        <v>578</v>
      </c>
      <c r="T145" s="12" t="s">
        <v>578</v>
      </c>
      <c r="U145" s="12" t="s">
        <v>578</v>
      </c>
      <c r="V145" s="12" t="s">
        <v>578</v>
      </c>
      <c r="W145" s="12" t="s">
        <v>578</v>
      </c>
      <c r="X145" s="12" t="s">
        <v>578</v>
      </c>
      <c r="Y145" s="12" t="s">
        <v>578</v>
      </c>
      <c r="Z145" s="12" t="s">
        <v>578</v>
      </c>
      <c r="AA145" s="12" t="s">
        <v>578</v>
      </c>
      <c r="AB145" s="12" t="s">
        <v>578</v>
      </c>
      <c r="AC145" s="12" t="s">
        <v>578</v>
      </c>
      <c r="AD145" s="12" t="s">
        <v>578</v>
      </c>
      <c r="AE145" s="12" t="s">
        <v>578</v>
      </c>
      <c r="AF145" s="12" t="s">
        <v>578</v>
      </c>
      <c r="AG145" s="12" t="s">
        <v>578</v>
      </c>
      <c r="AH145" s="12" t="s">
        <v>578</v>
      </c>
      <c r="AI145" s="12" t="s">
        <v>578</v>
      </c>
      <c r="AJ145" s="12" t="s">
        <v>578</v>
      </c>
      <c r="AK145" s="12" t="s">
        <v>578</v>
      </c>
      <c r="AL145" s="12" t="s">
        <v>578</v>
      </c>
      <c r="AM145" s="12" t="s">
        <v>578</v>
      </c>
      <c r="AN145" s="12" t="s">
        <v>578</v>
      </c>
      <c r="AO145" s="12" t="s">
        <v>578</v>
      </c>
      <c r="AP145" s="12" t="s">
        <v>578</v>
      </c>
      <c r="AQ145" s="12" t="s">
        <v>578</v>
      </c>
      <c r="AR145" s="12" t="s">
        <v>578</v>
      </c>
      <c r="AS145" s="12" t="s">
        <v>578</v>
      </c>
      <c r="AT145" s="12" t="s">
        <v>578</v>
      </c>
      <c r="AU145" s="12" t="s">
        <v>578</v>
      </c>
      <c r="AV145" s="12" t="s">
        <v>578</v>
      </c>
      <c r="AW145" s="12" t="s">
        <v>578</v>
      </c>
      <c r="AX145" s="12" t="s">
        <v>578</v>
      </c>
      <c r="AY145" s="12" t="s">
        <v>578</v>
      </c>
      <c r="AZ145" s="12" t="s">
        <v>578</v>
      </c>
      <c r="BA145" s="12" t="s">
        <v>578</v>
      </c>
      <c r="BB145" s="12" t="s">
        <v>578</v>
      </c>
      <c r="BC145" s="12" t="s">
        <v>578</v>
      </c>
      <c r="BD145" s="12" t="s">
        <v>579</v>
      </c>
      <c r="BE145" s="12" t="s">
        <v>579</v>
      </c>
      <c r="BF145" s="12" t="s">
        <v>672</v>
      </c>
      <c r="BG145" s="12" t="s">
        <v>672</v>
      </c>
      <c r="BH145" s="12" t="s">
        <v>672</v>
      </c>
      <c r="BI145" s="12" t="s">
        <v>672</v>
      </c>
      <c r="BJ145" s="12" t="s">
        <v>582</v>
      </c>
      <c r="BK145" s="12" t="s">
        <v>582</v>
      </c>
      <c r="BL145" s="12" t="s">
        <v>582</v>
      </c>
      <c r="BM145" s="12" t="s">
        <v>762</v>
      </c>
      <c r="BN145" s="12" t="s">
        <v>584</v>
      </c>
      <c r="BO145" s="12" t="s">
        <v>757</v>
      </c>
      <c r="BP145" s="12" t="s">
        <v>869</v>
      </c>
      <c r="BQ145" s="12" t="s">
        <v>766</v>
      </c>
      <c r="BR145" s="12" t="s">
        <v>766</v>
      </c>
      <c r="BS145" s="12" t="s">
        <v>628</v>
      </c>
      <c r="BT145" s="12" t="s">
        <v>629</v>
      </c>
      <c r="BU145" s="12" t="s">
        <v>954</v>
      </c>
      <c r="BV145" s="12" t="s">
        <v>632</v>
      </c>
      <c r="BW145" s="12" t="s">
        <v>1184</v>
      </c>
      <c r="BX145" s="12" t="s">
        <v>592</v>
      </c>
      <c r="BY145" s="12" t="s">
        <v>980</v>
      </c>
      <c r="BZ145" s="12" t="s">
        <v>1276</v>
      </c>
      <c r="CA145" s="12" t="s">
        <v>2014</v>
      </c>
      <c r="CB145" s="12" t="s">
        <v>774</v>
      </c>
      <c r="CC145" s="12" t="s">
        <v>1815</v>
      </c>
      <c r="CD145" s="12" t="s">
        <v>1734</v>
      </c>
      <c r="CE145" s="12" t="s">
        <v>921</v>
      </c>
      <c r="CF145" s="12" t="s">
        <v>1976</v>
      </c>
      <c r="CG145" s="12" t="s">
        <v>1279</v>
      </c>
      <c r="CH145" s="12" t="s">
        <v>641</v>
      </c>
      <c r="CI145" s="12" t="s">
        <v>1887</v>
      </c>
      <c r="CJ145" s="12" t="s">
        <v>3043</v>
      </c>
      <c r="CK145" s="12" t="s">
        <v>2029</v>
      </c>
      <c r="CL145" s="12" t="s">
        <v>2166</v>
      </c>
      <c r="CM145" s="12" t="s">
        <v>1049</v>
      </c>
      <c r="CN145" s="12" t="s">
        <v>1494</v>
      </c>
      <c r="CO145" s="12" t="s">
        <v>3044</v>
      </c>
      <c r="CP145" s="12" t="s">
        <v>598</v>
      </c>
      <c r="CQ145" s="12" t="s">
        <v>1740</v>
      </c>
      <c r="CR145" s="12" t="s">
        <v>1741</v>
      </c>
      <c r="CS145" s="12" t="s">
        <v>1611</v>
      </c>
      <c r="CT145" s="12" t="s">
        <v>2057</v>
      </c>
    </row>
    <row r="146" spans="1:98" hidden="1" x14ac:dyDescent="0.3">
      <c r="A146" s="12" t="s">
        <v>25</v>
      </c>
      <c r="B146" s="12" t="s">
        <v>3045</v>
      </c>
      <c r="C146" s="12" t="s">
        <v>2985</v>
      </c>
      <c r="D146" s="12" t="s">
        <v>3046</v>
      </c>
      <c r="E146" s="12" t="s">
        <v>579</v>
      </c>
      <c r="F146" s="12" t="s">
        <v>579</v>
      </c>
      <c r="G146" s="12" t="s">
        <v>623</v>
      </c>
      <c r="H146" s="12" t="s">
        <v>623</v>
      </c>
      <c r="I146" s="12" t="s">
        <v>672</v>
      </c>
      <c r="J146" s="12" t="s">
        <v>580</v>
      </c>
      <c r="K146" s="12" t="s">
        <v>580</v>
      </c>
      <c r="L146" s="12" t="s">
        <v>580</v>
      </c>
      <c r="M146" s="12" t="s">
        <v>580</v>
      </c>
      <c r="N146" s="12" t="s">
        <v>583</v>
      </c>
      <c r="O146" s="12" t="s">
        <v>625</v>
      </c>
      <c r="P146" s="12" t="s">
        <v>762</v>
      </c>
      <c r="Q146" s="12" t="s">
        <v>762</v>
      </c>
      <c r="R146" s="12" t="s">
        <v>584</v>
      </c>
      <c r="S146" s="12" t="s">
        <v>674</v>
      </c>
      <c r="T146" s="12" t="s">
        <v>626</v>
      </c>
      <c r="U146" s="12" t="s">
        <v>587</v>
      </c>
      <c r="V146" s="12" t="s">
        <v>587</v>
      </c>
      <c r="W146" s="12" t="s">
        <v>757</v>
      </c>
      <c r="X146" s="12" t="s">
        <v>913</v>
      </c>
      <c r="Y146" s="12" t="s">
        <v>869</v>
      </c>
      <c r="Z146" s="12" t="s">
        <v>869</v>
      </c>
      <c r="AA146" s="12" t="s">
        <v>869</v>
      </c>
      <c r="AB146" s="12" t="s">
        <v>869</v>
      </c>
      <c r="AC146" s="12" t="s">
        <v>869</v>
      </c>
      <c r="AD146" s="12" t="s">
        <v>953</v>
      </c>
      <c r="AE146" s="12" t="s">
        <v>2018</v>
      </c>
      <c r="AF146" s="12" t="s">
        <v>766</v>
      </c>
      <c r="AG146" s="12" t="s">
        <v>766</v>
      </c>
      <c r="AH146" s="12" t="s">
        <v>637</v>
      </c>
      <c r="AI146" s="12" t="s">
        <v>2515</v>
      </c>
      <c r="AJ146" s="12" t="s">
        <v>655</v>
      </c>
      <c r="AK146" s="12" t="s">
        <v>3047</v>
      </c>
      <c r="AL146" s="12" t="s">
        <v>828</v>
      </c>
      <c r="AM146" s="12" t="s">
        <v>2287</v>
      </c>
      <c r="AN146" s="12" t="s">
        <v>1762</v>
      </c>
      <c r="AO146" s="12" t="s">
        <v>3048</v>
      </c>
      <c r="AP146" s="12" t="s">
        <v>3049</v>
      </c>
      <c r="AQ146" s="12" t="s">
        <v>3050</v>
      </c>
      <c r="AR146" s="12" t="s">
        <v>3051</v>
      </c>
      <c r="AS146" s="12" t="s">
        <v>2350</v>
      </c>
      <c r="AT146" s="12" t="s">
        <v>3052</v>
      </c>
      <c r="AU146" s="12" t="s">
        <v>3053</v>
      </c>
      <c r="AV146" s="12" t="s">
        <v>3054</v>
      </c>
      <c r="AW146" s="12" t="s">
        <v>3055</v>
      </c>
      <c r="AX146" s="12" t="s">
        <v>3056</v>
      </c>
      <c r="AY146" s="12" t="s">
        <v>3057</v>
      </c>
      <c r="AZ146" s="12" t="s">
        <v>3058</v>
      </c>
      <c r="BA146" s="12" t="s">
        <v>3059</v>
      </c>
      <c r="BB146" s="12" t="s">
        <v>3060</v>
      </c>
      <c r="BC146" s="12" t="s">
        <v>3061</v>
      </c>
      <c r="BD146" s="12" t="s">
        <v>3062</v>
      </c>
      <c r="BE146" s="12" t="s">
        <v>3063</v>
      </c>
      <c r="BF146" s="12" t="s">
        <v>3064</v>
      </c>
      <c r="BG146" s="12" t="s">
        <v>3065</v>
      </c>
      <c r="BH146" s="12" t="s">
        <v>3066</v>
      </c>
      <c r="BI146" s="12" t="s">
        <v>3067</v>
      </c>
      <c r="BJ146" s="12" t="s">
        <v>3068</v>
      </c>
      <c r="BK146" s="12" t="s">
        <v>3069</v>
      </c>
      <c r="BL146" s="12" t="s">
        <v>3070</v>
      </c>
      <c r="BM146" s="12" t="s">
        <v>3071</v>
      </c>
      <c r="BN146" s="12" t="s">
        <v>3071</v>
      </c>
      <c r="BO146" s="12" t="s">
        <v>3072</v>
      </c>
      <c r="BP146" s="12" t="s">
        <v>3073</v>
      </c>
      <c r="BQ146" s="12" t="s">
        <v>3074</v>
      </c>
      <c r="BR146" s="12" t="s">
        <v>3075</v>
      </c>
      <c r="BS146" s="12" t="s">
        <v>3076</v>
      </c>
      <c r="BT146" s="12" t="s">
        <v>3077</v>
      </c>
      <c r="BU146" s="12" t="s">
        <v>3078</v>
      </c>
      <c r="BV146" s="12" t="s">
        <v>3079</v>
      </c>
      <c r="BW146" s="12" t="s">
        <v>3080</v>
      </c>
      <c r="BX146" s="12" t="s">
        <v>3081</v>
      </c>
      <c r="BY146" s="12" t="s">
        <v>3082</v>
      </c>
      <c r="BZ146" s="12" t="s">
        <v>3083</v>
      </c>
      <c r="CA146" s="12" t="s">
        <v>3084</v>
      </c>
      <c r="CB146" s="12" t="s">
        <v>3085</v>
      </c>
      <c r="CC146" s="12" t="s">
        <v>3086</v>
      </c>
      <c r="CD146" s="12" t="s">
        <v>3087</v>
      </c>
      <c r="CE146" s="12" t="s">
        <v>3088</v>
      </c>
      <c r="CF146" s="12" t="s">
        <v>3089</v>
      </c>
      <c r="CG146" s="12" t="s">
        <v>3090</v>
      </c>
      <c r="CH146" s="12" t="s">
        <v>3091</v>
      </c>
      <c r="CI146" s="12" t="s">
        <v>3092</v>
      </c>
      <c r="CJ146" s="12" t="s">
        <v>3093</v>
      </c>
      <c r="CK146" s="12" t="s">
        <v>3094</v>
      </c>
      <c r="CL146" s="12" t="s">
        <v>3095</v>
      </c>
      <c r="CM146" s="12" t="s">
        <v>3096</v>
      </c>
      <c r="CN146" s="12" t="s">
        <v>3097</v>
      </c>
      <c r="CO146" s="12" t="s">
        <v>3098</v>
      </c>
      <c r="CP146" s="12" t="s">
        <v>3099</v>
      </c>
      <c r="CQ146" s="12" t="s">
        <v>3100</v>
      </c>
      <c r="CR146" s="12" t="s">
        <v>3101</v>
      </c>
      <c r="CS146" s="12" t="s">
        <v>3102</v>
      </c>
      <c r="CT146" s="12" t="s">
        <v>3103</v>
      </c>
    </row>
    <row r="147" spans="1:98" hidden="1" x14ac:dyDescent="0.3">
      <c r="A147" s="12" t="s">
        <v>25</v>
      </c>
      <c r="B147" s="12" t="s">
        <v>3104</v>
      </c>
      <c r="C147" s="12" t="s">
        <v>3105</v>
      </c>
      <c r="D147" s="12" t="s">
        <v>3106</v>
      </c>
      <c r="E147" s="12" t="s">
        <v>578</v>
      </c>
      <c r="F147" s="12" t="s">
        <v>578</v>
      </c>
      <c r="G147" s="12" t="s">
        <v>578</v>
      </c>
      <c r="H147" s="12" t="s">
        <v>578</v>
      </c>
      <c r="I147" s="12" t="s">
        <v>578</v>
      </c>
      <c r="J147" s="12" t="s">
        <v>578</v>
      </c>
      <c r="K147" s="12" t="s">
        <v>578</v>
      </c>
      <c r="L147" s="12" t="s">
        <v>578</v>
      </c>
      <c r="M147" s="12" t="s">
        <v>578</v>
      </c>
      <c r="N147" s="12" t="s">
        <v>578</v>
      </c>
      <c r="O147" s="12" t="s">
        <v>578</v>
      </c>
      <c r="P147" s="12" t="s">
        <v>578</v>
      </c>
      <c r="Q147" s="12" t="s">
        <v>578</v>
      </c>
      <c r="R147" s="12" t="s">
        <v>578</v>
      </c>
      <c r="S147" s="12" t="s">
        <v>578</v>
      </c>
      <c r="T147" s="12" t="s">
        <v>578</v>
      </c>
      <c r="U147" s="12" t="s">
        <v>578</v>
      </c>
      <c r="V147" s="12" t="s">
        <v>578</v>
      </c>
      <c r="W147" s="12" t="s">
        <v>578</v>
      </c>
      <c r="X147" s="12" t="s">
        <v>578</v>
      </c>
      <c r="Y147" s="12" t="s">
        <v>578</v>
      </c>
      <c r="Z147" s="12" t="s">
        <v>578</v>
      </c>
      <c r="AA147" s="12" t="s">
        <v>578</v>
      </c>
      <c r="AB147" s="12" t="s">
        <v>578</v>
      </c>
      <c r="AC147" s="12" t="s">
        <v>578</v>
      </c>
      <c r="AD147" s="12" t="s">
        <v>578</v>
      </c>
      <c r="AE147" s="12" t="s">
        <v>578</v>
      </c>
      <c r="AF147" s="12" t="s">
        <v>578</v>
      </c>
      <c r="AG147" s="12" t="s">
        <v>578</v>
      </c>
      <c r="AH147" s="12" t="s">
        <v>578</v>
      </c>
      <c r="AI147" s="12" t="s">
        <v>578</v>
      </c>
      <c r="AJ147" s="12" t="s">
        <v>578</v>
      </c>
      <c r="AK147" s="12" t="s">
        <v>578</v>
      </c>
      <c r="AL147" s="12" t="s">
        <v>579</v>
      </c>
      <c r="AM147" s="12" t="s">
        <v>583</v>
      </c>
      <c r="AN147" s="12" t="s">
        <v>676</v>
      </c>
      <c r="AO147" s="12" t="s">
        <v>1259</v>
      </c>
      <c r="AP147" s="12" t="s">
        <v>768</v>
      </c>
      <c r="AQ147" s="12" t="s">
        <v>768</v>
      </c>
      <c r="AR147" s="12" t="s">
        <v>768</v>
      </c>
      <c r="AS147" s="12" t="s">
        <v>769</v>
      </c>
      <c r="AT147" s="12" t="s">
        <v>769</v>
      </c>
      <c r="AU147" s="12" t="s">
        <v>769</v>
      </c>
      <c r="AV147" s="12" t="s">
        <v>1413</v>
      </c>
      <c r="AW147" s="12" t="s">
        <v>1413</v>
      </c>
      <c r="AX147" s="12" t="s">
        <v>919</v>
      </c>
      <c r="AY147" s="12" t="s">
        <v>633</v>
      </c>
      <c r="AZ147" s="12" t="s">
        <v>633</v>
      </c>
      <c r="BA147" s="12" t="s">
        <v>974</v>
      </c>
      <c r="BB147" s="12" t="s">
        <v>975</v>
      </c>
      <c r="BC147" s="12" t="s">
        <v>856</v>
      </c>
      <c r="BD147" s="12" t="s">
        <v>856</v>
      </c>
      <c r="BE147" s="12" t="s">
        <v>637</v>
      </c>
      <c r="BF147" s="12" t="s">
        <v>872</v>
      </c>
      <c r="BG147" s="12" t="s">
        <v>638</v>
      </c>
      <c r="BH147" s="12" t="s">
        <v>2034</v>
      </c>
      <c r="BI147" s="12" t="s">
        <v>2014</v>
      </c>
      <c r="BJ147" s="12" t="s">
        <v>1505</v>
      </c>
      <c r="BK147" s="12" t="s">
        <v>1733</v>
      </c>
      <c r="BL147" s="12" t="s">
        <v>1278</v>
      </c>
      <c r="BM147" s="12" t="s">
        <v>725</v>
      </c>
      <c r="BN147" s="12" t="s">
        <v>1976</v>
      </c>
      <c r="BO147" s="12" t="s">
        <v>1279</v>
      </c>
      <c r="BP147" s="12" t="s">
        <v>984</v>
      </c>
      <c r="BQ147" s="12" t="s">
        <v>1887</v>
      </c>
      <c r="BR147" s="12" t="s">
        <v>2029</v>
      </c>
      <c r="BS147" s="12" t="s">
        <v>815</v>
      </c>
      <c r="BT147" s="12" t="s">
        <v>1493</v>
      </c>
      <c r="BU147" s="12" t="s">
        <v>775</v>
      </c>
      <c r="BV147" s="12" t="s">
        <v>1607</v>
      </c>
      <c r="BW147" s="12" t="s">
        <v>1832</v>
      </c>
      <c r="BX147" s="12" t="s">
        <v>1519</v>
      </c>
      <c r="BY147" s="12" t="s">
        <v>2079</v>
      </c>
      <c r="BZ147" s="12" t="s">
        <v>1845</v>
      </c>
      <c r="CA147" s="12" t="s">
        <v>3107</v>
      </c>
      <c r="CB147" s="12" t="s">
        <v>608</v>
      </c>
      <c r="CC147" s="12" t="s">
        <v>930</v>
      </c>
      <c r="CD147" s="12" t="s">
        <v>3108</v>
      </c>
      <c r="CE147" s="12" t="s">
        <v>1675</v>
      </c>
      <c r="CF147" s="12" t="s">
        <v>3109</v>
      </c>
      <c r="CG147" s="12" t="s">
        <v>2628</v>
      </c>
      <c r="CH147" s="12" t="s">
        <v>1388</v>
      </c>
      <c r="CI147" s="12" t="s">
        <v>3110</v>
      </c>
      <c r="CJ147" s="12" t="s">
        <v>1537</v>
      </c>
      <c r="CK147" s="12" t="s">
        <v>883</v>
      </c>
      <c r="CL147" s="12" t="s">
        <v>1794</v>
      </c>
      <c r="CM147" s="12" t="s">
        <v>3111</v>
      </c>
      <c r="CN147" s="12" t="s">
        <v>3112</v>
      </c>
      <c r="CO147" s="12" t="s">
        <v>3113</v>
      </c>
      <c r="CP147" s="12" t="s">
        <v>3036</v>
      </c>
      <c r="CQ147" s="12" t="s">
        <v>3114</v>
      </c>
      <c r="CR147" s="12" t="s">
        <v>3115</v>
      </c>
      <c r="CS147" s="12" t="s">
        <v>3116</v>
      </c>
      <c r="CT147" s="12" t="s">
        <v>3117</v>
      </c>
    </row>
    <row r="148" spans="1:98" hidden="1" x14ac:dyDescent="0.3">
      <c r="A148" s="12" t="s">
        <v>25</v>
      </c>
      <c r="B148" s="12" t="s">
        <v>3118</v>
      </c>
      <c r="C148" s="12" t="s">
        <v>3119</v>
      </c>
      <c r="D148" s="12" t="s">
        <v>3120</v>
      </c>
      <c r="E148" s="12" t="s">
        <v>578</v>
      </c>
      <c r="F148" s="12" t="s">
        <v>578</v>
      </c>
      <c r="G148" s="12" t="s">
        <v>578</v>
      </c>
      <c r="H148" s="12" t="s">
        <v>578</v>
      </c>
      <c r="I148" s="12" t="s">
        <v>578</v>
      </c>
      <c r="J148" s="12" t="s">
        <v>578</v>
      </c>
      <c r="K148" s="12" t="s">
        <v>578</v>
      </c>
      <c r="L148" s="12" t="s">
        <v>578</v>
      </c>
      <c r="M148" s="12" t="s">
        <v>578</v>
      </c>
      <c r="N148" s="12" t="s">
        <v>578</v>
      </c>
      <c r="O148" s="12" t="s">
        <v>578</v>
      </c>
      <c r="P148" s="12" t="s">
        <v>578</v>
      </c>
      <c r="Q148" s="12" t="s">
        <v>578</v>
      </c>
      <c r="R148" s="12" t="s">
        <v>578</v>
      </c>
      <c r="S148" s="12" t="s">
        <v>578</v>
      </c>
      <c r="T148" s="12" t="s">
        <v>578</v>
      </c>
      <c r="U148" s="12" t="s">
        <v>578</v>
      </c>
      <c r="V148" s="12" t="s">
        <v>578</v>
      </c>
      <c r="W148" s="12" t="s">
        <v>578</v>
      </c>
      <c r="X148" s="12" t="s">
        <v>578</v>
      </c>
      <c r="Y148" s="12" t="s">
        <v>578</v>
      </c>
      <c r="Z148" s="12" t="s">
        <v>578</v>
      </c>
      <c r="AA148" s="12" t="s">
        <v>578</v>
      </c>
      <c r="AB148" s="12" t="s">
        <v>578</v>
      </c>
      <c r="AC148" s="12" t="s">
        <v>578</v>
      </c>
      <c r="AD148" s="12" t="s">
        <v>578</v>
      </c>
      <c r="AE148" s="12" t="s">
        <v>578</v>
      </c>
      <c r="AF148" s="12" t="s">
        <v>578</v>
      </c>
      <c r="AG148" s="12" t="s">
        <v>578</v>
      </c>
      <c r="AH148" s="12" t="s">
        <v>578</v>
      </c>
      <c r="AI148" s="12" t="s">
        <v>578</v>
      </c>
      <c r="AJ148" s="12" t="s">
        <v>578</v>
      </c>
      <c r="AK148" s="12" t="s">
        <v>578</v>
      </c>
      <c r="AL148" s="12" t="s">
        <v>578</v>
      </c>
      <c r="AM148" s="12" t="s">
        <v>578</v>
      </c>
      <c r="AN148" s="12" t="s">
        <v>578</v>
      </c>
      <c r="AO148" s="12" t="s">
        <v>578</v>
      </c>
      <c r="AP148" s="12" t="s">
        <v>578</v>
      </c>
      <c r="AQ148" s="12" t="s">
        <v>578</v>
      </c>
      <c r="AR148" s="12" t="s">
        <v>578</v>
      </c>
      <c r="AS148" s="12" t="s">
        <v>578</v>
      </c>
      <c r="AT148" s="12" t="s">
        <v>578</v>
      </c>
      <c r="AU148" s="12" t="s">
        <v>578</v>
      </c>
      <c r="AV148" s="12" t="s">
        <v>578</v>
      </c>
      <c r="AW148" s="12" t="s">
        <v>578</v>
      </c>
      <c r="AX148" s="12" t="s">
        <v>578</v>
      </c>
      <c r="AY148" s="12" t="s">
        <v>578</v>
      </c>
      <c r="AZ148" s="12" t="s">
        <v>578</v>
      </c>
      <c r="BA148" s="12" t="s">
        <v>578</v>
      </c>
      <c r="BB148" s="12" t="s">
        <v>578</v>
      </c>
      <c r="BC148" s="12" t="s">
        <v>578</v>
      </c>
      <c r="BD148" s="12" t="s">
        <v>578</v>
      </c>
      <c r="BE148" s="12" t="s">
        <v>578</v>
      </c>
      <c r="BF148" s="12" t="s">
        <v>578</v>
      </c>
      <c r="BG148" s="12" t="s">
        <v>578</v>
      </c>
      <c r="BH148" s="12" t="s">
        <v>578</v>
      </c>
      <c r="BI148" s="12" t="s">
        <v>672</v>
      </c>
      <c r="BJ148" s="12" t="s">
        <v>672</v>
      </c>
      <c r="BK148" s="12" t="s">
        <v>851</v>
      </c>
      <c r="BL148" s="12" t="s">
        <v>756</v>
      </c>
      <c r="BM148" s="12" t="s">
        <v>756</v>
      </c>
      <c r="BN148" s="12" t="s">
        <v>584</v>
      </c>
      <c r="BO148" s="12" t="s">
        <v>629</v>
      </c>
      <c r="BP148" s="12" t="s">
        <v>1096</v>
      </c>
      <c r="BQ148" s="12" t="s">
        <v>1096</v>
      </c>
      <c r="BR148" s="12" t="s">
        <v>1413</v>
      </c>
      <c r="BS148" s="12" t="s">
        <v>1413</v>
      </c>
      <c r="BT148" s="12" t="s">
        <v>590</v>
      </c>
      <c r="BU148" s="12" t="s">
        <v>591</v>
      </c>
      <c r="BV148" s="12" t="s">
        <v>1260</v>
      </c>
      <c r="BW148" s="12" t="s">
        <v>979</v>
      </c>
      <c r="BX148" s="12" t="s">
        <v>1500</v>
      </c>
      <c r="BY148" s="12" t="s">
        <v>2034</v>
      </c>
      <c r="BZ148" s="12" t="s">
        <v>920</v>
      </c>
      <c r="CA148" s="12" t="s">
        <v>1515</v>
      </c>
      <c r="CB148" s="12" t="s">
        <v>3043</v>
      </c>
      <c r="CC148" s="12" t="s">
        <v>1127</v>
      </c>
      <c r="CD148" s="12" t="s">
        <v>3044</v>
      </c>
      <c r="CE148" s="12" t="s">
        <v>3121</v>
      </c>
      <c r="CF148" s="12" t="s">
        <v>1098</v>
      </c>
      <c r="CG148" s="12" t="s">
        <v>2058</v>
      </c>
      <c r="CH148" s="12" t="s">
        <v>650</v>
      </c>
      <c r="CI148" s="12" t="s">
        <v>1130</v>
      </c>
      <c r="CJ148" s="12" t="s">
        <v>2659</v>
      </c>
      <c r="CK148" s="12" t="s">
        <v>3122</v>
      </c>
      <c r="CL148" s="12" t="s">
        <v>735</v>
      </c>
      <c r="CM148" s="12" t="s">
        <v>1848</v>
      </c>
      <c r="CN148" s="12" t="s">
        <v>1036</v>
      </c>
      <c r="CO148" s="12" t="s">
        <v>2085</v>
      </c>
      <c r="CP148" s="12" t="s">
        <v>2700</v>
      </c>
      <c r="CQ148" s="12" t="s">
        <v>1714</v>
      </c>
      <c r="CR148" s="12" t="s">
        <v>2172</v>
      </c>
      <c r="CS148" s="12" t="s">
        <v>1987</v>
      </c>
      <c r="CT148" s="12" t="s">
        <v>608</v>
      </c>
    </row>
    <row r="149" spans="1:98" hidden="1" x14ac:dyDescent="0.3">
      <c r="A149" s="12" t="s">
        <v>25</v>
      </c>
      <c r="B149" s="12" t="s">
        <v>3123</v>
      </c>
      <c r="C149" s="12" t="s">
        <v>3124</v>
      </c>
      <c r="D149" s="12" t="s">
        <v>3125</v>
      </c>
      <c r="E149" s="12" t="s">
        <v>578</v>
      </c>
      <c r="F149" s="12" t="s">
        <v>578</v>
      </c>
      <c r="G149" s="12" t="s">
        <v>578</v>
      </c>
      <c r="H149" s="12" t="s">
        <v>578</v>
      </c>
      <c r="I149" s="12" t="s">
        <v>578</v>
      </c>
      <c r="J149" s="12" t="s">
        <v>578</v>
      </c>
      <c r="K149" s="12" t="s">
        <v>578</v>
      </c>
      <c r="L149" s="12" t="s">
        <v>578</v>
      </c>
      <c r="M149" s="12" t="s">
        <v>578</v>
      </c>
      <c r="N149" s="12" t="s">
        <v>578</v>
      </c>
      <c r="O149" s="12" t="s">
        <v>578</v>
      </c>
      <c r="P149" s="12" t="s">
        <v>578</v>
      </c>
      <c r="Q149" s="12" t="s">
        <v>578</v>
      </c>
      <c r="R149" s="12" t="s">
        <v>578</v>
      </c>
      <c r="S149" s="12" t="s">
        <v>578</v>
      </c>
      <c r="T149" s="12" t="s">
        <v>578</v>
      </c>
      <c r="U149" s="12" t="s">
        <v>578</v>
      </c>
      <c r="V149" s="12" t="s">
        <v>578</v>
      </c>
      <c r="W149" s="12" t="s">
        <v>578</v>
      </c>
      <c r="X149" s="12" t="s">
        <v>578</v>
      </c>
      <c r="Y149" s="12" t="s">
        <v>578</v>
      </c>
      <c r="Z149" s="12" t="s">
        <v>578</v>
      </c>
      <c r="AA149" s="12" t="s">
        <v>578</v>
      </c>
      <c r="AB149" s="12" t="s">
        <v>578</v>
      </c>
      <c r="AC149" s="12" t="s">
        <v>578</v>
      </c>
      <c r="AD149" s="12" t="s">
        <v>578</v>
      </c>
      <c r="AE149" s="12" t="s">
        <v>578</v>
      </c>
      <c r="AF149" s="12" t="s">
        <v>578</v>
      </c>
      <c r="AG149" s="12" t="s">
        <v>578</v>
      </c>
      <c r="AH149" s="12" t="s">
        <v>578</v>
      </c>
      <c r="AI149" s="12" t="s">
        <v>578</v>
      </c>
      <c r="AJ149" s="12" t="s">
        <v>578</v>
      </c>
      <c r="AK149" s="12" t="s">
        <v>578</v>
      </c>
      <c r="AL149" s="12" t="s">
        <v>578</v>
      </c>
      <c r="AM149" s="12" t="s">
        <v>578</v>
      </c>
      <c r="AN149" s="12" t="s">
        <v>578</v>
      </c>
      <c r="AO149" s="12" t="s">
        <v>578</v>
      </c>
      <c r="AP149" s="12" t="s">
        <v>578</v>
      </c>
      <c r="AQ149" s="12" t="s">
        <v>578</v>
      </c>
      <c r="AR149" s="12" t="s">
        <v>578</v>
      </c>
      <c r="AS149" s="12" t="s">
        <v>579</v>
      </c>
      <c r="AT149" s="12" t="s">
        <v>579</v>
      </c>
      <c r="AU149" s="12" t="s">
        <v>579</v>
      </c>
      <c r="AV149" s="12" t="s">
        <v>579</v>
      </c>
      <c r="AW149" s="12" t="s">
        <v>579</v>
      </c>
      <c r="AX149" s="12" t="s">
        <v>579</v>
      </c>
      <c r="AY149" s="12" t="s">
        <v>623</v>
      </c>
      <c r="AZ149" s="12" t="s">
        <v>851</v>
      </c>
      <c r="BA149" s="12" t="s">
        <v>755</v>
      </c>
      <c r="BB149" s="12" t="s">
        <v>624</v>
      </c>
      <c r="BC149" s="12" t="s">
        <v>624</v>
      </c>
      <c r="BD149" s="12" t="s">
        <v>673</v>
      </c>
      <c r="BE149" s="12" t="s">
        <v>676</v>
      </c>
      <c r="BF149" s="12" t="s">
        <v>2018</v>
      </c>
      <c r="BG149" s="12" t="s">
        <v>767</v>
      </c>
      <c r="BH149" s="12" t="s">
        <v>991</v>
      </c>
      <c r="BI149" s="12" t="s">
        <v>854</v>
      </c>
      <c r="BJ149" s="12" t="s">
        <v>977</v>
      </c>
      <c r="BK149" s="12" t="s">
        <v>979</v>
      </c>
      <c r="BL149" s="12" t="s">
        <v>1750</v>
      </c>
      <c r="BM149" s="12" t="s">
        <v>683</v>
      </c>
      <c r="BN149" s="12" t="s">
        <v>983</v>
      </c>
      <c r="BO149" s="12" t="s">
        <v>641</v>
      </c>
      <c r="BP149" s="12" t="s">
        <v>922</v>
      </c>
      <c r="BQ149" s="12" t="s">
        <v>1509</v>
      </c>
      <c r="BR149" s="12" t="s">
        <v>3121</v>
      </c>
      <c r="BS149" s="12" t="s">
        <v>958</v>
      </c>
      <c r="BT149" s="12" t="s">
        <v>2035</v>
      </c>
      <c r="BU149" s="12" t="s">
        <v>731</v>
      </c>
      <c r="BV149" s="12" t="s">
        <v>3126</v>
      </c>
      <c r="BW149" s="12" t="s">
        <v>656</v>
      </c>
      <c r="BX149" s="12" t="s">
        <v>1131</v>
      </c>
      <c r="BY149" s="12" t="s">
        <v>926</v>
      </c>
      <c r="BZ149" s="12" t="s">
        <v>1425</v>
      </c>
      <c r="CA149" s="12" t="s">
        <v>1284</v>
      </c>
      <c r="CB149" s="12" t="s">
        <v>1402</v>
      </c>
      <c r="CC149" s="12" t="s">
        <v>662</v>
      </c>
      <c r="CD149" s="12" t="s">
        <v>1374</v>
      </c>
      <c r="CE149" s="12" t="s">
        <v>779</v>
      </c>
      <c r="CF149" s="12" t="s">
        <v>2172</v>
      </c>
      <c r="CG149" s="12" t="s">
        <v>2840</v>
      </c>
      <c r="CH149" s="12" t="s">
        <v>1994</v>
      </c>
      <c r="CI149" s="12" t="s">
        <v>1051</v>
      </c>
      <c r="CJ149" s="12" t="s">
        <v>2190</v>
      </c>
      <c r="CK149" s="12" t="s">
        <v>3127</v>
      </c>
      <c r="CL149" s="12" t="s">
        <v>1379</v>
      </c>
      <c r="CM149" s="12" t="s">
        <v>1891</v>
      </c>
      <c r="CN149" s="12" t="s">
        <v>2217</v>
      </c>
      <c r="CO149" s="12" t="s">
        <v>2726</v>
      </c>
      <c r="CP149" s="12" t="s">
        <v>3128</v>
      </c>
      <c r="CQ149" s="12" t="s">
        <v>3129</v>
      </c>
      <c r="CR149" s="12" t="s">
        <v>1906</v>
      </c>
      <c r="CS149" s="12" t="s">
        <v>2049</v>
      </c>
      <c r="CT149" s="12" t="s">
        <v>610</v>
      </c>
    </row>
    <row r="150" spans="1:98" hidden="1" x14ac:dyDescent="0.3">
      <c r="A150" s="12" t="s">
        <v>25</v>
      </c>
      <c r="B150" s="12" t="s">
        <v>3130</v>
      </c>
      <c r="C150" s="12" t="s">
        <v>3131</v>
      </c>
      <c r="D150" s="12" t="s">
        <v>3132</v>
      </c>
      <c r="E150" s="12" t="s">
        <v>578</v>
      </c>
      <c r="F150" s="12" t="s">
        <v>578</v>
      </c>
      <c r="G150" s="12" t="s">
        <v>578</v>
      </c>
      <c r="H150" s="12" t="s">
        <v>578</v>
      </c>
      <c r="I150" s="12" t="s">
        <v>578</v>
      </c>
      <c r="J150" s="12" t="s">
        <v>578</v>
      </c>
      <c r="K150" s="12" t="s">
        <v>578</v>
      </c>
      <c r="L150" s="12" t="s">
        <v>578</v>
      </c>
      <c r="M150" s="12" t="s">
        <v>578</v>
      </c>
      <c r="N150" s="12" t="s">
        <v>578</v>
      </c>
      <c r="O150" s="12" t="s">
        <v>578</v>
      </c>
      <c r="P150" s="12" t="s">
        <v>578</v>
      </c>
      <c r="Q150" s="12" t="s">
        <v>578</v>
      </c>
      <c r="R150" s="12" t="s">
        <v>578</v>
      </c>
      <c r="S150" s="12" t="s">
        <v>578</v>
      </c>
      <c r="T150" s="12" t="s">
        <v>578</v>
      </c>
      <c r="U150" s="12" t="s">
        <v>578</v>
      </c>
      <c r="V150" s="12" t="s">
        <v>578</v>
      </c>
      <c r="W150" s="12" t="s">
        <v>578</v>
      </c>
      <c r="X150" s="12" t="s">
        <v>578</v>
      </c>
      <c r="Y150" s="12" t="s">
        <v>578</v>
      </c>
      <c r="Z150" s="12" t="s">
        <v>578</v>
      </c>
      <c r="AA150" s="12" t="s">
        <v>578</v>
      </c>
      <c r="AB150" s="12" t="s">
        <v>578</v>
      </c>
      <c r="AC150" s="12" t="s">
        <v>578</v>
      </c>
      <c r="AD150" s="12" t="s">
        <v>578</v>
      </c>
      <c r="AE150" s="12" t="s">
        <v>578</v>
      </c>
      <c r="AF150" s="12" t="s">
        <v>578</v>
      </c>
      <c r="AG150" s="12" t="s">
        <v>578</v>
      </c>
      <c r="AH150" s="12" t="s">
        <v>578</v>
      </c>
      <c r="AI150" s="12" t="s">
        <v>579</v>
      </c>
      <c r="AJ150" s="12" t="s">
        <v>579</v>
      </c>
      <c r="AK150" s="12" t="s">
        <v>579</v>
      </c>
      <c r="AL150" s="12" t="s">
        <v>579</v>
      </c>
      <c r="AM150" s="12" t="s">
        <v>579</v>
      </c>
      <c r="AN150" s="12" t="s">
        <v>623</v>
      </c>
      <c r="AO150" s="12" t="s">
        <v>623</v>
      </c>
      <c r="AP150" s="12" t="s">
        <v>623</v>
      </c>
      <c r="AQ150" s="12" t="s">
        <v>580</v>
      </c>
      <c r="AR150" s="12" t="s">
        <v>624</v>
      </c>
      <c r="AS150" s="12" t="s">
        <v>868</v>
      </c>
      <c r="AT150" s="12" t="s">
        <v>868</v>
      </c>
      <c r="AU150" s="12" t="s">
        <v>868</v>
      </c>
      <c r="AV150" s="12" t="s">
        <v>584</v>
      </c>
      <c r="AW150" s="12" t="s">
        <v>586</v>
      </c>
      <c r="AX150" s="12" t="s">
        <v>586</v>
      </c>
      <c r="AY150" s="12" t="s">
        <v>852</v>
      </c>
      <c r="AZ150" s="12" t="s">
        <v>852</v>
      </c>
      <c r="BA150" s="12" t="s">
        <v>1046</v>
      </c>
      <c r="BB150" s="12" t="s">
        <v>919</v>
      </c>
      <c r="BC150" s="12" t="s">
        <v>919</v>
      </c>
      <c r="BD150" s="12" t="s">
        <v>855</v>
      </c>
      <c r="BE150" s="12" t="s">
        <v>858</v>
      </c>
      <c r="BF150" s="12" t="s">
        <v>592</v>
      </c>
      <c r="BG150" s="12" t="s">
        <v>592</v>
      </c>
      <c r="BH150" s="12" t="s">
        <v>593</v>
      </c>
      <c r="BI150" s="12" t="s">
        <v>723</v>
      </c>
      <c r="BJ150" s="12" t="s">
        <v>1262</v>
      </c>
      <c r="BK150" s="12" t="s">
        <v>1186</v>
      </c>
      <c r="BL150" s="12" t="s">
        <v>1362</v>
      </c>
      <c r="BM150" s="12" t="s">
        <v>2030</v>
      </c>
      <c r="BN150" s="12" t="s">
        <v>727</v>
      </c>
      <c r="BO150" s="12" t="s">
        <v>1396</v>
      </c>
      <c r="BP150" s="12" t="s">
        <v>648</v>
      </c>
      <c r="BQ150" s="12" t="s">
        <v>1282</v>
      </c>
      <c r="BR150" s="12" t="s">
        <v>2002</v>
      </c>
      <c r="BS150" s="12" t="s">
        <v>2503</v>
      </c>
      <c r="BT150" s="12" t="s">
        <v>967</v>
      </c>
      <c r="BU150" s="12" t="s">
        <v>656</v>
      </c>
      <c r="BV150" s="12" t="s">
        <v>1844</v>
      </c>
      <c r="BW150" s="12" t="s">
        <v>1845</v>
      </c>
      <c r="BX150" s="12" t="s">
        <v>659</v>
      </c>
      <c r="BY150" s="12" t="s">
        <v>2080</v>
      </c>
      <c r="BZ150" s="12" t="s">
        <v>996</v>
      </c>
      <c r="CA150" s="12" t="s">
        <v>1039</v>
      </c>
      <c r="CB150" s="12" t="s">
        <v>1040</v>
      </c>
      <c r="CC150" s="12" t="s">
        <v>662</v>
      </c>
      <c r="CD150" s="12" t="s">
        <v>1405</v>
      </c>
      <c r="CE150" s="12" t="s">
        <v>1710</v>
      </c>
      <c r="CF150" s="12" t="s">
        <v>665</v>
      </c>
      <c r="CG150" s="12" t="s">
        <v>3133</v>
      </c>
      <c r="CH150" s="12" t="s">
        <v>2840</v>
      </c>
      <c r="CI150" s="12" t="s">
        <v>1627</v>
      </c>
      <c r="CJ150" s="12" t="s">
        <v>1100</v>
      </c>
      <c r="CK150" s="12" t="s">
        <v>1427</v>
      </c>
      <c r="CL150" s="12" t="s">
        <v>667</v>
      </c>
      <c r="CM150" s="12" t="s">
        <v>3134</v>
      </c>
      <c r="CN150" s="12" t="s">
        <v>1138</v>
      </c>
      <c r="CO150" s="12" t="s">
        <v>745</v>
      </c>
      <c r="CP150" s="12" t="s">
        <v>3135</v>
      </c>
      <c r="CQ150" s="12" t="s">
        <v>3135</v>
      </c>
      <c r="CR150" s="12" t="s">
        <v>1891</v>
      </c>
      <c r="CS150" s="12" t="s">
        <v>1139</v>
      </c>
      <c r="CT150" s="12" t="s">
        <v>746</v>
      </c>
    </row>
    <row r="151" spans="1:98" hidden="1" x14ac:dyDescent="0.3">
      <c r="A151" s="12" t="s">
        <v>25</v>
      </c>
      <c r="B151" s="12" t="s">
        <v>3136</v>
      </c>
      <c r="C151" s="12" t="s">
        <v>3137</v>
      </c>
      <c r="D151" s="12" t="s">
        <v>3138</v>
      </c>
      <c r="E151" s="12" t="s">
        <v>578</v>
      </c>
      <c r="F151" s="12" t="s">
        <v>578</v>
      </c>
      <c r="G151" s="12" t="s">
        <v>578</v>
      </c>
      <c r="H151" s="12" t="s">
        <v>578</v>
      </c>
      <c r="I151" s="12" t="s">
        <v>578</v>
      </c>
      <c r="J151" s="12" t="s">
        <v>578</v>
      </c>
      <c r="K151" s="12" t="s">
        <v>578</v>
      </c>
      <c r="L151" s="12" t="s">
        <v>578</v>
      </c>
      <c r="M151" s="12" t="s">
        <v>578</v>
      </c>
      <c r="N151" s="12" t="s">
        <v>578</v>
      </c>
      <c r="O151" s="12" t="s">
        <v>578</v>
      </c>
      <c r="P151" s="12" t="s">
        <v>578</v>
      </c>
      <c r="Q151" s="12" t="s">
        <v>578</v>
      </c>
      <c r="R151" s="12" t="s">
        <v>578</v>
      </c>
      <c r="S151" s="12" t="s">
        <v>578</v>
      </c>
      <c r="T151" s="12" t="s">
        <v>578</v>
      </c>
      <c r="U151" s="12" t="s">
        <v>578</v>
      </c>
      <c r="V151" s="12" t="s">
        <v>578</v>
      </c>
      <c r="W151" s="12" t="s">
        <v>578</v>
      </c>
      <c r="X151" s="12" t="s">
        <v>578</v>
      </c>
      <c r="Y151" s="12" t="s">
        <v>578</v>
      </c>
      <c r="Z151" s="12" t="s">
        <v>578</v>
      </c>
      <c r="AA151" s="12" t="s">
        <v>578</v>
      </c>
      <c r="AB151" s="12" t="s">
        <v>578</v>
      </c>
      <c r="AC151" s="12" t="s">
        <v>578</v>
      </c>
      <c r="AD151" s="12" t="s">
        <v>578</v>
      </c>
      <c r="AE151" s="12" t="s">
        <v>578</v>
      </c>
      <c r="AF151" s="12" t="s">
        <v>578</v>
      </c>
      <c r="AG151" s="12" t="s">
        <v>578</v>
      </c>
      <c r="AH151" s="12" t="s">
        <v>578</v>
      </c>
      <c r="AI151" s="12" t="s">
        <v>578</v>
      </c>
      <c r="AJ151" s="12" t="s">
        <v>578</v>
      </c>
      <c r="AK151" s="12" t="s">
        <v>578</v>
      </c>
      <c r="AL151" s="12" t="s">
        <v>578</v>
      </c>
      <c r="AM151" s="12" t="s">
        <v>578</v>
      </c>
      <c r="AN151" s="12" t="s">
        <v>578</v>
      </c>
      <c r="AO151" s="12" t="s">
        <v>578</v>
      </c>
      <c r="AP151" s="12" t="s">
        <v>578</v>
      </c>
      <c r="AQ151" s="12" t="s">
        <v>578</v>
      </c>
      <c r="AR151" s="12" t="s">
        <v>578</v>
      </c>
      <c r="AS151" s="12" t="s">
        <v>578</v>
      </c>
      <c r="AT151" s="12" t="s">
        <v>578</v>
      </c>
      <c r="AU151" s="12" t="s">
        <v>578</v>
      </c>
      <c r="AV151" s="12" t="s">
        <v>578</v>
      </c>
      <c r="AW151" s="12" t="s">
        <v>578</v>
      </c>
      <c r="AX151" s="12" t="s">
        <v>578</v>
      </c>
      <c r="AY151" s="12" t="s">
        <v>578</v>
      </c>
      <c r="AZ151" s="12" t="s">
        <v>578</v>
      </c>
      <c r="BA151" s="12" t="s">
        <v>578</v>
      </c>
      <c r="BB151" s="12" t="s">
        <v>578</v>
      </c>
      <c r="BC151" s="12" t="s">
        <v>578</v>
      </c>
      <c r="BD151" s="12" t="s">
        <v>578</v>
      </c>
      <c r="BE151" s="12" t="s">
        <v>578</v>
      </c>
      <c r="BF151" s="12" t="s">
        <v>578</v>
      </c>
      <c r="BG151" s="12" t="s">
        <v>579</v>
      </c>
      <c r="BH151" s="12" t="s">
        <v>579</v>
      </c>
      <c r="BI151" s="12" t="s">
        <v>623</v>
      </c>
      <c r="BJ151" s="12" t="s">
        <v>623</v>
      </c>
      <c r="BK151" s="12" t="s">
        <v>623</v>
      </c>
      <c r="BL151" s="12" t="s">
        <v>672</v>
      </c>
      <c r="BM151" s="12" t="s">
        <v>672</v>
      </c>
      <c r="BN151" s="12" t="s">
        <v>672</v>
      </c>
      <c r="BO151" s="12" t="s">
        <v>672</v>
      </c>
      <c r="BP151" s="12" t="s">
        <v>672</v>
      </c>
      <c r="BQ151" s="12" t="s">
        <v>672</v>
      </c>
      <c r="BR151" s="12" t="s">
        <v>672</v>
      </c>
      <c r="BS151" s="12" t="s">
        <v>672</v>
      </c>
      <c r="BT151" s="12" t="s">
        <v>672</v>
      </c>
      <c r="BU151" s="12" t="s">
        <v>672</v>
      </c>
      <c r="BV151" s="12" t="s">
        <v>672</v>
      </c>
      <c r="BW151" s="12" t="s">
        <v>851</v>
      </c>
      <c r="BX151" s="12" t="s">
        <v>851</v>
      </c>
      <c r="BY151" s="12" t="s">
        <v>582</v>
      </c>
      <c r="BZ151" s="12" t="s">
        <v>624</v>
      </c>
      <c r="CA151" s="12" t="s">
        <v>868</v>
      </c>
      <c r="CB151" s="12" t="s">
        <v>756</v>
      </c>
      <c r="CC151" s="12" t="s">
        <v>756</v>
      </c>
      <c r="CD151" s="12" t="s">
        <v>766</v>
      </c>
      <c r="CE151" s="12" t="s">
        <v>766</v>
      </c>
      <c r="CF151" s="12" t="s">
        <v>677</v>
      </c>
      <c r="CG151" s="12" t="s">
        <v>678</v>
      </c>
      <c r="CH151" s="12" t="s">
        <v>954</v>
      </c>
      <c r="CI151" s="12" t="s">
        <v>632</v>
      </c>
      <c r="CJ151" s="12" t="s">
        <v>632</v>
      </c>
      <c r="CK151" s="12" t="s">
        <v>632</v>
      </c>
      <c r="CL151" s="12" t="s">
        <v>632</v>
      </c>
      <c r="CM151" s="12" t="s">
        <v>635</v>
      </c>
      <c r="CN151" s="12" t="s">
        <v>635</v>
      </c>
      <c r="CO151" s="12" t="s">
        <v>857</v>
      </c>
      <c r="CP151" s="12" t="s">
        <v>860</v>
      </c>
      <c r="CQ151" s="12" t="s">
        <v>1732</v>
      </c>
      <c r="CR151" s="12" t="s">
        <v>1732</v>
      </c>
      <c r="CS151" s="12" t="s">
        <v>1732</v>
      </c>
      <c r="CT151" s="12" t="s">
        <v>1417</v>
      </c>
    </row>
    <row r="152" spans="1:98" hidden="1" x14ac:dyDescent="0.3">
      <c r="A152" s="12" t="s">
        <v>25</v>
      </c>
      <c r="B152" s="12" t="s">
        <v>3139</v>
      </c>
      <c r="C152" s="12" t="s">
        <v>3140</v>
      </c>
      <c r="D152" s="12" t="s">
        <v>3141</v>
      </c>
      <c r="E152" s="12" t="s">
        <v>578</v>
      </c>
      <c r="F152" s="12" t="s">
        <v>578</v>
      </c>
      <c r="G152" s="12" t="s">
        <v>578</v>
      </c>
      <c r="H152" s="12" t="s">
        <v>578</v>
      </c>
      <c r="I152" s="12" t="s">
        <v>578</v>
      </c>
      <c r="J152" s="12" t="s">
        <v>578</v>
      </c>
      <c r="K152" s="12" t="s">
        <v>578</v>
      </c>
      <c r="L152" s="12" t="s">
        <v>578</v>
      </c>
      <c r="M152" s="12" t="s">
        <v>578</v>
      </c>
      <c r="N152" s="12" t="s">
        <v>578</v>
      </c>
      <c r="O152" s="12" t="s">
        <v>578</v>
      </c>
      <c r="P152" s="12" t="s">
        <v>578</v>
      </c>
      <c r="Q152" s="12" t="s">
        <v>578</v>
      </c>
      <c r="R152" s="12" t="s">
        <v>578</v>
      </c>
      <c r="S152" s="12" t="s">
        <v>578</v>
      </c>
      <c r="T152" s="12" t="s">
        <v>578</v>
      </c>
      <c r="U152" s="12" t="s">
        <v>578</v>
      </c>
      <c r="V152" s="12" t="s">
        <v>578</v>
      </c>
      <c r="W152" s="12" t="s">
        <v>578</v>
      </c>
      <c r="X152" s="12" t="s">
        <v>578</v>
      </c>
      <c r="Y152" s="12" t="s">
        <v>578</v>
      </c>
      <c r="Z152" s="12" t="s">
        <v>578</v>
      </c>
      <c r="AA152" s="12" t="s">
        <v>578</v>
      </c>
      <c r="AB152" s="12" t="s">
        <v>578</v>
      </c>
      <c r="AC152" s="12" t="s">
        <v>578</v>
      </c>
      <c r="AD152" s="12" t="s">
        <v>578</v>
      </c>
      <c r="AE152" s="12" t="s">
        <v>578</v>
      </c>
      <c r="AF152" s="12" t="s">
        <v>578</v>
      </c>
      <c r="AG152" s="12" t="s">
        <v>578</v>
      </c>
      <c r="AH152" s="12" t="s">
        <v>578</v>
      </c>
      <c r="AI152" s="12" t="s">
        <v>578</v>
      </c>
      <c r="AJ152" s="12" t="s">
        <v>578</v>
      </c>
      <c r="AK152" s="12" t="s">
        <v>578</v>
      </c>
      <c r="AL152" s="12" t="s">
        <v>578</v>
      </c>
      <c r="AM152" s="12" t="s">
        <v>578</v>
      </c>
      <c r="AN152" s="12" t="s">
        <v>578</v>
      </c>
      <c r="AO152" s="12" t="s">
        <v>578</v>
      </c>
      <c r="AP152" s="12" t="s">
        <v>578</v>
      </c>
      <c r="AQ152" s="12" t="s">
        <v>578</v>
      </c>
      <c r="AR152" s="12" t="s">
        <v>578</v>
      </c>
      <c r="AS152" s="12" t="s">
        <v>578</v>
      </c>
      <c r="AT152" s="12" t="s">
        <v>578</v>
      </c>
      <c r="AU152" s="12" t="s">
        <v>579</v>
      </c>
      <c r="AV152" s="12" t="s">
        <v>579</v>
      </c>
      <c r="AW152" s="12" t="s">
        <v>579</v>
      </c>
      <c r="AX152" s="12" t="s">
        <v>579</v>
      </c>
      <c r="AY152" s="12" t="s">
        <v>579</v>
      </c>
      <c r="AZ152" s="12" t="s">
        <v>579</v>
      </c>
      <c r="BA152" s="12" t="s">
        <v>579</v>
      </c>
      <c r="BB152" s="12" t="s">
        <v>579</v>
      </c>
      <c r="BC152" s="12" t="s">
        <v>579</v>
      </c>
      <c r="BD152" s="12" t="s">
        <v>579</v>
      </c>
      <c r="BE152" s="12" t="s">
        <v>580</v>
      </c>
      <c r="BF152" s="12" t="s">
        <v>580</v>
      </c>
      <c r="BG152" s="12" t="s">
        <v>580</v>
      </c>
      <c r="BH152" s="12" t="s">
        <v>582</v>
      </c>
      <c r="BI152" s="12" t="s">
        <v>869</v>
      </c>
      <c r="BJ152" s="12" t="s">
        <v>869</v>
      </c>
      <c r="BK152" s="12" t="s">
        <v>869</v>
      </c>
      <c r="BL152" s="12" t="s">
        <v>677</v>
      </c>
      <c r="BM152" s="12" t="s">
        <v>677</v>
      </c>
      <c r="BN152" s="12" t="s">
        <v>630</v>
      </c>
      <c r="BO152" s="12" t="s">
        <v>630</v>
      </c>
      <c r="BP152" s="12" t="s">
        <v>630</v>
      </c>
      <c r="BQ152" s="12" t="s">
        <v>769</v>
      </c>
      <c r="BR152" s="12" t="s">
        <v>769</v>
      </c>
      <c r="BS152" s="12" t="s">
        <v>769</v>
      </c>
      <c r="BT152" s="12" t="s">
        <v>769</v>
      </c>
      <c r="BU152" s="12" t="s">
        <v>853</v>
      </c>
      <c r="BV152" s="12" t="s">
        <v>770</v>
      </c>
      <c r="BW152" s="12" t="s">
        <v>770</v>
      </c>
      <c r="BX152" s="12" t="s">
        <v>720</v>
      </c>
      <c r="BY152" s="12" t="s">
        <v>720</v>
      </c>
      <c r="BZ152" s="12" t="s">
        <v>855</v>
      </c>
      <c r="CA152" s="12" t="s">
        <v>855</v>
      </c>
      <c r="CB152" s="12" t="s">
        <v>855</v>
      </c>
      <c r="CC152" s="12" t="s">
        <v>810</v>
      </c>
      <c r="CD152" s="12" t="s">
        <v>810</v>
      </c>
      <c r="CE152" s="12" t="s">
        <v>810</v>
      </c>
      <c r="CF152" s="12" t="s">
        <v>771</v>
      </c>
      <c r="CG152" s="12" t="s">
        <v>771</v>
      </c>
      <c r="CH152" s="12" t="s">
        <v>771</v>
      </c>
      <c r="CI152" s="12" t="s">
        <v>771</v>
      </c>
      <c r="CJ152" s="12" t="s">
        <v>771</v>
      </c>
      <c r="CK152" s="12" t="s">
        <v>771</v>
      </c>
      <c r="CL152" s="12" t="s">
        <v>771</v>
      </c>
      <c r="CM152" s="12" t="s">
        <v>771</v>
      </c>
      <c r="CN152" s="12" t="s">
        <v>771</v>
      </c>
      <c r="CO152" s="12" t="s">
        <v>1184</v>
      </c>
      <c r="CP152" s="12" t="s">
        <v>1184</v>
      </c>
      <c r="CQ152" s="12" t="s">
        <v>1184</v>
      </c>
      <c r="CR152" s="12" t="s">
        <v>1184</v>
      </c>
      <c r="CS152" s="12" t="s">
        <v>1184</v>
      </c>
      <c r="CT152" s="12" t="s">
        <v>1184</v>
      </c>
    </row>
    <row r="153" spans="1:98" hidden="1" x14ac:dyDescent="0.3">
      <c r="A153" s="12" t="s">
        <v>25</v>
      </c>
      <c r="B153" s="12" t="s">
        <v>3142</v>
      </c>
      <c r="C153" s="12" t="s">
        <v>3143</v>
      </c>
      <c r="D153" s="12" t="s">
        <v>3144</v>
      </c>
      <c r="E153" s="12" t="s">
        <v>578</v>
      </c>
      <c r="F153" s="12" t="s">
        <v>578</v>
      </c>
      <c r="G153" s="12" t="s">
        <v>578</v>
      </c>
      <c r="H153" s="12" t="s">
        <v>578</v>
      </c>
      <c r="I153" s="12" t="s">
        <v>578</v>
      </c>
      <c r="J153" s="12" t="s">
        <v>578</v>
      </c>
      <c r="K153" s="12" t="s">
        <v>578</v>
      </c>
      <c r="L153" s="12" t="s">
        <v>578</v>
      </c>
      <c r="M153" s="12" t="s">
        <v>578</v>
      </c>
      <c r="N153" s="12" t="s">
        <v>578</v>
      </c>
      <c r="O153" s="12" t="s">
        <v>578</v>
      </c>
      <c r="P153" s="12" t="s">
        <v>578</v>
      </c>
      <c r="Q153" s="12" t="s">
        <v>578</v>
      </c>
      <c r="R153" s="12" t="s">
        <v>578</v>
      </c>
      <c r="S153" s="12" t="s">
        <v>578</v>
      </c>
      <c r="T153" s="12" t="s">
        <v>578</v>
      </c>
      <c r="U153" s="12" t="s">
        <v>578</v>
      </c>
      <c r="V153" s="12" t="s">
        <v>578</v>
      </c>
      <c r="W153" s="12" t="s">
        <v>578</v>
      </c>
      <c r="X153" s="12" t="s">
        <v>578</v>
      </c>
      <c r="Y153" s="12" t="s">
        <v>578</v>
      </c>
      <c r="Z153" s="12" t="s">
        <v>578</v>
      </c>
      <c r="AA153" s="12" t="s">
        <v>578</v>
      </c>
      <c r="AB153" s="12" t="s">
        <v>578</v>
      </c>
      <c r="AC153" s="12" t="s">
        <v>578</v>
      </c>
      <c r="AD153" s="12" t="s">
        <v>578</v>
      </c>
      <c r="AE153" s="12" t="s">
        <v>578</v>
      </c>
      <c r="AF153" s="12" t="s">
        <v>578</v>
      </c>
      <c r="AG153" s="12" t="s">
        <v>578</v>
      </c>
      <c r="AH153" s="12" t="s">
        <v>578</v>
      </c>
      <c r="AI153" s="12" t="s">
        <v>578</v>
      </c>
      <c r="AJ153" s="12" t="s">
        <v>578</v>
      </c>
      <c r="AK153" s="12" t="s">
        <v>578</v>
      </c>
      <c r="AL153" s="12" t="s">
        <v>578</v>
      </c>
      <c r="AM153" s="12" t="s">
        <v>578</v>
      </c>
      <c r="AN153" s="12" t="s">
        <v>578</v>
      </c>
      <c r="AO153" s="12" t="s">
        <v>578</v>
      </c>
      <c r="AP153" s="12" t="s">
        <v>579</v>
      </c>
      <c r="AQ153" s="12" t="s">
        <v>579</v>
      </c>
      <c r="AR153" s="12" t="s">
        <v>579</v>
      </c>
      <c r="AS153" s="12" t="s">
        <v>579</v>
      </c>
      <c r="AT153" s="12" t="s">
        <v>579</v>
      </c>
      <c r="AU153" s="12" t="s">
        <v>579</v>
      </c>
      <c r="AV153" s="12" t="s">
        <v>579</v>
      </c>
      <c r="AW153" s="12" t="s">
        <v>579</v>
      </c>
      <c r="AX153" s="12" t="s">
        <v>579</v>
      </c>
      <c r="AY153" s="12" t="s">
        <v>579</v>
      </c>
      <c r="AZ153" s="12" t="s">
        <v>579</v>
      </c>
      <c r="BA153" s="12" t="s">
        <v>579</v>
      </c>
      <c r="BB153" s="12" t="s">
        <v>672</v>
      </c>
      <c r="BC153" s="12" t="s">
        <v>672</v>
      </c>
      <c r="BD153" s="12" t="s">
        <v>851</v>
      </c>
      <c r="BE153" s="12" t="s">
        <v>755</v>
      </c>
      <c r="BF153" s="12" t="s">
        <v>625</v>
      </c>
      <c r="BG153" s="12" t="s">
        <v>673</v>
      </c>
      <c r="BH153" s="12" t="s">
        <v>757</v>
      </c>
      <c r="BI153" s="12" t="s">
        <v>913</v>
      </c>
      <c r="BJ153" s="12" t="s">
        <v>971</v>
      </c>
      <c r="BK153" s="12" t="s">
        <v>991</v>
      </c>
      <c r="BL153" s="12" t="s">
        <v>1352</v>
      </c>
      <c r="BM153" s="12" t="s">
        <v>1821</v>
      </c>
      <c r="BN153" s="12" t="s">
        <v>1734</v>
      </c>
      <c r="BO153" s="12" t="s">
        <v>1097</v>
      </c>
      <c r="BP153" s="12" t="s">
        <v>1687</v>
      </c>
      <c r="BQ153" s="12" t="s">
        <v>599</v>
      </c>
      <c r="BR153" s="12" t="s">
        <v>1438</v>
      </c>
      <c r="BS153" s="12" t="s">
        <v>2167</v>
      </c>
      <c r="BT153" s="12" t="s">
        <v>1033</v>
      </c>
      <c r="BU153" s="12" t="s">
        <v>1703</v>
      </c>
      <c r="BV153" s="12" t="s">
        <v>1626</v>
      </c>
      <c r="BW153" s="12" t="s">
        <v>1406</v>
      </c>
      <c r="BX153" s="12" t="s">
        <v>1523</v>
      </c>
      <c r="BY153" s="12" t="s">
        <v>746</v>
      </c>
      <c r="BZ153" s="12" t="s">
        <v>2004</v>
      </c>
      <c r="CA153" s="12" t="s">
        <v>1142</v>
      </c>
      <c r="CB153" s="12" t="s">
        <v>3145</v>
      </c>
      <c r="CC153" s="12" t="s">
        <v>2455</v>
      </c>
      <c r="CD153" s="12" t="s">
        <v>1967</v>
      </c>
      <c r="CE153" s="12" t="s">
        <v>3146</v>
      </c>
      <c r="CF153" s="12" t="s">
        <v>944</v>
      </c>
      <c r="CG153" s="12" t="s">
        <v>615</v>
      </c>
      <c r="CH153" s="12" t="s">
        <v>3147</v>
      </c>
      <c r="CI153" s="12" t="s">
        <v>3148</v>
      </c>
      <c r="CJ153" s="12" t="s">
        <v>2399</v>
      </c>
      <c r="CK153" s="12" t="s">
        <v>3031</v>
      </c>
      <c r="CL153" s="12" t="s">
        <v>2927</v>
      </c>
      <c r="CM153" s="12" t="s">
        <v>2432</v>
      </c>
      <c r="CN153" s="12" t="s">
        <v>3149</v>
      </c>
      <c r="CO153" s="12" t="s">
        <v>3150</v>
      </c>
      <c r="CP153" s="12" t="s">
        <v>2290</v>
      </c>
      <c r="CQ153" s="12" t="s">
        <v>1772</v>
      </c>
      <c r="CR153" s="12" t="s">
        <v>1469</v>
      </c>
      <c r="CS153" s="12" t="s">
        <v>1111</v>
      </c>
      <c r="CT153" s="12" t="s">
        <v>2686</v>
      </c>
    </row>
    <row r="154" spans="1:98" hidden="1" x14ac:dyDescent="0.3">
      <c r="A154" s="12" t="s">
        <v>25</v>
      </c>
      <c r="B154" s="12" t="s">
        <v>3151</v>
      </c>
      <c r="C154" s="12" t="s">
        <v>3152</v>
      </c>
      <c r="D154" s="12" t="s">
        <v>3153</v>
      </c>
      <c r="E154" s="12" t="s">
        <v>578</v>
      </c>
      <c r="F154" s="12" t="s">
        <v>578</v>
      </c>
      <c r="G154" s="12" t="s">
        <v>578</v>
      </c>
      <c r="H154" s="12" t="s">
        <v>578</v>
      </c>
      <c r="I154" s="12" t="s">
        <v>578</v>
      </c>
      <c r="J154" s="12" t="s">
        <v>578</v>
      </c>
      <c r="K154" s="12" t="s">
        <v>578</v>
      </c>
      <c r="L154" s="12" t="s">
        <v>578</v>
      </c>
      <c r="M154" s="12" t="s">
        <v>578</v>
      </c>
      <c r="N154" s="12" t="s">
        <v>578</v>
      </c>
      <c r="O154" s="12" t="s">
        <v>578</v>
      </c>
      <c r="P154" s="12" t="s">
        <v>578</v>
      </c>
      <c r="Q154" s="12" t="s">
        <v>578</v>
      </c>
      <c r="R154" s="12" t="s">
        <v>578</v>
      </c>
      <c r="S154" s="12" t="s">
        <v>578</v>
      </c>
      <c r="T154" s="12" t="s">
        <v>578</v>
      </c>
      <c r="U154" s="12" t="s">
        <v>578</v>
      </c>
      <c r="V154" s="12" t="s">
        <v>578</v>
      </c>
      <c r="W154" s="12" t="s">
        <v>578</v>
      </c>
      <c r="X154" s="12" t="s">
        <v>578</v>
      </c>
      <c r="Y154" s="12" t="s">
        <v>578</v>
      </c>
      <c r="Z154" s="12" t="s">
        <v>578</v>
      </c>
      <c r="AA154" s="12" t="s">
        <v>578</v>
      </c>
      <c r="AB154" s="12" t="s">
        <v>578</v>
      </c>
      <c r="AC154" s="12" t="s">
        <v>578</v>
      </c>
      <c r="AD154" s="12" t="s">
        <v>578</v>
      </c>
      <c r="AE154" s="12" t="s">
        <v>578</v>
      </c>
      <c r="AF154" s="12" t="s">
        <v>578</v>
      </c>
      <c r="AG154" s="12" t="s">
        <v>578</v>
      </c>
      <c r="AH154" s="12" t="s">
        <v>578</v>
      </c>
      <c r="AI154" s="12" t="s">
        <v>578</v>
      </c>
      <c r="AJ154" s="12" t="s">
        <v>578</v>
      </c>
      <c r="AK154" s="12" t="s">
        <v>578</v>
      </c>
      <c r="AL154" s="12" t="s">
        <v>578</v>
      </c>
      <c r="AM154" s="12" t="s">
        <v>578</v>
      </c>
      <c r="AN154" s="12" t="s">
        <v>578</v>
      </c>
      <c r="AO154" s="12" t="s">
        <v>578</v>
      </c>
      <c r="AP154" s="12" t="s">
        <v>578</v>
      </c>
      <c r="AQ154" s="12" t="s">
        <v>579</v>
      </c>
      <c r="AR154" s="12" t="s">
        <v>579</v>
      </c>
      <c r="AS154" s="12" t="s">
        <v>579</v>
      </c>
      <c r="AT154" s="12" t="s">
        <v>579</v>
      </c>
      <c r="AU154" s="12" t="s">
        <v>579</v>
      </c>
      <c r="AV154" s="12" t="s">
        <v>579</v>
      </c>
      <c r="AW154" s="12" t="s">
        <v>623</v>
      </c>
      <c r="AX154" s="12" t="s">
        <v>623</v>
      </c>
      <c r="AY154" s="12" t="s">
        <v>672</v>
      </c>
      <c r="AZ154" s="12" t="s">
        <v>672</v>
      </c>
      <c r="BA154" s="12" t="s">
        <v>581</v>
      </c>
      <c r="BB154" s="12" t="s">
        <v>582</v>
      </c>
      <c r="BC154" s="12" t="s">
        <v>674</v>
      </c>
      <c r="BD154" s="12" t="s">
        <v>767</v>
      </c>
      <c r="BE154" s="12" t="s">
        <v>630</v>
      </c>
      <c r="BF154" s="12" t="s">
        <v>632</v>
      </c>
      <c r="BG154" s="12" t="s">
        <v>855</v>
      </c>
      <c r="BH154" s="12" t="s">
        <v>1025</v>
      </c>
      <c r="BI154" s="12" t="s">
        <v>1488</v>
      </c>
      <c r="BJ154" s="12" t="s">
        <v>2056</v>
      </c>
      <c r="BK154" s="12" t="s">
        <v>604</v>
      </c>
      <c r="BL154" s="12" t="s">
        <v>2576</v>
      </c>
      <c r="BM154" s="12" t="s">
        <v>2140</v>
      </c>
      <c r="BN154" s="12" t="s">
        <v>3154</v>
      </c>
      <c r="BO154" s="12" t="s">
        <v>3155</v>
      </c>
      <c r="BP154" s="12" t="s">
        <v>1767</v>
      </c>
      <c r="BQ154" s="12" t="s">
        <v>3156</v>
      </c>
      <c r="BR154" s="12" t="s">
        <v>2441</v>
      </c>
      <c r="BS154" s="12" t="s">
        <v>3157</v>
      </c>
      <c r="BT154" s="12" t="s">
        <v>2210</v>
      </c>
      <c r="BU154" s="12" t="s">
        <v>3158</v>
      </c>
      <c r="BV154" s="12" t="s">
        <v>2998</v>
      </c>
      <c r="BW154" s="12" t="s">
        <v>3159</v>
      </c>
      <c r="BX154" s="12" t="s">
        <v>2465</v>
      </c>
      <c r="BY154" s="12" t="s">
        <v>3160</v>
      </c>
      <c r="BZ154" s="12" t="s">
        <v>3161</v>
      </c>
      <c r="CA154" s="12" t="s">
        <v>3162</v>
      </c>
      <c r="CB154" s="12" t="s">
        <v>3163</v>
      </c>
      <c r="CC154" s="12" t="s">
        <v>3164</v>
      </c>
      <c r="CD154" s="12" t="s">
        <v>3165</v>
      </c>
      <c r="CE154" s="12" t="s">
        <v>3166</v>
      </c>
      <c r="CF154" s="12" t="s">
        <v>3167</v>
      </c>
      <c r="CG154" s="12" t="s">
        <v>3168</v>
      </c>
      <c r="CH154" s="12" t="s">
        <v>1196</v>
      </c>
      <c r="CI154" s="12" t="s">
        <v>3169</v>
      </c>
      <c r="CJ154" s="12" t="s">
        <v>3170</v>
      </c>
      <c r="CK154" s="12" t="s">
        <v>3171</v>
      </c>
      <c r="CL154" s="12" t="s">
        <v>3172</v>
      </c>
      <c r="CM154" s="12" t="s">
        <v>3173</v>
      </c>
      <c r="CN154" s="12" t="s">
        <v>3174</v>
      </c>
      <c r="CO154" s="12" t="s">
        <v>3175</v>
      </c>
      <c r="CP154" s="12" t="s">
        <v>3176</v>
      </c>
      <c r="CQ154" s="12" t="s">
        <v>3177</v>
      </c>
      <c r="CR154" s="12" t="s">
        <v>3002</v>
      </c>
      <c r="CS154" s="12" t="s">
        <v>3178</v>
      </c>
      <c r="CT154" s="12" t="s">
        <v>3179</v>
      </c>
    </row>
    <row r="155" spans="1:98" hidden="1" x14ac:dyDescent="0.3">
      <c r="A155" s="12" t="s">
        <v>25</v>
      </c>
      <c r="B155" s="12" t="s">
        <v>3180</v>
      </c>
      <c r="C155" s="12" t="s">
        <v>3181</v>
      </c>
      <c r="D155" s="12" t="s">
        <v>3182</v>
      </c>
      <c r="E155" s="12" t="s">
        <v>578</v>
      </c>
      <c r="F155" s="12" t="s">
        <v>578</v>
      </c>
      <c r="G155" s="12" t="s">
        <v>578</v>
      </c>
      <c r="H155" s="12" t="s">
        <v>578</v>
      </c>
      <c r="I155" s="12" t="s">
        <v>578</v>
      </c>
      <c r="J155" s="12" t="s">
        <v>578</v>
      </c>
      <c r="K155" s="12" t="s">
        <v>578</v>
      </c>
      <c r="L155" s="12" t="s">
        <v>578</v>
      </c>
      <c r="M155" s="12" t="s">
        <v>578</v>
      </c>
      <c r="N155" s="12" t="s">
        <v>578</v>
      </c>
      <c r="O155" s="12" t="s">
        <v>578</v>
      </c>
      <c r="P155" s="12" t="s">
        <v>578</v>
      </c>
      <c r="Q155" s="12" t="s">
        <v>578</v>
      </c>
      <c r="R155" s="12" t="s">
        <v>578</v>
      </c>
      <c r="S155" s="12" t="s">
        <v>578</v>
      </c>
      <c r="T155" s="12" t="s">
        <v>578</v>
      </c>
      <c r="U155" s="12" t="s">
        <v>578</v>
      </c>
      <c r="V155" s="12" t="s">
        <v>578</v>
      </c>
      <c r="W155" s="12" t="s">
        <v>578</v>
      </c>
      <c r="X155" s="12" t="s">
        <v>578</v>
      </c>
      <c r="Y155" s="12" t="s">
        <v>578</v>
      </c>
      <c r="Z155" s="12" t="s">
        <v>578</v>
      </c>
      <c r="AA155" s="12" t="s">
        <v>578</v>
      </c>
      <c r="AB155" s="12" t="s">
        <v>578</v>
      </c>
      <c r="AC155" s="12" t="s">
        <v>578</v>
      </c>
      <c r="AD155" s="12" t="s">
        <v>578</v>
      </c>
      <c r="AE155" s="12" t="s">
        <v>578</v>
      </c>
      <c r="AF155" s="12" t="s">
        <v>578</v>
      </c>
      <c r="AG155" s="12" t="s">
        <v>578</v>
      </c>
      <c r="AH155" s="12" t="s">
        <v>578</v>
      </c>
      <c r="AI155" s="12" t="s">
        <v>578</v>
      </c>
      <c r="AJ155" s="12" t="s">
        <v>578</v>
      </c>
      <c r="AK155" s="12" t="s">
        <v>578</v>
      </c>
      <c r="AL155" s="12" t="s">
        <v>578</v>
      </c>
      <c r="AM155" s="12" t="s">
        <v>578</v>
      </c>
      <c r="AN155" s="12" t="s">
        <v>578</v>
      </c>
      <c r="AO155" s="12" t="s">
        <v>578</v>
      </c>
      <c r="AP155" s="12" t="s">
        <v>578</v>
      </c>
      <c r="AQ155" s="12" t="s">
        <v>578</v>
      </c>
      <c r="AR155" s="12" t="s">
        <v>578</v>
      </c>
      <c r="AS155" s="12" t="s">
        <v>578</v>
      </c>
      <c r="AT155" s="12" t="s">
        <v>578</v>
      </c>
      <c r="AU155" s="12" t="s">
        <v>578</v>
      </c>
      <c r="AV155" s="12" t="s">
        <v>578</v>
      </c>
      <c r="AW155" s="12" t="s">
        <v>578</v>
      </c>
      <c r="AX155" s="12" t="s">
        <v>578</v>
      </c>
      <c r="AY155" s="12" t="s">
        <v>578</v>
      </c>
      <c r="AZ155" s="12" t="s">
        <v>578</v>
      </c>
      <c r="BA155" s="12" t="s">
        <v>578</v>
      </c>
      <c r="BB155" s="12" t="s">
        <v>578</v>
      </c>
      <c r="BC155" s="12" t="s">
        <v>578</v>
      </c>
      <c r="BD155" s="12" t="s">
        <v>578</v>
      </c>
      <c r="BE155" s="12" t="s">
        <v>578</v>
      </c>
      <c r="BF155" s="12" t="s">
        <v>578</v>
      </c>
      <c r="BG155" s="12" t="s">
        <v>578</v>
      </c>
      <c r="BH155" s="12" t="s">
        <v>578</v>
      </c>
      <c r="BI155" s="12" t="s">
        <v>578</v>
      </c>
      <c r="BJ155" s="12" t="s">
        <v>578</v>
      </c>
      <c r="BK155" s="12" t="s">
        <v>672</v>
      </c>
      <c r="BL155" s="12" t="s">
        <v>672</v>
      </c>
      <c r="BM155" s="12" t="s">
        <v>672</v>
      </c>
      <c r="BN155" s="12" t="s">
        <v>625</v>
      </c>
      <c r="BO155" s="12" t="s">
        <v>673</v>
      </c>
      <c r="BP155" s="12" t="s">
        <v>674</v>
      </c>
      <c r="BQ155" s="12" t="s">
        <v>626</v>
      </c>
      <c r="BR155" s="12" t="s">
        <v>676</v>
      </c>
      <c r="BS155" s="12" t="s">
        <v>676</v>
      </c>
      <c r="BT155" s="12" t="s">
        <v>718</v>
      </c>
      <c r="BU155" s="12" t="s">
        <v>1259</v>
      </c>
      <c r="BV155" s="12" t="s">
        <v>992</v>
      </c>
      <c r="BW155" s="12" t="s">
        <v>992</v>
      </c>
      <c r="BX155" s="12" t="s">
        <v>632</v>
      </c>
      <c r="BY155" s="12" t="s">
        <v>634</v>
      </c>
      <c r="BZ155" s="12" t="s">
        <v>634</v>
      </c>
      <c r="CA155" s="12" t="s">
        <v>975</v>
      </c>
      <c r="CB155" s="12" t="s">
        <v>976</v>
      </c>
      <c r="CC155" s="12" t="s">
        <v>721</v>
      </c>
      <c r="CD155" s="12" t="s">
        <v>858</v>
      </c>
      <c r="CE155" s="12" t="s">
        <v>858</v>
      </c>
      <c r="CF155" s="12" t="s">
        <v>858</v>
      </c>
      <c r="CG155" s="12" t="s">
        <v>863</v>
      </c>
      <c r="CH155" s="12" t="s">
        <v>1664</v>
      </c>
      <c r="CI155" s="12" t="s">
        <v>1664</v>
      </c>
      <c r="CJ155" s="12" t="s">
        <v>1499</v>
      </c>
      <c r="CK155" s="12" t="s">
        <v>592</v>
      </c>
      <c r="CL155" s="12" t="s">
        <v>979</v>
      </c>
      <c r="CM155" s="12" t="s">
        <v>1417</v>
      </c>
      <c r="CN155" s="12" t="s">
        <v>593</v>
      </c>
      <c r="CO155" s="12" t="s">
        <v>993</v>
      </c>
      <c r="CP155" s="12" t="s">
        <v>993</v>
      </c>
      <c r="CQ155" s="12" t="s">
        <v>993</v>
      </c>
      <c r="CR155" s="12" t="s">
        <v>993</v>
      </c>
      <c r="CS155" s="12" t="s">
        <v>993</v>
      </c>
      <c r="CT155" s="12" t="s">
        <v>980</v>
      </c>
    </row>
    <row r="156" spans="1:98" hidden="1" x14ac:dyDescent="0.3">
      <c r="A156" s="12" t="s">
        <v>25</v>
      </c>
      <c r="B156" s="12" t="s">
        <v>3183</v>
      </c>
      <c r="C156" s="12" t="s">
        <v>3184</v>
      </c>
      <c r="D156" s="12" t="s">
        <v>3185</v>
      </c>
      <c r="E156" s="12" t="s">
        <v>578</v>
      </c>
      <c r="F156" s="12" t="s">
        <v>578</v>
      </c>
      <c r="G156" s="12" t="s">
        <v>578</v>
      </c>
      <c r="H156" s="12" t="s">
        <v>672</v>
      </c>
      <c r="I156" s="12" t="s">
        <v>580</v>
      </c>
      <c r="J156" s="12" t="s">
        <v>580</v>
      </c>
      <c r="K156" s="12" t="s">
        <v>580</v>
      </c>
      <c r="L156" s="12" t="s">
        <v>582</v>
      </c>
      <c r="M156" s="12" t="s">
        <v>755</v>
      </c>
      <c r="N156" s="12" t="s">
        <v>755</v>
      </c>
      <c r="O156" s="12" t="s">
        <v>755</v>
      </c>
      <c r="P156" s="12" t="s">
        <v>755</v>
      </c>
      <c r="Q156" s="12" t="s">
        <v>755</v>
      </c>
      <c r="R156" s="12" t="s">
        <v>624</v>
      </c>
      <c r="S156" s="12" t="s">
        <v>625</v>
      </c>
      <c r="T156" s="12" t="s">
        <v>625</v>
      </c>
      <c r="U156" s="12" t="s">
        <v>625</v>
      </c>
      <c r="V156" s="12" t="s">
        <v>584</v>
      </c>
      <c r="W156" s="12" t="s">
        <v>584</v>
      </c>
      <c r="X156" s="12" t="s">
        <v>808</v>
      </c>
      <c r="Y156" s="12" t="s">
        <v>808</v>
      </c>
      <c r="Z156" s="12" t="s">
        <v>808</v>
      </c>
      <c r="AA156" s="12" t="s">
        <v>674</v>
      </c>
      <c r="AB156" s="12" t="s">
        <v>674</v>
      </c>
      <c r="AC156" s="12" t="s">
        <v>586</v>
      </c>
      <c r="AD156" s="12" t="s">
        <v>586</v>
      </c>
      <c r="AE156" s="12" t="s">
        <v>586</v>
      </c>
      <c r="AF156" s="12" t="s">
        <v>586</v>
      </c>
      <c r="AG156" s="12" t="s">
        <v>586</v>
      </c>
      <c r="AH156" s="12" t="s">
        <v>586</v>
      </c>
      <c r="AI156" s="12" t="s">
        <v>586</v>
      </c>
      <c r="AJ156" s="12" t="s">
        <v>586</v>
      </c>
      <c r="AK156" s="12" t="s">
        <v>586</v>
      </c>
      <c r="AL156" s="12" t="s">
        <v>586</v>
      </c>
      <c r="AM156" s="12" t="s">
        <v>586</v>
      </c>
      <c r="AN156" s="12" t="s">
        <v>586</v>
      </c>
      <c r="AO156" s="12" t="s">
        <v>626</v>
      </c>
      <c r="AP156" s="12" t="s">
        <v>626</v>
      </c>
      <c r="AQ156" s="12" t="s">
        <v>757</v>
      </c>
      <c r="AR156" s="12" t="s">
        <v>953</v>
      </c>
      <c r="AS156" s="12" t="s">
        <v>953</v>
      </c>
      <c r="AT156" s="12" t="s">
        <v>971</v>
      </c>
      <c r="AU156" s="12" t="s">
        <v>954</v>
      </c>
      <c r="AV156" s="12" t="s">
        <v>954</v>
      </c>
      <c r="AW156" s="12" t="s">
        <v>1352</v>
      </c>
      <c r="AX156" s="12" t="s">
        <v>858</v>
      </c>
      <c r="AY156" s="12" t="s">
        <v>860</v>
      </c>
      <c r="AZ156" s="12" t="s">
        <v>1417</v>
      </c>
      <c r="BA156" s="12" t="s">
        <v>1355</v>
      </c>
      <c r="BB156" s="12" t="s">
        <v>2099</v>
      </c>
      <c r="BC156" s="12" t="s">
        <v>2099</v>
      </c>
      <c r="BD156" s="12" t="s">
        <v>641</v>
      </c>
      <c r="BE156" s="12" t="s">
        <v>1624</v>
      </c>
      <c r="BF156" s="12" t="s">
        <v>733</v>
      </c>
      <c r="BG156" s="12" t="s">
        <v>1707</v>
      </c>
      <c r="BH156" s="12" t="s">
        <v>745</v>
      </c>
      <c r="BI156" s="12" t="s">
        <v>2191</v>
      </c>
      <c r="BJ156" s="12" t="s">
        <v>934</v>
      </c>
      <c r="BK156" s="12" t="s">
        <v>3186</v>
      </c>
      <c r="BL156" s="12" t="s">
        <v>3187</v>
      </c>
      <c r="BM156" s="12" t="s">
        <v>1631</v>
      </c>
      <c r="BN156" s="12" t="s">
        <v>1114</v>
      </c>
      <c r="BO156" s="12" t="s">
        <v>3188</v>
      </c>
      <c r="BP156" s="12" t="s">
        <v>3189</v>
      </c>
      <c r="BQ156" s="12" t="s">
        <v>3190</v>
      </c>
      <c r="BR156" s="12" t="s">
        <v>3191</v>
      </c>
      <c r="BS156" s="12" t="s">
        <v>3192</v>
      </c>
      <c r="BT156" s="12" t="s">
        <v>3193</v>
      </c>
      <c r="BU156" s="12" t="s">
        <v>3194</v>
      </c>
      <c r="BV156" s="12" t="s">
        <v>3195</v>
      </c>
      <c r="BW156" s="12" t="s">
        <v>1452</v>
      </c>
      <c r="BX156" s="12" t="s">
        <v>3196</v>
      </c>
      <c r="BY156" s="12" t="s">
        <v>2411</v>
      </c>
      <c r="BZ156" s="12" t="s">
        <v>3197</v>
      </c>
      <c r="CA156" s="12" t="s">
        <v>3198</v>
      </c>
      <c r="CB156" s="12" t="s">
        <v>3199</v>
      </c>
      <c r="CC156" s="12" t="s">
        <v>3200</v>
      </c>
      <c r="CD156" s="12" t="s">
        <v>3201</v>
      </c>
      <c r="CE156" s="12" t="s">
        <v>3202</v>
      </c>
      <c r="CF156" s="12" t="s">
        <v>3203</v>
      </c>
      <c r="CG156" s="12" t="s">
        <v>3204</v>
      </c>
      <c r="CH156" s="12" t="s">
        <v>3205</v>
      </c>
      <c r="CI156" s="12" t="s">
        <v>3206</v>
      </c>
      <c r="CJ156" s="12" t="s">
        <v>3207</v>
      </c>
      <c r="CK156" s="12" t="s">
        <v>3208</v>
      </c>
      <c r="CL156" s="12" t="s">
        <v>3209</v>
      </c>
      <c r="CM156" s="12" t="s">
        <v>3210</v>
      </c>
      <c r="CN156" s="12" t="s">
        <v>3211</v>
      </c>
      <c r="CO156" s="12" t="s">
        <v>3212</v>
      </c>
      <c r="CP156" s="12" t="s">
        <v>3213</v>
      </c>
      <c r="CQ156" s="12" t="s">
        <v>3214</v>
      </c>
      <c r="CR156" s="12" t="s">
        <v>3215</v>
      </c>
      <c r="CS156" s="12" t="s">
        <v>3216</v>
      </c>
      <c r="CT156" s="12" t="s">
        <v>3217</v>
      </c>
    </row>
    <row r="157" spans="1:98" hidden="1" x14ac:dyDescent="0.3">
      <c r="A157" s="12" t="s">
        <v>25</v>
      </c>
      <c r="B157" s="12" t="s">
        <v>3218</v>
      </c>
      <c r="C157" s="12" t="s">
        <v>3219</v>
      </c>
      <c r="D157" s="12" t="s">
        <v>3220</v>
      </c>
      <c r="E157" s="12" t="s">
        <v>578</v>
      </c>
      <c r="F157" s="12" t="s">
        <v>578</v>
      </c>
      <c r="G157" s="12" t="s">
        <v>578</v>
      </c>
      <c r="H157" s="12" t="s">
        <v>578</v>
      </c>
      <c r="I157" s="12" t="s">
        <v>578</v>
      </c>
      <c r="J157" s="12" t="s">
        <v>578</v>
      </c>
      <c r="K157" s="12" t="s">
        <v>578</v>
      </c>
      <c r="L157" s="12" t="s">
        <v>578</v>
      </c>
      <c r="M157" s="12" t="s">
        <v>578</v>
      </c>
      <c r="N157" s="12" t="s">
        <v>578</v>
      </c>
      <c r="O157" s="12" t="s">
        <v>578</v>
      </c>
      <c r="P157" s="12" t="s">
        <v>578</v>
      </c>
      <c r="Q157" s="12" t="s">
        <v>578</v>
      </c>
      <c r="R157" s="12" t="s">
        <v>578</v>
      </c>
      <c r="S157" s="12" t="s">
        <v>578</v>
      </c>
      <c r="T157" s="12" t="s">
        <v>578</v>
      </c>
      <c r="U157" s="12" t="s">
        <v>578</v>
      </c>
      <c r="V157" s="12" t="s">
        <v>578</v>
      </c>
      <c r="W157" s="12" t="s">
        <v>578</v>
      </c>
      <c r="X157" s="12" t="s">
        <v>578</v>
      </c>
      <c r="Y157" s="12" t="s">
        <v>578</v>
      </c>
      <c r="Z157" s="12" t="s">
        <v>578</v>
      </c>
      <c r="AA157" s="12" t="s">
        <v>578</v>
      </c>
      <c r="AB157" s="12" t="s">
        <v>578</v>
      </c>
      <c r="AC157" s="12" t="s">
        <v>578</v>
      </c>
      <c r="AD157" s="12" t="s">
        <v>578</v>
      </c>
      <c r="AE157" s="12" t="s">
        <v>578</v>
      </c>
      <c r="AF157" s="12" t="s">
        <v>578</v>
      </c>
      <c r="AG157" s="12" t="s">
        <v>578</v>
      </c>
      <c r="AH157" s="12" t="s">
        <v>578</v>
      </c>
      <c r="AI157" s="12" t="s">
        <v>578</v>
      </c>
      <c r="AJ157" s="12" t="s">
        <v>578</v>
      </c>
      <c r="AK157" s="12" t="s">
        <v>578</v>
      </c>
      <c r="AL157" s="12" t="s">
        <v>578</v>
      </c>
      <c r="AM157" s="12" t="s">
        <v>578</v>
      </c>
      <c r="AN157" s="12" t="s">
        <v>578</v>
      </c>
      <c r="AO157" s="12" t="s">
        <v>578</v>
      </c>
      <c r="AP157" s="12" t="s">
        <v>578</v>
      </c>
      <c r="AQ157" s="12" t="s">
        <v>578</v>
      </c>
      <c r="AR157" s="12" t="s">
        <v>578</v>
      </c>
      <c r="AS157" s="12" t="s">
        <v>578</v>
      </c>
      <c r="AT157" s="12" t="s">
        <v>578</v>
      </c>
      <c r="AU157" s="12" t="s">
        <v>578</v>
      </c>
      <c r="AV157" s="12" t="s">
        <v>578</v>
      </c>
      <c r="AW157" s="12" t="s">
        <v>578</v>
      </c>
      <c r="AX157" s="12" t="s">
        <v>578</v>
      </c>
      <c r="AY157" s="12" t="s">
        <v>580</v>
      </c>
      <c r="AZ157" s="12" t="s">
        <v>580</v>
      </c>
      <c r="BA157" s="12" t="s">
        <v>851</v>
      </c>
      <c r="BB157" s="12" t="s">
        <v>755</v>
      </c>
      <c r="BC157" s="12" t="s">
        <v>755</v>
      </c>
      <c r="BD157" s="12" t="s">
        <v>761</v>
      </c>
      <c r="BE157" s="12" t="s">
        <v>624</v>
      </c>
      <c r="BF157" s="12" t="s">
        <v>868</v>
      </c>
      <c r="BG157" s="12" t="s">
        <v>868</v>
      </c>
      <c r="BH157" s="12" t="s">
        <v>868</v>
      </c>
      <c r="BI157" s="12" t="s">
        <v>868</v>
      </c>
      <c r="BJ157" s="12" t="s">
        <v>868</v>
      </c>
      <c r="BK157" s="12" t="s">
        <v>868</v>
      </c>
      <c r="BL157" s="12" t="s">
        <v>868</v>
      </c>
      <c r="BM157" s="12" t="s">
        <v>868</v>
      </c>
      <c r="BN157" s="12" t="s">
        <v>868</v>
      </c>
      <c r="BO157" s="12" t="s">
        <v>868</v>
      </c>
      <c r="BP157" s="12" t="s">
        <v>868</v>
      </c>
      <c r="BQ157" s="12" t="s">
        <v>868</v>
      </c>
      <c r="BR157" s="12" t="s">
        <v>584</v>
      </c>
      <c r="BS157" s="12" t="s">
        <v>584</v>
      </c>
      <c r="BT157" s="12" t="s">
        <v>673</v>
      </c>
      <c r="BU157" s="12" t="s">
        <v>673</v>
      </c>
      <c r="BV157" s="12" t="s">
        <v>808</v>
      </c>
      <c r="BW157" s="12" t="s">
        <v>674</v>
      </c>
      <c r="BX157" s="12" t="s">
        <v>674</v>
      </c>
      <c r="BY157" s="12" t="s">
        <v>674</v>
      </c>
      <c r="BZ157" s="12" t="s">
        <v>674</v>
      </c>
      <c r="CA157" s="12" t="s">
        <v>674</v>
      </c>
      <c r="CB157" s="12" t="s">
        <v>674</v>
      </c>
      <c r="CC157" s="12" t="s">
        <v>674</v>
      </c>
      <c r="CD157" s="12" t="s">
        <v>674</v>
      </c>
      <c r="CE157" s="12" t="s">
        <v>674</v>
      </c>
      <c r="CF157" s="12" t="s">
        <v>674</v>
      </c>
      <c r="CG157" s="12" t="s">
        <v>674</v>
      </c>
      <c r="CH157" s="12" t="s">
        <v>675</v>
      </c>
      <c r="CI157" s="12" t="s">
        <v>675</v>
      </c>
      <c r="CJ157" s="12" t="s">
        <v>675</v>
      </c>
      <c r="CK157" s="12" t="s">
        <v>586</v>
      </c>
      <c r="CL157" s="12" t="s">
        <v>757</v>
      </c>
      <c r="CM157" s="12" t="s">
        <v>869</v>
      </c>
      <c r="CN157" s="12" t="s">
        <v>917</v>
      </c>
      <c r="CO157" s="12" t="s">
        <v>809</v>
      </c>
      <c r="CP157" s="12" t="s">
        <v>974</v>
      </c>
      <c r="CQ157" s="12" t="s">
        <v>1352</v>
      </c>
      <c r="CR157" s="12" t="s">
        <v>977</v>
      </c>
      <c r="CS157" s="12" t="s">
        <v>1499</v>
      </c>
      <c r="CT157" s="12" t="s">
        <v>1355</v>
      </c>
    </row>
    <row r="158" spans="1:98" hidden="1" x14ac:dyDescent="0.3">
      <c r="A158" s="12" t="s">
        <v>25</v>
      </c>
      <c r="B158" s="12" t="s">
        <v>3221</v>
      </c>
      <c r="C158" s="12" t="s">
        <v>3222</v>
      </c>
      <c r="D158" s="12" t="s">
        <v>3223</v>
      </c>
      <c r="E158" s="12" t="s">
        <v>578</v>
      </c>
      <c r="F158" s="12" t="s">
        <v>578</v>
      </c>
      <c r="G158" s="12" t="s">
        <v>578</v>
      </c>
      <c r="H158" s="12" t="s">
        <v>578</v>
      </c>
      <c r="I158" s="12" t="s">
        <v>578</v>
      </c>
      <c r="J158" s="12" t="s">
        <v>578</v>
      </c>
      <c r="K158" s="12" t="s">
        <v>578</v>
      </c>
      <c r="L158" s="12" t="s">
        <v>578</v>
      </c>
      <c r="M158" s="12" t="s">
        <v>578</v>
      </c>
      <c r="N158" s="12" t="s">
        <v>578</v>
      </c>
      <c r="O158" s="12" t="s">
        <v>578</v>
      </c>
      <c r="P158" s="12" t="s">
        <v>578</v>
      </c>
      <c r="Q158" s="12" t="s">
        <v>578</v>
      </c>
      <c r="R158" s="12" t="s">
        <v>578</v>
      </c>
      <c r="S158" s="12" t="s">
        <v>578</v>
      </c>
      <c r="T158" s="12" t="s">
        <v>578</v>
      </c>
      <c r="U158" s="12" t="s">
        <v>578</v>
      </c>
      <c r="V158" s="12" t="s">
        <v>578</v>
      </c>
      <c r="W158" s="12" t="s">
        <v>578</v>
      </c>
      <c r="X158" s="12" t="s">
        <v>578</v>
      </c>
      <c r="Y158" s="12" t="s">
        <v>578</v>
      </c>
      <c r="Z158" s="12" t="s">
        <v>578</v>
      </c>
      <c r="AA158" s="12" t="s">
        <v>578</v>
      </c>
      <c r="AB158" s="12" t="s">
        <v>578</v>
      </c>
      <c r="AC158" s="12" t="s">
        <v>578</v>
      </c>
      <c r="AD158" s="12" t="s">
        <v>578</v>
      </c>
      <c r="AE158" s="12" t="s">
        <v>578</v>
      </c>
      <c r="AF158" s="12" t="s">
        <v>578</v>
      </c>
      <c r="AG158" s="12" t="s">
        <v>578</v>
      </c>
      <c r="AH158" s="12" t="s">
        <v>578</v>
      </c>
      <c r="AI158" s="12" t="s">
        <v>578</v>
      </c>
      <c r="AJ158" s="12" t="s">
        <v>578</v>
      </c>
      <c r="AK158" s="12" t="s">
        <v>578</v>
      </c>
      <c r="AL158" s="12" t="s">
        <v>578</v>
      </c>
      <c r="AM158" s="12" t="s">
        <v>578</v>
      </c>
      <c r="AN158" s="12" t="s">
        <v>578</v>
      </c>
      <c r="AO158" s="12" t="s">
        <v>578</v>
      </c>
      <c r="AP158" s="12" t="s">
        <v>578</v>
      </c>
      <c r="AQ158" s="12" t="s">
        <v>578</v>
      </c>
      <c r="AR158" s="12" t="s">
        <v>578</v>
      </c>
      <c r="AS158" s="12" t="s">
        <v>578</v>
      </c>
      <c r="AT158" s="12" t="s">
        <v>578</v>
      </c>
      <c r="AU158" s="12" t="s">
        <v>578</v>
      </c>
      <c r="AV158" s="12" t="s">
        <v>578</v>
      </c>
      <c r="AW158" s="12" t="s">
        <v>578</v>
      </c>
      <c r="AX158" s="12" t="s">
        <v>672</v>
      </c>
      <c r="AY158" s="12" t="s">
        <v>672</v>
      </c>
      <c r="AZ158" s="12" t="s">
        <v>672</v>
      </c>
      <c r="BA158" s="12" t="s">
        <v>581</v>
      </c>
      <c r="BB158" s="12" t="s">
        <v>851</v>
      </c>
      <c r="BC158" s="12" t="s">
        <v>851</v>
      </c>
      <c r="BD158" s="12" t="s">
        <v>625</v>
      </c>
      <c r="BE158" s="12" t="s">
        <v>808</v>
      </c>
      <c r="BF158" s="12" t="s">
        <v>585</v>
      </c>
      <c r="BG158" s="12" t="s">
        <v>2018</v>
      </c>
      <c r="BH158" s="12" t="s">
        <v>628</v>
      </c>
      <c r="BI158" s="12" t="s">
        <v>628</v>
      </c>
      <c r="BJ158" s="12" t="s">
        <v>719</v>
      </c>
      <c r="BK158" s="12" t="s">
        <v>633</v>
      </c>
      <c r="BL158" s="12" t="s">
        <v>1120</v>
      </c>
      <c r="BM158" s="12" t="s">
        <v>682</v>
      </c>
      <c r="BN158" s="12" t="s">
        <v>1260</v>
      </c>
      <c r="BO158" s="12" t="s">
        <v>592</v>
      </c>
      <c r="BP158" s="12" t="s">
        <v>1355</v>
      </c>
      <c r="BQ158" s="12" t="s">
        <v>873</v>
      </c>
      <c r="BR158" s="12" t="s">
        <v>683</v>
      </c>
      <c r="BS158" s="12" t="s">
        <v>2099</v>
      </c>
      <c r="BT158" s="12" t="s">
        <v>1309</v>
      </c>
      <c r="BU158" s="12" t="s">
        <v>1603</v>
      </c>
      <c r="BV158" s="12" t="s">
        <v>982</v>
      </c>
      <c r="BW158" s="12" t="s">
        <v>725</v>
      </c>
      <c r="BX158" s="12" t="s">
        <v>2137</v>
      </c>
      <c r="BY158" s="12" t="s">
        <v>1980</v>
      </c>
      <c r="BZ158" s="12" t="s">
        <v>2028</v>
      </c>
      <c r="CA158" s="12" t="s">
        <v>1839</v>
      </c>
      <c r="CB158" s="12" t="s">
        <v>1508</v>
      </c>
      <c r="CC158" s="12" t="s">
        <v>1364</v>
      </c>
      <c r="CD158" s="12" t="s">
        <v>599</v>
      </c>
      <c r="CE158" s="12" t="s">
        <v>959</v>
      </c>
      <c r="CF158" s="12" t="s">
        <v>1746</v>
      </c>
      <c r="CG158" s="12" t="s">
        <v>730</v>
      </c>
      <c r="CH158" s="12" t="s">
        <v>1842</v>
      </c>
      <c r="CI158" s="12" t="s">
        <v>1398</v>
      </c>
      <c r="CJ158" s="12" t="s">
        <v>1693</v>
      </c>
      <c r="CK158" s="12" t="s">
        <v>1367</v>
      </c>
      <c r="CL158" s="12" t="s">
        <v>2503</v>
      </c>
      <c r="CM158" s="12" t="s">
        <v>1368</v>
      </c>
      <c r="CN158" s="12" t="s">
        <v>1698</v>
      </c>
      <c r="CO158" s="12" t="s">
        <v>2890</v>
      </c>
      <c r="CP158" s="12" t="s">
        <v>3224</v>
      </c>
      <c r="CQ158" s="12" t="s">
        <v>925</v>
      </c>
      <c r="CR158" s="12" t="s">
        <v>603</v>
      </c>
      <c r="CS158" s="12" t="s">
        <v>1520</v>
      </c>
      <c r="CT158" s="12" t="s">
        <v>2679</v>
      </c>
    </row>
    <row r="159" spans="1:98" hidden="1" x14ac:dyDescent="0.3">
      <c r="A159" s="12" t="s">
        <v>25</v>
      </c>
      <c r="B159" s="12" t="s">
        <v>3225</v>
      </c>
      <c r="C159" s="12" t="s">
        <v>3226</v>
      </c>
      <c r="D159" s="12" t="s">
        <v>3227</v>
      </c>
      <c r="E159" s="12" t="s">
        <v>578</v>
      </c>
      <c r="F159" s="12" t="s">
        <v>578</v>
      </c>
      <c r="G159" s="12" t="s">
        <v>578</v>
      </c>
      <c r="H159" s="12" t="s">
        <v>578</v>
      </c>
      <c r="I159" s="12" t="s">
        <v>578</v>
      </c>
      <c r="J159" s="12" t="s">
        <v>578</v>
      </c>
      <c r="K159" s="12" t="s">
        <v>578</v>
      </c>
      <c r="L159" s="12" t="s">
        <v>578</v>
      </c>
      <c r="M159" s="12" t="s">
        <v>578</v>
      </c>
      <c r="N159" s="12" t="s">
        <v>578</v>
      </c>
      <c r="O159" s="12" t="s">
        <v>578</v>
      </c>
      <c r="P159" s="12" t="s">
        <v>578</v>
      </c>
      <c r="Q159" s="12" t="s">
        <v>578</v>
      </c>
      <c r="R159" s="12" t="s">
        <v>578</v>
      </c>
      <c r="S159" s="12" t="s">
        <v>578</v>
      </c>
      <c r="T159" s="12" t="s">
        <v>578</v>
      </c>
      <c r="U159" s="12" t="s">
        <v>578</v>
      </c>
      <c r="V159" s="12" t="s">
        <v>578</v>
      </c>
      <c r="W159" s="12" t="s">
        <v>578</v>
      </c>
      <c r="X159" s="12" t="s">
        <v>578</v>
      </c>
      <c r="Y159" s="12" t="s">
        <v>578</v>
      </c>
      <c r="Z159" s="12" t="s">
        <v>578</v>
      </c>
      <c r="AA159" s="12" t="s">
        <v>578</v>
      </c>
      <c r="AB159" s="12" t="s">
        <v>578</v>
      </c>
      <c r="AC159" s="12" t="s">
        <v>578</v>
      </c>
      <c r="AD159" s="12" t="s">
        <v>578</v>
      </c>
      <c r="AE159" s="12" t="s">
        <v>578</v>
      </c>
      <c r="AF159" s="12" t="s">
        <v>578</v>
      </c>
      <c r="AG159" s="12" t="s">
        <v>578</v>
      </c>
      <c r="AH159" s="12" t="s">
        <v>578</v>
      </c>
      <c r="AI159" s="12" t="s">
        <v>578</v>
      </c>
      <c r="AJ159" s="12" t="s">
        <v>578</v>
      </c>
      <c r="AK159" s="12" t="s">
        <v>578</v>
      </c>
      <c r="AL159" s="12" t="s">
        <v>578</v>
      </c>
      <c r="AM159" s="12" t="s">
        <v>578</v>
      </c>
      <c r="AN159" s="12" t="s">
        <v>578</v>
      </c>
      <c r="AO159" s="12" t="s">
        <v>578</v>
      </c>
      <c r="AP159" s="12" t="s">
        <v>578</v>
      </c>
      <c r="AQ159" s="12" t="s">
        <v>578</v>
      </c>
      <c r="AR159" s="12" t="s">
        <v>578</v>
      </c>
      <c r="AS159" s="12" t="s">
        <v>578</v>
      </c>
      <c r="AT159" s="12" t="s">
        <v>578</v>
      </c>
      <c r="AU159" s="12" t="s">
        <v>578</v>
      </c>
      <c r="AV159" s="12" t="s">
        <v>578</v>
      </c>
      <c r="AW159" s="12" t="s">
        <v>578</v>
      </c>
      <c r="AX159" s="12" t="s">
        <v>578</v>
      </c>
      <c r="AY159" s="12" t="s">
        <v>578</v>
      </c>
      <c r="AZ159" s="12" t="s">
        <v>578</v>
      </c>
      <c r="BA159" s="12" t="s">
        <v>578</v>
      </c>
      <c r="BB159" s="12" t="s">
        <v>578</v>
      </c>
      <c r="BC159" s="12" t="s">
        <v>578</v>
      </c>
      <c r="BD159" s="12" t="s">
        <v>578</v>
      </c>
      <c r="BE159" s="12" t="s">
        <v>579</v>
      </c>
      <c r="BF159" s="12" t="s">
        <v>579</v>
      </c>
      <c r="BG159" s="12" t="s">
        <v>579</v>
      </c>
      <c r="BH159" s="12" t="s">
        <v>579</v>
      </c>
      <c r="BI159" s="12" t="s">
        <v>579</v>
      </c>
      <c r="BJ159" s="12" t="s">
        <v>623</v>
      </c>
      <c r="BK159" s="12" t="s">
        <v>623</v>
      </c>
      <c r="BL159" s="12" t="s">
        <v>623</v>
      </c>
      <c r="BM159" s="12" t="s">
        <v>623</v>
      </c>
      <c r="BN159" s="12" t="s">
        <v>623</v>
      </c>
      <c r="BO159" s="12" t="s">
        <v>623</v>
      </c>
      <c r="BP159" s="12" t="s">
        <v>623</v>
      </c>
      <c r="BQ159" s="12" t="s">
        <v>672</v>
      </c>
      <c r="BR159" s="12" t="s">
        <v>672</v>
      </c>
      <c r="BS159" s="12" t="s">
        <v>581</v>
      </c>
      <c r="BT159" s="12" t="s">
        <v>581</v>
      </c>
      <c r="BU159" s="12" t="s">
        <v>581</v>
      </c>
      <c r="BV159" s="12" t="s">
        <v>851</v>
      </c>
      <c r="BW159" s="12" t="s">
        <v>851</v>
      </c>
      <c r="BX159" s="12" t="s">
        <v>851</v>
      </c>
      <c r="BY159" s="12" t="s">
        <v>851</v>
      </c>
      <c r="BZ159" s="12" t="s">
        <v>851</v>
      </c>
      <c r="CA159" s="12" t="s">
        <v>851</v>
      </c>
      <c r="CB159" s="12" t="s">
        <v>851</v>
      </c>
      <c r="CC159" s="12" t="s">
        <v>851</v>
      </c>
      <c r="CD159" s="12" t="s">
        <v>851</v>
      </c>
      <c r="CE159" s="12" t="s">
        <v>582</v>
      </c>
      <c r="CF159" s="12" t="s">
        <v>582</v>
      </c>
      <c r="CG159" s="12" t="s">
        <v>582</v>
      </c>
      <c r="CH159" s="12" t="s">
        <v>582</v>
      </c>
      <c r="CI159" s="12" t="s">
        <v>582</v>
      </c>
      <c r="CJ159" s="12" t="s">
        <v>582</v>
      </c>
      <c r="CK159" s="12" t="s">
        <v>582</v>
      </c>
      <c r="CL159" s="12" t="s">
        <v>582</v>
      </c>
      <c r="CM159" s="12" t="s">
        <v>582</v>
      </c>
      <c r="CN159" s="12" t="s">
        <v>582</v>
      </c>
      <c r="CO159" s="12" t="s">
        <v>582</v>
      </c>
      <c r="CP159" s="12" t="s">
        <v>582</v>
      </c>
      <c r="CQ159" s="12" t="s">
        <v>582</v>
      </c>
      <c r="CR159" s="12" t="s">
        <v>582</v>
      </c>
      <c r="CS159" s="12" t="s">
        <v>582</v>
      </c>
      <c r="CT159" s="12" t="s">
        <v>582</v>
      </c>
    </row>
    <row r="160" spans="1:98" hidden="1" x14ac:dyDescent="0.3">
      <c r="A160" s="12" t="s">
        <v>25</v>
      </c>
      <c r="B160" s="12" t="s">
        <v>3228</v>
      </c>
      <c r="C160" s="12" t="s">
        <v>3229</v>
      </c>
      <c r="D160" s="12" t="s">
        <v>3230</v>
      </c>
      <c r="E160" s="12" t="s">
        <v>578</v>
      </c>
      <c r="F160" s="12" t="s">
        <v>578</v>
      </c>
      <c r="G160" s="12" t="s">
        <v>578</v>
      </c>
      <c r="H160" s="12" t="s">
        <v>578</v>
      </c>
      <c r="I160" s="12" t="s">
        <v>578</v>
      </c>
      <c r="J160" s="12" t="s">
        <v>578</v>
      </c>
      <c r="K160" s="12" t="s">
        <v>578</v>
      </c>
      <c r="L160" s="12" t="s">
        <v>578</v>
      </c>
      <c r="M160" s="12" t="s">
        <v>578</v>
      </c>
      <c r="N160" s="12" t="s">
        <v>578</v>
      </c>
      <c r="O160" s="12" t="s">
        <v>578</v>
      </c>
      <c r="P160" s="12" t="s">
        <v>578</v>
      </c>
      <c r="Q160" s="12" t="s">
        <v>578</v>
      </c>
      <c r="R160" s="12" t="s">
        <v>578</v>
      </c>
      <c r="S160" s="12" t="s">
        <v>578</v>
      </c>
      <c r="T160" s="12" t="s">
        <v>578</v>
      </c>
      <c r="U160" s="12" t="s">
        <v>578</v>
      </c>
      <c r="V160" s="12" t="s">
        <v>578</v>
      </c>
      <c r="W160" s="12" t="s">
        <v>578</v>
      </c>
      <c r="X160" s="12" t="s">
        <v>578</v>
      </c>
      <c r="Y160" s="12" t="s">
        <v>578</v>
      </c>
      <c r="Z160" s="12" t="s">
        <v>578</v>
      </c>
      <c r="AA160" s="12" t="s">
        <v>578</v>
      </c>
      <c r="AB160" s="12" t="s">
        <v>578</v>
      </c>
      <c r="AC160" s="12" t="s">
        <v>578</v>
      </c>
      <c r="AD160" s="12" t="s">
        <v>578</v>
      </c>
      <c r="AE160" s="12" t="s">
        <v>578</v>
      </c>
      <c r="AF160" s="12" t="s">
        <v>578</v>
      </c>
      <c r="AG160" s="12" t="s">
        <v>578</v>
      </c>
      <c r="AH160" s="12" t="s">
        <v>578</v>
      </c>
      <c r="AI160" s="12" t="s">
        <v>578</v>
      </c>
      <c r="AJ160" s="12" t="s">
        <v>578</v>
      </c>
      <c r="AK160" s="12" t="s">
        <v>578</v>
      </c>
      <c r="AL160" s="12" t="s">
        <v>578</v>
      </c>
      <c r="AM160" s="12" t="s">
        <v>578</v>
      </c>
      <c r="AN160" s="12" t="s">
        <v>578</v>
      </c>
      <c r="AO160" s="12" t="s">
        <v>578</v>
      </c>
      <c r="AP160" s="12" t="s">
        <v>578</v>
      </c>
      <c r="AQ160" s="12" t="s">
        <v>578</v>
      </c>
      <c r="AR160" s="12" t="s">
        <v>578</v>
      </c>
      <c r="AS160" s="12" t="s">
        <v>578</v>
      </c>
      <c r="AT160" s="12" t="s">
        <v>578</v>
      </c>
      <c r="AU160" s="12" t="s">
        <v>578</v>
      </c>
      <c r="AV160" s="12" t="s">
        <v>578</v>
      </c>
      <c r="AW160" s="12" t="s">
        <v>578</v>
      </c>
      <c r="AX160" s="12" t="s">
        <v>578</v>
      </c>
      <c r="AY160" s="12" t="s">
        <v>578</v>
      </c>
      <c r="AZ160" s="12" t="s">
        <v>578</v>
      </c>
      <c r="BA160" s="12" t="s">
        <v>578</v>
      </c>
      <c r="BB160" s="12" t="s">
        <v>578</v>
      </c>
      <c r="BC160" s="12" t="s">
        <v>578</v>
      </c>
      <c r="BD160" s="12" t="s">
        <v>578</v>
      </c>
      <c r="BE160" s="12" t="s">
        <v>578</v>
      </c>
      <c r="BF160" s="12" t="s">
        <v>578</v>
      </c>
      <c r="BG160" s="12" t="s">
        <v>578</v>
      </c>
      <c r="BH160" s="12" t="s">
        <v>578</v>
      </c>
      <c r="BI160" s="12" t="s">
        <v>672</v>
      </c>
      <c r="BJ160" s="12" t="s">
        <v>672</v>
      </c>
      <c r="BK160" s="12" t="s">
        <v>625</v>
      </c>
      <c r="BL160" s="12" t="s">
        <v>756</v>
      </c>
      <c r="BM160" s="12" t="s">
        <v>869</v>
      </c>
      <c r="BN160" s="12" t="s">
        <v>971</v>
      </c>
      <c r="BO160" s="12" t="s">
        <v>629</v>
      </c>
      <c r="BP160" s="12" t="s">
        <v>678</v>
      </c>
      <c r="BQ160" s="12" t="s">
        <v>1184</v>
      </c>
      <c r="BR160" s="12" t="s">
        <v>591</v>
      </c>
      <c r="BS160" s="12" t="s">
        <v>863</v>
      </c>
      <c r="BT160" s="12" t="s">
        <v>1260</v>
      </c>
      <c r="BU160" s="12" t="s">
        <v>773</v>
      </c>
      <c r="BV160" s="12" t="s">
        <v>1821</v>
      </c>
      <c r="BW160" s="12" t="s">
        <v>2089</v>
      </c>
      <c r="BX160" s="12" t="s">
        <v>982</v>
      </c>
      <c r="BY160" s="12" t="s">
        <v>640</v>
      </c>
      <c r="BZ160" s="12" t="s">
        <v>2137</v>
      </c>
      <c r="CA160" s="12" t="s">
        <v>1839</v>
      </c>
      <c r="CB160" s="12" t="s">
        <v>1509</v>
      </c>
      <c r="CC160" s="12" t="s">
        <v>1264</v>
      </c>
      <c r="CD160" s="12" t="s">
        <v>597</v>
      </c>
      <c r="CE160" s="12" t="s">
        <v>1210</v>
      </c>
      <c r="CF160" s="12" t="s">
        <v>1396</v>
      </c>
      <c r="CG160" s="12" t="s">
        <v>923</v>
      </c>
      <c r="CH160" s="12" t="s">
        <v>3231</v>
      </c>
      <c r="CI160" s="12" t="s">
        <v>3231</v>
      </c>
      <c r="CJ160" s="12" t="s">
        <v>3231</v>
      </c>
      <c r="CK160" s="12" t="s">
        <v>3231</v>
      </c>
      <c r="CL160" s="12" t="s">
        <v>3231</v>
      </c>
      <c r="CM160" s="12" t="s">
        <v>3231</v>
      </c>
      <c r="CN160" s="12" t="s">
        <v>1833</v>
      </c>
      <c r="CO160" s="12" t="s">
        <v>1743</v>
      </c>
      <c r="CP160" s="12" t="s">
        <v>1743</v>
      </c>
      <c r="CQ160" s="12" t="s">
        <v>1743</v>
      </c>
      <c r="CR160" s="12" t="s">
        <v>819</v>
      </c>
      <c r="CS160" s="12" t="s">
        <v>1365</v>
      </c>
      <c r="CT160" s="12" t="s">
        <v>1365</v>
      </c>
    </row>
    <row r="161" spans="1:98" hidden="1" x14ac:dyDescent="0.3">
      <c r="A161" s="12" t="s">
        <v>25</v>
      </c>
      <c r="B161" s="12" t="s">
        <v>3232</v>
      </c>
      <c r="C161" s="12" t="s">
        <v>3233</v>
      </c>
      <c r="D161" s="12" t="s">
        <v>3234</v>
      </c>
      <c r="E161" s="12" t="s">
        <v>578</v>
      </c>
      <c r="F161" s="12" t="s">
        <v>578</v>
      </c>
      <c r="G161" s="12" t="s">
        <v>578</v>
      </c>
      <c r="H161" s="12" t="s">
        <v>578</v>
      </c>
      <c r="I161" s="12" t="s">
        <v>578</v>
      </c>
      <c r="J161" s="12" t="s">
        <v>578</v>
      </c>
      <c r="K161" s="12" t="s">
        <v>578</v>
      </c>
      <c r="L161" s="12" t="s">
        <v>578</v>
      </c>
      <c r="M161" s="12" t="s">
        <v>578</v>
      </c>
      <c r="N161" s="12" t="s">
        <v>578</v>
      </c>
      <c r="O161" s="12" t="s">
        <v>578</v>
      </c>
      <c r="P161" s="12" t="s">
        <v>578</v>
      </c>
      <c r="Q161" s="12" t="s">
        <v>578</v>
      </c>
      <c r="R161" s="12" t="s">
        <v>578</v>
      </c>
      <c r="S161" s="12" t="s">
        <v>578</v>
      </c>
      <c r="T161" s="12" t="s">
        <v>578</v>
      </c>
      <c r="U161" s="12" t="s">
        <v>578</v>
      </c>
      <c r="V161" s="12" t="s">
        <v>578</v>
      </c>
      <c r="W161" s="12" t="s">
        <v>578</v>
      </c>
      <c r="X161" s="12" t="s">
        <v>578</v>
      </c>
      <c r="Y161" s="12" t="s">
        <v>578</v>
      </c>
      <c r="Z161" s="12" t="s">
        <v>578</v>
      </c>
      <c r="AA161" s="12" t="s">
        <v>578</v>
      </c>
      <c r="AB161" s="12" t="s">
        <v>578</v>
      </c>
      <c r="AC161" s="12" t="s">
        <v>578</v>
      </c>
      <c r="AD161" s="12" t="s">
        <v>578</v>
      </c>
      <c r="AE161" s="12" t="s">
        <v>578</v>
      </c>
      <c r="AF161" s="12" t="s">
        <v>578</v>
      </c>
      <c r="AG161" s="12" t="s">
        <v>578</v>
      </c>
      <c r="AH161" s="12" t="s">
        <v>578</v>
      </c>
      <c r="AI161" s="12" t="s">
        <v>578</v>
      </c>
      <c r="AJ161" s="12" t="s">
        <v>578</v>
      </c>
      <c r="AK161" s="12" t="s">
        <v>578</v>
      </c>
      <c r="AL161" s="12" t="s">
        <v>578</v>
      </c>
      <c r="AM161" s="12" t="s">
        <v>578</v>
      </c>
      <c r="AN161" s="12" t="s">
        <v>578</v>
      </c>
      <c r="AO161" s="12" t="s">
        <v>578</v>
      </c>
      <c r="AP161" s="12" t="s">
        <v>579</v>
      </c>
      <c r="AQ161" s="12" t="s">
        <v>580</v>
      </c>
      <c r="AR161" s="12" t="s">
        <v>581</v>
      </c>
      <c r="AS161" s="12" t="s">
        <v>581</v>
      </c>
      <c r="AT161" s="12" t="s">
        <v>581</v>
      </c>
      <c r="AU161" s="12" t="s">
        <v>581</v>
      </c>
      <c r="AV161" s="12" t="s">
        <v>581</v>
      </c>
      <c r="AW161" s="12" t="s">
        <v>851</v>
      </c>
      <c r="AX161" s="12" t="s">
        <v>851</v>
      </c>
      <c r="AY161" s="12" t="s">
        <v>582</v>
      </c>
      <c r="AZ161" s="12" t="s">
        <v>582</v>
      </c>
      <c r="BA161" s="12" t="s">
        <v>582</v>
      </c>
      <c r="BB161" s="12" t="s">
        <v>755</v>
      </c>
      <c r="BC161" s="12" t="s">
        <v>625</v>
      </c>
      <c r="BD161" s="12" t="s">
        <v>625</v>
      </c>
      <c r="BE161" s="12" t="s">
        <v>676</v>
      </c>
      <c r="BF161" s="12" t="s">
        <v>1046</v>
      </c>
      <c r="BG161" s="12" t="s">
        <v>719</v>
      </c>
      <c r="BH161" s="12" t="s">
        <v>976</v>
      </c>
      <c r="BI161" s="12" t="s">
        <v>858</v>
      </c>
      <c r="BJ161" s="12" t="s">
        <v>1501</v>
      </c>
      <c r="BK161" s="12" t="s">
        <v>724</v>
      </c>
      <c r="BL161" s="12" t="s">
        <v>1488</v>
      </c>
      <c r="BM161" s="12" t="s">
        <v>1817</v>
      </c>
      <c r="BN161" s="12" t="s">
        <v>1610</v>
      </c>
      <c r="BO161" s="12" t="s">
        <v>601</v>
      </c>
      <c r="BP161" s="12" t="s">
        <v>2078</v>
      </c>
      <c r="BQ161" s="12" t="s">
        <v>658</v>
      </c>
      <c r="BR161" s="12" t="s">
        <v>1711</v>
      </c>
      <c r="BS161" s="12" t="s">
        <v>749</v>
      </c>
      <c r="BT161" s="12" t="s">
        <v>1429</v>
      </c>
      <c r="BU161" s="12" t="s">
        <v>3109</v>
      </c>
      <c r="BV161" s="12" t="s">
        <v>3235</v>
      </c>
      <c r="BW161" s="12" t="s">
        <v>2120</v>
      </c>
      <c r="BX161" s="12" t="s">
        <v>1778</v>
      </c>
      <c r="BY161" s="12" t="s">
        <v>3236</v>
      </c>
      <c r="BZ161" s="12" t="s">
        <v>3237</v>
      </c>
      <c r="CA161" s="12" t="s">
        <v>3238</v>
      </c>
      <c r="CB161" s="12" t="s">
        <v>3239</v>
      </c>
      <c r="CC161" s="12" t="s">
        <v>3240</v>
      </c>
      <c r="CD161" s="12" t="s">
        <v>3241</v>
      </c>
      <c r="CE161" s="12" t="s">
        <v>3242</v>
      </c>
      <c r="CF161" s="12" t="s">
        <v>3243</v>
      </c>
      <c r="CG161" s="12" t="s">
        <v>3244</v>
      </c>
      <c r="CH161" s="12" t="s">
        <v>3245</v>
      </c>
      <c r="CI161" s="12" t="s">
        <v>3246</v>
      </c>
      <c r="CJ161" s="12" t="s">
        <v>3247</v>
      </c>
      <c r="CK161" s="12" t="s">
        <v>3248</v>
      </c>
      <c r="CL161" s="12" t="s">
        <v>3249</v>
      </c>
      <c r="CM161" s="12" t="s">
        <v>3250</v>
      </c>
      <c r="CN161" s="12" t="s">
        <v>3251</v>
      </c>
      <c r="CO161" s="12" t="s">
        <v>3252</v>
      </c>
      <c r="CP161" s="12" t="s">
        <v>3253</v>
      </c>
      <c r="CQ161" s="12" t="s">
        <v>3254</v>
      </c>
      <c r="CR161" s="12" t="s">
        <v>3255</v>
      </c>
      <c r="CS161" s="12" t="s">
        <v>3256</v>
      </c>
      <c r="CT161" s="12" t="s">
        <v>3256</v>
      </c>
    </row>
    <row r="162" spans="1:98" hidden="1" x14ac:dyDescent="0.3">
      <c r="A162" s="12" t="s">
        <v>25</v>
      </c>
      <c r="B162" s="12" t="s">
        <v>3257</v>
      </c>
      <c r="C162" s="12" t="s">
        <v>3258</v>
      </c>
      <c r="D162" s="12" t="s">
        <v>3259</v>
      </c>
      <c r="E162" s="12" t="s">
        <v>578</v>
      </c>
      <c r="F162" s="12" t="s">
        <v>578</v>
      </c>
      <c r="G162" s="12" t="s">
        <v>578</v>
      </c>
      <c r="H162" s="12" t="s">
        <v>578</v>
      </c>
      <c r="I162" s="12" t="s">
        <v>578</v>
      </c>
      <c r="J162" s="12" t="s">
        <v>578</v>
      </c>
      <c r="K162" s="12" t="s">
        <v>578</v>
      </c>
      <c r="L162" s="12" t="s">
        <v>578</v>
      </c>
      <c r="M162" s="12" t="s">
        <v>578</v>
      </c>
      <c r="N162" s="12" t="s">
        <v>578</v>
      </c>
      <c r="O162" s="12" t="s">
        <v>578</v>
      </c>
      <c r="P162" s="12" t="s">
        <v>578</v>
      </c>
      <c r="Q162" s="12" t="s">
        <v>578</v>
      </c>
      <c r="R162" s="12" t="s">
        <v>578</v>
      </c>
      <c r="S162" s="12" t="s">
        <v>578</v>
      </c>
      <c r="T162" s="12" t="s">
        <v>578</v>
      </c>
      <c r="U162" s="12" t="s">
        <v>578</v>
      </c>
      <c r="V162" s="12" t="s">
        <v>578</v>
      </c>
      <c r="W162" s="12" t="s">
        <v>578</v>
      </c>
      <c r="X162" s="12" t="s">
        <v>578</v>
      </c>
      <c r="Y162" s="12" t="s">
        <v>578</v>
      </c>
      <c r="Z162" s="12" t="s">
        <v>578</v>
      </c>
      <c r="AA162" s="12" t="s">
        <v>578</v>
      </c>
      <c r="AB162" s="12" t="s">
        <v>578</v>
      </c>
      <c r="AC162" s="12" t="s">
        <v>578</v>
      </c>
      <c r="AD162" s="12" t="s">
        <v>578</v>
      </c>
      <c r="AE162" s="12" t="s">
        <v>578</v>
      </c>
      <c r="AF162" s="12" t="s">
        <v>578</v>
      </c>
      <c r="AG162" s="12" t="s">
        <v>578</v>
      </c>
      <c r="AH162" s="12" t="s">
        <v>578</v>
      </c>
      <c r="AI162" s="12" t="s">
        <v>578</v>
      </c>
      <c r="AJ162" s="12" t="s">
        <v>578</v>
      </c>
      <c r="AK162" s="12" t="s">
        <v>578</v>
      </c>
      <c r="AL162" s="12" t="s">
        <v>578</v>
      </c>
      <c r="AM162" s="12" t="s">
        <v>578</v>
      </c>
      <c r="AN162" s="12" t="s">
        <v>578</v>
      </c>
      <c r="AO162" s="12" t="s">
        <v>578</v>
      </c>
      <c r="AP162" s="12" t="s">
        <v>578</v>
      </c>
      <c r="AQ162" s="12" t="s">
        <v>578</v>
      </c>
      <c r="AR162" s="12" t="s">
        <v>578</v>
      </c>
      <c r="AS162" s="12" t="s">
        <v>578</v>
      </c>
      <c r="AT162" s="12" t="s">
        <v>578</v>
      </c>
      <c r="AU162" s="12" t="s">
        <v>578</v>
      </c>
      <c r="AV162" s="12" t="s">
        <v>578</v>
      </c>
      <c r="AW162" s="12" t="s">
        <v>578</v>
      </c>
      <c r="AX162" s="12" t="s">
        <v>578</v>
      </c>
      <c r="AY162" s="12" t="s">
        <v>579</v>
      </c>
      <c r="AZ162" s="12" t="s">
        <v>579</v>
      </c>
      <c r="BA162" s="12" t="s">
        <v>672</v>
      </c>
      <c r="BB162" s="12" t="s">
        <v>672</v>
      </c>
      <c r="BC162" s="12" t="s">
        <v>672</v>
      </c>
      <c r="BD162" s="12" t="s">
        <v>851</v>
      </c>
      <c r="BE162" s="12" t="s">
        <v>625</v>
      </c>
      <c r="BF162" s="12" t="s">
        <v>626</v>
      </c>
      <c r="BG162" s="12" t="s">
        <v>626</v>
      </c>
      <c r="BH162" s="12" t="s">
        <v>2018</v>
      </c>
      <c r="BI162" s="12" t="s">
        <v>2018</v>
      </c>
      <c r="BJ162" s="12" t="s">
        <v>991</v>
      </c>
      <c r="BK162" s="12" t="s">
        <v>973</v>
      </c>
      <c r="BL162" s="12" t="s">
        <v>856</v>
      </c>
      <c r="BM162" s="12" t="s">
        <v>591</v>
      </c>
      <c r="BN162" s="12" t="s">
        <v>1208</v>
      </c>
      <c r="BO162" s="12" t="s">
        <v>1751</v>
      </c>
      <c r="BP162" s="12" t="s">
        <v>2099</v>
      </c>
      <c r="BQ162" s="12" t="s">
        <v>1531</v>
      </c>
      <c r="BR162" s="12" t="s">
        <v>2360</v>
      </c>
      <c r="BS162" s="12" t="s">
        <v>1027</v>
      </c>
      <c r="BT162" s="12" t="s">
        <v>1495</v>
      </c>
      <c r="BU162" s="12" t="s">
        <v>1098</v>
      </c>
      <c r="BV162" s="12" t="s">
        <v>877</v>
      </c>
      <c r="BW162" s="12" t="s">
        <v>602</v>
      </c>
      <c r="BX162" s="12" t="s">
        <v>1721</v>
      </c>
      <c r="BY162" s="12" t="s">
        <v>1670</v>
      </c>
      <c r="BZ162" s="12" t="s">
        <v>3260</v>
      </c>
      <c r="CA162" s="12" t="s">
        <v>2286</v>
      </c>
      <c r="CB162" s="12" t="s">
        <v>939</v>
      </c>
      <c r="CC162" s="12" t="s">
        <v>3261</v>
      </c>
      <c r="CD162" s="12" t="s">
        <v>1466</v>
      </c>
      <c r="CE162" s="12" t="s">
        <v>3262</v>
      </c>
      <c r="CF162" s="12" t="s">
        <v>3263</v>
      </c>
      <c r="CG162" s="12" t="s">
        <v>2400</v>
      </c>
      <c r="CH162" s="12" t="s">
        <v>3264</v>
      </c>
      <c r="CI162" s="12" t="s">
        <v>3265</v>
      </c>
      <c r="CJ162" s="12" t="s">
        <v>3266</v>
      </c>
      <c r="CK162" s="12" t="s">
        <v>3267</v>
      </c>
      <c r="CL162" s="12" t="s">
        <v>3268</v>
      </c>
      <c r="CM162" s="12" t="s">
        <v>3269</v>
      </c>
      <c r="CN162" s="12" t="s">
        <v>3270</v>
      </c>
      <c r="CO162" s="12" t="s">
        <v>3271</v>
      </c>
      <c r="CP162" s="12" t="s">
        <v>3272</v>
      </c>
      <c r="CQ162" s="12" t="s">
        <v>3117</v>
      </c>
      <c r="CR162" s="12" t="s">
        <v>3273</v>
      </c>
      <c r="CS162" s="12" t="s">
        <v>902</v>
      </c>
      <c r="CT162" s="12" t="s">
        <v>3274</v>
      </c>
    </row>
    <row r="163" spans="1:98" hidden="1" x14ac:dyDescent="0.3">
      <c r="A163" s="12" t="s">
        <v>25</v>
      </c>
      <c r="B163" s="12" t="s">
        <v>3275</v>
      </c>
      <c r="C163" s="12" t="s">
        <v>3276</v>
      </c>
      <c r="D163" s="12" t="s">
        <v>3277</v>
      </c>
      <c r="E163" s="12" t="s">
        <v>578</v>
      </c>
      <c r="F163" s="12" t="s">
        <v>578</v>
      </c>
      <c r="G163" s="12" t="s">
        <v>578</v>
      </c>
      <c r="H163" s="12" t="s">
        <v>578</v>
      </c>
      <c r="I163" s="12" t="s">
        <v>578</v>
      </c>
      <c r="J163" s="12" t="s">
        <v>578</v>
      </c>
      <c r="K163" s="12" t="s">
        <v>578</v>
      </c>
      <c r="L163" s="12" t="s">
        <v>578</v>
      </c>
      <c r="M163" s="12" t="s">
        <v>578</v>
      </c>
      <c r="N163" s="12" t="s">
        <v>578</v>
      </c>
      <c r="O163" s="12" t="s">
        <v>578</v>
      </c>
      <c r="P163" s="12" t="s">
        <v>578</v>
      </c>
      <c r="Q163" s="12" t="s">
        <v>578</v>
      </c>
      <c r="R163" s="12" t="s">
        <v>578</v>
      </c>
      <c r="S163" s="12" t="s">
        <v>578</v>
      </c>
      <c r="T163" s="12" t="s">
        <v>578</v>
      </c>
      <c r="U163" s="12" t="s">
        <v>578</v>
      </c>
      <c r="V163" s="12" t="s">
        <v>578</v>
      </c>
      <c r="W163" s="12" t="s">
        <v>578</v>
      </c>
      <c r="X163" s="12" t="s">
        <v>578</v>
      </c>
      <c r="Y163" s="12" t="s">
        <v>578</v>
      </c>
      <c r="Z163" s="12" t="s">
        <v>578</v>
      </c>
      <c r="AA163" s="12" t="s">
        <v>578</v>
      </c>
      <c r="AB163" s="12" t="s">
        <v>578</v>
      </c>
      <c r="AC163" s="12" t="s">
        <v>578</v>
      </c>
      <c r="AD163" s="12" t="s">
        <v>578</v>
      </c>
      <c r="AE163" s="12" t="s">
        <v>578</v>
      </c>
      <c r="AF163" s="12" t="s">
        <v>578</v>
      </c>
      <c r="AG163" s="12" t="s">
        <v>578</v>
      </c>
      <c r="AH163" s="12" t="s">
        <v>578</v>
      </c>
      <c r="AI163" s="12" t="s">
        <v>578</v>
      </c>
      <c r="AJ163" s="12" t="s">
        <v>578</v>
      </c>
      <c r="AK163" s="12" t="s">
        <v>578</v>
      </c>
      <c r="AL163" s="12" t="s">
        <v>578</v>
      </c>
      <c r="AM163" s="12" t="s">
        <v>578</v>
      </c>
      <c r="AN163" s="12" t="s">
        <v>578</v>
      </c>
      <c r="AO163" s="12" t="s">
        <v>578</v>
      </c>
      <c r="AP163" s="12" t="s">
        <v>578</v>
      </c>
      <c r="AQ163" s="12" t="s">
        <v>579</v>
      </c>
      <c r="AR163" s="12" t="s">
        <v>579</v>
      </c>
      <c r="AS163" s="12" t="s">
        <v>579</v>
      </c>
      <c r="AT163" s="12" t="s">
        <v>579</v>
      </c>
      <c r="AU163" s="12" t="s">
        <v>579</v>
      </c>
      <c r="AV163" s="12" t="s">
        <v>579</v>
      </c>
      <c r="AW163" s="12" t="s">
        <v>579</v>
      </c>
      <c r="AX163" s="12" t="s">
        <v>579</v>
      </c>
      <c r="AY163" s="12" t="s">
        <v>579</v>
      </c>
      <c r="AZ163" s="12" t="s">
        <v>579</v>
      </c>
      <c r="BA163" s="12" t="s">
        <v>579</v>
      </c>
      <c r="BB163" s="12" t="s">
        <v>579</v>
      </c>
      <c r="BC163" s="12" t="s">
        <v>623</v>
      </c>
      <c r="BD163" s="12" t="s">
        <v>623</v>
      </c>
      <c r="BE163" s="12" t="s">
        <v>623</v>
      </c>
      <c r="BF163" s="12" t="s">
        <v>623</v>
      </c>
      <c r="BG163" s="12" t="s">
        <v>582</v>
      </c>
      <c r="BH163" s="12" t="s">
        <v>582</v>
      </c>
      <c r="BI163" s="12" t="s">
        <v>582</v>
      </c>
      <c r="BJ163" s="12" t="s">
        <v>582</v>
      </c>
      <c r="BK163" s="12" t="s">
        <v>583</v>
      </c>
      <c r="BL163" s="12" t="s">
        <v>583</v>
      </c>
      <c r="BM163" s="12" t="s">
        <v>626</v>
      </c>
      <c r="BN163" s="12" t="s">
        <v>626</v>
      </c>
      <c r="BO163" s="12" t="s">
        <v>626</v>
      </c>
      <c r="BP163" s="12" t="s">
        <v>766</v>
      </c>
      <c r="BQ163" s="12" t="s">
        <v>627</v>
      </c>
      <c r="BR163" s="12" t="s">
        <v>629</v>
      </c>
      <c r="BS163" s="12" t="s">
        <v>629</v>
      </c>
      <c r="BT163" s="12" t="s">
        <v>918</v>
      </c>
      <c r="BU163" s="12" t="s">
        <v>991</v>
      </c>
      <c r="BV163" s="12" t="s">
        <v>809</v>
      </c>
      <c r="BW163" s="12" t="s">
        <v>631</v>
      </c>
      <c r="BX163" s="12" t="s">
        <v>680</v>
      </c>
      <c r="BY163" s="12" t="s">
        <v>633</v>
      </c>
      <c r="BZ163" s="12" t="s">
        <v>973</v>
      </c>
      <c r="CA163" s="12" t="s">
        <v>1120</v>
      </c>
      <c r="CB163" s="12" t="s">
        <v>855</v>
      </c>
      <c r="CC163" s="12" t="s">
        <v>771</v>
      </c>
      <c r="CD163" s="12" t="s">
        <v>1184</v>
      </c>
      <c r="CE163" s="12" t="s">
        <v>590</v>
      </c>
      <c r="CF163" s="12" t="s">
        <v>682</v>
      </c>
      <c r="CG163" s="12" t="s">
        <v>871</v>
      </c>
      <c r="CH163" s="12" t="s">
        <v>858</v>
      </c>
      <c r="CI163" s="12" t="s">
        <v>858</v>
      </c>
      <c r="CJ163" s="12" t="s">
        <v>858</v>
      </c>
      <c r="CK163" s="12" t="s">
        <v>858</v>
      </c>
      <c r="CL163" s="12" t="s">
        <v>858</v>
      </c>
      <c r="CM163" s="12" t="s">
        <v>591</v>
      </c>
      <c r="CN163" s="12" t="s">
        <v>591</v>
      </c>
      <c r="CO163" s="12" t="s">
        <v>591</v>
      </c>
      <c r="CP163" s="12" t="s">
        <v>591</v>
      </c>
      <c r="CQ163" s="12" t="s">
        <v>591</v>
      </c>
      <c r="CR163" s="12" t="s">
        <v>591</v>
      </c>
      <c r="CS163" s="12" t="s">
        <v>591</v>
      </c>
      <c r="CT163" s="12" t="s">
        <v>591</v>
      </c>
    </row>
    <row r="164" spans="1:98" hidden="1" x14ac:dyDescent="0.3">
      <c r="A164" s="12" t="s">
        <v>25</v>
      </c>
      <c r="B164" s="12" t="s">
        <v>3278</v>
      </c>
      <c r="C164" s="12" t="s">
        <v>3279</v>
      </c>
      <c r="D164" s="12" t="s">
        <v>3280</v>
      </c>
      <c r="E164" s="12" t="s">
        <v>578</v>
      </c>
      <c r="F164" s="12" t="s">
        <v>578</v>
      </c>
      <c r="G164" s="12" t="s">
        <v>578</v>
      </c>
      <c r="H164" s="12" t="s">
        <v>578</v>
      </c>
      <c r="I164" s="12" t="s">
        <v>578</v>
      </c>
      <c r="J164" s="12" t="s">
        <v>578</v>
      </c>
      <c r="K164" s="12" t="s">
        <v>578</v>
      </c>
      <c r="L164" s="12" t="s">
        <v>578</v>
      </c>
      <c r="M164" s="12" t="s">
        <v>578</v>
      </c>
      <c r="N164" s="12" t="s">
        <v>578</v>
      </c>
      <c r="O164" s="12" t="s">
        <v>578</v>
      </c>
      <c r="P164" s="12" t="s">
        <v>578</v>
      </c>
      <c r="Q164" s="12" t="s">
        <v>578</v>
      </c>
      <c r="R164" s="12" t="s">
        <v>578</v>
      </c>
      <c r="S164" s="12" t="s">
        <v>578</v>
      </c>
      <c r="T164" s="12" t="s">
        <v>578</v>
      </c>
      <c r="U164" s="12" t="s">
        <v>578</v>
      </c>
      <c r="V164" s="12" t="s">
        <v>578</v>
      </c>
      <c r="W164" s="12" t="s">
        <v>578</v>
      </c>
      <c r="X164" s="12" t="s">
        <v>578</v>
      </c>
      <c r="Y164" s="12" t="s">
        <v>578</v>
      </c>
      <c r="Z164" s="12" t="s">
        <v>578</v>
      </c>
      <c r="AA164" s="12" t="s">
        <v>578</v>
      </c>
      <c r="AB164" s="12" t="s">
        <v>578</v>
      </c>
      <c r="AC164" s="12" t="s">
        <v>578</v>
      </c>
      <c r="AD164" s="12" t="s">
        <v>578</v>
      </c>
      <c r="AE164" s="12" t="s">
        <v>578</v>
      </c>
      <c r="AF164" s="12" t="s">
        <v>578</v>
      </c>
      <c r="AG164" s="12" t="s">
        <v>578</v>
      </c>
      <c r="AH164" s="12" t="s">
        <v>578</v>
      </c>
      <c r="AI164" s="12" t="s">
        <v>578</v>
      </c>
      <c r="AJ164" s="12" t="s">
        <v>578</v>
      </c>
      <c r="AK164" s="12" t="s">
        <v>578</v>
      </c>
      <c r="AL164" s="12" t="s">
        <v>578</v>
      </c>
      <c r="AM164" s="12" t="s">
        <v>578</v>
      </c>
      <c r="AN164" s="12" t="s">
        <v>578</v>
      </c>
      <c r="AO164" s="12" t="s">
        <v>578</v>
      </c>
      <c r="AP164" s="12" t="s">
        <v>578</v>
      </c>
      <c r="AQ164" s="12" t="s">
        <v>578</v>
      </c>
      <c r="AR164" s="12" t="s">
        <v>578</v>
      </c>
      <c r="AS164" s="12" t="s">
        <v>578</v>
      </c>
      <c r="AT164" s="12" t="s">
        <v>578</v>
      </c>
      <c r="AU164" s="12" t="s">
        <v>578</v>
      </c>
      <c r="AV164" s="12" t="s">
        <v>578</v>
      </c>
      <c r="AW164" s="12" t="s">
        <v>578</v>
      </c>
      <c r="AX164" s="12" t="s">
        <v>578</v>
      </c>
      <c r="AY164" s="12" t="s">
        <v>578</v>
      </c>
      <c r="AZ164" s="12" t="s">
        <v>578</v>
      </c>
      <c r="BA164" s="12" t="s">
        <v>579</v>
      </c>
      <c r="BB164" s="12" t="s">
        <v>579</v>
      </c>
      <c r="BC164" s="12" t="s">
        <v>579</v>
      </c>
      <c r="BD164" s="12" t="s">
        <v>579</v>
      </c>
      <c r="BE164" s="12" t="s">
        <v>579</v>
      </c>
      <c r="BF164" s="12" t="s">
        <v>579</v>
      </c>
      <c r="BG164" s="12" t="s">
        <v>579</v>
      </c>
      <c r="BH164" s="12" t="s">
        <v>581</v>
      </c>
      <c r="BI164" s="12" t="s">
        <v>851</v>
      </c>
      <c r="BJ164" s="12" t="s">
        <v>851</v>
      </c>
      <c r="BK164" s="12" t="s">
        <v>851</v>
      </c>
      <c r="BL164" s="12" t="s">
        <v>624</v>
      </c>
      <c r="BM164" s="12" t="s">
        <v>624</v>
      </c>
      <c r="BN164" s="12" t="s">
        <v>624</v>
      </c>
      <c r="BO164" s="12" t="s">
        <v>624</v>
      </c>
      <c r="BP164" s="12" t="s">
        <v>624</v>
      </c>
      <c r="BQ164" s="12" t="s">
        <v>583</v>
      </c>
      <c r="BR164" s="12" t="s">
        <v>583</v>
      </c>
      <c r="BS164" s="12" t="s">
        <v>625</v>
      </c>
      <c r="BT164" s="12" t="s">
        <v>625</v>
      </c>
      <c r="BU164" s="12" t="s">
        <v>625</v>
      </c>
      <c r="BV164" s="12" t="s">
        <v>625</v>
      </c>
      <c r="BW164" s="12" t="s">
        <v>756</v>
      </c>
      <c r="BX164" s="12" t="s">
        <v>756</v>
      </c>
      <c r="BY164" s="12" t="s">
        <v>756</v>
      </c>
      <c r="BZ164" s="12" t="s">
        <v>756</v>
      </c>
      <c r="CA164" s="12" t="s">
        <v>756</v>
      </c>
      <c r="CB164" s="12" t="s">
        <v>762</v>
      </c>
      <c r="CC164" s="12" t="s">
        <v>762</v>
      </c>
      <c r="CD164" s="12" t="s">
        <v>584</v>
      </c>
      <c r="CE164" s="12" t="s">
        <v>584</v>
      </c>
      <c r="CF164" s="12" t="s">
        <v>584</v>
      </c>
      <c r="CG164" s="12" t="s">
        <v>584</v>
      </c>
      <c r="CH164" s="12" t="s">
        <v>584</v>
      </c>
      <c r="CI164" s="12" t="s">
        <v>673</v>
      </c>
      <c r="CJ164" s="12" t="s">
        <v>2018</v>
      </c>
      <c r="CK164" s="12" t="s">
        <v>2018</v>
      </c>
      <c r="CL164" s="12" t="s">
        <v>766</v>
      </c>
      <c r="CM164" s="12" t="s">
        <v>766</v>
      </c>
      <c r="CN164" s="12" t="s">
        <v>766</v>
      </c>
      <c r="CO164" s="12" t="s">
        <v>852</v>
      </c>
      <c r="CP164" s="12" t="s">
        <v>627</v>
      </c>
      <c r="CQ164" s="12" t="s">
        <v>767</v>
      </c>
      <c r="CR164" s="12" t="s">
        <v>917</v>
      </c>
      <c r="CS164" s="12" t="s">
        <v>971</v>
      </c>
      <c r="CT164" s="12" t="s">
        <v>677</v>
      </c>
    </row>
    <row r="165" spans="1:98" hidden="1" x14ac:dyDescent="0.3">
      <c r="A165" s="12" t="s">
        <v>25</v>
      </c>
      <c r="B165" s="12" t="s">
        <v>3281</v>
      </c>
      <c r="C165" s="12" t="s">
        <v>3282</v>
      </c>
      <c r="D165" s="12" t="s">
        <v>3283</v>
      </c>
      <c r="E165" s="12" t="s">
        <v>578</v>
      </c>
      <c r="F165" s="12" t="s">
        <v>578</v>
      </c>
      <c r="G165" s="12" t="s">
        <v>578</v>
      </c>
      <c r="H165" s="12" t="s">
        <v>578</v>
      </c>
      <c r="I165" s="12" t="s">
        <v>578</v>
      </c>
      <c r="J165" s="12" t="s">
        <v>578</v>
      </c>
      <c r="K165" s="12" t="s">
        <v>578</v>
      </c>
      <c r="L165" s="12" t="s">
        <v>578</v>
      </c>
      <c r="M165" s="12" t="s">
        <v>578</v>
      </c>
      <c r="N165" s="12" t="s">
        <v>578</v>
      </c>
      <c r="O165" s="12" t="s">
        <v>578</v>
      </c>
      <c r="P165" s="12" t="s">
        <v>578</v>
      </c>
      <c r="Q165" s="12" t="s">
        <v>578</v>
      </c>
      <c r="R165" s="12" t="s">
        <v>578</v>
      </c>
      <c r="S165" s="12" t="s">
        <v>578</v>
      </c>
      <c r="T165" s="12" t="s">
        <v>578</v>
      </c>
      <c r="U165" s="12" t="s">
        <v>578</v>
      </c>
      <c r="V165" s="12" t="s">
        <v>578</v>
      </c>
      <c r="W165" s="12" t="s">
        <v>578</v>
      </c>
      <c r="X165" s="12" t="s">
        <v>578</v>
      </c>
      <c r="Y165" s="12" t="s">
        <v>578</v>
      </c>
      <c r="Z165" s="12" t="s">
        <v>578</v>
      </c>
      <c r="AA165" s="12" t="s">
        <v>578</v>
      </c>
      <c r="AB165" s="12" t="s">
        <v>578</v>
      </c>
      <c r="AC165" s="12" t="s">
        <v>578</v>
      </c>
      <c r="AD165" s="12" t="s">
        <v>578</v>
      </c>
      <c r="AE165" s="12" t="s">
        <v>578</v>
      </c>
      <c r="AF165" s="12" t="s">
        <v>578</v>
      </c>
      <c r="AG165" s="12" t="s">
        <v>578</v>
      </c>
      <c r="AH165" s="12" t="s">
        <v>578</v>
      </c>
      <c r="AI165" s="12" t="s">
        <v>578</v>
      </c>
      <c r="AJ165" s="12" t="s">
        <v>578</v>
      </c>
      <c r="AK165" s="12" t="s">
        <v>578</v>
      </c>
      <c r="AL165" s="12" t="s">
        <v>578</v>
      </c>
      <c r="AM165" s="12" t="s">
        <v>578</v>
      </c>
      <c r="AN165" s="12" t="s">
        <v>578</v>
      </c>
      <c r="AO165" s="12" t="s">
        <v>578</v>
      </c>
      <c r="AP165" s="12" t="s">
        <v>578</v>
      </c>
      <c r="AQ165" s="12" t="s">
        <v>578</v>
      </c>
      <c r="AR165" s="12" t="s">
        <v>578</v>
      </c>
      <c r="AS165" s="12" t="s">
        <v>578</v>
      </c>
      <c r="AT165" s="12" t="s">
        <v>578</v>
      </c>
      <c r="AU165" s="12" t="s">
        <v>578</v>
      </c>
      <c r="AV165" s="12" t="s">
        <v>578</v>
      </c>
      <c r="AW165" s="12" t="s">
        <v>578</v>
      </c>
      <c r="AX165" s="12" t="s">
        <v>578</v>
      </c>
      <c r="AY165" s="12" t="s">
        <v>578</v>
      </c>
      <c r="AZ165" s="12" t="s">
        <v>578</v>
      </c>
      <c r="BA165" s="12" t="s">
        <v>578</v>
      </c>
      <c r="BB165" s="12" t="s">
        <v>578</v>
      </c>
      <c r="BC165" s="12" t="s">
        <v>578</v>
      </c>
      <c r="BD165" s="12" t="s">
        <v>578</v>
      </c>
      <c r="BE165" s="12" t="s">
        <v>578</v>
      </c>
      <c r="BF165" s="12" t="s">
        <v>578</v>
      </c>
      <c r="BG165" s="12" t="s">
        <v>578</v>
      </c>
      <c r="BH165" s="12" t="s">
        <v>623</v>
      </c>
      <c r="BI165" s="12" t="s">
        <v>623</v>
      </c>
      <c r="BJ165" s="12" t="s">
        <v>672</v>
      </c>
      <c r="BK165" s="12" t="s">
        <v>756</v>
      </c>
      <c r="BL165" s="12" t="s">
        <v>756</v>
      </c>
      <c r="BM165" s="12" t="s">
        <v>585</v>
      </c>
      <c r="BN165" s="12" t="s">
        <v>913</v>
      </c>
      <c r="BO165" s="12" t="s">
        <v>972</v>
      </c>
      <c r="BP165" s="12" t="s">
        <v>809</v>
      </c>
      <c r="BQ165" s="12" t="s">
        <v>974</v>
      </c>
      <c r="BR165" s="12" t="s">
        <v>976</v>
      </c>
      <c r="BS165" s="12" t="s">
        <v>590</v>
      </c>
      <c r="BT165" s="12" t="s">
        <v>1124</v>
      </c>
      <c r="BU165" s="12" t="s">
        <v>857</v>
      </c>
      <c r="BV165" s="12" t="s">
        <v>1208</v>
      </c>
      <c r="BW165" s="12" t="s">
        <v>638</v>
      </c>
      <c r="BX165" s="12" t="s">
        <v>920</v>
      </c>
      <c r="BY165" s="12" t="s">
        <v>595</v>
      </c>
      <c r="BZ165" s="12" t="s">
        <v>684</v>
      </c>
      <c r="CA165" s="12" t="s">
        <v>1126</v>
      </c>
      <c r="CB165" s="12" t="s">
        <v>1423</v>
      </c>
      <c r="CC165" s="12" t="s">
        <v>1508</v>
      </c>
      <c r="CD165" s="12" t="s">
        <v>2030</v>
      </c>
      <c r="CE165" s="12" t="s">
        <v>1511</v>
      </c>
      <c r="CF165" s="12" t="s">
        <v>1493</v>
      </c>
      <c r="CG165" s="12" t="s">
        <v>1495</v>
      </c>
      <c r="CH165" s="12" t="s">
        <v>1736</v>
      </c>
      <c r="CI165" s="12" t="s">
        <v>1687</v>
      </c>
      <c r="CJ165" s="12" t="s">
        <v>1828</v>
      </c>
      <c r="CK165" s="12" t="s">
        <v>1395</v>
      </c>
      <c r="CL165" s="12" t="s">
        <v>1741</v>
      </c>
      <c r="CM165" s="12" t="s">
        <v>1741</v>
      </c>
      <c r="CN165" s="12" t="s">
        <v>876</v>
      </c>
      <c r="CO165" s="12" t="s">
        <v>728</v>
      </c>
      <c r="CP165" s="12" t="s">
        <v>1831</v>
      </c>
      <c r="CQ165" s="12" t="s">
        <v>1608</v>
      </c>
      <c r="CR165" s="12" t="s">
        <v>1609</v>
      </c>
      <c r="CS165" s="12" t="s">
        <v>1610</v>
      </c>
      <c r="CT165" s="12" t="s">
        <v>923</v>
      </c>
    </row>
    <row r="166" spans="1:98" hidden="1" x14ac:dyDescent="0.3">
      <c r="A166" s="12" t="s">
        <v>25</v>
      </c>
      <c r="B166" s="12" t="s">
        <v>3284</v>
      </c>
      <c r="C166" s="12" t="s">
        <v>3285</v>
      </c>
      <c r="D166" s="12" t="s">
        <v>3286</v>
      </c>
      <c r="E166" s="12" t="s">
        <v>578</v>
      </c>
      <c r="F166" s="12" t="s">
        <v>578</v>
      </c>
      <c r="G166" s="12" t="s">
        <v>578</v>
      </c>
      <c r="H166" s="12" t="s">
        <v>578</v>
      </c>
      <c r="I166" s="12" t="s">
        <v>578</v>
      </c>
      <c r="J166" s="12" t="s">
        <v>578</v>
      </c>
      <c r="K166" s="12" t="s">
        <v>578</v>
      </c>
      <c r="L166" s="12" t="s">
        <v>578</v>
      </c>
      <c r="M166" s="12" t="s">
        <v>578</v>
      </c>
      <c r="N166" s="12" t="s">
        <v>578</v>
      </c>
      <c r="O166" s="12" t="s">
        <v>578</v>
      </c>
      <c r="P166" s="12" t="s">
        <v>578</v>
      </c>
      <c r="Q166" s="12" t="s">
        <v>578</v>
      </c>
      <c r="R166" s="12" t="s">
        <v>578</v>
      </c>
      <c r="S166" s="12" t="s">
        <v>578</v>
      </c>
      <c r="T166" s="12" t="s">
        <v>578</v>
      </c>
      <c r="U166" s="12" t="s">
        <v>578</v>
      </c>
      <c r="V166" s="12" t="s">
        <v>578</v>
      </c>
      <c r="W166" s="12" t="s">
        <v>578</v>
      </c>
      <c r="X166" s="12" t="s">
        <v>578</v>
      </c>
      <c r="Y166" s="12" t="s">
        <v>578</v>
      </c>
      <c r="Z166" s="12" t="s">
        <v>578</v>
      </c>
      <c r="AA166" s="12" t="s">
        <v>578</v>
      </c>
      <c r="AB166" s="12" t="s">
        <v>578</v>
      </c>
      <c r="AC166" s="12" t="s">
        <v>578</v>
      </c>
      <c r="AD166" s="12" t="s">
        <v>578</v>
      </c>
      <c r="AE166" s="12" t="s">
        <v>578</v>
      </c>
      <c r="AF166" s="12" t="s">
        <v>578</v>
      </c>
      <c r="AG166" s="12" t="s">
        <v>578</v>
      </c>
      <c r="AH166" s="12" t="s">
        <v>578</v>
      </c>
      <c r="AI166" s="12" t="s">
        <v>578</v>
      </c>
      <c r="AJ166" s="12" t="s">
        <v>578</v>
      </c>
      <c r="AK166" s="12" t="s">
        <v>578</v>
      </c>
      <c r="AL166" s="12" t="s">
        <v>578</v>
      </c>
      <c r="AM166" s="12" t="s">
        <v>578</v>
      </c>
      <c r="AN166" s="12" t="s">
        <v>578</v>
      </c>
      <c r="AO166" s="12" t="s">
        <v>578</v>
      </c>
      <c r="AP166" s="12" t="s">
        <v>578</v>
      </c>
      <c r="AQ166" s="12" t="s">
        <v>578</v>
      </c>
      <c r="AR166" s="12" t="s">
        <v>578</v>
      </c>
      <c r="AS166" s="12" t="s">
        <v>579</v>
      </c>
      <c r="AT166" s="12" t="s">
        <v>579</v>
      </c>
      <c r="AU166" s="12" t="s">
        <v>579</v>
      </c>
      <c r="AV166" s="12" t="s">
        <v>623</v>
      </c>
      <c r="AW166" s="12" t="s">
        <v>623</v>
      </c>
      <c r="AX166" s="12" t="s">
        <v>623</v>
      </c>
      <c r="AY166" s="12" t="s">
        <v>623</v>
      </c>
      <c r="AZ166" s="12" t="s">
        <v>623</v>
      </c>
      <c r="BA166" s="12" t="s">
        <v>672</v>
      </c>
      <c r="BB166" s="12" t="s">
        <v>581</v>
      </c>
      <c r="BC166" s="12" t="s">
        <v>851</v>
      </c>
      <c r="BD166" s="12" t="s">
        <v>582</v>
      </c>
      <c r="BE166" s="12" t="s">
        <v>673</v>
      </c>
      <c r="BF166" s="12" t="s">
        <v>869</v>
      </c>
      <c r="BG166" s="12" t="s">
        <v>953</v>
      </c>
      <c r="BH166" s="12" t="s">
        <v>628</v>
      </c>
      <c r="BI166" s="12" t="s">
        <v>991</v>
      </c>
      <c r="BJ166" s="12" t="s">
        <v>1180</v>
      </c>
      <c r="BK166" s="12" t="s">
        <v>855</v>
      </c>
      <c r="BL166" s="12" t="s">
        <v>859</v>
      </c>
      <c r="BM166" s="12" t="s">
        <v>811</v>
      </c>
      <c r="BN166" s="12" t="s">
        <v>1821</v>
      </c>
      <c r="BO166" s="12" t="s">
        <v>594</v>
      </c>
      <c r="BP166" s="12" t="s">
        <v>2029</v>
      </c>
      <c r="BQ166" s="12" t="s">
        <v>1265</v>
      </c>
      <c r="BR166" s="12" t="s">
        <v>1397</v>
      </c>
      <c r="BS166" s="12" t="s">
        <v>2395</v>
      </c>
      <c r="BT166" s="12" t="s">
        <v>1845</v>
      </c>
      <c r="BU166" s="12" t="s">
        <v>3107</v>
      </c>
      <c r="BV166" s="12" t="s">
        <v>1461</v>
      </c>
      <c r="BW166" s="12" t="s">
        <v>1287</v>
      </c>
      <c r="BX166" s="12" t="s">
        <v>3287</v>
      </c>
      <c r="BY166" s="12" t="s">
        <v>3288</v>
      </c>
      <c r="BZ166" s="12" t="s">
        <v>3289</v>
      </c>
      <c r="CA166" s="12" t="s">
        <v>1314</v>
      </c>
      <c r="CB166" s="12" t="s">
        <v>2243</v>
      </c>
      <c r="CC166" s="12" t="s">
        <v>1871</v>
      </c>
      <c r="CD166" s="12" t="s">
        <v>1881</v>
      </c>
      <c r="CE166" s="12" t="s">
        <v>3290</v>
      </c>
      <c r="CF166" s="12" t="s">
        <v>1784</v>
      </c>
      <c r="CG166" s="12" t="s">
        <v>3291</v>
      </c>
      <c r="CH166" s="12" t="s">
        <v>3292</v>
      </c>
      <c r="CI166" s="12" t="s">
        <v>2689</v>
      </c>
      <c r="CJ166" s="12" t="s">
        <v>3293</v>
      </c>
      <c r="CK166" s="12" t="s">
        <v>1573</v>
      </c>
      <c r="CL166" s="12" t="s">
        <v>3294</v>
      </c>
      <c r="CM166" s="12" t="s">
        <v>3295</v>
      </c>
      <c r="CN166" s="12" t="s">
        <v>3296</v>
      </c>
      <c r="CO166" s="12" t="s">
        <v>3297</v>
      </c>
      <c r="CP166" s="12" t="s">
        <v>3298</v>
      </c>
      <c r="CQ166" s="12" t="s">
        <v>3299</v>
      </c>
      <c r="CR166" s="12" t="s">
        <v>3300</v>
      </c>
      <c r="CS166" s="12" t="s">
        <v>3301</v>
      </c>
      <c r="CT166" s="12" t="s">
        <v>3302</v>
      </c>
    </row>
    <row r="167" spans="1:98" hidden="1" x14ac:dyDescent="0.3">
      <c r="A167" s="12" t="s">
        <v>25</v>
      </c>
      <c r="B167" s="12" t="s">
        <v>3303</v>
      </c>
      <c r="C167" s="12" t="s">
        <v>3304</v>
      </c>
      <c r="D167" s="12" t="s">
        <v>3305</v>
      </c>
      <c r="E167" s="12" t="s">
        <v>578</v>
      </c>
      <c r="F167" s="12" t="s">
        <v>578</v>
      </c>
      <c r="G167" s="12" t="s">
        <v>578</v>
      </c>
      <c r="H167" s="12" t="s">
        <v>578</v>
      </c>
      <c r="I167" s="12" t="s">
        <v>578</v>
      </c>
      <c r="J167" s="12" t="s">
        <v>578</v>
      </c>
      <c r="K167" s="12" t="s">
        <v>578</v>
      </c>
      <c r="L167" s="12" t="s">
        <v>578</v>
      </c>
      <c r="M167" s="12" t="s">
        <v>578</v>
      </c>
      <c r="N167" s="12" t="s">
        <v>578</v>
      </c>
      <c r="O167" s="12" t="s">
        <v>578</v>
      </c>
      <c r="P167" s="12" t="s">
        <v>578</v>
      </c>
      <c r="Q167" s="12" t="s">
        <v>578</v>
      </c>
      <c r="R167" s="12" t="s">
        <v>578</v>
      </c>
      <c r="S167" s="12" t="s">
        <v>578</v>
      </c>
      <c r="T167" s="12" t="s">
        <v>578</v>
      </c>
      <c r="U167" s="12" t="s">
        <v>578</v>
      </c>
      <c r="V167" s="12" t="s">
        <v>578</v>
      </c>
      <c r="W167" s="12" t="s">
        <v>578</v>
      </c>
      <c r="X167" s="12" t="s">
        <v>578</v>
      </c>
      <c r="Y167" s="12" t="s">
        <v>578</v>
      </c>
      <c r="Z167" s="12" t="s">
        <v>578</v>
      </c>
      <c r="AA167" s="12" t="s">
        <v>578</v>
      </c>
      <c r="AB167" s="12" t="s">
        <v>578</v>
      </c>
      <c r="AC167" s="12" t="s">
        <v>578</v>
      </c>
      <c r="AD167" s="12" t="s">
        <v>578</v>
      </c>
      <c r="AE167" s="12" t="s">
        <v>578</v>
      </c>
      <c r="AF167" s="12" t="s">
        <v>578</v>
      </c>
      <c r="AG167" s="12" t="s">
        <v>578</v>
      </c>
      <c r="AH167" s="12" t="s">
        <v>578</v>
      </c>
      <c r="AI167" s="12" t="s">
        <v>578</v>
      </c>
      <c r="AJ167" s="12" t="s">
        <v>578</v>
      </c>
      <c r="AK167" s="12" t="s">
        <v>578</v>
      </c>
      <c r="AL167" s="12" t="s">
        <v>578</v>
      </c>
      <c r="AM167" s="12" t="s">
        <v>578</v>
      </c>
      <c r="AN167" s="12" t="s">
        <v>578</v>
      </c>
      <c r="AO167" s="12" t="s">
        <v>578</v>
      </c>
      <c r="AP167" s="12" t="s">
        <v>578</v>
      </c>
      <c r="AQ167" s="12" t="s">
        <v>578</v>
      </c>
      <c r="AR167" s="12" t="s">
        <v>578</v>
      </c>
      <c r="AS167" s="12" t="s">
        <v>578</v>
      </c>
      <c r="AT167" s="12" t="s">
        <v>578</v>
      </c>
      <c r="AU167" s="12" t="s">
        <v>578</v>
      </c>
      <c r="AV167" s="12" t="s">
        <v>578</v>
      </c>
      <c r="AW167" s="12" t="s">
        <v>578</v>
      </c>
      <c r="AX167" s="12" t="s">
        <v>578</v>
      </c>
      <c r="AY167" s="12" t="s">
        <v>578</v>
      </c>
      <c r="AZ167" s="12" t="s">
        <v>578</v>
      </c>
      <c r="BA167" s="12" t="s">
        <v>578</v>
      </c>
      <c r="BB167" s="12" t="s">
        <v>578</v>
      </c>
      <c r="BC167" s="12" t="s">
        <v>578</v>
      </c>
      <c r="BD167" s="12" t="s">
        <v>578</v>
      </c>
      <c r="BE167" s="12" t="s">
        <v>623</v>
      </c>
      <c r="BF167" s="12" t="s">
        <v>623</v>
      </c>
      <c r="BG167" s="12" t="s">
        <v>623</v>
      </c>
      <c r="BH167" s="12" t="s">
        <v>623</v>
      </c>
      <c r="BI167" s="12" t="s">
        <v>623</v>
      </c>
      <c r="BJ167" s="12" t="s">
        <v>672</v>
      </c>
      <c r="BK167" s="12" t="s">
        <v>672</v>
      </c>
      <c r="BL167" s="12" t="s">
        <v>672</v>
      </c>
      <c r="BM167" s="12" t="s">
        <v>672</v>
      </c>
      <c r="BN167" s="12" t="s">
        <v>580</v>
      </c>
      <c r="BO167" s="12" t="s">
        <v>582</v>
      </c>
      <c r="BP167" s="12" t="s">
        <v>582</v>
      </c>
      <c r="BQ167" s="12" t="s">
        <v>755</v>
      </c>
      <c r="BR167" s="12" t="s">
        <v>755</v>
      </c>
      <c r="BS167" s="12" t="s">
        <v>755</v>
      </c>
      <c r="BT167" s="12" t="s">
        <v>583</v>
      </c>
      <c r="BU167" s="12" t="s">
        <v>583</v>
      </c>
      <c r="BV167" s="12" t="s">
        <v>583</v>
      </c>
      <c r="BW167" s="12" t="s">
        <v>756</v>
      </c>
      <c r="BX167" s="12" t="s">
        <v>756</v>
      </c>
      <c r="BY167" s="12" t="s">
        <v>756</v>
      </c>
      <c r="BZ167" s="12" t="s">
        <v>756</v>
      </c>
      <c r="CA167" s="12" t="s">
        <v>584</v>
      </c>
      <c r="CB167" s="12" t="s">
        <v>584</v>
      </c>
      <c r="CC167" s="12" t="s">
        <v>584</v>
      </c>
      <c r="CD167" s="12" t="s">
        <v>584</v>
      </c>
      <c r="CE167" s="12" t="s">
        <v>584</v>
      </c>
      <c r="CF167" s="12" t="s">
        <v>584</v>
      </c>
      <c r="CG167" s="12" t="s">
        <v>584</v>
      </c>
      <c r="CH167" s="12" t="s">
        <v>584</v>
      </c>
      <c r="CI167" s="12" t="s">
        <v>584</v>
      </c>
      <c r="CJ167" s="12" t="s">
        <v>584</v>
      </c>
      <c r="CK167" s="12" t="s">
        <v>584</v>
      </c>
      <c r="CL167" s="12" t="s">
        <v>584</v>
      </c>
      <c r="CM167" s="12" t="s">
        <v>584</v>
      </c>
      <c r="CN167" s="12" t="s">
        <v>584</v>
      </c>
      <c r="CO167" s="12" t="s">
        <v>584</v>
      </c>
      <c r="CP167" s="12" t="s">
        <v>584</v>
      </c>
      <c r="CQ167" s="12" t="s">
        <v>584</v>
      </c>
      <c r="CR167" s="12" t="s">
        <v>584</v>
      </c>
      <c r="CS167" s="12" t="s">
        <v>584</v>
      </c>
      <c r="CT167" s="12" t="s">
        <v>584</v>
      </c>
    </row>
    <row r="168" spans="1:98" hidden="1" x14ac:dyDescent="0.3">
      <c r="A168" s="12" t="s">
        <v>25</v>
      </c>
      <c r="B168" s="12" t="s">
        <v>3306</v>
      </c>
      <c r="C168" s="12" t="s">
        <v>3307</v>
      </c>
      <c r="D168" s="12" t="s">
        <v>3308</v>
      </c>
      <c r="E168" s="12" t="s">
        <v>578</v>
      </c>
      <c r="F168" s="12" t="s">
        <v>578</v>
      </c>
      <c r="G168" s="12" t="s">
        <v>578</v>
      </c>
      <c r="H168" s="12" t="s">
        <v>579</v>
      </c>
      <c r="I168" s="12" t="s">
        <v>579</v>
      </c>
      <c r="J168" s="12" t="s">
        <v>579</v>
      </c>
      <c r="K168" s="12" t="s">
        <v>579</v>
      </c>
      <c r="L168" s="12" t="s">
        <v>579</v>
      </c>
      <c r="M168" s="12" t="s">
        <v>579</v>
      </c>
      <c r="N168" s="12" t="s">
        <v>579</v>
      </c>
      <c r="O168" s="12" t="s">
        <v>579</v>
      </c>
      <c r="P168" s="12" t="s">
        <v>579</v>
      </c>
      <c r="Q168" s="12" t="s">
        <v>579</v>
      </c>
      <c r="R168" s="12" t="s">
        <v>579</v>
      </c>
      <c r="S168" s="12" t="s">
        <v>579</v>
      </c>
      <c r="T168" s="12" t="s">
        <v>579</v>
      </c>
      <c r="U168" s="12" t="s">
        <v>579</v>
      </c>
      <c r="V168" s="12" t="s">
        <v>579</v>
      </c>
      <c r="W168" s="12" t="s">
        <v>579</v>
      </c>
      <c r="X168" s="12" t="s">
        <v>579</v>
      </c>
      <c r="Y168" s="12" t="s">
        <v>579</v>
      </c>
      <c r="Z168" s="12" t="s">
        <v>579</v>
      </c>
      <c r="AA168" s="12" t="s">
        <v>579</v>
      </c>
      <c r="AB168" s="12" t="s">
        <v>579</v>
      </c>
      <c r="AC168" s="12" t="s">
        <v>579</v>
      </c>
      <c r="AD168" s="12" t="s">
        <v>579</v>
      </c>
      <c r="AE168" s="12" t="s">
        <v>579</v>
      </c>
      <c r="AF168" s="12" t="s">
        <v>579</v>
      </c>
      <c r="AG168" s="12" t="s">
        <v>579</v>
      </c>
      <c r="AH168" s="12" t="s">
        <v>579</v>
      </c>
      <c r="AI168" s="12" t="s">
        <v>579</v>
      </c>
      <c r="AJ168" s="12" t="s">
        <v>579</v>
      </c>
      <c r="AK168" s="12" t="s">
        <v>579</v>
      </c>
      <c r="AL168" s="12" t="s">
        <v>579</v>
      </c>
      <c r="AM168" s="12" t="s">
        <v>579</v>
      </c>
      <c r="AN168" s="12" t="s">
        <v>579</v>
      </c>
      <c r="AO168" s="12" t="s">
        <v>579</v>
      </c>
      <c r="AP168" s="12" t="s">
        <v>579</v>
      </c>
      <c r="AQ168" s="12" t="s">
        <v>579</v>
      </c>
      <c r="AR168" s="12" t="s">
        <v>579</v>
      </c>
      <c r="AS168" s="12" t="s">
        <v>579</v>
      </c>
      <c r="AT168" s="12" t="s">
        <v>579</v>
      </c>
      <c r="AU168" s="12" t="s">
        <v>579</v>
      </c>
      <c r="AV168" s="12" t="s">
        <v>579</v>
      </c>
      <c r="AW168" s="12" t="s">
        <v>579</v>
      </c>
      <c r="AX168" s="12" t="s">
        <v>579</v>
      </c>
      <c r="AY168" s="12" t="s">
        <v>579</v>
      </c>
      <c r="AZ168" s="12" t="s">
        <v>579</v>
      </c>
      <c r="BA168" s="12" t="s">
        <v>579</v>
      </c>
      <c r="BB168" s="12" t="s">
        <v>579</v>
      </c>
      <c r="BC168" s="12" t="s">
        <v>579</v>
      </c>
      <c r="BD168" s="12" t="s">
        <v>579</v>
      </c>
      <c r="BE168" s="12" t="s">
        <v>579</v>
      </c>
      <c r="BF168" s="12" t="s">
        <v>579</v>
      </c>
      <c r="BG168" s="12" t="s">
        <v>579</v>
      </c>
      <c r="BH168" s="12" t="s">
        <v>579</v>
      </c>
      <c r="BI168" s="12" t="s">
        <v>579</v>
      </c>
      <c r="BJ168" s="12" t="s">
        <v>579</v>
      </c>
      <c r="BK168" s="12" t="s">
        <v>579</v>
      </c>
      <c r="BL168" s="12" t="s">
        <v>579</v>
      </c>
      <c r="BM168" s="12" t="s">
        <v>579</v>
      </c>
      <c r="BN168" s="12" t="s">
        <v>623</v>
      </c>
      <c r="BO168" s="12" t="s">
        <v>623</v>
      </c>
      <c r="BP168" s="12" t="s">
        <v>672</v>
      </c>
      <c r="BQ168" s="12" t="s">
        <v>672</v>
      </c>
      <c r="BR168" s="12" t="s">
        <v>580</v>
      </c>
      <c r="BS168" s="12" t="s">
        <v>581</v>
      </c>
      <c r="BT168" s="12" t="s">
        <v>581</v>
      </c>
      <c r="BU168" s="12" t="s">
        <v>581</v>
      </c>
      <c r="BV168" s="12" t="s">
        <v>581</v>
      </c>
      <c r="BW168" s="12" t="s">
        <v>581</v>
      </c>
      <c r="BX168" s="12" t="s">
        <v>851</v>
      </c>
      <c r="BY168" s="12" t="s">
        <v>851</v>
      </c>
      <c r="BZ168" s="12" t="s">
        <v>761</v>
      </c>
      <c r="CA168" s="12" t="s">
        <v>761</v>
      </c>
      <c r="CB168" s="12" t="s">
        <v>761</v>
      </c>
      <c r="CC168" s="12" t="s">
        <v>761</v>
      </c>
      <c r="CD168" s="12" t="s">
        <v>761</v>
      </c>
      <c r="CE168" s="12" t="s">
        <v>761</v>
      </c>
      <c r="CF168" s="12" t="s">
        <v>761</v>
      </c>
      <c r="CG168" s="12" t="s">
        <v>761</v>
      </c>
      <c r="CH168" s="12" t="s">
        <v>625</v>
      </c>
      <c r="CI168" s="12" t="s">
        <v>756</v>
      </c>
      <c r="CJ168" s="12" t="s">
        <v>584</v>
      </c>
      <c r="CK168" s="12" t="s">
        <v>584</v>
      </c>
      <c r="CL168" s="12" t="s">
        <v>584</v>
      </c>
      <c r="CM168" s="12" t="s">
        <v>2018</v>
      </c>
      <c r="CN168" s="12" t="s">
        <v>766</v>
      </c>
      <c r="CO168" s="12" t="s">
        <v>766</v>
      </c>
      <c r="CP168" s="12" t="s">
        <v>766</v>
      </c>
      <c r="CQ168" s="12" t="s">
        <v>1259</v>
      </c>
      <c r="CR168" s="12" t="s">
        <v>768</v>
      </c>
      <c r="CS168" s="12" t="s">
        <v>678</v>
      </c>
      <c r="CT168" s="12" t="s">
        <v>991</v>
      </c>
    </row>
    <row r="169" spans="1:98" hidden="1" x14ac:dyDescent="0.3">
      <c r="A169" s="12" t="s">
        <v>3309</v>
      </c>
      <c r="B169" s="12" t="s">
        <v>3310</v>
      </c>
      <c r="C169" s="12" t="s">
        <v>3311</v>
      </c>
      <c r="D169" s="12" t="s">
        <v>3312</v>
      </c>
      <c r="E169" s="12" t="s">
        <v>578</v>
      </c>
      <c r="F169" s="12" t="s">
        <v>578</v>
      </c>
      <c r="G169" s="12" t="s">
        <v>578</v>
      </c>
      <c r="H169" s="12" t="s">
        <v>578</v>
      </c>
      <c r="I169" s="12" t="s">
        <v>578</v>
      </c>
      <c r="J169" s="12" t="s">
        <v>578</v>
      </c>
      <c r="K169" s="12" t="s">
        <v>578</v>
      </c>
      <c r="L169" s="12" t="s">
        <v>578</v>
      </c>
      <c r="M169" s="12" t="s">
        <v>578</v>
      </c>
      <c r="N169" s="12" t="s">
        <v>578</v>
      </c>
      <c r="O169" s="12" t="s">
        <v>578</v>
      </c>
      <c r="P169" s="12" t="s">
        <v>578</v>
      </c>
      <c r="Q169" s="12" t="s">
        <v>578</v>
      </c>
      <c r="R169" s="12" t="s">
        <v>578</v>
      </c>
      <c r="S169" s="12" t="s">
        <v>578</v>
      </c>
      <c r="T169" s="12" t="s">
        <v>578</v>
      </c>
      <c r="U169" s="12" t="s">
        <v>578</v>
      </c>
      <c r="V169" s="12" t="s">
        <v>578</v>
      </c>
      <c r="W169" s="12" t="s">
        <v>578</v>
      </c>
      <c r="X169" s="12" t="s">
        <v>578</v>
      </c>
      <c r="Y169" s="12" t="s">
        <v>578</v>
      </c>
      <c r="Z169" s="12" t="s">
        <v>578</v>
      </c>
      <c r="AA169" s="12" t="s">
        <v>578</v>
      </c>
      <c r="AB169" s="12" t="s">
        <v>578</v>
      </c>
      <c r="AC169" s="12" t="s">
        <v>578</v>
      </c>
      <c r="AD169" s="12" t="s">
        <v>578</v>
      </c>
      <c r="AE169" s="12" t="s">
        <v>578</v>
      </c>
      <c r="AF169" s="12" t="s">
        <v>578</v>
      </c>
      <c r="AG169" s="12" t="s">
        <v>578</v>
      </c>
      <c r="AH169" s="12" t="s">
        <v>578</v>
      </c>
      <c r="AI169" s="12" t="s">
        <v>578</v>
      </c>
      <c r="AJ169" s="12" t="s">
        <v>578</v>
      </c>
      <c r="AK169" s="12" t="s">
        <v>578</v>
      </c>
      <c r="AL169" s="12" t="s">
        <v>578</v>
      </c>
      <c r="AM169" s="12" t="s">
        <v>578</v>
      </c>
      <c r="AN169" s="12" t="s">
        <v>578</v>
      </c>
      <c r="AO169" s="12" t="s">
        <v>578</v>
      </c>
      <c r="AP169" s="12" t="s">
        <v>578</v>
      </c>
      <c r="AQ169" s="12" t="s">
        <v>578</v>
      </c>
      <c r="AR169" s="12" t="s">
        <v>578</v>
      </c>
      <c r="AS169" s="12" t="s">
        <v>578</v>
      </c>
      <c r="AT169" s="12" t="s">
        <v>578</v>
      </c>
      <c r="AU169" s="12" t="s">
        <v>578</v>
      </c>
      <c r="AV169" s="12" t="s">
        <v>578</v>
      </c>
      <c r="AW169" s="12" t="s">
        <v>578</v>
      </c>
      <c r="AX169" s="12" t="s">
        <v>578</v>
      </c>
      <c r="AY169" s="12" t="s">
        <v>578</v>
      </c>
      <c r="AZ169" s="12" t="s">
        <v>578</v>
      </c>
      <c r="BA169" s="12" t="s">
        <v>578</v>
      </c>
      <c r="BB169" s="12" t="s">
        <v>578</v>
      </c>
      <c r="BC169" s="12" t="s">
        <v>578</v>
      </c>
      <c r="BD169" s="12" t="s">
        <v>623</v>
      </c>
      <c r="BE169" s="12" t="s">
        <v>623</v>
      </c>
      <c r="BF169" s="12" t="s">
        <v>623</v>
      </c>
      <c r="BG169" s="12" t="s">
        <v>623</v>
      </c>
      <c r="BH169" s="12" t="s">
        <v>672</v>
      </c>
      <c r="BI169" s="12" t="s">
        <v>580</v>
      </c>
      <c r="BJ169" s="12" t="s">
        <v>580</v>
      </c>
      <c r="BK169" s="12" t="s">
        <v>581</v>
      </c>
      <c r="BL169" s="12" t="s">
        <v>581</v>
      </c>
      <c r="BM169" s="12" t="s">
        <v>761</v>
      </c>
      <c r="BN169" s="12" t="s">
        <v>761</v>
      </c>
      <c r="BO169" s="12" t="s">
        <v>625</v>
      </c>
      <c r="BP169" s="12" t="s">
        <v>673</v>
      </c>
      <c r="BQ169" s="12" t="s">
        <v>869</v>
      </c>
      <c r="BR169" s="12" t="s">
        <v>627</v>
      </c>
      <c r="BS169" s="12" t="s">
        <v>918</v>
      </c>
      <c r="BT169" s="12" t="s">
        <v>954</v>
      </c>
      <c r="BU169" s="12" t="s">
        <v>954</v>
      </c>
      <c r="BV169" s="12" t="s">
        <v>631</v>
      </c>
      <c r="BW169" s="12" t="s">
        <v>631</v>
      </c>
      <c r="BX169" s="12" t="s">
        <v>680</v>
      </c>
      <c r="BY169" s="12" t="s">
        <v>853</v>
      </c>
      <c r="BZ169" s="12" t="s">
        <v>633</v>
      </c>
      <c r="CA169" s="12" t="s">
        <v>633</v>
      </c>
      <c r="CB169" s="12" t="s">
        <v>854</v>
      </c>
      <c r="CC169" s="12" t="s">
        <v>589</v>
      </c>
      <c r="CD169" s="12" t="s">
        <v>855</v>
      </c>
      <c r="CE169" s="12" t="s">
        <v>976</v>
      </c>
      <c r="CF169" s="12" t="s">
        <v>977</v>
      </c>
      <c r="CG169" s="12" t="s">
        <v>871</v>
      </c>
      <c r="CH169" s="12" t="s">
        <v>871</v>
      </c>
      <c r="CI169" s="12" t="s">
        <v>871</v>
      </c>
      <c r="CJ169" s="12" t="s">
        <v>871</v>
      </c>
      <c r="CK169" s="12" t="s">
        <v>858</v>
      </c>
      <c r="CL169" s="12" t="s">
        <v>1125</v>
      </c>
      <c r="CM169" s="12" t="s">
        <v>859</v>
      </c>
      <c r="CN169" s="12" t="s">
        <v>859</v>
      </c>
      <c r="CO169" s="12" t="s">
        <v>772</v>
      </c>
      <c r="CP169" s="12" t="s">
        <v>772</v>
      </c>
      <c r="CQ169" s="12" t="s">
        <v>772</v>
      </c>
      <c r="CR169" s="12" t="s">
        <v>861</v>
      </c>
      <c r="CS169" s="12" t="s">
        <v>861</v>
      </c>
      <c r="CT169" s="12" t="s">
        <v>861</v>
      </c>
    </row>
    <row r="170" spans="1:98" hidden="1" x14ac:dyDescent="0.3">
      <c r="A170" s="12" t="s">
        <v>3313</v>
      </c>
      <c r="B170" s="12" t="s">
        <v>3310</v>
      </c>
      <c r="C170" s="12" t="s">
        <v>3314</v>
      </c>
      <c r="D170" s="12" t="s">
        <v>3315</v>
      </c>
      <c r="E170" s="12" t="s">
        <v>578</v>
      </c>
      <c r="F170" s="12" t="s">
        <v>578</v>
      </c>
      <c r="G170" s="12" t="s">
        <v>578</v>
      </c>
      <c r="H170" s="12" t="s">
        <v>578</v>
      </c>
      <c r="I170" s="12" t="s">
        <v>578</v>
      </c>
      <c r="J170" s="12" t="s">
        <v>578</v>
      </c>
      <c r="K170" s="12" t="s">
        <v>578</v>
      </c>
      <c r="L170" s="12" t="s">
        <v>578</v>
      </c>
      <c r="M170" s="12" t="s">
        <v>578</v>
      </c>
      <c r="N170" s="12" t="s">
        <v>578</v>
      </c>
      <c r="O170" s="12" t="s">
        <v>578</v>
      </c>
      <c r="P170" s="12" t="s">
        <v>578</v>
      </c>
      <c r="Q170" s="12" t="s">
        <v>578</v>
      </c>
      <c r="R170" s="12" t="s">
        <v>578</v>
      </c>
      <c r="S170" s="12" t="s">
        <v>578</v>
      </c>
      <c r="T170" s="12" t="s">
        <v>578</v>
      </c>
      <c r="U170" s="12" t="s">
        <v>578</v>
      </c>
      <c r="V170" s="12" t="s">
        <v>578</v>
      </c>
      <c r="W170" s="12" t="s">
        <v>578</v>
      </c>
      <c r="X170" s="12" t="s">
        <v>578</v>
      </c>
      <c r="Y170" s="12" t="s">
        <v>578</v>
      </c>
      <c r="Z170" s="12" t="s">
        <v>578</v>
      </c>
      <c r="AA170" s="12" t="s">
        <v>578</v>
      </c>
      <c r="AB170" s="12" t="s">
        <v>578</v>
      </c>
      <c r="AC170" s="12" t="s">
        <v>578</v>
      </c>
      <c r="AD170" s="12" t="s">
        <v>578</v>
      </c>
      <c r="AE170" s="12" t="s">
        <v>578</v>
      </c>
      <c r="AF170" s="12" t="s">
        <v>578</v>
      </c>
      <c r="AG170" s="12" t="s">
        <v>578</v>
      </c>
      <c r="AH170" s="12" t="s">
        <v>578</v>
      </c>
      <c r="AI170" s="12" t="s">
        <v>578</v>
      </c>
      <c r="AJ170" s="12" t="s">
        <v>578</v>
      </c>
      <c r="AK170" s="12" t="s">
        <v>578</v>
      </c>
      <c r="AL170" s="12" t="s">
        <v>578</v>
      </c>
      <c r="AM170" s="12" t="s">
        <v>578</v>
      </c>
      <c r="AN170" s="12" t="s">
        <v>578</v>
      </c>
      <c r="AO170" s="12" t="s">
        <v>578</v>
      </c>
      <c r="AP170" s="12" t="s">
        <v>578</v>
      </c>
      <c r="AQ170" s="12" t="s">
        <v>578</v>
      </c>
      <c r="AR170" s="12" t="s">
        <v>578</v>
      </c>
      <c r="AS170" s="12" t="s">
        <v>578</v>
      </c>
      <c r="AT170" s="12" t="s">
        <v>578</v>
      </c>
      <c r="AU170" s="12" t="s">
        <v>578</v>
      </c>
      <c r="AV170" s="12" t="s">
        <v>578</v>
      </c>
      <c r="AW170" s="12" t="s">
        <v>578</v>
      </c>
      <c r="AX170" s="12" t="s">
        <v>578</v>
      </c>
      <c r="AY170" s="12" t="s">
        <v>578</v>
      </c>
      <c r="AZ170" s="12" t="s">
        <v>578</v>
      </c>
      <c r="BA170" s="12" t="s">
        <v>578</v>
      </c>
      <c r="BB170" s="12" t="s">
        <v>578</v>
      </c>
      <c r="BC170" s="12" t="s">
        <v>578</v>
      </c>
      <c r="BD170" s="12" t="s">
        <v>578</v>
      </c>
      <c r="BE170" s="12" t="s">
        <v>579</v>
      </c>
      <c r="BF170" s="12" t="s">
        <v>579</v>
      </c>
      <c r="BG170" s="12" t="s">
        <v>579</v>
      </c>
      <c r="BH170" s="12" t="s">
        <v>672</v>
      </c>
      <c r="BI170" s="12" t="s">
        <v>672</v>
      </c>
      <c r="BJ170" s="12" t="s">
        <v>672</v>
      </c>
      <c r="BK170" s="12" t="s">
        <v>672</v>
      </c>
      <c r="BL170" s="12" t="s">
        <v>672</v>
      </c>
      <c r="BM170" s="12" t="s">
        <v>672</v>
      </c>
      <c r="BN170" s="12" t="s">
        <v>580</v>
      </c>
      <c r="BO170" s="12" t="s">
        <v>851</v>
      </c>
      <c r="BP170" s="12" t="s">
        <v>851</v>
      </c>
      <c r="BQ170" s="12" t="s">
        <v>851</v>
      </c>
      <c r="BR170" s="12" t="s">
        <v>755</v>
      </c>
      <c r="BS170" s="12" t="s">
        <v>755</v>
      </c>
      <c r="BT170" s="12" t="s">
        <v>755</v>
      </c>
      <c r="BU170" s="12" t="s">
        <v>583</v>
      </c>
      <c r="BV170" s="12" t="s">
        <v>583</v>
      </c>
      <c r="BW170" s="12" t="s">
        <v>583</v>
      </c>
      <c r="BX170" s="12" t="s">
        <v>583</v>
      </c>
      <c r="BY170" s="12" t="s">
        <v>583</v>
      </c>
      <c r="BZ170" s="12" t="s">
        <v>583</v>
      </c>
      <c r="CA170" s="12" t="s">
        <v>583</v>
      </c>
      <c r="CB170" s="12" t="s">
        <v>868</v>
      </c>
      <c r="CC170" s="12" t="s">
        <v>868</v>
      </c>
      <c r="CD170" s="12" t="s">
        <v>756</v>
      </c>
      <c r="CE170" s="12" t="s">
        <v>756</v>
      </c>
      <c r="CF170" s="12" t="s">
        <v>756</v>
      </c>
      <c r="CG170" s="12" t="s">
        <v>756</v>
      </c>
      <c r="CH170" s="12" t="s">
        <v>756</v>
      </c>
      <c r="CI170" s="12" t="s">
        <v>756</v>
      </c>
      <c r="CJ170" s="12" t="s">
        <v>756</v>
      </c>
      <c r="CK170" s="12" t="s">
        <v>756</v>
      </c>
      <c r="CL170" s="12" t="s">
        <v>756</v>
      </c>
      <c r="CM170" s="12" t="s">
        <v>756</v>
      </c>
      <c r="CN170" s="12" t="s">
        <v>756</v>
      </c>
      <c r="CO170" s="12" t="s">
        <v>756</v>
      </c>
      <c r="CP170" s="12" t="s">
        <v>756</v>
      </c>
      <c r="CQ170" s="12" t="s">
        <v>756</v>
      </c>
      <c r="CR170" s="12" t="s">
        <v>756</v>
      </c>
      <c r="CS170" s="12" t="s">
        <v>756</v>
      </c>
      <c r="CT170" s="12" t="s">
        <v>584</v>
      </c>
    </row>
    <row r="171" spans="1:98" hidden="1" x14ac:dyDescent="0.3">
      <c r="A171" s="12" t="s">
        <v>3316</v>
      </c>
      <c r="B171" s="12" t="s">
        <v>3310</v>
      </c>
      <c r="C171" s="12" t="s">
        <v>3317</v>
      </c>
      <c r="D171" s="12" t="s">
        <v>3318</v>
      </c>
      <c r="E171" s="12" t="s">
        <v>578</v>
      </c>
      <c r="F171" s="12" t="s">
        <v>578</v>
      </c>
      <c r="G171" s="12" t="s">
        <v>578</v>
      </c>
      <c r="H171" s="12" t="s">
        <v>578</v>
      </c>
      <c r="I171" s="12" t="s">
        <v>578</v>
      </c>
      <c r="J171" s="12" t="s">
        <v>578</v>
      </c>
      <c r="K171" s="12" t="s">
        <v>578</v>
      </c>
      <c r="L171" s="12" t="s">
        <v>578</v>
      </c>
      <c r="M171" s="12" t="s">
        <v>578</v>
      </c>
      <c r="N171" s="12" t="s">
        <v>578</v>
      </c>
      <c r="O171" s="12" t="s">
        <v>578</v>
      </c>
      <c r="P171" s="12" t="s">
        <v>578</v>
      </c>
      <c r="Q171" s="12" t="s">
        <v>578</v>
      </c>
      <c r="R171" s="12" t="s">
        <v>578</v>
      </c>
      <c r="S171" s="12" t="s">
        <v>578</v>
      </c>
      <c r="T171" s="12" t="s">
        <v>578</v>
      </c>
      <c r="U171" s="12" t="s">
        <v>578</v>
      </c>
      <c r="V171" s="12" t="s">
        <v>578</v>
      </c>
      <c r="W171" s="12" t="s">
        <v>578</v>
      </c>
      <c r="X171" s="12" t="s">
        <v>578</v>
      </c>
      <c r="Y171" s="12" t="s">
        <v>578</v>
      </c>
      <c r="Z171" s="12" t="s">
        <v>578</v>
      </c>
      <c r="AA171" s="12" t="s">
        <v>578</v>
      </c>
      <c r="AB171" s="12" t="s">
        <v>578</v>
      </c>
      <c r="AC171" s="12" t="s">
        <v>578</v>
      </c>
      <c r="AD171" s="12" t="s">
        <v>578</v>
      </c>
      <c r="AE171" s="12" t="s">
        <v>578</v>
      </c>
      <c r="AF171" s="12" t="s">
        <v>578</v>
      </c>
      <c r="AG171" s="12" t="s">
        <v>578</v>
      </c>
      <c r="AH171" s="12" t="s">
        <v>578</v>
      </c>
      <c r="AI171" s="12" t="s">
        <v>578</v>
      </c>
      <c r="AJ171" s="12" t="s">
        <v>578</v>
      </c>
      <c r="AK171" s="12" t="s">
        <v>578</v>
      </c>
      <c r="AL171" s="12" t="s">
        <v>578</v>
      </c>
      <c r="AM171" s="12" t="s">
        <v>578</v>
      </c>
      <c r="AN171" s="12" t="s">
        <v>578</v>
      </c>
      <c r="AO171" s="12" t="s">
        <v>578</v>
      </c>
      <c r="AP171" s="12" t="s">
        <v>578</v>
      </c>
      <c r="AQ171" s="12" t="s">
        <v>578</v>
      </c>
      <c r="AR171" s="12" t="s">
        <v>578</v>
      </c>
      <c r="AS171" s="12" t="s">
        <v>578</v>
      </c>
      <c r="AT171" s="12" t="s">
        <v>578</v>
      </c>
      <c r="AU171" s="12" t="s">
        <v>578</v>
      </c>
      <c r="AV171" s="12" t="s">
        <v>578</v>
      </c>
      <c r="AW171" s="12" t="s">
        <v>578</v>
      </c>
      <c r="AX171" s="12" t="s">
        <v>578</v>
      </c>
      <c r="AY171" s="12" t="s">
        <v>578</v>
      </c>
      <c r="AZ171" s="12" t="s">
        <v>578</v>
      </c>
      <c r="BA171" s="12" t="s">
        <v>578</v>
      </c>
      <c r="BB171" s="12" t="s">
        <v>578</v>
      </c>
      <c r="BC171" s="12" t="s">
        <v>578</v>
      </c>
      <c r="BD171" s="12" t="s">
        <v>578</v>
      </c>
      <c r="BE171" s="12" t="s">
        <v>578</v>
      </c>
      <c r="BF171" s="12" t="s">
        <v>578</v>
      </c>
      <c r="BG171" s="12" t="s">
        <v>578</v>
      </c>
      <c r="BH171" s="12" t="s">
        <v>578</v>
      </c>
      <c r="BI171" s="12" t="s">
        <v>578</v>
      </c>
      <c r="BJ171" s="12" t="s">
        <v>578</v>
      </c>
      <c r="BK171" s="12" t="s">
        <v>579</v>
      </c>
      <c r="BL171" s="12" t="s">
        <v>579</v>
      </c>
      <c r="BM171" s="12" t="s">
        <v>579</v>
      </c>
      <c r="BN171" s="12" t="s">
        <v>623</v>
      </c>
      <c r="BO171" s="12" t="s">
        <v>623</v>
      </c>
      <c r="BP171" s="12" t="s">
        <v>672</v>
      </c>
      <c r="BQ171" s="12" t="s">
        <v>672</v>
      </c>
      <c r="BR171" s="12" t="s">
        <v>672</v>
      </c>
      <c r="BS171" s="12" t="s">
        <v>672</v>
      </c>
      <c r="BT171" s="12" t="s">
        <v>851</v>
      </c>
      <c r="BU171" s="12" t="s">
        <v>851</v>
      </c>
      <c r="BV171" s="12" t="s">
        <v>851</v>
      </c>
      <c r="BW171" s="12" t="s">
        <v>584</v>
      </c>
      <c r="BX171" s="12" t="s">
        <v>808</v>
      </c>
      <c r="BY171" s="12" t="s">
        <v>626</v>
      </c>
      <c r="BZ171" s="12" t="s">
        <v>626</v>
      </c>
      <c r="CA171" s="12" t="s">
        <v>757</v>
      </c>
      <c r="CB171" s="12" t="s">
        <v>677</v>
      </c>
      <c r="CC171" s="12" t="s">
        <v>588</v>
      </c>
      <c r="CD171" s="12" t="s">
        <v>588</v>
      </c>
      <c r="CE171" s="12" t="s">
        <v>1259</v>
      </c>
      <c r="CF171" s="12" t="s">
        <v>954</v>
      </c>
      <c r="CG171" s="12" t="s">
        <v>954</v>
      </c>
      <c r="CH171" s="12" t="s">
        <v>954</v>
      </c>
      <c r="CI171" s="12" t="s">
        <v>954</v>
      </c>
      <c r="CJ171" s="12" t="s">
        <v>809</v>
      </c>
      <c r="CK171" s="12" t="s">
        <v>719</v>
      </c>
      <c r="CL171" s="12" t="s">
        <v>992</v>
      </c>
      <c r="CM171" s="12" t="s">
        <v>992</v>
      </c>
      <c r="CN171" s="12" t="s">
        <v>633</v>
      </c>
      <c r="CO171" s="12" t="s">
        <v>955</v>
      </c>
      <c r="CP171" s="12" t="s">
        <v>955</v>
      </c>
      <c r="CQ171" s="12" t="s">
        <v>955</v>
      </c>
      <c r="CR171" s="12" t="s">
        <v>854</v>
      </c>
      <c r="CS171" s="12" t="s">
        <v>1120</v>
      </c>
      <c r="CT171" s="12" t="s">
        <v>1120</v>
      </c>
    </row>
    <row r="172" spans="1:98" hidden="1" x14ac:dyDescent="0.3">
      <c r="A172" s="12" t="s">
        <v>25</v>
      </c>
      <c r="B172" s="12" t="s">
        <v>3310</v>
      </c>
      <c r="C172" s="12" t="s">
        <v>3319</v>
      </c>
      <c r="D172" s="12" t="s">
        <v>3320</v>
      </c>
      <c r="E172" s="12" t="s">
        <v>578</v>
      </c>
      <c r="F172" s="12" t="s">
        <v>578</v>
      </c>
      <c r="G172" s="12" t="s">
        <v>578</v>
      </c>
      <c r="H172" s="12" t="s">
        <v>578</v>
      </c>
      <c r="I172" s="12" t="s">
        <v>578</v>
      </c>
      <c r="J172" s="12" t="s">
        <v>578</v>
      </c>
      <c r="K172" s="12" t="s">
        <v>578</v>
      </c>
      <c r="L172" s="12" t="s">
        <v>578</v>
      </c>
      <c r="M172" s="12" t="s">
        <v>578</v>
      </c>
      <c r="N172" s="12" t="s">
        <v>578</v>
      </c>
      <c r="O172" s="12" t="s">
        <v>578</v>
      </c>
      <c r="P172" s="12" t="s">
        <v>578</v>
      </c>
      <c r="Q172" s="12" t="s">
        <v>578</v>
      </c>
      <c r="R172" s="12" t="s">
        <v>578</v>
      </c>
      <c r="S172" s="12" t="s">
        <v>578</v>
      </c>
      <c r="T172" s="12" t="s">
        <v>578</v>
      </c>
      <c r="U172" s="12" t="s">
        <v>578</v>
      </c>
      <c r="V172" s="12" t="s">
        <v>578</v>
      </c>
      <c r="W172" s="12" t="s">
        <v>578</v>
      </c>
      <c r="X172" s="12" t="s">
        <v>578</v>
      </c>
      <c r="Y172" s="12" t="s">
        <v>578</v>
      </c>
      <c r="Z172" s="12" t="s">
        <v>578</v>
      </c>
      <c r="AA172" s="12" t="s">
        <v>578</v>
      </c>
      <c r="AB172" s="12" t="s">
        <v>578</v>
      </c>
      <c r="AC172" s="12" t="s">
        <v>578</v>
      </c>
      <c r="AD172" s="12" t="s">
        <v>578</v>
      </c>
      <c r="AE172" s="12" t="s">
        <v>578</v>
      </c>
      <c r="AF172" s="12" t="s">
        <v>578</v>
      </c>
      <c r="AG172" s="12" t="s">
        <v>578</v>
      </c>
      <c r="AH172" s="12" t="s">
        <v>578</v>
      </c>
      <c r="AI172" s="12" t="s">
        <v>578</v>
      </c>
      <c r="AJ172" s="12" t="s">
        <v>578</v>
      </c>
      <c r="AK172" s="12" t="s">
        <v>578</v>
      </c>
      <c r="AL172" s="12" t="s">
        <v>578</v>
      </c>
      <c r="AM172" s="12" t="s">
        <v>578</v>
      </c>
      <c r="AN172" s="12" t="s">
        <v>578</v>
      </c>
      <c r="AO172" s="12" t="s">
        <v>579</v>
      </c>
      <c r="AP172" s="12" t="s">
        <v>579</v>
      </c>
      <c r="AQ172" s="12" t="s">
        <v>851</v>
      </c>
      <c r="AR172" s="12" t="s">
        <v>624</v>
      </c>
      <c r="AS172" s="12" t="s">
        <v>808</v>
      </c>
      <c r="AT172" s="12" t="s">
        <v>587</v>
      </c>
      <c r="AU172" s="12" t="s">
        <v>628</v>
      </c>
      <c r="AV172" s="12" t="s">
        <v>976</v>
      </c>
      <c r="AW172" s="12" t="s">
        <v>773</v>
      </c>
      <c r="AX172" s="12" t="s">
        <v>725</v>
      </c>
      <c r="AY172" s="12" t="s">
        <v>817</v>
      </c>
      <c r="AZ172" s="12" t="s">
        <v>1311</v>
      </c>
      <c r="BA172" s="12" t="s">
        <v>2189</v>
      </c>
      <c r="BB172" s="12" t="s">
        <v>1371</v>
      </c>
      <c r="BC172" s="12" t="s">
        <v>1371</v>
      </c>
      <c r="BD172" s="12" t="s">
        <v>1290</v>
      </c>
      <c r="BE172" s="12" t="s">
        <v>3321</v>
      </c>
      <c r="BF172" s="12" t="s">
        <v>1006</v>
      </c>
      <c r="BG172" s="12" t="s">
        <v>1304</v>
      </c>
      <c r="BH172" s="12" t="s">
        <v>3322</v>
      </c>
      <c r="BI172" s="12" t="s">
        <v>3323</v>
      </c>
      <c r="BJ172" s="12" t="s">
        <v>3324</v>
      </c>
      <c r="BK172" s="12" t="s">
        <v>3325</v>
      </c>
      <c r="BL172" s="12" t="s">
        <v>3326</v>
      </c>
      <c r="BM172" s="12" t="s">
        <v>1198</v>
      </c>
      <c r="BN172" s="12" t="s">
        <v>3327</v>
      </c>
      <c r="BO172" s="12" t="s">
        <v>3328</v>
      </c>
      <c r="BP172" s="12" t="s">
        <v>3329</v>
      </c>
      <c r="BQ172" s="12" t="s">
        <v>3330</v>
      </c>
      <c r="BR172" s="12" t="s">
        <v>3331</v>
      </c>
      <c r="BS172" s="12" t="s">
        <v>3332</v>
      </c>
      <c r="BT172" s="12" t="s">
        <v>3333</v>
      </c>
      <c r="BU172" s="12" t="s">
        <v>3334</v>
      </c>
      <c r="BV172" s="12" t="s">
        <v>3335</v>
      </c>
      <c r="BW172" s="12" t="s">
        <v>3336</v>
      </c>
      <c r="BX172" s="12" t="s">
        <v>3337</v>
      </c>
      <c r="BY172" s="12" t="s">
        <v>3338</v>
      </c>
      <c r="BZ172" s="12" t="s">
        <v>3339</v>
      </c>
      <c r="CA172" s="12" t="s">
        <v>3340</v>
      </c>
      <c r="CB172" s="12" t="s">
        <v>3341</v>
      </c>
      <c r="CC172" s="12" t="s">
        <v>3342</v>
      </c>
      <c r="CD172" s="12" t="s">
        <v>3343</v>
      </c>
      <c r="CE172" s="12" t="s">
        <v>3344</v>
      </c>
      <c r="CF172" s="12" t="s">
        <v>3345</v>
      </c>
      <c r="CG172" s="12" t="s">
        <v>3346</v>
      </c>
      <c r="CH172" s="12" t="s">
        <v>3347</v>
      </c>
      <c r="CI172" s="12" t="s">
        <v>3348</v>
      </c>
      <c r="CJ172" s="12" t="s">
        <v>3349</v>
      </c>
      <c r="CK172" s="12" t="s">
        <v>3350</v>
      </c>
      <c r="CL172" s="12" t="s">
        <v>3351</v>
      </c>
      <c r="CM172" s="12" t="s">
        <v>3352</v>
      </c>
      <c r="CN172" s="12" t="s">
        <v>3353</v>
      </c>
      <c r="CO172" s="12" t="s">
        <v>3354</v>
      </c>
      <c r="CP172" s="12" t="s">
        <v>3355</v>
      </c>
      <c r="CQ172" s="12" t="s">
        <v>3356</v>
      </c>
      <c r="CR172" s="12" t="s">
        <v>3357</v>
      </c>
      <c r="CS172" s="12" t="s">
        <v>3358</v>
      </c>
      <c r="CT172" s="12" t="s">
        <v>3359</v>
      </c>
    </row>
    <row r="173" spans="1:98" hidden="1" x14ac:dyDescent="0.3">
      <c r="A173" s="12" t="s">
        <v>25</v>
      </c>
      <c r="B173" s="12" t="s">
        <v>3360</v>
      </c>
      <c r="C173" s="12" t="s">
        <v>3361</v>
      </c>
      <c r="D173" s="12" t="s">
        <v>3362</v>
      </c>
      <c r="E173" s="12" t="s">
        <v>578</v>
      </c>
      <c r="F173" s="12" t="s">
        <v>578</v>
      </c>
      <c r="G173" s="12" t="s">
        <v>578</v>
      </c>
      <c r="H173" s="12" t="s">
        <v>578</v>
      </c>
      <c r="I173" s="12" t="s">
        <v>578</v>
      </c>
      <c r="J173" s="12" t="s">
        <v>578</v>
      </c>
      <c r="K173" s="12" t="s">
        <v>578</v>
      </c>
      <c r="L173" s="12" t="s">
        <v>578</v>
      </c>
      <c r="M173" s="12" t="s">
        <v>578</v>
      </c>
      <c r="N173" s="12" t="s">
        <v>578</v>
      </c>
      <c r="O173" s="12" t="s">
        <v>578</v>
      </c>
      <c r="P173" s="12" t="s">
        <v>578</v>
      </c>
      <c r="Q173" s="12" t="s">
        <v>578</v>
      </c>
      <c r="R173" s="12" t="s">
        <v>578</v>
      </c>
      <c r="S173" s="12" t="s">
        <v>578</v>
      </c>
      <c r="T173" s="12" t="s">
        <v>578</v>
      </c>
      <c r="U173" s="12" t="s">
        <v>578</v>
      </c>
      <c r="V173" s="12" t="s">
        <v>578</v>
      </c>
      <c r="W173" s="12" t="s">
        <v>578</v>
      </c>
      <c r="X173" s="12" t="s">
        <v>578</v>
      </c>
      <c r="Y173" s="12" t="s">
        <v>578</v>
      </c>
      <c r="Z173" s="12" t="s">
        <v>578</v>
      </c>
      <c r="AA173" s="12" t="s">
        <v>578</v>
      </c>
      <c r="AB173" s="12" t="s">
        <v>578</v>
      </c>
      <c r="AC173" s="12" t="s">
        <v>578</v>
      </c>
      <c r="AD173" s="12" t="s">
        <v>578</v>
      </c>
      <c r="AE173" s="12" t="s">
        <v>578</v>
      </c>
      <c r="AF173" s="12" t="s">
        <v>578</v>
      </c>
      <c r="AG173" s="12" t="s">
        <v>578</v>
      </c>
      <c r="AH173" s="12" t="s">
        <v>578</v>
      </c>
      <c r="AI173" s="12" t="s">
        <v>578</v>
      </c>
      <c r="AJ173" s="12" t="s">
        <v>578</v>
      </c>
      <c r="AK173" s="12" t="s">
        <v>578</v>
      </c>
      <c r="AL173" s="12" t="s">
        <v>578</v>
      </c>
      <c r="AM173" s="12" t="s">
        <v>578</v>
      </c>
      <c r="AN173" s="12" t="s">
        <v>578</v>
      </c>
      <c r="AO173" s="12" t="s">
        <v>578</v>
      </c>
      <c r="AP173" s="12" t="s">
        <v>579</v>
      </c>
      <c r="AQ173" s="12" t="s">
        <v>579</v>
      </c>
      <c r="AR173" s="12" t="s">
        <v>579</v>
      </c>
      <c r="AS173" s="12" t="s">
        <v>579</v>
      </c>
      <c r="AT173" s="12" t="s">
        <v>579</v>
      </c>
      <c r="AU173" s="12" t="s">
        <v>672</v>
      </c>
      <c r="AV173" s="12" t="s">
        <v>672</v>
      </c>
      <c r="AW173" s="12" t="s">
        <v>580</v>
      </c>
      <c r="AX173" s="12" t="s">
        <v>581</v>
      </c>
      <c r="AY173" s="12" t="s">
        <v>581</v>
      </c>
      <c r="AZ173" s="12" t="s">
        <v>581</v>
      </c>
      <c r="BA173" s="12" t="s">
        <v>581</v>
      </c>
      <c r="BB173" s="12" t="s">
        <v>581</v>
      </c>
      <c r="BC173" s="12" t="s">
        <v>581</v>
      </c>
      <c r="BD173" s="12" t="s">
        <v>581</v>
      </c>
      <c r="BE173" s="12" t="s">
        <v>851</v>
      </c>
      <c r="BF173" s="12" t="s">
        <v>755</v>
      </c>
      <c r="BG173" s="12" t="s">
        <v>755</v>
      </c>
      <c r="BH173" s="12" t="s">
        <v>625</v>
      </c>
      <c r="BI173" s="12" t="s">
        <v>675</v>
      </c>
      <c r="BJ173" s="12" t="s">
        <v>869</v>
      </c>
      <c r="BK173" s="12" t="s">
        <v>718</v>
      </c>
      <c r="BL173" s="12" t="s">
        <v>809</v>
      </c>
      <c r="BM173" s="12" t="s">
        <v>863</v>
      </c>
      <c r="BN173" s="12" t="s">
        <v>863</v>
      </c>
      <c r="BO173" s="12" t="s">
        <v>1623</v>
      </c>
      <c r="BP173" s="12" t="s">
        <v>986</v>
      </c>
      <c r="BQ173" s="12" t="s">
        <v>1828</v>
      </c>
      <c r="BR173" s="12" t="s">
        <v>1282</v>
      </c>
      <c r="BS173" s="12" t="s">
        <v>2063</v>
      </c>
      <c r="BT173" s="12" t="s">
        <v>1037</v>
      </c>
      <c r="BU173" s="12" t="s">
        <v>779</v>
      </c>
      <c r="BV173" s="12" t="s">
        <v>1993</v>
      </c>
      <c r="BW173" s="12" t="s">
        <v>3287</v>
      </c>
      <c r="BX173" s="12" t="s">
        <v>3363</v>
      </c>
      <c r="BY173" s="12" t="s">
        <v>3364</v>
      </c>
      <c r="BZ173" s="12" t="s">
        <v>1676</v>
      </c>
      <c r="CA173" s="12" t="s">
        <v>835</v>
      </c>
      <c r="CB173" s="12" t="s">
        <v>3365</v>
      </c>
      <c r="CC173" s="12" t="s">
        <v>3366</v>
      </c>
      <c r="CD173" s="12" t="s">
        <v>3367</v>
      </c>
      <c r="CE173" s="12" t="s">
        <v>3149</v>
      </c>
      <c r="CF173" s="12" t="s">
        <v>1108</v>
      </c>
      <c r="CG173" s="12" t="s">
        <v>3368</v>
      </c>
      <c r="CH173" s="12" t="s">
        <v>3369</v>
      </c>
      <c r="CI173" s="12" t="s">
        <v>1771</v>
      </c>
      <c r="CJ173" s="12" t="s">
        <v>3370</v>
      </c>
      <c r="CK173" s="12" t="s">
        <v>3371</v>
      </c>
      <c r="CL173" s="12" t="s">
        <v>843</v>
      </c>
      <c r="CM173" s="12" t="s">
        <v>3372</v>
      </c>
      <c r="CN173" s="12" t="s">
        <v>3373</v>
      </c>
      <c r="CO173" s="12" t="s">
        <v>3374</v>
      </c>
      <c r="CP173" s="12" t="s">
        <v>3375</v>
      </c>
      <c r="CQ173" s="12" t="s">
        <v>1470</v>
      </c>
      <c r="CR173" s="12" t="s">
        <v>786</v>
      </c>
      <c r="CS173" s="12" t="s">
        <v>1785</v>
      </c>
      <c r="CT173" s="12" t="s">
        <v>3376</v>
      </c>
    </row>
    <row r="174" spans="1:98" hidden="1" x14ac:dyDescent="0.3">
      <c r="A174" s="12" t="s">
        <v>25</v>
      </c>
      <c r="B174" s="12" t="s">
        <v>3377</v>
      </c>
      <c r="C174" s="12" t="s">
        <v>3378</v>
      </c>
      <c r="D174" s="12" t="s">
        <v>3379</v>
      </c>
      <c r="E174" s="12" t="s">
        <v>578</v>
      </c>
      <c r="F174" s="12" t="s">
        <v>578</v>
      </c>
      <c r="G174" s="12" t="s">
        <v>578</v>
      </c>
      <c r="H174" s="12" t="s">
        <v>578</v>
      </c>
      <c r="I174" s="12" t="s">
        <v>578</v>
      </c>
      <c r="J174" s="12" t="s">
        <v>578</v>
      </c>
      <c r="K174" s="12" t="s">
        <v>578</v>
      </c>
      <c r="L174" s="12" t="s">
        <v>578</v>
      </c>
      <c r="M174" s="12" t="s">
        <v>578</v>
      </c>
      <c r="N174" s="12" t="s">
        <v>578</v>
      </c>
      <c r="O174" s="12" t="s">
        <v>578</v>
      </c>
      <c r="P174" s="12" t="s">
        <v>578</v>
      </c>
      <c r="Q174" s="12" t="s">
        <v>578</v>
      </c>
      <c r="R174" s="12" t="s">
        <v>578</v>
      </c>
      <c r="S174" s="12" t="s">
        <v>578</v>
      </c>
      <c r="T174" s="12" t="s">
        <v>578</v>
      </c>
      <c r="U174" s="12" t="s">
        <v>578</v>
      </c>
      <c r="V174" s="12" t="s">
        <v>578</v>
      </c>
      <c r="W174" s="12" t="s">
        <v>578</v>
      </c>
      <c r="X174" s="12" t="s">
        <v>578</v>
      </c>
      <c r="Y174" s="12" t="s">
        <v>578</v>
      </c>
      <c r="Z174" s="12" t="s">
        <v>578</v>
      </c>
      <c r="AA174" s="12" t="s">
        <v>578</v>
      </c>
      <c r="AB174" s="12" t="s">
        <v>578</v>
      </c>
      <c r="AC174" s="12" t="s">
        <v>578</v>
      </c>
      <c r="AD174" s="12" t="s">
        <v>578</v>
      </c>
      <c r="AE174" s="12" t="s">
        <v>578</v>
      </c>
      <c r="AF174" s="12" t="s">
        <v>578</v>
      </c>
      <c r="AG174" s="12" t="s">
        <v>578</v>
      </c>
      <c r="AH174" s="12" t="s">
        <v>578</v>
      </c>
      <c r="AI174" s="12" t="s">
        <v>578</v>
      </c>
      <c r="AJ174" s="12" t="s">
        <v>578</v>
      </c>
      <c r="AK174" s="12" t="s">
        <v>578</v>
      </c>
      <c r="AL174" s="12" t="s">
        <v>578</v>
      </c>
      <c r="AM174" s="12" t="s">
        <v>578</v>
      </c>
      <c r="AN174" s="12" t="s">
        <v>578</v>
      </c>
      <c r="AO174" s="12" t="s">
        <v>578</v>
      </c>
      <c r="AP174" s="12" t="s">
        <v>578</v>
      </c>
      <c r="AQ174" s="12" t="s">
        <v>578</v>
      </c>
      <c r="AR174" s="12" t="s">
        <v>578</v>
      </c>
      <c r="AS174" s="12" t="s">
        <v>578</v>
      </c>
      <c r="AT174" s="12" t="s">
        <v>578</v>
      </c>
      <c r="AU174" s="12" t="s">
        <v>578</v>
      </c>
      <c r="AV174" s="12" t="s">
        <v>578</v>
      </c>
      <c r="AW174" s="12" t="s">
        <v>578</v>
      </c>
      <c r="AX174" s="12" t="s">
        <v>578</v>
      </c>
      <c r="AY174" s="12" t="s">
        <v>578</v>
      </c>
      <c r="AZ174" s="12" t="s">
        <v>578</v>
      </c>
      <c r="BA174" s="12" t="s">
        <v>578</v>
      </c>
      <c r="BB174" s="12" t="s">
        <v>578</v>
      </c>
      <c r="BC174" s="12" t="s">
        <v>578</v>
      </c>
      <c r="BD174" s="12" t="s">
        <v>578</v>
      </c>
      <c r="BE174" s="12" t="s">
        <v>578</v>
      </c>
      <c r="BF174" s="12" t="s">
        <v>578</v>
      </c>
      <c r="BG174" s="12" t="s">
        <v>578</v>
      </c>
      <c r="BH174" s="12" t="s">
        <v>578</v>
      </c>
      <c r="BI174" s="12" t="s">
        <v>578</v>
      </c>
      <c r="BJ174" s="12" t="s">
        <v>579</v>
      </c>
      <c r="BK174" s="12" t="s">
        <v>579</v>
      </c>
      <c r="BL174" s="12" t="s">
        <v>623</v>
      </c>
      <c r="BM174" s="12" t="s">
        <v>623</v>
      </c>
      <c r="BN174" s="12" t="s">
        <v>623</v>
      </c>
      <c r="BO174" s="12" t="s">
        <v>623</v>
      </c>
      <c r="BP174" s="12" t="s">
        <v>623</v>
      </c>
      <c r="BQ174" s="12" t="s">
        <v>623</v>
      </c>
      <c r="BR174" s="12" t="s">
        <v>623</v>
      </c>
      <c r="BS174" s="12" t="s">
        <v>580</v>
      </c>
      <c r="BT174" s="12" t="s">
        <v>580</v>
      </c>
      <c r="BU174" s="12" t="s">
        <v>580</v>
      </c>
      <c r="BV174" s="12" t="s">
        <v>581</v>
      </c>
      <c r="BW174" s="12" t="s">
        <v>581</v>
      </c>
      <c r="BX174" s="12" t="s">
        <v>581</v>
      </c>
      <c r="BY174" s="12" t="s">
        <v>581</v>
      </c>
      <c r="BZ174" s="12" t="s">
        <v>581</v>
      </c>
      <c r="CA174" s="12" t="s">
        <v>851</v>
      </c>
      <c r="CB174" s="12" t="s">
        <v>851</v>
      </c>
      <c r="CC174" s="12" t="s">
        <v>851</v>
      </c>
      <c r="CD174" s="12" t="s">
        <v>851</v>
      </c>
      <c r="CE174" s="12" t="s">
        <v>582</v>
      </c>
      <c r="CF174" s="12" t="s">
        <v>582</v>
      </c>
      <c r="CG174" s="12" t="s">
        <v>755</v>
      </c>
      <c r="CH174" s="12" t="s">
        <v>761</v>
      </c>
      <c r="CI174" s="12" t="s">
        <v>761</v>
      </c>
      <c r="CJ174" s="12" t="s">
        <v>761</v>
      </c>
      <c r="CK174" s="12" t="s">
        <v>761</v>
      </c>
      <c r="CL174" s="12" t="s">
        <v>761</v>
      </c>
      <c r="CM174" s="12" t="s">
        <v>761</v>
      </c>
      <c r="CN174" s="12" t="s">
        <v>761</v>
      </c>
      <c r="CO174" s="12" t="s">
        <v>624</v>
      </c>
      <c r="CP174" s="12" t="s">
        <v>624</v>
      </c>
      <c r="CQ174" s="12" t="s">
        <v>624</v>
      </c>
      <c r="CR174" s="12" t="s">
        <v>624</v>
      </c>
      <c r="CS174" s="12" t="s">
        <v>583</v>
      </c>
      <c r="CT174" s="12" t="s">
        <v>583</v>
      </c>
    </row>
    <row r="175" spans="1:98" hidden="1" x14ac:dyDescent="0.3">
      <c r="A175" s="12" t="s">
        <v>25</v>
      </c>
      <c r="B175" s="12" t="s">
        <v>3380</v>
      </c>
      <c r="C175" s="12" t="s">
        <v>3381</v>
      </c>
      <c r="D175" s="12" t="s">
        <v>3382</v>
      </c>
      <c r="E175" s="12" t="s">
        <v>578</v>
      </c>
      <c r="F175" s="12" t="s">
        <v>578</v>
      </c>
      <c r="G175" s="12" t="s">
        <v>578</v>
      </c>
      <c r="H175" s="12" t="s">
        <v>578</v>
      </c>
      <c r="I175" s="12" t="s">
        <v>578</v>
      </c>
      <c r="J175" s="12" t="s">
        <v>578</v>
      </c>
      <c r="K175" s="12" t="s">
        <v>578</v>
      </c>
      <c r="L175" s="12" t="s">
        <v>578</v>
      </c>
      <c r="M175" s="12" t="s">
        <v>578</v>
      </c>
      <c r="N175" s="12" t="s">
        <v>578</v>
      </c>
      <c r="O175" s="12" t="s">
        <v>578</v>
      </c>
      <c r="P175" s="12" t="s">
        <v>578</v>
      </c>
      <c r="Q175" s="12" t="s">
        <v>578</v>
      </c>
      <c r="R175" s="12" t="s">
        <v>578</v>
      </c>
      <c r="S175" s="12" t="s">
        <v>578</v>
      </c>
      <c r="T175" s="12" t="s">
        <v>578</v>
      </c>
      <c r="U175" s="12" t="s">
        <v>578</v>
      </c>
      <c r="V175" s="12" t="s">
        <v>578</v>
      </c>
      <c r="W175" s="12" t="s">
        <v>578</v>
      </c>
      <c r="X175" s="12" t="s">
        <v>578</v>
      </c>
      <c r="Y175" s="12" t="s">
        <v>578</v>
      </c>
      <c r="Z175" s="12" t="s">
        <v>578</v>
      </c>
      <c r="AA175" s="12" t="s">
        <v>578</v>
      </c>
      <c r="AB175" s="12" t="s">
        <v>578</v>
      </c>
      <c r="AC175" s="12" t="s">
        <v>578</v>
      </c>
      <c r="AD175" s="12" t="s">
        <v>578</v>
      </c>
      <c r="AE175" s="12" t="s">
        <v>578</v>
      </c>
      <c r="AF175" s="12" t="s">
        <v>578</v>
      </c>
      <c r="AG175" s="12" t="s">
        <v>578</v>
      </c>
      <c r="AH175" s="12" t="s">
        <v>578</v>
      </c>
      <c r="AI175" s="12" t="s">
        <v>578</v>
      </c>
      <c r="AJ175" s="12" t="s">
        <v>578</v>
      </c>
      <c r="AK175" s="12" t="s">
        <v>578</v>
      </c>
      <c r="AL175" s="12" t="s">
        <v>578</v>
      </c>
      <c r="AM175" s="12" t="s">
        <v>578</v>
      </c>
      <c r="AN175" s="12" t="s">
        <v>578</v>
      </c>
      <c r="AO175" s="12" t="s">
        <v>578</v>
      </c>
      <c r="AP175" s="12" t="s">
        <v>578</v>
      </c>
      <c r="AQ175" s="12" t="s">
        <v>578</v>
      </c>
      <c r="AR175" s="12" t="s">
        <v>578</v>
      </c>
      <c r="AS175" s="12" t="s">
        <v>578</v>
      </c>
      <c r="AT175" s="12" t="s">
        <v>578</v>
      </c>
      <c r="AU175" s="12" t="s">
        <v>578</v>
      </c>
      <c r="AV175" s="12" t="s">
        <v>578</v>
      </c>
      <c r="AW175" s="12" t="s">
        <v>578</v>
      </c>
      <c r="AX175" s="12" t="s">
        <v>578</v>
      </c>
      <c r="AY175" s="12" t="s">
        <v>578</v>
      </c>
      <c r="AZ175" s="12" t="s">
        <v>578</v>
      </c>
      <c r="BA175" s="12" t="s">
        <v>578</v>
      </c>
      <c r="BB175" s="12" t="s">
        <v>578</v>
      </c>
      <c r="BC175" s="12" t="s">
        <v>578</v>
      </c>
      <c r="BD175" s="12" t="s">
        <v>578</v>
      </c>
      <c r="BE175" s="12" t="s">
        <v>578</v>
      </c>
      <c r="BF175" s="12" t="s">
        <v>578</v>
      </c>
      <c r="BG175" s="12" t="s">
        <v>578</v>
      </c>
      <c r="BH175" s="12" t="s">
        <v>578</v>
      </c>
      <c r="BI175" s="12" t="s">
        <v>578</v>
      </c>
      <c r="BJ175" s="12" t="s">
        <v>578</v>
      </c>
      <c r="BK175" s="12" t="s">
        <v>579</v>
      </c>
      <c r="BL175" s="12" t="s">
        <v>579</v>
      </c>
      <c r="BM175" s="12" t="s">
        <v>623</v>
      </c>
      <c r="BN175" s="12" t="s">
        <v>672</v>
      </c>
      <c r="BO175" s="12" t="s">
        <v>672</v>
      </c>
      <c r="BP175" s="12" t="s">
        <v>582</v>
      </c>
      <c r="BQ175" s="12" t="s">
        <v>624</v>
      </c>
      <c r="BR175" s="12" t="s">
        <v>624</v>
      </c>
      <c r="BS175" s="12" t="s">
        <v>624</v>
      </c>
      <c r="BT175" s="12" t="s">
        <v>808</v>
      </c>
      <c r="BU175" s="12" t="s">
        <v>913</v>
      </c>
      <c r="BV175" s="12" t="s">
        <v>913</v>
      </c>
      <c r="BW175" s="12" t="s">
        <v>589</v>
      </c>
      <c r="BX175" s="12" t="s">
        <v>978</v>
      </c>
      <c r="BY175" s="12" t="s">
        <v>593</v>
      </c>
      <c r="BZ175" s="12" t="s">
        <v>920</v>
      </c>
      <c r="CA175" s="12" t="s">
        <v>921</v>
      </c>
      <c r="CB175" s="12" t="s">
        <v>1491</v>
      </c>
      <c r="CC175" s="12" t="s">
        <v>1028</v>
      </c>
      <c r="CD175" s="12" t="s">
        <v>1519</v>
      </c>
      <c r="CE175" s="12" t="s">
        <v>1695</v>
      </c>
      <c r="CF175" s="12" t="s">
        <v>967</v>
      </c>
      <c r="CG175" s="12" t="s">
        <v>1703</v>
      </c>
      <c r="CH175" s="12" t="s">
        <v>1722</v>
      </c>
      <c r="CI175" s="12" t="s">
        <v>1722</v>
      </c>
      <c r="CJ175" s="12" t="s">
        <v>1984</v>
      </c>
      <c r="CK175" s="12" t="s">
        <v>664</v>
      </c>
      <c r="CL175" s="12" t="s">
        <v>664</v>
      </c>
      <c r="CM175" s="12" t="s">
        <v>3383</v>
      </c>
      <c r="CN175" s="12" t="s">
        <v>2071</v>
      </c>
      <c r="CO175" s="12" t="s">
        <v>2701</v>
      </c>
      <c r="CP175" s="12" t="s">
        <v>2701</v>
      </c>
      <c r="CQ175" s="12" t="s">
        <v>2190</v>
      </c>
      <c r="CR175" s="12" t="s">
        <v>2175</v>
      </c>
      <c r="CS175" s="12" t="s">
        <v>3384</v>
      </c>
      <c r="CT175" s="12" t="s">
        <v>2176</v>
      </c>
    </row>
    <row r="176" spans="1:98" hidden="1" x14ac:dyDescent="0.3">
      <c r="A176" s="12" t="s">
        <v>25</v>
      </c>
      <c r="B176" s="12" t="s">
        <v>3385</v>
      </c>
      <c r="C176" s="12" t="s">
        <v>3386</v>
      </c>
      <c r="D176" s="12" t="s">
        <v>3387</v>
      </c>
      <c r="E176" s="12" t="s">
        <v>578</v>
      </c>
      <c r="F176" s="12" t="s">
        <v>578</v>
      </c>
      <c r="G176" s="12" t="s">
        <v>578</v>
      </c>
      <c r="H176" s="12" t="s">
        <v>578</v>
      </c>
      <c r="I176" s="12" t="s">
        <v>578</v>
      </c>
      <c r="J176" s="12" t="s">
        <v>578</v>
      </c>
      <c r="K176" s="12" t="s">
        <v>578</v>
      </c>
      <c r="L176" s="12" t="s">
        <v>578</v>
      </c>
      <c r="M176" s="12" t="s">
        <v>578</v>
      </c>
      <c r="N176" s="12" t="s">
        <v>578</v>
      </c>
      <c r="O176" s="12" t="s">
        <v>578</v>
      </c>
      <c r="P176" s="12" t="s">
        <v>578</v>
      </c>
      <c r="Q176" s="12" t="s">
        <v>578</v>
      </c>
      <c r="R176" s="12" t="s">
        <v>578</v>
      </c>
      <c r="S176" s="12" t="s">
        <v>578</v>
      </c>
      <c r="T176" s="12" t="s">
        <v>578</v>
      </c>
      <c r="U176" s="12" t="s">
        <v>578</v>
      </c>
      <c r="V176" s="12" t="s">
        <v>578</v>
      </c>
      <c r="W176" s="12" t="s">
        <v>578</v>
      </c>
      <c r="X176" s="12" t="s">
        <v>578</v>
      </c>
      <c r="Y176" s="12" t="s">
        <v>578</v>
      </c>
      <c r="Z176" s="12" t="s">
        <v>578</v>
      </c>
      <c r="AA176" s="12" t="s">
        <v>578</v>
      </c>
      <c r="AB176" s="12" t="s">
        <v>578</v>
      </c>
      <c r="AC176" s="12" t="s">
        <v>578</v>
      </c>
      <c r="AD176" s="12" t="s">
        <v>578</v>
      </c>
      <c r="AE176" s="12" t="s">
        <v>578</v>
      </c>
      <c r="AF176" s="12" t="s">
        <v>578</v>
      </c>
      <c r="AG176" s="12" t="s">
        <v>578</v>
      </c>
      <c r="AH176" s="12" t="s">
        <v>578</v>
      </c>
      <c r="AI176" s="12" t="s">
        <v>578</v>
      </c>
      <c r="AJ176" s="12" t="s">
        <v>578</v>
      </c>
      <c r="AK176" s="12" t="s">
        <v>578</v>
      </c>
      <c r="AL176" s="12" t="s">
        <v>578</v>
      </c>
      <c r="AM176" s="12" t="s">
        <v>578</v>
      </c>
      <c r="AN176" s="12" t="s">
        <v>578</v>
      </c>
      <c r="AO176" s="12" t="s">
        <v>578</v>
      </c>
      <c r="AP176" s="12" t="s">
        <v>579</v>
      </c>
      <c r="AQ176" s="12" t="s">
        <v>579</v>
      </c>
      <c r="AR176" s="12" t="s">
        <v>579</v>
      </c>
      <c r="AS176" s="12" t="s">
        <v>579</v>
      </c>
      <c r="AT176" s="12" t="s">
        <v>579</v>
      </c>
      <c r="AU176" s="12" t="s">
        <v>579</v>
      </c>
      <c r="AV176" s="12" t="s">
        <v>579</v>
      </c>
      <c r="AW176" s="12" t="s">
        <v>579</v>
      </c>
      <c r="AX176" s="12" t="s">
        <v>579</v>
      </c>
      <c r="AY176" s="12" t="s">
        <v>579</v>
      </c>
      <c r="AZ176" s="12" t="s">
        <v>623</v>
      </c>
      <c r="BA176" s="12" t="s">
        <v>623</v>
      </c>
      <c r="BB176" s="12" t="s">
        <v>623</v>
      </c>
      <c r="BC176" s="12" t="s">
        <v>623</v>
      </c>
      <c r="BD176" s="12" t="s">
        <v>623</v>
      </c>
      <c r="BE176" s="12" t="s">
        <v>623</v>
      </c>
      <c r="BF176" s="12" t="s">
        <v>623</v>
      </c>
      <c r="BG176" s="12" t="s">
        <v>623</v>
      </c>
      <c r="BH176" s="12" t="s">
        <v>672</v>
      </c>
      <c r="BI176" s="12" t="s">
        <v>755</v>
      </c>
      <c r="BJ176" s="12" t="s">
        <v>755</v>
      </c>
      <c r="BK176" s="12" t="s">
        <v>625</v>
      </c>
      <c r="BL176" s="12" t="s">
        <v>586</v>
      </c>
      <c r="BM176" s="12" t="s">
        <v>2018</v>
      </c>
      <c r="BN176" s="12" t="s">
        <v>588</v>
      </c>
      <c r="BO176" s="12" t="s">
        <v>1096</v>
      </c>
      <c r="BP176" s="12" t="s">
        <v>630</v>
      </c>
      <c r="BQ176" s="12" t="s">
        <v>870</v>
      </c>
      <c r="BR176" s="12" t="s">
        <v>634</v>
      </c>
      <c r="BS176" s="12" t="s">
        <v>636</v>
      </c>
      <c r="BT176" s="12" t="s">
        <v>979</v>
      </c>
      <c r="BU176" s="12" t="s">
        <v>1047</v>
      </c>
      <c r="BV176" s="12" t="s">
        <v>1356</v>
      </c>
      <c r="BW176" s="12" t="s">
        <v>595</v>
      </c>
      <c r="BX176" s="12" t="s">
        <v>921</v>
      </c>
      <c r="BY176" s="12" t="s">
        <v>875</v>
      </c>
      <c r="BZ176" s="12" t="s">
        <v>1126</v>
      </c>
      <c r="CA176" s="12" t="s">
        <v>1507</v>
      </c>
      <c r="CB176" s="12" t="s">
        <v>1624</v>
      </c>
      <c r="CC176" s="12" t="s">
        <v>1492</v>
      </c>
      <c r="CD176" s="12" t="s">
        <v>3388</v>
      </c>
      <c r="CE176" s="12" t="s">
        <v>1395</v>
      </c>
      <c r="CF176" s="12" t="s">
        <v>958</v>
      </c>
      <c r="CG176" s="12" t="s">
        <v>1396</v>
      </c>
      <c r="CH176" s="12" t="s">
        <v>1281</v>
      </c>
      <c r="CI176" s="12" t="s">
        <v>1745</v>
      </c>
      <c r="CJ176" s="12" t="s">
        <v>1981</v>
      </c>
      <c r="CK176" s="12" t="s">
        <v>820</v>
      </c>
      <c r="CL176" s="12" t="s">
        <v>1699</v>
      </c>
      <c r="CM176" s="12" t="s">
        <v>926</v>
      </c>
      <c r="CN176" s="12" t="s">
        <v>1402</v>
      </c>
      <c r="CO176" s="12" t="s">
        <v>3383</v>
      </c>
      <c r="CP176" s="12" t="s">
        <v>608</v>
      </c>
      <c r="CQ176" s="12" t="s">
        <v>608</v>
      </c>
      <c r="CR176" s="12" t="s">
        <v>933</v>
      </c>
      <c r="CS176" s="12" t="s">
        <v>1866</v>
      </c>
      <c r="CT176" s="12" t="s">
        <v>1759</v>
      </c>
    </row>
    <row r="177" spans="1:98" hidden="1" x14ac:dyDescent="0.3">
      <c r="A177" s="12" t="s">
        <v>25</v>
      </c>
      <c r="B177" s="12" t="s">
        <v>3389</v>
      </c>
      <c r="C177" s="12" t="s">
        <v>3390</v>
      </c>
      <c r="D177" s="12" t="s">
        <v>3391</v>
      </c>
      <c r="E177" s="12" t="s">
        <v>578</v>
      </c>
      <c r="F177" s="12" t="s">
        <v>578</v>
      </c>
      <c r="G177" s="12" t="s">
        <v>578</v>
      </c>
      <c r="H177" s="12" t="s">
        <v>578</v>
      </c>
      <c r="I177" s="12" t="s">
        <v>578</v>
      </c>
      <c r="J177" s="12" t="s">
        <v>578</v>
      </c>
      <c r="K177" s="12" t="s">
        <v>578</v>
      </c>
      <c r="L177" s="12" t="s">
        <v>578</v>
      </c>
      <c r="M177" s="12" t="s">
        <v>578</v>
      </c>
      <c r="N177" s="12" t="s">
        <v>578</v>
      </c>
      <c r="O177" s="12" t="s">
        <v>578</v>
      </c>
      <c r="P177" s="12" t="s">
        <v>578</v>
      </c>
      <c r="Q177" s="12" t="s">
        <v>578</v>
      </c>
      <c r="R177" s="12" t="s">
        <v>578</v>
      </c>
      <c r="S177" s="12" t="s">
        <v>578</v>
      </c>
      <c r="T177" s="12" t="s">
        <v>578</v>
      </c>
      <c r="U177" s="12" t="s">
        <v>578</v>
      </c>
      <c r="V177" s="12" t="s">
        <v>578</v>
      </c>
      <c r="W177" s="12" t="s">
        <v>578</v>
      </c>
      <c r="X177" s="12" t="s">
        <v>578</v>
      </c>
      <c r="Y177" s="12" t="s">
        <v>578</v>
      </c>
      <c r="Z177" s="12" t="s">
        <v>578</v>
      </c>
      <c r="AA177" s="12" t="s">
        <v>578</v>
      </c>
      <c r="AB177" s="12" t="s">
        <v>578</v>
      </c>
      <c r="AC177" s="12" t="s">
        <v>578</v>
      </c>
      <c r="AD177" s="12" t="s">
        <v>578</v>
      </c>
      <c r="AE177" s="12" t="s">
        <v>578</v>
      </c>
      <c r="AF177" s="12" t="s">
        <v>578</v>
      </c>
      <c r="AG177" s="12" t="s">
        <v>578</v>
      </c>
      <c r="AH177" s="12" t="s">
        <v>578</v>
      </c>
      <c r="AI177" s="12" t="s">
        <v>578</v>
      </c>
      <c r="AJ177" s="12" t="s">
        <v>578</v>
      </c>
      <c r="AK177" s="12" t="s">
        <v>578</v>
      </c>
      <c r="AL177" s="12" t="s">
        <v>578</v>
      </c>
      <c r="AM177" s="12" t="s">
        <v>578</v>
      </c>
      <c r="AN177" s="12" t="s">
        <v>579</v>
      </c>
      <c r="AO177" s="12" t="s">
        <v>579</v>
      </c>
      <c r="AP177" s="12" t="s">
        <v>579</v>
      </c>
      <c r="AQ177" s="12" t="s">
        <v>579</v>
      </c>
      <c r="AR177" s="12" t="s">
        <v>579</v>
      </c>
      <c r="AS177" s="12" t="s">
        <v>579</v>
      </c>
      <c r="AT177" s="12" t="s">
        <v>579</v>
      </c>
      <c r="AU177" s="12" t="s">
        <v>579</v>
      </c>
      <c r="AV177" s="12" t="s">
        <v>579</v>
      </c>
      <c r="AW177" s="12" t="s">
        <v>672</v>
      </c>
      <c r="AX177" s="12" t="s">
        <v>672</v>
      </c>
      <c r="AY177" s="12" t="s">
        <v>672</v>
      </c>
      <c r="AZ177" s="12" t="s">
        <v>672</v>
      </c>
      <c r="BA177" s="12" t="s">
        <v>582</v>
      </c>
      <c r="BB177" s="12" t="s">
        <v>582</v>
      </c>
      <c r="BC177" s="12" t="s">
        <v>582</v>
      </c>
      <c r="BD177" s="12" t="s">
        <v>756</v>
      </c>
      <c r="BE177" s="12" t="s">
        <v>756</v>
      </c>
      <c r="BF177" s="12" t="s">
        <v>756</v>
      </c>
      <c r="BG177" s="12" t="s">
        <v>808</v>
      </c>
      <c r="BH177" s="12" t="s">
        <v>676</v>
      </c>
      <c r="BI177" s="12" t="s">
        <v>917</v>
      </c>
      <c r="BJ177" s="12" t="s">
        <v>678</v>
      </c>
      <c r="BK177" s="12" t="s">
        <v>955</v>
      </c>
      <c r="BL177" s="12" t="s">
        <v>1124</v>
      </c>
      <c r="BM177" s="12" t="s">
        <v>811</v>
      </c>
      <c r="BN177" s="12" t="s">
        <v>812</v>
      </c>
      <c r="BO177" s="12" t="s">
        <v>1505</v>
      </c>
      <c r="BP177" s="12" t="s">
        <v>1531</v>
      </c>
      <c r="BQ177" s="12" t="s">
        <v>684</v>
      </c>
      <c r="BR177" s="12" t="s">
        <v>1570</v>
      </c>
      <c r="BS177" s="12" t="s">
        <v>1508</v>
      </c>
      <c r="BT177" s="12" t="s">
        <v>645</v>
      </c>
      <c r="BU177" s="12" t="s">
        <v>1129</v>
      </c>
      <c r="BV177" s="12" t="s">
        <v>819</v>
      </c>
      <c r="BW177" s="12" t="s">
        <v>1267</v>
      </c>
      <c r="BX177" s="12" t="s">
        <v>1398</v>
      </c>
      <c r="BY177" s="12" t="s">
        <v>2659</v>
      </c>
      <c r="BZ177" s="12" t="s">
        <v>1846</v>
      </c>
      <c r="CA177" s="12" t="s">
        <v>606</v>
      </c>
      <c r="CB177" s="12" t="s">
        <v>1984</v>
      </c>
      <c r="CC177" s="12" t="s">
        <v>2106</v>
      </c>
      <c r="CD177" s="12" t="s">
        <v>1461</v>
      </c>
      <c r="CE177" s="12" t="s">
        <v>667</v>
      </c>
      <c r="CF177" s="12" t="s">
        <v>1964</v>
      </c>
      <c r="CG177" s="12" t="s">
        <v>2042</v>
      </c>
      <c r="CH177" s="12" t="s">
        <v>3392</v>
      </c>
      <c r="CI177" s="12" t="s">
        <v>3393</v>
      </c>
      <c r="CJ177" s="12" t="s">
        <v>3394</v>
      </c>
      <c r="CK177" s="12" t="s">
        <v>940</v>
      </c>
      <c r="CL177" s="12" t="s">
        <v>3395</v>
      </c>
      <c r="CM177" s="12" t="s">
        <v>2111</v>
      </c>
      <c r="CN177" s="12" t="s">
        <v>3396</v>
      </c>
      <c r="CO177" s="12" t="s">
        <v>2434</v>
      </c>
      <c r="CP177" s="12" t="s">
        <v>3397</v>
      </c>
      <c r="CQ177" s="12" t="s">
        <v>1168</v>
      </c>
      <c r="CR177" s="12" t="s">
        <v>3398</v>
      </c>
      <c r="CS177" s="12" t="s">
        <v>3110</v>
      </c>
      <c r="CT177" s="12" t="s">
        <v>2290</v>
      </c>
    </row>
    <row r="178" spans="1:98" hidden="1" x14ac:dyDescent="0.3">
      <c r="A178" s="12" t="s">
        <v>25</v>
      </c>
      <c r="B178" s="12" t="s">
        <v>3399</v>
      </c>
      <c r="C178" s="12" t="s">
        <v>3400</v>
      </c>
      <c r="D178" s="12" t="s">
        <v>3401</v>
      </c>
      <c r="E178" s="12" t="s">
        <v>578</v>
      </c>
      <c r="F178" s="12" t="s">
        <v>578</v>
      </c>
      <c r="G178" s="12" t="s">
        <v>578</v>
      </c>
      <c r="H178" s="12" t="s">
        <v>578</v>
      </c>
      <c r="I178" s="12" t="s">
        <v>578</v>
      </c>
      <c r="J178" s="12" t="s">
        <v>578</v>
      </c>
      <c r="K178" s="12" t="s">
        <v>578</v>
      </c>
      <c r="L178" s="12" t="s">
        <v>578</v>
      </c>
      <c r="M178" s="12" t="s">
        <v>578</v>
      </c>
      <c r="N178" s="12" t="s">
        <v>578</v>
      </c>
      <c r="O178" s="12" t="s">
        <v>578</v>
      </c>
      <c r="P178" s="12" t="s">
        <v>578</v>
      </c>
      <c r="Q178" s="12" t="s">
        <v>578</v>
      </c>
      <c r="R178" s="12" t="s">
        <v>578</v>
      </c>
      <c r="S178" s="12" t="s">
        <v>578</v>
      </c>
      <c r="T178" s="12" t="s">
        <v>578</v>
      </c>
      <c r="U178" s="12" t="s">
        <v>578</v>
      </c>
      <c r="V178" s="12" t="s">
        <v>578</v>
      </c>
      <c r="W178" s="12" t="s">
        <v>578</v>
      </c>
      <c r="X178" s="12" t="s">
        <v>578</v>
      </c>
      <c r="Y178" s="12" t="s">
        <v>578</v>
      </c>
      <c r="Z178" s="12" t="s">
        <v>578</v>
      </c>
      <c r="AA178" s="12" t="s">
        <v>578</v>
      </c>
      <c r="AB178" s="12" t="s">
        <v>578</v>
      </c>
      <c r="AC178" s="12" t="s">
        <v>578</v>
      </c>
      <c r="AD178" s="12" t="s">
        <v>578</v>
      </c>
      <c r="AE178" s="12" t="s">
        <v>578</v>
      </c>
      <c r="AF178" s="12" t="s">
        <v>578</v>
      </c>
      <c r="AG178" s="12" t="s">
        <v>578</v>
      </c>
      <c r="AH178" s="12" t="s">
        <v>578</v>
      </c>
      <c r="AI178" s="12" t="s">
        <v>578</v>
      </c>
      <c r="AJ178" s="12" t="s">
        <v>578</v>
      </c>
      <c r="AK178" s="12" t="s">
        <v>578</v>
      </c>
      <c r="AL178" s="12" t="s">
        <v>578</v>
      </c>
      <c r="AM178" s="12" t="s">
        <v>578</v>
      </c>
      <c r="AN178" s="12" t="s">
        <v>579</v>
      </c>
      <c r="AO178" s="12" t="s">
        <v>579</v>
      </c>
      <c r="AP178" s="12" t="s">
        <v>851</v>
      </c>
      <c r="AQ178" s="12" t="s">
        <v>762</v>
      </c>
      <c r="AR178" s="12" t="s">
        <v>674</v>
      </c>
      <c r="AS178" s="12" t="s">
        <v>757</v>
      </c>
      <c r="AT178" s="12" t="s">
        <v>852</v>
      </c>
      <c r="AU178" s="12" t="s">
        <v>769</v>
      </c>
      <c r="AV178" s="12" t="s">
        <v>681</v>
      </c>
      <c r="AW178" s="12" t="s">
        <v>1499</v>
      </c>
      <c r="AX178" s="12" t="s">
        <v>1515</v>
      </c>
      <c r="AY178" s="12" t="s">
        <v>1278</v>
      </c>
      <c r="AZ178" s="12" t="s">
        <v>986</v>
      </c>
      <c r="BA178" s="12" t="s">
        <v>652</v>
      </c>
      <c r="BB178" s="12" t="s">
        <v>1270</v>
      </c>
      <c r="BC178" s="12" t="s">
        <v>2139</v>
      </c>
      <c r="BD178" s="12" t="s">
        <v>614</v>
      </c>
      <c r="BE178" s="12" t="s">
        <v>3402</v>
      </c>
      <c r="BF178" s="12" t="s">
        <v>3403</v>
      </c>
      <c r="BG178" s="12" t="s">
        <v>1767</v>
      </c>
      <c r="BH178" s="12" t="s">
        <v>3404</v>
      </c>
      <c r="BI178" s="12" t="s">
        <v>3405</v>
      </c>
      <c r="BJ178" s="12" t="s">
        <v>3406</v>
      </c>
      <c r="BK178" s="12" t="s">
        <v>702</v>
      </c>
      <c r="BL178" s="12" t="s">
        <v>3407</v>
      </c>
      <c r="BM178" s="12" t="s">
        <v>3408</v>
      </c>
      <c r="BN178" s="12" t="s">
        <v>3409</v>
      </c>
      <c r="BO178" s="12" t="s">
        <v>898</v>
      </c>
      <c r="BP178" s="12" t="s">
        <v>3410</v>
      </c>
      <c r="BQ178" s="12" t="s">
        <v>2473</v>
      </c>
      <c r="BR178" s="12" t="s">
        <v>2348</v>
      </c>
      <c r="BS178" s="12" t="s">
        <v>255</v>
      </c>
      <c r="BT178" s="12" t="s">
        <v>2480</v>
      </c>
      <c r="BU178" s="12" t="s">
        <v>3411</v>
      </c>
      <c r="BV178" s="12" t="s">
        <v>3412</v>
      </c>
      <c r="BW178" s="12" t="s">
        <v>3413</v>
      </c>
      <c r="BX178" s="12" t="s">
        <v>3414</v>
      </c>
      <c r="BY178" s="12" t="s">
        <v>3415</v>
      </c>
      <c r="BZ178" s="12" t="s">
        <v>3416</v>
      </c>
      <c r="CA178" s="12" t="s">
        <v>3417</v>
      </c>
      <c r="CB178" s="12" t="s">
        <v>3418</v>
      </c>
      <c r="CC178" s="12" t="s">
        <v>3419</v>
      </c>
      <c r="CD178" s="12" t="s">
        <v>3419</v>
      </c>
      <c r="CE178" s="12" t="s">
        <v>3420</v>
      </c>
      <c r="CF178" s="12" t="s">
        <v>3421</v>
      </c>
      <c r="CG178" s="12" t="s">
        <v>3422</v>
      </c>
      <c r="CH178" s="12" t="s">
        <v>3423</v>
      </c>
      <c r="CI178" s="12" t="s">
        <v>3424</v>
      </c>
      <c r="CJ178" s="12" t="s">
        <v>3425</v>
      </c>
      <c r="CK178" s="12" t="s">
        <v>3426</v>
      </c>
      <c r="CL178" s="12" t="s">
        <v>3427</v>
      </c>
      <c r="CM178" s="12" t="s">
        <v>3428</v>
      </c>
      <c r="CN178" s="12" t="s">
        <v>3429</v>
      </c>
      <c r="CO178" s="12" t="s">
        <v>3430</v>
      </c>
      <c r="CP178" s="12" t="s">
        <v>3431</v>
      </c>
      <c r="CQ178" s="12" t="s">
        <v>3432</v>
      </c>
      <c r="CR178" s="12" t="s">
        <v>3433</v>
      </c>
      <c r="CS178" s="12" t="s">
        <v>3434</v>
      </c>
      <c r="CT178" s="12" t="s">
        <v>3435</v>
      </c>
    </row>
    <row r="179" spans="1:98" hidden="1" x14ac:dyDescent="0.3">
      <c r="A179" s="12" t="s">
        <v>25</v>
      </c>
      <c r="B179" s="12" t="s">
        <v>3436</v>
      </c>
      <c r="C179" s="12" t="s">
        <v>2724</v>
      </c>
      <c r="D179" s="12" t="s">
        <v>3437</v>
      </c>
      <c r="E179" s="12" t="s">
        <v>578</v>
      </c>
      <c r="F179" s="12" t="s">
        <v>578</v>
      </c>
      <c r="G179" s="12" t="s">
        <v>578</v>
      </c>
      <c r="H179" s="12" t="s">
        <v>578</v>
      </c>
      <c r="I179" s="12" t="s">
        <v>578</v>
      </c>
      <c r="J179" s="12" t="s">
        <v>578</v>
      </c>
      <c r="K179" s="12" t="s">
        <v>578</v>
      </c>
      <c r="L179" s="12" t="s">
        <v>578</v>
      </c>
      <c r="M179" s="12" t="s">
        <v>578</v>
      </c>
      <c r="N179" s="12" t="s">
        <v>578</v>
      </c>
      <c r="O179" s="12" t="s">
        <v>578</v>
      </c>
      <c r="P179" s="12" t="s">
        <v>578</v>
      </c>
      <c r="Q179" s="12" t="s">
        <v>578</v>
      </c>
      <c r="R179" s="12" t="s">
        <v>578</v>
      </c>
      <c r="S179" s="12" t="s">
        <v>578</v>
      </c>
      <c r="T179" s="12" t="s">
        <v>578</v>
      </c>
      <c r="U179" s="12" t="s">
        <v>578</v>
      </c>
      <c r="V179" s="12" t="s">
        <v>578</v>
      </c>
      <c r="W179" s="12" t="s">
        <v>578</v>
      </c>
      <c r="X179" s="12" t="s">
        <v>578</v>
      </c>
      <c r="Y179" s="12" t="s">
        <v>578</v>
      </c>
      <c r="Z179" s="12" t="s">
        <v>578</v>
      </c>
      <c r="AA179" s="12" t="s">
        <v>578</v>
      </c>
      <c r="AB179" s="12" t="s">
        <v>578</v>
      </c>
      <c r="AC179" s="12" t="s">
        <v>578</v>
      </c>
      <c r="AD179" s="12" t="s">
        <v>578</v>
      </c>
      <c r="AE179" s="12" t="s">
        <v>578</v>
      </c>
      <c r="AF179" s="12" t="s">
        <v>578</v>
      </c>
      <c r="AG179" s="12" t="s">
        <v>578</v>
      </c>
      <c r="AH179" s="12" t="s">
        <v>578</v>
      </c>
      <c r="AI179" s="12" t="s">
        <v>578</v>
      </c>
      <c r="AJ179" s="12" t="s">
        <v>578</v>
      </c>
      <c r="AK179" s="12" t="s">
        <v>578</v>
      </c>
      <c r="AL179" s="12" t="s">
        <v>623</v>
      </c>
      <c r="AM179" s="12" t="s">
        <v>623</v>
      </c>
      <c r="AN179" s="12" t="s">
        <v>580</v>
      </c>
      <c r="AO179" s="12" t="s">
        <v>580</v>
      </c>
      <c r="AP179" s="12" t="s">
        <v>580</v>
      </c>
      <c r="AQ179" s="12" t="s">
        <v>851</v>
      </c>
      <c r="AR179" s="12" t="s">
        <v>851</v>
      </c>
      <c r="AS179" s="12" t="s">
        <v>851</v>
      </c>
      <c r="AT179" s="12" t="s">
        <v>625</v>
      </c>
      <c r="AU179" s="12" t="s">
        <v>762</v>
      </c>
      <c r="AV179" s="12" t="s">
        <v>584</v>
      </c>
      <c r="AW179" s="12" t="s">
        <v>584</v>
      </c>
      <c r="AX179" s="12" t="s">
        <v>584</v>
      </c>
      <c r="AY179" s="12" t="s">
        <v>584</v>
      </c>
      <c r="AZ179" s="12" t="s">
        <v>584</v>
      </c>
      <c r="BA179" s="12" t="s">
        <v>808</v>
      </c>
      <c r="BB179" s="12" t="s">
        <v>808</v>
      </c>
      <c r="BC179" s="12" t="s">
        <v>808</v>
      </c>
      <c r="BD179" s="12" t="s">
        <v>674</v>
      </c>
      <c r="BE179" s="12" t="s">
        <v>674</v>
      </c>
      <c r="BF179" s="12" t="s">
        <v>586</v>
      </c>
      <c r="BG179" s="12" t="s">
        <v>586</v>
      </c>
      <c r="BH179" s="12" t="s">
        <v>587</v>
      </c>
      <c r="BI179" s="12" t="s">
        <v>718</v>
      </c>
      <c r="BJ179" s="12" t="s">
        <v>678</v>
      </c>
      <c r="BK179" s="12" t="s">
        <v>678</v>
      </c>
      <c r="BL179" s="12" t="s">
        <v>809</v>
      </c>
      <c r="BM179" s="12" t="s">
        <v>631</v>
      </c>
      <c r="BN179" s="12" t="s">
        <v>973</v>
      </c>
      <c r="BO179" s="12" t="s">
        <v>590</v>
      </c>
      <c r="BP179" s="12" t="s">
        <v>860</v>
      </c>
      <c r="BQ179" s="12" t="s">
        <v>1208</v>
      </c>
      <c r="BR179" s="12" t="s">
        <v>1047</v>
      </c>
      <c r="BS179" s="12" t="s">
        <v>1185</v>
      </c>
      <c r="BT179" s="12" t="s">
        <v>1487</v>
      </c>
      <c r="BU179" s="12" t="s">
        <v>1734</v>
      </c>
      <c r="BV179" s="12" t="s">
        <v>2839</v>
      </c>
      <c r="BW179" s="12" t="s">
        <v>875</v>
      </c>
      <c r="BX179" s="12" t="s">
        <v>1027</v>
      </c>
      <c r="BY179" s="12" t="s">
        <v>1511</v>
      </c>
      <c r="BZ179" s="12" t="s">
        <v>646</v>
      </c>
      <c r="CA179" s="12" t="s">
        <v>1098</v>
      </c>
      <c r="CB179" s="12" t="s">
        <v>1365</v>
      </c>
      <c r="CC179" s="12" t="s">
        <v>2061</v>
      </c>
      <c r="CD179" s="12" t="s">
        <v>1130</v>
      </c>
      <c r="CE179" s="12" t="s">
        <v>1369</v>
      </c>
      <c r="CF179" s="12" t="s">
        <v>604</v>
      </c>
      <c r="CG179" s="12" t="s">
        <v>1042</v>
      </c>
      <c r="CH179" s="12" t="s">
        <v>2106</v>
      </c>
      <c r="CI179" s="12" t="s">
        <v>2726</v>
      </c>
      <c r="CJ179" s="12" t="s">
        <v>1756</v>
      </c>
      <c r="CK179" s="12" t="s">
        <v>1675</v>
      </c>
      <c r="CL179" s="12" t="s">
        <v>948</v>
      </c>
      <c r="CM179" s="12" t="s">
        <v>3438</v>
      </c>
      <c r="CN179" s="12" t="s">
        <v>3439</v>
      </c>
      <c r="CO179" s="12" t="s">
        <v>1468</v>
      </c>
      <c r="CP179" s="12" t="s">
        <v>2686</v>
      </c>
      <c r="CQ179" s="12" t="s">
        <v>3440</v>
      </c>
      <c r="CR179" s="12" t="s">
        <v>3441</v>
      </c>
      <c r="CS179" s="12" t="s">
        <v>3442</v>
      </c>
      <c r="CT179" s="12" t="s">
        <v>2759</v>
      </c>
    </row>
    <row r="180" spans="1:98" hidden="1" x14ac:dyDescent="0.3">
      <c r="A180" s="12" t="s">
        <v>25</v>
      </c>
      <c r="B180" s="12" t="s">
        <v>3443</v>
      </c>
      <c r="C180" s="12" t="s">
        <v>3444</v>
      </c>
      <c r="D180" s="12" t="s">
        <v>3445</v>
      </c>
      <c r="E180" s="12" t="s">
        <v>578</v>
      </c>
      <c r="F180" s="12" t="s">
        <v>578</v>
      </c>
      <c r="G180" s="12" t="s">
        <v>578</v>
      </c>
      <c r="H180" s="12" t="s">
        <v>578</v>
      </c>
      <c r="I180" s="12" t="s">
        <v>578</v>
      </c>
      <c r="J180" s="12" t="s">
        <v>578</v>
      </c>
      <c r="K180" s="12" t="s">
        <v>578</v>
      </c>
      <c r="L180" s="12" t="s">
        <v>578</v>
      </c>
      <c r="M180" s="12" t="s">
        <v>578</v>
      </c>
      <c r="N180" s="12" t="s">
        <v>578</v>
      </c>
      <c r="O180" s="12" t="s">
        <v>578</v>
      </c>
      <c r="P180" s="12" t="s">
        <v>578</v>
      </c>
      <c r="Q180" s="12" t="s">
        <v>578</v>
      </c>
      <c r="R180" s="12" t="s">
        <v>578</v>
      </c>
      <c r="S180" s="12" t="s">
        <v>578</v>
      </c>
      <c r="T180" s="12" t="s">
        <v>578</v>
      </c>
      <c r="U180" s="12" t="s">
        <v>578</v>
      </c>
      <c r="V180" s="12" t="s">
        <v>578</v>
      </c>
      <c r="W180" s="12" t="s">
        <v>578</v>
      </c>
      <c r="X180" s="12" t="s">
        <v>578</v>
      </c>
      <c r="Y180" s="12" t="s">
        <v>578</v>
      </c>
      <c r="Z180" s="12" t="s">
        <v>578</v>
      </c>
      <c r="AA180" s="12" t="s">
        <v>578</v>
      </c>
      <c r="AB180" s="12" t="s">
        <v>578</v>
      </c>
      <c r="AC180" s="12" t="s">
        <v>578</v>
      </c>
      <c r="AD180" s="12" t="s">
        <v>578</v>
      </c>
      <c r="AE180" s="12" t="s">
        <v>578</v>
      </c>
      <c r="AF180" s="12" t="s">
        <v>578</v>
      </c>
      <c r="AG180" s="12" t="s">
        <v>578</v>
      </c>
      <c r="AH180" s="12" t="s">
        <v>578</v>
      </c>
      <c r="AI180" s="12" t="s">
        <v>578</v>
      </c>
      <c r="AJ180" s="12" t="s">
        <v>578</v>
      </c>
      <c r="AK180" s="12" t="s">
        <v>578</v>
      </c>
      <c r="AL180" s="12" t="s">
        <v>578</v>
      </c>
      <c r="AM180" s="12" t="s">
        <v>578</v>
      </c>
      <c r="AN180" s="12" t="s">
        <v>623</v>
      </c>
      <c r="AO180" s="12" t="s">
        <v>623</v>
      </c>
      <c r="AP180" s="12" t="s">
        <v>623</v>
      </c>
      <c r="AQ180" s="12" t="s">
        <v>580</v>
      </c>
      <c r="AR180" s="12" t="s">
        <v>580</v>
      </c>
      <c r="AS180" s="12" t="s">
        <v>580</v>
      </c>
      <c r="AT180" s="12" t="s">
        <v>581</v>
      </c>
      <c r="AU180" s="12" t="s">
        <v>581</v>
      </c>
      <c r="AV180" s="12" t="s">
        <v>581</v>
      </c>
      <c r="AW180" s="12" t="s">
        <v>851</v>
      </c>
      <c r="AX180" s="12" t="s">
        <v>851</v>
      </c>
      <c r="AY180" s="12" t="s">
        <v>851</v>
      </c>
      <c r="AZ180" s="12" t="s">
        <v>851</v>
      </c>
      <c r="BA180" s="12" t="s">
        <v>584</v>
      </c>
      <c r="BB180" s="12" t="s">
        <v>674</v>
      </c>
      <c r="BC180" s="12" t="s">
        <v>675</v>
      </c>
      <c r="BD180" s="12" t="s">
        <v>869</v>
      </c>
      <c r="BE180" s="12" t="s">
        <v>766</v>
      </c>
      <c r="BF180" s="12" t="s">
        <v>719</v>
      </c>
      <c r="BG180" s="12" t="s">
        <v>812</v>
      </c>
      <c r="BH180" s="12" t="s">
        <v>1517</v>
      </c>
      <c r="BI180" s="12" t="s">
        <v>599</v>
      </c>
      <c r="BJ180" s="12" t="s">
        <v>688</v>
      </c>
      <c r="BK180" s="12" t="s">
        <v>736</v>
      </c>
      <c r="BL180" s="12" t="s">
        <v>1428</v>
      </c>
      <c r="BM180" s="12" t="s">
        <v>3446</v>
      </c>
      <c r="BN180" s="12" t="s">
        <v>3154</v>
      </c>
      <c r="BO180" s="12" t="s">
        <v>3447</v>
      </c>
      <c r="BP180" s="12" t="s">
        <v>3448</v>
      </c>
      <c r="BQ180" s="12" t="s">
        <v>839</v>
      </c>
      <c r="BR180" s="12" t="s">
        <v>1110</v>
      </c>
      <c r="BS180" s="12" t="s">
        <v>2200</v>
      </c>
      <c r="BT180" s="12" t="s">
        <v>3449</v>
      </c>
      <c r="BU180" s="12" t="s">
        <v>3450</v>
      </c>
      <c r="BV180" s="12" t="s">
        <v>3451</v>
      </c>
      <c r="BW180" s="12" t="s">
        <v>3407</v>
      </c>
      <c r="BX180" s="12" t="s">
        <v>3452</v>
      </c>
      <c r="BY180" s="12" t="s">
        <v>893</v>
      </c>
      <c r="BZ180" s="12" t="s">
        <v>3453</v>
      </c>
      <c r="CA180" s="12" t="s">
        <v>3454</v>
      </c>
      <c r="CB180" s="12" t="s">
        <v>3455</v>
      </c>
      <c r="CC180" s="12" t="s">
        <v>3456</v>
      </c>
      <c r="CD180" s="12" t="s">
        <v>3457</v>
      </c>
      <c r="CE180" s="12" t="s">
        <v>3458</v>
      </c>
      <c r="CF180" s="12" t="s">
        <v>2898</v>
      </c>
      <c r="CG180" s="12" t="s">
        <v>3459</v>
      </c>
      <c r="CH180" s="12" t="s">
        <v>3460</v>
      </c>
      <c r="CI180" s="12" t="s">
        <v>3461</v>
      </c>
      <c r="CJ180" s="12" t="s">
        <v>3462</v>
      </c>
      <c r="CK180" s="12" t="s">
        <v>3463</v>
      </c>
      <c r="CL180" s="12" t="s">
        <v>3464</v>
      </c>
      <c r="CM180" s="12" t="s">
        <v>3465</v>
      </c>
      <c r="CN180" s="12" t="s">
        <v>3466</v>
      </c>
      <c r="CO180" s="12" t="s">
        <v>3467</v>
      </c>
      <c r="CP180" s="12" t="s">
        <v>3468</v>
      </c>
      <c r="CQ180" s="12" t="s">
        <v>3469</v>
      </c>
      <c r="CR180" s="12" t="s">
        <v>3470</v>
      </c>
      <c r="CS180" s="12" t="s">
        <v>3471</v>
      </c>
      <c r="CT180" s="12" t="s">
        <v>3472</v>
      </c>
    </row>
    <row r="181" spans="1:98" hidden="1" x14ac:dyDescent="0.3">
      <c r="A181" s="12" t="s">
        <v>25</v>
      </c>
      <c r="B181" s="12" t="s">
        <v>3473</v>
      </c>
      <c r="C181" s="12" t="s">
        <v>3474</v>
      </c>
      <c r="D181" s="12" t="s">
        <v>3475</v>
      </c>
      <c r="E181" s="12" t="s">
        <v>578</v>
      </c>
      <c r="F181" s="12" t="s">
        <v>578</v>
      </c>
      <c r="G181" s="12" t="s">
        <v>578</v>
      </c>
      <c r="H181" s="12" t="s">
        <v>578</v>
      </c>
      <c r="I181" s="12" t="s">
        <v>578</v>
      </c>
      <c r="J181" s="12" t="s">
        <v>578</v>
      </c>
      <c r="K181" s="12" t="s">
        <v>578</v>
      </c>
      <c r="L181" s="12" t="s">
        <v>578</v>
      </c>
      <c r="M181" s="12" t="s">
        <v>578</v>
      </c>
      <c r="N181" s="12" t="s">
        <v>578</v>
      </c>
      <c r="O181" s="12" t="s">
        <v>578</v>
      </c>
      <c r="P181" s="12" t="s">
        <v>578</v>
      </c>
      <c r="Q181" s="12" t="s">
        <v>578</v>
      </c>
      <c r="R181" s="12" t="s">
        <v>578</v>
      </c>
      <c r="S181" s="12" t="s">
        <v>578</v>
      </c>
      <c r="T181" s="12" t="s">
        <v>578</v>
      </c>
      <c r="U181" s="12" t="s">
        <v>578</v>
      </c>
      <c r="V181" s="12" t="s">
        <v>578</v>
      </c>
      <c r="W181" s="12" t="s">
        <v>578</v>
      </c>
      <c r="X181" s="12" t="s">
        <v>578</v>
      </c>
      <c r="Y181" s="12" t="s">
        <v>578</v>
      </c>
      <c r="Z181" s="12" t="s">
        <v>578</v>
      </c>
      <c r="AA181" s="12" t="s">
        <v>578</v>
      </c>
      <c r="AB181" s="12" t="s">
        <v>578</v>
      </c>
      <c r="AC181" s="12" t="s">
        <v>578</v>
      </c>
      <c r="AD181" s="12" t="s">
        <v>578</v>
      </c>
      <c r="AE181" s="12" t="s">
        <v>578</v>
      </c>
      <c r="AF181" s="12" t="s">
        <v>578</v>
      </c>
      <c r="AG181" s="12" t="s">
        <v>578</v>
      </c>
      <c r="AH181" s="12" t="s">
        <v>578</v>
      </c>
      <c r="AI181" s="12" t="s">
        <v>578</v>
      </c>
      <c r="AJ181" s="12" t="s">
        <v>578</v>
      </c>
      <c r="AK181" s="12" t="s">
        <v>578</v>
      </c>
      <c r="AL181" s="12" t="s">
        <v>578</v>
      </c>
      <c r="AM181" s="12" t="s">
        <v>578</v>
      </c>
      <c r="AN181" s="12" t="s">
        <v>578</v>
      </c>
      <c r="AO181" s="12" t="s">
        <v>578</v>
      </c>
      <c r="AP181" s="12" t="s">
        <v>578</v>
      </c>
      <c r="AQ181" s="12" t="s">
        <v>578</v>
      </c>
      <c r="AR181" s="12" t="s">
        <v>578</v>
      </c>
      <c r="AS181" s="12" t="s">
        <v>578</v>
      </c>
      <c r="AT181" s="12" t="s">
        <v>578</v>
      </c>
      <c r="AU181" s="12" t="s">
        <v>578</v>
      </c>
      <c r="AV181" s="12" t="s">
        <v>578</v>
      </c>
      <c r="AW181" s="12" t="s">
        <v>578</v>
      </c>
      <c r="AX181" s="12" t="s">
        <v>578</v>
      </c>
      <c r="AY181" s="12" t="s">
        <v>578</v>
      </c>
      <c r="AZ181" s="12" t="s">
        <v>578</v>
      </c>
      <c r="BA181" s="12" t="s">
        <v>579</v>
      </c>
      <c r="BB181" s="12" t="s">
        <v>755</v>
      </c>
      <c r="BC181" s="12" t="s">
        <v>583</v>
      </c>
      <c r="BD181" s="12" t="s">
        <v>913</v>
      </c>
      <c r="BE181" s="12" t="s">
        <v>971</v>
      </c>
      <c r="BF181" s="12" t="s">
        <v>1259</v>
      </c>
      <c r="BG181" s="12" t="s">
        <v>631</v>
      </c>
      <c r="BH181" s="12" t="s">
        <v>974</v>
      </c>
      <c r="BI181" s="12" t="s">
        <v>977</v>
      </c>
      <c r="BJ181" s="12" t="s">
        <v>1208</v>
      </c>
      <c r="BK181" s="12" t="s">
        <v>1357</v>
      </c>
      <c r="BL181" s="12" t="s">
        <v>985</v>
      </c>
      <c r="BM181" s="12" t="s">
        <v>1608</v>
      </c>
      <c r="BN181" s="12" t="s">
        <v>1397</v>
      </c>
      <c r="BO181" s="12" t="s">
        <v>1397</v>
      </c>
      <c r="BP181" s="12" t="s">
        <v>925</v>
      </c>
      <c r="BQ181" s="12" t="s">
        <v>1705</v>
      </c>
      <c r="BR181" s="12" t="s">
        <v>1288</v>
      </c>
      <c r="BS181" s="12" t="s">
        <v>3476</v>
      </c>
      <c r="BT181" s="12" t="s">
        <v>1292</v>
      </c>
      <c r="BU181" s="12" t="s">
        <v>1681</v>
      </c>
      <c r="BV181" s="12" t="s">
        <v>1443</v>
      </c>
      <c r="BW181" s="12" t="s">
        <v>1443</v>
      </c>
      <c r="BX181" s="12" t="s">
        <v>3477</v>
      </c>
      <c r="BY181" s="12" t="s">
        <v>1787</v>
      </c>
      <c r="BZ181" s="12" t="s">
        <v>2637</v>
      </c>
      <c r="CA181" s="12" t="s">
        <v>3478</v>
      </c>
      <c r="CB181" s="12" t="s">
        <v>3158</v>
      </c>
      <c r="CC181" s="12" t="s">
        <v>3479</v>
      </c>
      <c r="CD181" s="12" t="s">
        <v>3480</v>
      </c>
      <c r="CE181" s="12" t="s">
        <v>3481</v>
      </c>
      <c r="CF181" s="12" t="s">
        <v>3482</v>
      </c>
      <c r="CG181" s="12" t="s">
        <v>2469</v>
      </c>
      <c r="CH181" s="12" t="s">
        <v>3483</v>
      </c>
      <c r="CI181" s="12" t="s">
        <v>3484</v>
      </c>
      <c r="CJ181" s="12" t="s">
        <v>3485</v>
      </c>
      <c r="CK181" s="12" t="s">
        <v>3486</v>
      </c>
      <c r="CL181" s="12" t="s">
        <v>3487</v>
      </c>
      <c r="CM181" s="12" t="s">
        <v>3488</v>
      </c>
      <c r="CN181" s="12" t="s">
        <v>3489</v>
      </c>
      <c r="CO181" s="12" t="s">
        <v>2865</v>
      </c>
      <c r="CP181" s="12" t="s">
        <v>3490</v>
      </c>
      <c r="CQ181" s="12" t="s">
        <v>3491</v>
      </c>
      <c r="CR181" s="12" t="s">
        <v>3492</v>
      </c>
      <c r="CS181" s="12" t="s">
        <v>3493</v>
      </c>
      <c r="CT181" s="12" t="s">
        <v>3494</v>
      </c>
    </row>
    <row r="182" spans="1:98" hidden="1" x14ac:dyDescent="0.3">
      <c r="A182" s="12" t="s">
        <v>25</v>
      </c>
      <c r="B182" s="12" t="s">
        <v>3495</v>
      </c>
      <c r="C182" s="12" t="s">
        <v>3496</v>
      </c>
      <c r="D182" s="12" t="s">
        <v>3497</v>
      </c>
      <c r="E182" s="12" t="s">
        <v>578</v>
      </c>
      <c r="F182" s="12" t="s">
        <v>578</v>
      </c>
      <c r="G182" s="12" t="s">
        <v>578</v>
      </c>
      <c r="H182" s="12" t="s">
        <v>578</v>
      </c>
      <c r="I182" s="12" t="s">
        <v>578</v>
      </c>
      <c r="J182" s="12" t="s">
        <v>578</v>
      </c>
      <c r="K182" s="12" t="s">
        <v>578</v>
      </c>
      <c r="L182" s="12" t="s">
        <v>578</v>
      </c>
      <c r="M182" s="12" t="s">
        <v>578</v>
      </c>
      <c r="N182" s="12" t="s">
        <v>578</v>
      </c>
      <c r="O182" s="12" t="s">
        <v>578</v>
      </c>
      <c r="P182" s="12" t="s">
        <v>578</v>
      </c>
      <c r="Q182" s="12" t="s">
        <v>578</v>
      </c>
      <c r="R182" s="12" t="s">
        <v>578</v>
      </c>
      <c r="S182" s="12" t="s">
        <v>578</v>
      </c>
      <c r="T182" s="12" t="s">
        <v>578</v>
      </c>
      <c r="U182" s="12" t="s">
        <v>578</v>
      </c>
      <c r="V182" s="12" t="s">
        <v>578</v>
      </c>
      <c r="W182" s="12" t="s">
        <v>578</v>
      </c>
      <c r="X182" s="12" t="s">
        <v>578</v>
      </c>
      <c r="Y182" s="12" t="s">
        <v>578</v>
      </c>
      <c r="Z182" s="12" t="s">
        <v>578</v>
      </c>
      <c r="AA182" s="12" t="s">
        <v>578</v>
      </c>
      <c r="AB182" s="12" t="s">
        <v>578</v>
      </c>
      <c r="AC182" s="12" t="s">
        <v>578</v>
      </c>
      <c r="AD182" s="12" t="s">
        <v>578</v>
      </c>
      <c r="AE182" s="12" t="s">
        <v>578</v>
      </c>
      <c r="AF182" s="12" t="s">
        <v>578</v>
      </c>
      <c r="AG182" s="12" t="s">
        <v>578</v>
      </c>
      <c r="AH182" s="12" t="s">
        <v>578</v>
      </c>
      <c r="AI182" s="12" t="s">
        <v>578</v>
      </c>
      <c r="AJ182" s="12" t="s">
        <v>578</v>
      </c>
      <c r="AK182" s="12" t="s">
        <v>578</v>
      </c>
      <c r="AL182" s="12" t="s">
        <v>578</v>
      </c>
      <c r="AM182" s="12" t="s">
        <v>578</v>
      </c>
      <c r="AN182" s="12" t="s">
        <v>578</v>
      </c>
      <c r="AO182" s="12" t="s">
        <v>578</v>
      </c>
      <c r="AP182" s="12" t="s">
        <v>578</v>
      </c>
      <c r="AQ182" s="12" t="s">
        <v>578</v>
      </c>
      <c r="AR182" s="12" t="s">
        <v>578</v>
      </c>
      <c r="AS182" s="12" t="s">
        <v>578</v>
      </c>
      <c r="AT182" s="12" t="s">
        <v>578</v>
      </c>
      <c r="AU182" s="12" t="s">
        <v>578</v>
      </c>
      <c r="AV182" s="12" t="s">
        <v>578</v>
      </c>
      <c r="AW182" s="12" t="s">
        <v>578</v>
      </c>
      <c r="AX182" s="12" t="s">
        <v>578</v>
      </c>
      <c r="AY182" s="12" t="s">
        <v>578</v>
      </c>
      <c r="AZ182" s="12" t="s">
        <v>578</v>
      </c>
      <c r="BA182" s="12" t="s">
        <v>578</v>
      </c>
      <c r="BB182" s="12" t="s">
        <v>578</v>
      </c>
      <c r="BC182" s="12" t="s">
        <v>578</v>
      </c>
      <c r="BD182" s="12" t="s">
        <v>578</v>
      </c>
      <c r="BE182" s="12" t="s">
        <v>578</v>
      </c>
      <c r="BF182" s="12" t="s">
        <v>578</v>
      </c>
      <c r="BG182" s="12" t="s">
        <v>578</v>
      </c>
      <c r="BH182" s="12" t="s">
        <v>578</v>
      </c>
      <c r="BI182" s="12" t="s">
        <v>578</v>
      </c>
      <c r="BJ182" s="12" t="s">
        <v>578</v>
      </c>
      <c r="BK182" s="12" t="s">
        <v>579</v>
      </c>
      <c r="BL182" s="12" t="s">
        <v>579</v>
      </c>
      <c r="BM182" s="12" t="s">
        <v>579</v>
      </c>
      <c r="BN182" s="12" t="s">
        <v>579</v>
      </c>
      <c r="BO182" s="12" t="s">
        <v>579</v>
      </c>
      <c r="BP182" s="12" t="s">
        <v>579</v>
      </c>
      <c r="BQ182" s="12" t="s">
        <v>579</v>
      </c>
      <c r="BR182" s="12" t="s">
        <v>579</v>
      </c>
      <c r="BS182" s="12" t="s">
        <v>579</v>
      </c>
      <c r="BT182" s="12" t="s">
        <v>579</v>
      </c>
      <c r="BU182" s="12" t="s">
        <v>579</v>
      </c>
      <c r="BV182" s="12" t="s">
        <v>579</v>
      </c>
      <c r="BW182" s="12" t="s">
        <v>579</v>
      </c>
      <c r="BX182" s="12" t="s">
        <v>579</v>
      </c>
      <c r="BY182" s="12" t="s">
        <v>579</v>
      </c>
      <c r="BZ182" s="12" t="s">
        <v>579</v>
      </c>
      <c r="CA182" s="12" t="s">
        <v>579</v>
      </c>
      <c r="CB182" s="12" t="s">
        <v>623</v>
      </c>
      <c r="CC182" s="12" t="s">
        <v>623</v>
      </c>
      <c r="CD182" s="12" t="s">
        <v>623</v>
      </c>
      <c r="CE182" s="12" t="s">
        <v>623</v>
      </c>
      <c r="CF182" s="12" t="s">
        <v>623</v>
      </c>
      <c r="CG182" s="12" t="s">
        <v>623</v>
      </c>
      <c r="CH182" s="12" t="s">
        <v>623</v>
      </c>
      <c r="CI182" s="12" t="s">
        <v>623</v>
      </c>
      <c r="CJ182" s="12" t="s">
        <v>623</v>
      </c>
      <c r="CK182" s="12" t="s">
        <v>623</v>
      </c>
      <c r="CL182" s="12" t="s">
        <v>582</v>
      </c>
      <c r="CM182" s="12" t="s">
        <v>582</v>
      </c>
      <c r="CN182" s="12" t="s">
        <v>582</v>
      </c>
      <c r="CO182" s="12" t="s">
        <v>582</v>
      </c>
      <c r="CP182" s="12" t="s">
        <v>582</v>
      </c>
      <c r="CQ182" s="12" t="s">
        <v>582</v>
      </c>
      <c r="CR182" s="12" t="s">
        <v>755</v>
      </c>
      <c r="CS182" s="12" t="s">
        <v>755</v>
      </c>
      <c r="CT182" s="12" t="s">
        <v>755</v>
      </c>
    </row>
    <row r="183" spans="1:98" hidden="1" x14ac:dyDescent="0.3">
      <c r="A183" s="12" t="s">
        <v>25</v>
      </c>
      <c r="B183" s="12" t="s">
        <v>3498</v>
      </c>
      <c r="C183" s="12" t="s">
        <v>3499</v>
      </c>
      <c r="D183" s="12" t="s">
        <v>3500</v>
      </c>
      <c r="E183" s="12" t="s">
        <v>578</v>
      </c>
      <c r="F183" s="12" t="s">
        <v>578</v>
      </c>
      <c r="G183" s="12" t="s">
        <v>578</v>
      </c>
      <c r="H183" s="12" t="s">
        <v>578</v>
      </c>
      <c r="I183" s="12" t="s">
        <v>578</v>
      </c>
      <c r="J183" s="12" t="s">
        <v>578</v>
      </c>
      <c r="K183" s="12" t="s">
        <v>578</v>
      </c>
      <c r="L183" s="12" t="s">
        <v>578</v>
      </c>
      <c r="M183" s="12" t="s">
        <v>578</v>
      </c>
      <c r="N183" s="12" t="s">
        <v>578</v>
      </c>
      <c r="O183" s="12" t="s">
        <v>578</v>
      </c>
      <c r="P183" s="12" t="s">
        <v>578</v>
      </c>
      <c r="Q183" s="12" t="s">
        <v>578</v>
      </c>
      <c r="R183" s="12" t="s">
        <v>578</v>
      </c>
      <c r="S183" s="12" t="s">
        <v>578</v>
      </c>
      <c r="T183" s="12" t="s">
        <v>578</v>
      </c>
      <c r="U183" s="12" t="s">
        <v>578</v>
      </c>
      <c r="V183" s="12" t="s">
        <v>578</v>
      </c>
      <c r="W183" s="12" t="s">
        <v>578</v>
      </c>
      <c r="X183" s="12" t="s">
        <v>578</v>
      </c>
      <c r="Y183" s="12" t="s">
        <v>578</v>
      </c>
      <c r="Z183" s="12" t="s">
        <v>578</v>
      </c>
      <c r="AA183" s="12" t="s">
        <v>578</v>
      </c>
      <c r="AB183" s="12" t="s">
        <v>578</v>
      </c>
      <c r="AC183" s="12" t="s">
        <v>578</v>
      </c>
      <c r="AD183" s="12" t="s">
        <v>578</v>
      </c>
      <c r="AE183" s="12" t="s">
        <v>578</v>
      </c>
      <c r="AF183" s="12" t="s">
        <v>578</v>
      </c>
      <c r="AG183" s="12" t="s">
        <v>578</v>
      </c>
      <c r="AH183" s="12" t="s">
        <v>578</v>
      </c>
      <c r="AI183" s="12" t="s">
        <v>578</v>
      </c>
      <c r="AJ183" s="12" t="s">
        <v>578</v>
      </c>
      <c r="AK183" s="12" t="s">
        <v>578</v>
      </c>
      <c r="AL183" s="12" t="s">
        <v>578</v>
      </c>
      <c r="AM183" s="12" t="s">
        <v>578</v>
      </c>
      <c r="AN183" s="12" t="s">
        <v>578</v>
      </c>
      <c r="AO183" s="12" t="s">
        <v>578</v>
      </c>
      <c r="AP183" s="12" t="s">
        <v>578</v>
      </c>
      <c r="AQ183" s="12" t="s">
        <v>578</v>
      </c>
      <c r="AR183" s="12" t="s">
        <v>578</v>
      </c>
      <c r="AS183" s="12" t="s">
        <v>578</v>
      </c>
      <c r="AT183" s="12" t="s">
        <v>578</v>
      </c>
      <c r="AU183" s="12" t="s">
        <v>578</v>
      </c>
      <c r="AV183" s="12" t="s">
        <v>578</v>
      </c>
      <c r="AW183" s="12" t="s">
        <v>578</v>
      </c>
      <c r="AX183" s="12" t="s">
        <v>578</v>
      </c>
      <c r="AY183" s="12" t="s">
        <v>579</v>
      </c>
      <c r="AZ183" s="12" t="s">
        <v>579</v>
      </c>
      <c r="BA183" s="12" t="s">
        <v>579</v>
      </c>
      <c r="BB183" s="12" t="s">
        <v>581</v>
      </c>
      <c r="BC183" s="12" t="s">
        <v>581</v>
      </c>
      <c r="BD183" s="12" t="s">
        <v>851</v>
      </c>
      <c r="BE183" s="12" t="s">
        <v>851</v>
      </c>
      <c r="BF183" s="12" t="s">
        <v>851</v>
      </c>
      <c r="BG183" s="12" t="s">
        <v>755</v>
      </c>
      <c r="BH183" s="12" t="s">
        <v>761</v>
      </c>
      <c r="BI183" s="12" t="s">
        <v>583</v>
      </c>
      <c r="BJ183" s="12" t="s">
        <v>583</v>
      </c>
      <c r="BK183" s="12" t="s">
        <v>868</v>
      </c>
      <c r="BL183" s="12" t="s">
        <v>808</v>
      </c>
      <c r="BM183" s="12" t="s">
        <v>586</v>
      </c>
      <c r="BN183" s="12" t="s">
        <v>586</v>
      </c>
      <c r="BO183" s="12" t="s">
        <v>913</v>
      </c>
      <c r="BP183" s="12" t="s">
        <v>677</v>
      </c>
      <c r="BQ183" s="12" t="s">
        <v>1046</v>
      </c>
      <c r="BR183" s="12" t="s">
        <v>809</v>
      </c>
      <c r="BS183" s="12" t="s">
        <v>769</v>
      </c>
      <c r="BT183" s="12" t="s">
        <v>632</v>
      </c>
      <c r="BU183" s="12" t="s">
        <v>633</v>
      </c>
      <c r="BV183" s="12" t="s">
        <v>870</v>
      </c>
      <c r="BW183" s="12" t="s">
        <v>974</v>
      </c>
      <c r="BX183" s="12" t="s">
        <v>855</v>
      </c>
      <c r="BY183" s="12" t="s">
        <v>871</v>
      </c>
      <c r="BZ183" s="12" t="s">
        <v>859</v>
      </c>
      <c r="CA183" s="12" t="s">
        <v>637</v>
      </c>
      <c r="CB183" s="12" t="s">
        <v>722</v>
      </c>
      <c r="CC183" s="12" t="s">
        <v>811</v>
      </c>
      <c r="CD183" s="12" t="s">
        <v>1418</v>
      </c>
      <c r="CE183" s="12" t="s">
        <v>1750</v>
      </c>
      <c r="CF183" s="12" t="s">
        <v>1355</v>
      </c>
      <c r="CG183" s="12" t="s">
        <v>723</v>
      </c>
      <c r="CH183" s="12" t="s">
        <v>873</v>
      </c>
      <c r="CI183" s="12" t="s">
        <v>1515</v>
      </c>
      <c r="CJ183" s="12" t="s">
        <v>1733</v>
      </c>
      <c r="CK183" s="12" t="s">
        <v>2089</v>
      </c>
      <c r="CL183" s="12" t="s">
        <v>595</v>
      </c>
      <c r="CM183" s="12" t="s">
        <v>2360</v>
      </c>
      <c r="CN183" s="12" t="s">
        <v>1980</v>
      </c>
      <c r="CO183" s="12" t="s">
        <v>1604</v>
      </c>
      <c r="CP183" s="12" t="s">
        <v>1887</v>
      </c>
      <c r="CQ183" s="12" t="s">
        <v>1887</v>
      </c>
      <c r="CR183" s="12" t="s">
        <v>2028</v>
      </c>
      <c r="CS183" s="12" t="s">
        <v>2028</v>
      </c>
      <c r="CT183" s="12" t="s">
        <v>643</v>
      </c>
    </row>
    <row r="184" spans="1:98" hidden="1" x14ac:dyDescent="0.3">
      <c r="A184" s="12" t="s">
        <v>25</v>
      </c>
      <c r="B184" s="12" t="s">
        <v>3501</v>
      </c>
      <c r="C184" s="12" t="s">
        <v>3502</v>
      </c>
      <c r="D184" s="12" t="s">
        <v>3503</v>
      </c>
      <c r="E184" s="12" t="s">
        <v>578</v>
      </c>
      <c r="F184" s="12" t="s">
        <v>578</v>
      </c>
      <c r="G184" s="12" t="s">
        <v>578</v>
      </c>
      <c r="H184" s="12" t="s">
        <v>578</v>
      </c>
      <c r="I184" s="12" t="s">
        <v>578</v>
      </c>
      <c r="J184" s="12" t="s">
        <v>578</v>
      </c>
      <c r="K184" s="12" t="s">
        <v>578</v>
      </c>
      <c r="L184" s="12" t="s">
        <v>578</v>
      </c>
      <c r="M184" s="12" t="s">
        <v>578</v>
      </c>
      <c r="N184" s="12" t="s">
        <v>578</v>
      </c>
      <c r="O184" s="12" t="s">
        <v>578</v>
      </c>
      <c r="P184" s="12" t="s">
        <v>578</v>
      </c>
      <c r="Q184" s="12" t="s">
        <v>578</v>
      </c>
      <c r="R184" s="12" t="s">
        <v>578</v>
      </c>
      <c r="S184" s="12" t="s">
        <v>578</v>
      </c>
      <c r="T184" s="12" t="s">
        <v>578</v>
      </c>
      <c r="U184" s="12" t="s">
        <v>578</v>
      </c>
      <c r="V184" s="12" t="s">
        <v>578</v>
      </c>
      <c r="W184" s="12" t="s">
        <v>578</v>
      </c>
      <c r="X184" s="12" t="s">
        <v>578</v>
      </c>
      <c r="Y184" s="12" t="s">
        <v>578</v>
      </c>
      <c r="Z184" s="12" t="s">
        <v>578</v>
      </c>
      <c r="AA184" s="12" t="s">
        <v>578</v>
      </c>
      <c r="AB184" s="12" t="s">
        <v>578</v>
      </c>
      <c r="AC184" s="12" t="s">
        <v>578</v>
      </c>
      <c r="AD184" s="12" t="s">
        <v>578</v>
      </c>
      <c r="AE184" s="12" t="s">
        <v>578</v>
      </c>
      <c r="AF184" s="12" t="s">
        <v>578</v>
      </c>
      <c r="AG184" s="12" t="s">
        <v>578</v>
      </c>
      <c r="AH184" s="12" t="s">
        <v>578</v>
      </c>
      <c r="AI184" s="12" t="s">
        <v>578</v>
      </c>
      <c r="AJ184" s="12" t="s">
        <v>578</v>
      </c>
      <c r="AK184" s="12" t="s">
        <v>578</v>
      </c>
      <c r="AL184" s="12" t="s">
        <v>578</v>
      </c>
      <c r="AM184" s="12" t="s">
        <v>578</v>
      </c>
      <c r="AN184" s="12" t="s">
        <v>578</v>
      </c>
      <c r="AO184" s="12" t="s">
        <v>578</v>
      </c>
      <c r="AP184" s="12" t="s">
        <v>578</v>
      </c>
      <c r="AQ184" s="12" t="s">
        <v>578</v>
      </c>
      <c r="AR184" s="12" t="s">
        <v>578</v>
      </c>
      <c r="AS184" s="12" t="s">
        <v>578</v>
      </c>
      <c r="AT184" s="12" t="s">
        <v>578</v>
      </c>
      <c r="AU184" s="12" t="s">
        <v>578</v>
      </c>
      <c r="AV184" s="12" t="s">
        <v>578</v>
      </c>
      <c r="AW184" s="12" t="s">
        <v>579</v>
      </c>
      <c r="AX184" s="12" t="s">
        <v>579</v>
      </c>
      <c r="AY184" s="12" t="s">
        <v>851</v>
      </c>
      <c r="AZ184" s="12" t="s">
        <v>582</v>
      </c>
      <c r="BA184" s="12" t="s">
        <v>583</v>
      </c>
      <c r="BB184" s="12" t="s">
        <v>583</v>
      </c>
      <c r="BC184" s="12" t="s">
        <v>762</v>
      </c>
      <c r="BD184" s="12" t="s">
        <v>869</v>
      </c>
      <c r="BE184" s="12" t="s">
        <v>628</v>
      </c>
      <c r="BF184" s="12" t="s">
        <v>1259</v>
      </c>
      <c r="BG184" s="12" t="s">
        <v>977</v>
      </c>
      <c r="BH184" s="12" t="s">
        <v>1417</v>
      </c>
      <c r="BI184" s="12" t="s">
        <v>1886</v>
      </c>
      <c r="BJ184" s="12" t="s">
        <v>2166</v>
      </c>
      <c r="BK184" s="12" t="s">
        <v>2166</v>
      </c>
      <c r="BL184" s="12" t="s">
        <v>1396</v>
      </c>
      <c r="BM184" s="12" t="s">
        <v>2060</v>
      </c>
      <c r="BN184" s="12" t="s">
        <v>1694</v>
      </c>
      <c r="BO184" s="12" t="s">
        <v>654</v>
      </c>
      <c r="BP184" s="12" t="s">
        <v>1668</v>
      </c>
      <c r="BQ184" s="12" t="s">
        <v>1709</v>
      </c>
      <c r="BR184" s="12" t="s">
        <v>1377</v>
      </c>
      <c r="BS184" s="12" t="s">
        <v>3384</v>
      </c>
      <c r="BT184" s="12" t="s">
        <v>3504</v>
      </c>
      <c r="BU184" s="12" t="s">
        <v>1676</v>
      </c>
      <c r="BV184" s="12" t="s">
        <v>2141</v>
      </c>
      <c r="BW184" s="12" t="s">
        <v>3505</v>
      </c>
      <c r="BX184" s="12" t="s">
        <v>2757</v>
      </c>
      <c r="BY184" s="12" t="s">
        <v>2365</v>
      </c>
      <c r="BZ184" s="12" t="s">
        <v>3406</v>
      </c>
      <c r="CA184" s="12" t="s">
        <v>2519</v>
      </c>
      <c r="CB184" s="12" t="s">
        <v>3506</v>
      </c>
      <c r="CC184" s="12" t="s">
        <v>3507</v>
      </c>
      <c r="CD184" s="12" t="s">
        <v>3508</v>
      </c>
      <c r="CE184" s="12" t="s">
        <v>3509</v>
      </c>
      <c r="CF184" s="12" t="s">
        <v>3510</v>
      </c>
      <c r="CG184" s="12" t="s">
        <v>3511</v>
      </c>
      <c r="CH184" s="12" t="s">
        <v>3512</v>
      </c>
      <c r="CI184" s="12" t="s">
        <v>3513</v>
      </c>
      <c r="CJ184" s="12" t="s">
        <v>3514</v>
      </c>
      <c r="CK184" s="12" t="s">
        <v>3515</v>
      </c>
      <c r="CL184" s="12" t="s">
        <v>3516</v>
      </c>
      <c r="CM184" s="12" t="s">
        <v>3517</v>
      </c>
      <c r="CN184" s="12" t="s">
        <v>3518</v>
      </c>
      <c r="CO184" s="12" t="s">
        <v>3519</v>
      </c>
      <c r="CP184" s="12" t="s">
        <v>3520</v>
      </c>
      <c r="CQ184" s="12" t="s">
        <v>3521</v>
      </c>
      <c r="CR184" s="12" t="s">
        <v>351</v>
      </c>
      <c r="CS184" s="12" t="s">
        <v>3522</v>
      </c>
      <c r="CT184" s="12" t="s">
        <v>3523</v>
      </c>
    </row>
    <row r="185" spans="1:98" hidden="1" x14ac:dyDescent="0.3">
      <c r="A185" s="12" t="s">
        <v>25</v>
      </c>
      <c r="B185" s="12" t="s">
        <v>3524</v>
      </c>
      <c r="C185" s="12" t="s">
        <v>3525</v>
      </c>
      <c r="D185" s="12" t="s">
        <v>3526</v>
      </c>
      <c r="E185" s="12" t="s">
        <v>578</v>
      </c>
      <c r="F185" s="12" t="s">
        <v>578</v>
      </c>
      <c r="G185" s="12" t="s">
        <v>578</v>
      </c>
      <c r="H185" s="12" t="s">
        <v>578</v>
      </c>
      <c r="I185" s="12" t="s">
        <v>578</v>
      </c>
      <c r="J185" s="12" t="s">
        <v>578</v>
      </c>
      <c r="K185" s="12" t="s">
        <v>578</v>
      </c>
      <c r="L185" s="12" t="s">
        <v>578</v>
      </c>
      <c r="M185" s="12" t="s">
        <v>579</v>
      </c>
      <c r="N185" s="12" t="s">
        <v>579</v>
      </c>
      <c r="O185" s="12" t="s">
        <v>579</v>
      </c>
      <c r="P185" s="12" t="s">
        <v>623</v>
      </c>
      <c r="Q185" s="12" t="s">
        <v>623</v>
      </c>
      <c r="R185" s="12" t="s">
        <v>623</v>
      </c>
      <c r="S185" s="12" t="s">
        <v>623</v>
      </c>
      <c r="T185" s="12" t="s">
        <v>623</v>
      </c>
      <c r="U185" s="12" t="s">
        <v>672</v>
      </c>
      <c r="V185" s="12" t="s">
        <v>672</v>
      </c>
      <c r="W185" s="12" t="s">
        <v>672</v>
      </c>
      <c r="X185" s="12" t="s">
        <v>672</v>
      </c>
      <c r="Y185" s="12" t="s">
        <v>672</v>
      </c>
      <c r="Z185" s="12" t="s">
        <v>672</v>
      </c>
      <c r="AA185" s="12" t="s">
        <v>672</v>
      </c>
      <c r="AB185" s="12" t="s">
        <v>672</v>
      </c>
      <c r="AC185" s="12" t="s">
        <v>672</v>
      </c>
      <c r="AD185" s="12" t="s">
        <v>672</v>
      </c>
      <c r="AE185" s="12" t="s">
        <v>672</v>
      </c>
      <c r="AF185" s="12" t="s">
        <v>672</v>
      </c>
      <c r="AG185" s="12" t="s">
        <v>672</v>
      </c>
      <c r="AH185" s="12" t="s">
        <v>672</v>
      </c>
      <c r="AI185" s="12" t="s">
        <v>672</v>
      </c>
      <c r="AJ185" s="12" t="s">
        <v>672</v>
      </c>
      <c r="AK185" s="12" t="s">
        <v>672</v>
      </c>
      <c r="AL185" s="12" t="s">
        <v>672</v>
      </c>
      <c r="AM185" s="12" t="s">
        <v>672</v>
      </c>
      <c r="AN185" s="12" t="s">
        <v>672</v>
      </c>
      <c r="AO185" s="12" t="s">
        <v>672</v>
      </c>
      <c r="AP185" s="12" t="s">
        <v>672</v>
      </c>
      <c r="AQ185" s="12" t="s">
        <v>672</v>
      </c>
      <c r="AR185" s="12" t="s">
        <v>672</v>
      </c>
      <c r="AS185" s="12" t="s">
        <v>672</v>
      </c>
      <c r="AT185" s="12" t="s">
        <v>672</v>
      </c>
      <c r="AU185" s="12" t="s">
        <v>672</v>
      </c>
      <c r="AV185" s="12" t="s">
        <v>672</v>
      </c>
      <c r="AW185" s="12" t="s">
        <v>581</v>
      </c>
      <c r="AX185" s="12" t="s">
        <v>851</v>
      </c>
      <c r="AY185" s="12" t="s">
        <v>624</v>
      </c>
      <c r="AZ185" s="12" t="s">
        <v>675</v>
      </c>
      <c r="BA185" s="12" t="s">
        <v>627</v>
      </c>
      <c r="BB185" s="12" t="s">
        <v>991</v>
      </c>
      <c r="BC185" s="12" t="s">
        <v>809</v>
      </c>
      <c r="BD185" s="12" t="s">
        <v>633</v>
      </c>
      <c r="BE185" s="12" t="s">
        <v>979</v>
      </c>
      <c r="BF185" s="12" t="s">
        <v>1025</v>
      </c>
      <c r="BG185" s="12" t="s">
        <v>2014</v>
      </c>
      <c r="BH185" s="12" t="s">
        <v>1362</v>
      </c>
      <c r="BI185" s="12" t="s">
        <v>1980</v>
      </c>
      <c r="BJ185" s="12" t="s">
        <v>1489</v>
      </c>
      <c r="BK185" s="12" t="s">
        <v>685</v>
      </c>
      <c r="BL185" s="12" t="s">
        <v>876</v>
      </c>
      <c r="BM185" s="12" t="s">
        <v>1691</v>
      </c>
      <c r="BN185" s="12" t="s">
        <v>3527</v>
      </c>
      <c r="BO185" s="12" t="s">
        <v>2069</v>
      </c>
      <c r="BP185" s="12" t="s">
        <v>1989</v>
      </c>
      <c r="BQ185" s="12" t="s">
        <v>3528</v>
      </c>
      <c r="BR185" s="12" t="s">
        <v>1166</v>
      </c>
      <c r="BS185" s="12" t="s">
        <v>1442</v>
      </c>
      <c r="BT185" s="12" t="s">
        <v>2458</v>
      </c>
      <c r="BU185" s="12" t="s">
        <v>1315</v>
      </c>
      <c r="BV185" s="12" t="s">
        <v>3529</v>
      </c>
      <c r="BW185" s="12" t="s">
        <v>3530</v>
      </c>
      <c r="BX185" s="12" t="s">
        <v>3531</v>
      </c>
      <c r="BY185" s="12" t="s">
        <v>3532</v>
      </c>
      <c r="BZ185" s="12" t="s">
        <v>3533</v>
      </c>
      <c r="CA185" s="12" t="s">
        <v>3534</v>
      </c>
      <c r="CB185" s="12" t="s">
        <v>3535</v>
      </c>
      <c r="CC185" s="12" t="s">
        <v>3536</v>
      </c>
      <c r="CD185" s="12" t="s">
        <v>3537</v>
      </c>
      <c r="CE185" s="12" t="s">
        <v>3538</v>
      </c>
      <c r="CF185" s="12" t="s">
        <v>3539</v>
      </c>
      <c r="CG185" s="12" t="s">
        <v>3540</v>
      </c>
      <c r="CH185" s="12" t="s">
        <v>3541</v>
      </c>
      <c r="CI185" s="12" t="s">
        <v>3542</v>
      </c>
      <c r="CJ185" s="12" t="s">
        <v>3543</v>
      </c>
      <c r="CK185" s="12" t="s">
        <v>3544</v>
      </c>
      <c r="CL185" s="12" t="s">
        <v>3545</v>
      </c>
      <c r="CM185" s="12" t="s">
        <v>3546</v>
      </c>
      <c r="CN185" s="12" t="s">
        <v>3547</v>
      </c>
      <c r="CO185" s="12" t="s">
        <v>3548</v>
      </c>
      <c r="CP185" s="12" t="s">
        <v>3549</v>
      </c>
      <c r="CQ185" s="12" t="s">
        <v>3550</v>
      </c>
      <c r="CR185" s="12" t="s">
        <v>3551</v>
      </c>
      <c r="CS185" s="12" t="s">
        <v>3552</v>
      </c>
      <c r="CT185" s="12" t="s">
        <v>3553</v>
      </c>
    </row>
    <row r="186" spans="1:98" hidden="1" x14ac:dyDescent="0.3">
      <c r="A186" s="12" t="s">
        <v>25</v>
      </c>
      <c r="B186" s="12" t="s">
        <v>3554</v>
      </c>
      <c r="C186" s="12" t="s">
        <v>3555</v>
      </c>
      <c r="D186" s="12" t="s">
        <v>3556</v>
      </c>
      <c r="E186" s="12" t="s">
        <v>578</v>
      </c>
      <c r="F186" s="12" t="s">
        <v>578</v>
      </c>
      <c r="G186" s="12" t="s">
        <v>578</v>
      </c>
      <c r="H186" s="12" t="s">
        <v>578</v>
      </c>
      <c r="I186" s="12" t="s">
        <v>578</v>
      </c>
      <c r="J186" s="12" t="s">
        <v>578</v>
      </c>
      <c r="K186" s="12" t="s">
        <v>578</v>
      </c>
      <c r="L186" s="12" t="s">
        <v>578</v>
      </c>
      <c r="M186" s="12" t="s">
        <v>578</v>
      </c>
      <c r="N186" s="12" t="s">
        <v>578</v>
      </c>
      <c r="O186" s="12" t="s">
        <v>578</v>
      </c>
      <c r="P186" s="12" t="s">
        <v>578</v>
      </c>
      <c r="Q186" s="12" t="s">
        <v>578</v>
      </c>
      <c r="R186" s="12" t="s">
        <v>578</v>
      </c>
      <c r="S186" s="12" t="s">
        <v>578</v>
      </c>
      <c r="T186" s="12" t="s">
        <v>578</v>
      </c>
      <c r="U186" s="12" t="s">
        <v>578</v>
      </c>
      <c r="V186" s="12" t="s">
        <v>578</v>
      </c>
      <c r="W186" s="12" t="s">
        <v>578</v>
      </c>
      <c r="X186" s="12" t="s">
        <v>578</v>
      </c>
      <c r="Y186" s="12" t="s">
        <v>578</v>
      </c>
      <c r="Z186" s="12" t="s">
        <v>578</v>
      </c>
      <c r="AA186" s="12" t="s">
        <v>578</v>
      </c>
      <c r="AB186" s="12" t="s">
        <v>578</v>
      </c>
      <c r="AC186" s="12" t="s">
        <v>578</v>
      </c>
      <c r="AD186" s="12" t="s">
        <v>578</v>
      </c>
      <c r="AE186" s="12" t="s">
        <v>578</v>
      </c>
      <c r="AF186" s="12" t="s">
        <v>578</v>
      </c>
      <c r="AG186" s="12" t="s">
        <v>578</v>
      </c>
      <c r="AH186" s="12" t="s">
        <v>578</v>
      </c>
      <c r="AI186" s="12" t="s">
        <v>578</v>
      </c>
      <c r="AJ186" s="12" t="s">
        <v>578</v>
      </c>
      <c r="AK186" s="12" t="s">
        <v>578</v>
      </c>
      <c r="AL186" s="12" t="s">
        <v>578</v>
      </c>
      <c r="AM186" s="12" t="s">
        <v>578</v>
      </c>
      <c r="AN186" s="12" t="s">
        <v>578</v>
      </c>
      <c r="AO186" s="12" t="s">
        <v>578</v>
      </c>
      <c r="AP186" s="12" t="s">
        <v>578</v>
      </c>
      <c r="AQ186" s="12" t="s">
        <v>578</v>
      </c>
      <c r="AR186" s="12" t="s">
        <v>578</v>
      </c>
      <c r="AS186" s="12" t="s">
        <v>578</v>
      </c>
      <c r="AT186" s="12" t="s">
        <v>578</v>
      </c>
      <c r="AU186" s="12" t="s">
        <v>579</v>
      </c>
      <c r="AV186" s="12" t="s">
        <v>579</v>
      </c>
      <c r="AW186" s="12" t="s">
        <v>581</v>
      </c>
      <c r="AX186" s="12" t="s">
        <v>581</v>
      </c>
      <c r="AY186" s="12" t="s">
        <v>583</v>
      </c>
      <c r="AZ186" s="12" t="s">
        <v>584</v>
      </c>
      <c r="BA186" s="12" t="s">
        <v>586</v>
      </c>
      <c r="BB186" s="12" t="s">
        <v>766</v>
      </c>
      <c r="BC186" s="12" t="s">
        <v>991</v>
      </c>
      <c r="BD186" s="12" t="s">
        <v>770</v>
      </c>
      <c r="BE186" s="12" t="s">
        <v>862</v>
      </c>
      <c r="BF186" s="12" t="s">
        <v>1418</v>
      </c>
      <c r="BG186" s="12" t="s">
        <v>1531</v>
      </c>
      <c r="BH186" s="12" t="s">
        <v>1624</v>
      </c>
      <c r="BI186" s="12" t="s">
        <v>1817</v>
      </c>
      <c r="BJ186" s="12" t="s">
        <v>995</v>
      </c>
      <c r="BK186" s="12" t="s">
        <v>1533</v>
      </c>
      <c r="BL186" s="12" t="s">
        <v>2067</v>
      </c>
      <c r="BM186" s="12" t="s">
        <v>666</v>
      </c>
      <c r="BN186" s="12" t="s">
        <v>2038</v>
      </c>
      <c r="BO186" s="12" t="s">
        <v>1292</v>
      </c>
      <c r="BP186" s="12" t="s">
        <v>3557</v>
      </c>
      <c r="BQ186" s="12" t="s">
        <v>3403</v>
      </c>
      <c r="BR186" s="12" t="s">
        <v>3558</v>
      </c>
      <c r="BS186" s="12" t="s">
        <v>3559</v>
      </c>
      <c r="BT186" s="12" t="s">
        <v>3560</v>
      </c>
      <c r="BU186" s="12" t="s">
        <v>3561</v>
      </c>
      <c r="BV186" s="12" t="s">
        <v>3530</v>
      </c>
      <c r="BW186" s="12" t="s">
        <v>1318</v>
      </c>
      <c r="BX186" s="12" t="s">
        <v>3562</v>
      </c>
      <c r="BY186" s="12" t="s">
        <v>3563</v>
      </c>
      <c r="BZ186" s="12" t="s">
        <v>3564</v>
      </c>
      <c r="CA186" s="12" t="s">
        <v>3565</v>
      </c>
      <c r="CB186" s="12" t="s">
        <v>3566</v>
      </c>
      <c r="CC186" s="12" t="s">
        <v>3567</v>
      </c>
      <c r="CD186" s="12" t="s">
        <v>3568</v>
      </c>
      <c r="CE186" s="12" t="s">
        <v>3569</v>
      </c>
      <c r="CF186" s="12" t="s">
        <v>3570</v>
      </c>
      <c r="CG186" s="12" t="s">
        <v>3571</v>
      </c>
      <c r="CH186" s="12" t="s">
        <v>3572</v>
      </c>
      <c r="CI186" s="12" t="s">
        <v>3573</v>
      </c>
      <c r="CJ186" s="12" t="s">
        <v>3574</v>
      </c>
      <c r="CK186" s="12" t="s">
        <v>3575</v>
      </c>
      <c r="CL186" s="12" t="s">
        <v>3576</v>
      </c>
      <c r="CM186" s="12" t="s">
        <v>3577</v>
      </c>
      <c r="CN186" s="12" t="s">
        <v>3578</v>
      </c>
      <c r="CO186" s="12" t="s">
        <v>3579</v>
      </c>
      <c r="CP186" s="12" t="s">
        <v>3580</v>
      </c>
      <c r="CQ186" s="12" t="s">
        <v>3581</v>
      </c>
      <c r="CR186" s="12" t="s">
        <v>3582</v>
      </c>
      <c r="CS186" s="12" t="s">
        <v>3583</v>
      </c>
      <c r="CT186" s="12" t="s">
        <v>3584</v>
      </c>
    </row>
    <row r="187" spans="1:98" hidden="1" x14ac:dyDescent="0.3">
      <c r="A187" s="12" t="s">
        <v>25</v>
      </c>
      <c r="B187" s="12" t="s">
        <v>3585</v>
      </c>
      <c r="C187" s="12" t="s">
        <v>3586</v>
      </c>
      <c r="D187" s="12" t="s">
        <v>3587</v>
      </c>
      <c r="E187" s="12" t="s">
        <v>578</v>
      </c>
      <c r="F187" s="12" t="s">
        <v>578</v>
      </c>
      <c r="G187" s="12" t="s">
        <v>578</v>
      </c>
      <c r="H187" s="12" t="s">
        <v>578</v>
      </c>
      <c r="I187" s="12" t="s">
        <v>578</v>
      </c>
      <c r="J187" s="12" t="s">
        <v>578</v>
      </c>
      <c r="K187" s="12" t="s">
        <v>578</v>
      </c>
      <c r="L187" s="12" t="s">
        <v>578</v>
      </c>
      <c r="M187" s="12" t="s">
        <v>578</v>
      </c>
      <c r="N187" s="12" t="s">
        <v>578</v>
      </c>
      <c r="O187" s="12" t="s">
        <v>578</v>
      </c>
      <c r="P187" s="12" t="s">
        <v>578</v>
      </c>
      <c r="Q187" s="12" t="s">
        <v>578</v>
      </c>
      <c r="R187" s="12" t="s">
        <v>578</v>
      </c>
      <c r="S187" s="12" t="s">
        <v>578</v>
      </c>
      <c r="T187" s="12" t="s">
        <v>578</v>
      </c>
      <c r="U187" s="12" t="s">
        <v>578</v>
      </c>
      <c r="V187" s="12" t="s">
        <v>578</v>
      </c>
      <c r="W187" s="12" t="s">
        <v>578</v>
      </c>
      <c r="X187" s="12" t="s">
        <v>578</v>
      </c>
      <c r="Y187" s="12" t="s">
        <v>578</v>
      </c>
      <c r="Z187" s="12" t="s">
        <v>578</v>
      </c>
      <c r="AA187" s="12" t="s">
        <v>578</v>
      </c>
      <c r="AB187" s="12" t="s">
        <v>578</v>
      </c>
      <c r="AC187" s="12" t="s">
        <v>578</v>
      </c>
      <c r="AD187" s="12" t="s">
        <v>578</v>
      </c>
      <c r="AE187" s="12" t="s">
        <v>578</v>
      </c>
      <c r="AF187" s="12" t="s">
        <v>578</v>
      </c>
      <c r="AG187" s="12" t="s">
        <v>578</v>
      </c>
      <c r="AH187" s="12" t="s">
        <v>578</v>
      </c>
      <c r="AI187" s="12" t="s">
        <v>578</v>
      </c>
      <c r="AJ187" s="12" t="s">
        <v>578</v>
      </c>
      <c r="AK187" s="12" t="s">
        <v>578</v>
      </c>
      <c r="AL187" s="12" t="s">
        <v>578</v>
      </c>
      <c r="AM187" s="12" t="s">
        <v>578</v>
      </c>
      <c r="AN187" s="12" t="s">
        <v>578</v>
      </c>
      <c r="AO187" s="12" t="s">
        <v>578</v>
      </c>
      <c r="AP187" s="12" t="s">
        <v>578</v>
      </c>
      <c r="AQ187" s="12" t="s">
        <v>578</v>
      </c>
      <c r="AR187" s="12" t="s">
        <v>578</v>
      </c>
      <c r="AS187" s="12" t="s">
        <v>623</v>
      </c>
      <c r="AT187" s="12" t="s">
        <v>623</v>
      </c>
      <c r="AU187" s="12" t="s">
        <v>581</v>
      </c>
      <c r="AV187" s="12" t="s">
        <v>755</v>
      </c>
      <c r="AW187" s="12" t="s">
        <v>868</v>
      </c>
      <c r="AX187" s="12" t="s">
        <v>675</v>
      </c>
      <c r="AY187" s="12" t="s">
        <v>2018</v>
      </c>
      <c r="AZ187" s="12" t="s">
        <v>2018</v>
      </c>
      <c r="BA187" s="12" t="s">
        <v>1046</v>
      </c>
      <c r="BB187" s="12" t="s">
        <v>632</v>
      </c>
      <c r="BC187" s="12" t="s">
        <v>632</v>
      </c>
      <c r="BD187" s="12" t="s">
        <v>872</v>
      </c>
      <c r="BE187" s="12" t="s">
        <v>982</v>
      </c>
      <c r="BF187" s="12" t="s">
        <v>1816</v>
      </c>
      <c r="BG187" s="12" t="s">
        <v>1365</v>
      </c>
      <c r="BH187" s="12" t="s">
        <v>3588</v>
      </c>
      <c r="BI187" s="12" t="s">
        <v>3588</v>
      </c>
      <c r="BJ187" s="12" t="s">
        <v>2856</v>
      </c>
      <c r="BK187" s="12" t="s">
        <v>2702</v>
      </c>
      <c r="BL187" s="12" t="s">
        <v>3589</v>
      </c>
      <c r="BM187" s="12" t="s">
        <v>2202</v>
      </c>
      <c r="BN187" s="12" t="s">
        <v>3590</v>
      </c>
      <c r="BO187" s="12" t="s">
        <v>3591</v>
      </c>
      <c r="BP187" s="12" t="s">
        <v>3592</v>
      </c>
      <c r="BQ187" s="12" t="s">
        <v>3593</v>
      </c>
      <c r="BR187" s="12" t="s">
        <v>3594</v>
      </c>
      <c r="BS187" s="12" t="s">
        <v>3595</v>
      </c>
      <c r="BT187" s="12" t="s">
        <v>3596</v>
      </c>
      <c r="BU187" s="12" t="s">
        <v>3597</v>
      </c>
      <c r="BV187" s="12" t="s">
        <v>3598</v>
      </c>
      <c r="BW187" s="12" t="s">
        <v>3599</v>
      </c>
      <c r="BX187" s="12" t="s">
        <v>3600</v>
      </c>
      <c r="BY187" s="12" t="s">
        <v>3601</v>
      </c>
      <c r="BZ187" s="12" t="s">
        <v>3602</v>
      </c>
      <c r="CA187" s="12" t="s">
        <v>3603</v>
      </c>
      <c r="CB187" s="12" t="s">
        <v>3604</v>
      </c>
      <c r="CC187" s="12" t="s">
        <v>3605</v>
      </c>
      <c r="CD187" s="12" t="s">
        <v>3606</v>
      </c>
      <c r="CE187" s="12" t="s">
        <v>3607</v>
      </c>
      <c r="CF187" s="12" t="s">
        <v>3608</v>
      </c>
      <c r="CG187" s="12" t="s">
        <v>3609</v>
      </c>
      <c r="CH187" s="12" t="s">
        <v>3610</v>
      </c>
      <c r="CI187" s="12" t="s">
        <v>3611</v>
      </c>
      <c r="CJ187" s="12" t="s">
        <v>3612</v>
      </c>
      <c r="CK187" s="12" t="s">
        <v>3613</v>
      </c>
      <c r="CL187" s="12" t="s">
        <v>3614</v>
      </c>
      <c r="CM187" s="12" t="s">
        <v>3615</v>
      </c>
      <c r="CN187" s="12" t="s">
        <v>3616</v>
      </c>
      <c r="CO187" s="12" t="s">
        <v>3617</v>
      </c>
      <c r="CP187" s="12" t="s">
        <v>3618</v>
      </c>
      <c r="CQ187" s="12" t="s">
        <v>3619</v>
      </c>
      <c r="CR187" s="12" t="s">
        <v>3620</v>
      </c>
      <c r="CS187" s="12" t="s">
        <v>3621</v>
      </c>
      <c r="CT187" s="12" t="s">
        <v>3622</v>
      </c>
    </row>
    <row r="188" spans="1:98" hidden="1" x14ac:dyDescent="0.3">
      <c r="A188" s="12" t="s">
        <v>25</v>
      </c>
      <c r="B188" s="12" t="s">
        <v>3623</v>
      </c>
      <c r="C188" s="12" t="s">
        <v>3624</v>
      </c>
      <c r="D188" s="12" t="s">
        <v>3625</v>
      </c>
      <c r="E188" s="12" t="s">
        <v>578</v>
      </c>
      <c r="F188" s="12" t="s">
        <v>578</v>
      </c>
      <c r="G188" s="12" t="s">
        <v>578</v>
      </c>
      <c r="H188" s="12" t="s">
        <v>578</v>
      </c>
      <c r="I188" s="12" t="s">
        <v>578</v>
      </c>
      <c r="J188" s="12" t="s">
        <v>578</v>
      </c>
      <c r="K188" s="12" t="s">
        <v>578</v>
      </c>
      <c r="L188" s="12" t="s">
        <v>578</v>
      </c>
      <c r="M188" s="12" t="s">
        <v>578</v>
      </c>
      <c r="N188" s="12" t="s">
        <v>578</v>
      </c>
      <c r="O188" s="12" t="s">
        <v>578</v>
      </c>
      <c r="P188" s="12" t="s">
        <v>578</v>
      </c>
      <c r="Q188" s="12" t="s">
        <v>578</v>
      </c>
      <c r="R188" s="12" t="s">
        <v>578</v>
      </c>
      <c r="S188" s="12" t="s">
        <v>578</v>
      </c>
      <c r="T188" s="12" t="s">
        <v>578</v>
      </c>
      <c r="U188" s="12" t="s">
        <v>578</v>
      </c>
      <c r="V188" s="12" t="s">
        <v>578</v>
      </c>
      <c r="W188" s="12" t="s">
        <v>578</v>
      </c>
      <c r="X188" s="12" t="s">
        <v>578</v>
      </c>
      <c r="Y188" s="12" t="s">
        <v>578</v>
      </c>
      <c r="Z188" s="12" t="s">
        <v>578</v>
      </c>
      <c r="AA188" s="12" t="s">
        <v>578</v>
      </c>
      <c r="AB188" s="12" t="s">
        <v>578</v>
      </c>
      <c r="AC188" s="12" t="s">
        <v>578</v>
      </c>
      <c r="AD188" s="12" t="s">
        <v>578</v>
      </c>
      <c r="AE188" s="12" t="s">
        <v>578</v>
      </c>
      <c r="AF188" s="12" t="s">
        <v>578</v>
      </c>
      <c r="AG188" s="12" t="s">
        <v>578</v>
      </c>
      <c r="AH188" s="12" t="s">
        <v>578</v>
      </c>
      <c r="AI188" s="12" t="s">
        <v>578</v>
      </c>
      <c r="AJ188" s="12" t="s">
        <v>578</v>
      </c>
      <c r="AK188" s="12" t="s">
        <v>578</v>
      </c>
      <c r="AL188" s="12" t="s">
        <v>578</v>
      </c>
      <c r="AM188" s="12" t="s">
        <v>578</v>
      </c>
      <c r="AN188" s="12" t="s">
        <v>578</v>
      </c>
      <c r="AO188" s="12" t="s">
        <v>578</v>
      </c>
      <c r="AP188" s="12" t="s">
        <v>578</v>
      </c>
      <c r="AQ188" s="12" t="s">
        <v>579</v>
      </c>
      <c r="AR188" s="12" t="s">
        <v>672</v>
      </c>
      <c r="AS188" s="12" t="s">
        <v>672</v>
      </c>
      <c r="AT188" s="12" t="s">
        <v>582</v>
      </c>
      <c r="AU188" s="12" t="s">
        <v>755</v>
      </c>
      <c r="AV188" s="12" t="s">
        <v>755</v>
      </c>
      <c r="AW188" s="12" t="s">
        <v>755</v>
      </c>
      <c r="AX188" s="12" t="s">
        <v>755</v>
      </c>
      <c r="AY188" s="12" t="s">
        <v>762</v>
      </c>
      <c r="AZ188" s="12" t="s">
        <v>808</v>
      </c>
      <c r="BA188" s="12" t="s">
        <v>587</v>
      </c>
      <c r="BB188" s="12" t="s">
        <v>1494</v>
      </c>
      <c r="BC188" s="12" t="s">
        <v>1494</v>
      </c>
      <c r="BD188" s="12" t="s">
        <v>1611</v>
      </c>
      <c r="BE188" s="12" t="s">
        <v>959</v>
      </c>
      <c r="BF188" s="12" t="s">
        <v>3023</v>
      </c>
      <c r="BG188" s="12" t="s">
        <v>734</v>
      </c>
      <c r="BH188" s="12" t="s">
        <v>734</v>
      </c>
      <c r="BI188" s="12" t="s">
        <v>1700</v>
      </c>
      <c r="BJ188" s="12" t="s">
        <v>1033</v>
      </c>
      <c r="BK188" s="12" t="s">
        <v>1844</v>
      </c>
      <c r="BL188" s="12" t="s">
        <v>1034</v>
      </c>
      <c r="BM188" s="12" t="s">
        <v>659</v>
      </c>
      <c r="BN188" s="12" t="s">
        <v>736</v>
      </c>
      <c r="BO188" s="12" t="s">
        <v>2066</v>
      </c>
      <c r="BP188" s="12" t="s">
        <v>1626</v>
      </c>
      <c r="BQ188" s="12" t="s">
        <v>1373</v>
      </c>
      <c r="BR188" s="12" t="s">
        <v>663</v>
      </c>
      <c r="BS188" s="12" t="s">
        <v>1714</v>
      </c>
      <c r="BT188" s="12" t="s">
        <v>666</v>
      </c>
      <c r="BU188" s="12" t="s">
        <v>3626</v>
      </c>
      <c r="BV188" s="12" t="s">
        <v>931</v>
      </c>
      <c r="BW188" s="12" t="s">
        <v>932</v>
      </c>
      <c r="BX188" s="12" t="s">
        <v>2516</v>
      </c>
      <c r="BY188" s="12" t="s">
        <v>1442</v>
      </c>
      <c r="BZ188" s="12" t="s">
        <v>3627</v>
      </c>
      <c r="CA188" s="12" t="s">
        <v>3628</v>
      </c>
      <c r="CB188" s="12" t="s">
        <v>2207</v>
      </c>
      <c r="CC188" s="12" t="s">
        <v>3629</v>
      </c>
      <c r="CD188" s="12" t="s">
        <v>3630</v>
      </c>
      <c r="CE188" s="12" t="s">
        <v>3631</v>
      </c>
      <c r="CF188" s="12" t="s">
        <v>3632</v>
      </c>
      <c r="CG188" s="12" t="s">
        <v>3633</v>
      </c>
      <c r="CH188" s="12" t="s">
        <v>2152</v>
      </c>
      <c r="CI188" s="12" t="s">
        <v>3634</v>
      </c>
      <c r="CJ188" s="12" t="s">
        <v>3635</v>
      </c>
      <c r="CK188" s="12" t="s">
        <v>3636</v>
      </c>
      <c r="CL188" s="12" t="s">
        <v>3637</v>
      </c>
      <c r="CM188" s="12" t="s">
        <v>3638</v>
      </c>
      <c r="CN188" s="12" t="s">
        <v>3639</v>
      </c>
      <c r="CO188" s="12" t="s">
        <v>3640</v>
      </c>
      <c r="CP188" s="12" t="s">
        <v>3641</v>
      </c>
      <c r="CQ188" s="12" t="s">
        <v>3642</v>
      </c>
      <c r="CR188" s="12" t="s">
        <v>3643</v>
      </c>
      <c r="CS188" s="12" t="s">
        <v>3644</v>
      </c>
      <c r="CT188" s="12" t="s">
        <v>3645</v>
      </c>
    </row>
    <row r="189" spans="1:98" hidden="1" x14ac:dyDescent="0.3">
      <c r="A189" s="12" t="s">
        <v>25</v>
      </c>
      <c r="B189" s="12" t="s">
        <v>3646</v>
      </c>
      <c r="C189" s="12" t="s">
        <v>3647</v>
      </c>
      <c r="D189" s="12" t="s">
        <v>3648</v>
      </c>
      <c r="E189" s="12" t="s">
        <v>578</v>
      </c>
      <c r="F189" s="12" t="s">
        <v>578</v>
      </c>
      <c r="G189" s="12" t="s">
        <v>578</v>
      </c>
      <c r="H189" s="12" t="s">
        <v>578</v>
      </c>
      <c r="I189" s="12" t="s">
        <v>578</v>
      </c>
      <c r="J189" s="12" t="s">
        <v>578</v>
      </c>
      <c r="K189" s="12" t="s">
        <v>578</v>
      </c>
      <c r="L189" s="12" t="s">
        <v>578</v>
      </c>
      <c r="M189" s="12" t="s">
        <v>578</v>
      </c>
      <c r="N189" s="12" t="s">
        <v>578</v>
      </c>
      <c r="O189" s="12" t="s">
        <v>578</v>
      </c>
      <c r="P189" s="12" t="s">
        <v>578</v>
      </c>
      <c r="Q189" s="12" t="s">
        <v>578</v>
      </c>
      <c r="R189" s="12" t="s">
        <v>578</v>
      </c>
      <c r="S189" s="12" t="s">
        <v>578</v>
      </c>
      <c r="T189" s="12" t="s">
        <v>578</v>
      </c>
      <c r="U189" s="12" t="s">
        <v>578</v>
      </c>
      <c r="V189" s="12" t="s">
        <v>578</v>
      </c>
      <c r="W189" s="12" t="s">
        <v>578</v>
      </c>
      <c r="X189" s="12" t="s">
        <v>578</v>
      </c>
      <c r="Y189" s="12" t="s">
        <v>578</v>
      </c>
      <c r="Z189" s="12" t="s">
        <v>578</v>
      </c>
      <c r="AA189" s="12" t="s">
        <v>578</v>
      </c>
      <c r="AB189" s="12" t="s">
        <v>578</v>
      </c>
      <c r="AC189" s="12" t="s">
        <v>578</v>
      </c>
      <c r="AD189" s="12" t="s">
        <v>578</v>
      </c>
      <c r="AE189" s="12" t="s">
        <v>578</v>
      </c>
      <c r="AF189" s="12" t="s">
        <v>578</v>
      </c>
      <c r="AG189" s="12" t="s">
        <v>578</v>
      </c>
      <c r="AH189" s="12" t="s">
        <v>578</v>
      </c>
      <c r="AI189" s="12" t="s">
        <v>578</v>
      </c>
      <c r="AJ189" s="12" t="s">
        <v>578</v>
      </c>
      <c r="AK189" s="12" t="s">
        <v>578</v>
      </c>
      <c r="AL189" s="12" t="s">
        <v>578</v>
      </c>
      <c r="AM189" s="12" t="s">
        <v>578</v>
      </c>
      <c r="AN189" s="12" t="s">
        <v>579</v>
      </c>
      <c r="AO189" s="12" t="s">
        <v>579</v>
      </c>
      <c r="AP189" s="12" t="s">
        <v>672</v>
      </c>
      <c r="AQ189" s="12" t="s">
        <v>672</v>
      </c>
      <c r="AR189" s="12" t="s">
        <v>672</v>
      </c>
      <c r="AS189" s="12" t="s">
        <v>672</v>
      </c>
      <c r="AT189" s="12" t="s">
        <v>672</v>
      </c>
      <c r="AU189" s="12" t="s">
        <v>580</v>
      </c>
      <c r="AV189" s="12" t="s">
        <v>851</v>
      </c>
      <c r="AW189" s="12" t="s">
        <v>761</v>
      </c>
      <c r="AX189" s="12" t="s">
        <v>761</v>
      </c>
      <c r="AY189" s="12" t="s">
        <v>762</v>
      </c>
      <c r="AZ189" s="12" t="s">
        <v>762</v>
      </c>
      <c r="BA189" s="12" t="s">
        <v>757</v>
      </c>
      <c r="BB189" s="12" t="s">
        <v>768</v>
      </c>
      <c r="BC189" s="12" t="s">
        <v>991</v>
      </c>
      <c r="BD189" s="12" t="s">
        <v>636</v>
      </c>
      <c r="BE189" s="12" t="s">
        <v>638</v>
      </c>
      <c r="BF189" s="12" t="s">
        <v>1047</v>
      </c>
      <c r="BG189" s="12" t="s">
        <v>774</v>
      </c>
      <c r="BH189" s="12" t="s">
        <v>921</v>
      </c>
      <c r="BI189" s="12" t="s">
        <v>1606</v>
      </c>
      <c r="BJ189" s="12" t="s">
        <v>646</v>
      </c>
      <c r="BK189" s="12" t="s">
        <v>728</v>
      </c>
      <c r="BL189" s="12" t="s">
        <v>601</v>
      </c>
      <c r="BM189" s="12" t="s">
        <v>655</v>
      </c>
      <c r="BN189" s="12" t="s">
        <v>1405</v>
      </c>
      <c r="BO189" s="12" t="s">
        <v>3649</v>
      </c>
      <c r="BP189" s="12" t="s">
        <v>612</v>
      </c>
      <c r="BQ189" s="12" t="s">
        <v>881</v>
      </c>
      <c r="BR189" s="12" t="s">
        <v>3650</v>
      </c>
      <c r="BS189" s="12" t="s">
        <v>3651</v>
      </c>
      <c r="BT189" s="12" t="s">
        <v>3652</v>
      </c>
      <c r="BU189" s="12" t="s">
        <v>3653</v>
      </c>
      <c r="BV189" s="12" t="s">
        <v>2651</v>
      </c>
      <c r="BW189" s="12" t="s">
        <v>3324</v>
      </c>
      <c r="BX189" s="12" t="s">
        <v>1636</v>
      </c>
      <c r="BY189" s="12" t="s">
        <v>3654</v>
      </c>
      <c r="BZ189" s="12" t="s">
        <v>3655</v>
      </c>
      <c r="CA189" s="12" t="s">
        <v>3656</v>
      </c>
      <c r="CB189" s="12" t="s">
        <v>3657</v>
      </c>
      <c r="CC189" s="12" t="s">
        <v>3658</v>
      </c>
      <c r="CD189" s="12" t="s">
        <v>3659</v>
      </c>
      <c r="CE189" s="12" t="s">
        <v>3660</v>
      </c>
      <c r="CF189" s="12" t="s">
        <v>3661</v>
      </c>
      <c r="CG189" s="12" t="s">
        <v>3662</v>
      </c>
      <c r="CH189" s="12" t="s">
        <v>3663</v>
      </c>
      <c r="CI189" s="12" t="s">
        <v>2523</v>
      </c>
      <c r="CJ189" s="12" t="s">
        <v>2314</v>
      </c>
      <c r="CK189" s="12" t="s">
        <v>3664</v>
      </c>
      <c r="CL189" s="12" t="s">
        <v>3665</v>
      </c>
      <c r="CM189" s="12" t="s">
        <v>3666</v>
      </c>
      <c r="CN189" s="12" t="s">
        <v>3468</v>
      </c>
      <c r="CO189" s="12" t="s">
        <v>3667</v>
      </c>
      <c r="CP189" s="12" t="s">
        <v>3668</v>
      </c>
      <c r="CQ189" s="12" t="s">
        <v>3669</v>
      </c>
      <c r="CR189" s="12" t="s">
        <v>3670</v>
      </c>
      <c r="CS189" s="12" t="s">
        <v>3671</v>
      </c>
      <c r="CT189" s="12" t="s">
        <v>3672</v>
      </c>
    </row>
    <row r="190" spans="1:98" hidden="1" x14ac:dyDescent="0.3">
      <c r="A190" s="12" t="s">
        <v>25</v>
      </c>
      <c r="B190" s="12" t="s">
        <v>3673</v>
      </c>
      <c r="C190" s="12" t="s">
        <v>3674</v>
      </c>
      <c r="D190" s="12" t="s">
        <v>3675</v>
      </c>
      <c r="E190" s="12" t="s">
        <v>578</v>
      </c>
      <c r="F190" s="12" t="s">
        <v>578</v>
      </c>
      <c r="G190" s="12" t="s">
        <v>578</v>
      </c>
      <c r="H190" s="12" t="s">
        <v>578</v>
      </c>
      <c r="I190" s="12" t="s">
        <v>578</v>
      </c>
      <c r="J190" s="12" t="s">
        <v>578</v>
      </c>
      <c r="K190" s="12" t="s">
        <v>578</v>
      </c>
      <c r="L190" s="12" t="s">
        <v>578</v>
      </c>
      <c r="M190" s="12" t="s">
        <v>578</v>
      </c>
      <c r="N190" s="12" t="s">
        <v>623</v>
      </c>
      <c r="O190" s="12" t="s">
        <v>623</v>
      </c>
      <c r="P190" s="12" t="s">
        <v>623</v>
      </c>
      <c r="Q190" s="12" t="s">
        <v>623</v>
      </c>
      <c r="R190" s="12" t="s">
        <v>623</v>
      </c>
      <c r="S190" s="12" t="s">
        <v>623</v>
      </c>
      <c r="T190" s="12" t="s">
        <v>623</v>
      </c>
      <c r="U190" s="12" t="s">
        <v>623</v>
      </c>
      <c r="V190" s="12" t="s">
        <v>623</v>
      </c>
      <c r="W190" s="12" t="s">
        <v>623</v>
      </c>
      <c r="X190" s="12" t="s">
        <v>623</v>
      </c>
      <c r="Y190" s="12" t="s">
        <v>623</v>
      </c>
      <c r="Z190" s="12" t="s">
        <v>623</v>
      </c>
      <c r="AA190" s="12" t="s">
        <v>623</v>
      </c>
      <c r="AB190" s="12" t="s">
        <v>623</v>
      </c>
      <c r="AC190" s="12" t="s">
        <v>623</v>
      </c>
      <c r="AD190" s="12" t="s">
        <v>623</v>
      </c>
      <c r="AE190" s="12" t="s">
        <v>623</v>
      </c>
      <c r="AF190" s="12" t="s">
        <v>623</v>
      </c>
      <c r="AG190" s="12" t="s">
        <v>623</v>
      </c>
      <c r="AH190" s="12" t="s">
        <v>623</v>
      </c>
      <c r="AI190" s="12" t="s">
        <v>623</v>
      </c>
      <c r="AJ190" s="12" t="s">
        <v>623</v>
      </c>
      <c r="AK190" s="12" t="s">
        <v>623</v>
      </c>
      <c r="AL190" s="12" t="s">
        <v>623</v>
      </c>
      <c r="AM190" s="12" t="s">
        <v>623</v>
      </c>
      <c r="AN190" s="12" t="s">
        <v>623</v>
      </c>
      <c r="AO190" s="12" t="s">
        <v>623</v>
      </c>
      <c r="AP190" s="12" t="s">
        <v>623</v>
      </c>
      <c r="AQ190" s="12" t="s">
        <v>623</v>
      </c>
      <c r="AR190" s="12" t="s">
        <v>623</v>
      </c>
      <c r="AS190" s="12" t="s">
        <v>672</v>
      </c>
      <c r="AT190" s="12" t="s">
        <v>672</v>
      </c>
      <c r="AU190" s="12" t="s">
        <v>672</v>
      </c>
      <c r="AV190" s="12" t="s">
        <v>580</v>
      </c>
      <c r="AW190" s="12" t="s">
        <v>868</v>
      </c>
      <c r="AX190" s="12" t="s">
        <v>868</v>
      </c>
      <c r="AY190" s="12" t="s">
        <v>673</v>
      </c>
      <c r="AZ190" s="12" t="s">
        <v>673</v>
      </c>
      <c r="BA190" s="12" t="s">
        <v>675</v>
      </c>
      <c r="BB190" s="12" t="s">
        <v>675</v>
      </c>
      <c r="BC190" s="12" t="s">
        <v>869</v>
      </c>
      <c r="BD190" s="12" t="s">
        <v>768</v>
      </c>
      <c r="BE190" s="12" t="s">
        <v>632</v>
      </c>
      <c r="BF190" s="12" t="s">
        <v>1180</v>
      </c>
      <c r="BG190" s="12" t="s">
        <v>682</v>
      </c>
      <c r="BH190" s="12" t="s">
        <v>1353</v>
      </c>
      <c r="BI190" s="12" t="s">
        <v>1515</v>
      </c>
      <c r="BJ190" s="12" t="s">
        <v>2360</v>
      </c>
      <c r="BK190" s="12" t="s">
        <v>1491</v>
      </c>
      <c r="BL190" s="12" t="s">
        <v>1424</v>
      </c>
      <c r="BM190" s="12" t="s">
        <v>601</v>
      </c>
      <c r="BN190" s="12" t="s">
        <v>967</v>
      </c>
      <c r="BO190" s="12" t="s">
        <v>1035</v>
      </c>
      <c r="BP190" s="12" t="s">
        <v>1427</v>
      </c>
      <c r="BQ190" s="12" t="s">
        <v>611</v>
      </c>
      <c r="BR190" s="12" t="s">
        <v>1003</v>
      </c>
      <c r="BS190" s="12" t="s">
        <v>2133</v>
      </c>
      <c r="BT190" s="12" t="s">
        <v>2201</v>
      </c>
      <c r="BU190" s="12" t="s">
        <v>3676</v>
      </c>
      <c r="BV190" s="12" t="s">
        <v>3049</v>
      </c>
      <c r="BW190" s="12" t="s">
        <v>3677</v>
      </c>
      <c r="BX190" s="12" t="s">
        <v>3678</v>
      </c>
      <c r="BY190" s="12" t="s">
        <v>2158</v>
      </c>
      <c r="BZ190" s="12" t="s">
        <v>3679</v>
      </c>
      <c r="CA190" s="12" t="s">
        <v>3212</v>
      </c>
      <c r="CB190" s="12" t="s">
        <v>3680</v>
      </c>
      <c r="CC190" s="12" t="s">
        <v>3252</v>
      </c>
      <c r="CD190" s="12" t="s">
        <v>3681</v>
      </c>
      <c r="CE190" s="12" t="s">
        <v>3682</v>
      </c>
      <c r="CF190" s="12" t="s">
        <v>3683</v>
      </c>
      <c r="CG190" s="12" t="s">
        <v>3684</v>
      </c>
      <c r="CH190" s="12" t="s">
        <v>3685</v>
      </c>
      <c r="CI190" s="12" t="s">
        <v>3686</v>
      </c>
      <c r="CJ190" s="12" t="s">
        <v>3687</v>
      </c>
      <c r="CK190" s="12" t="s">
        <v>3688</v>
      </c>
      <c r="CL190" s="12" t="s">
        <v>3689</v>
      </c>
      <c r="CM190" s="12" t="s">
        <v>3690</v>
      </c>
      <c r="CN190" s="12" t="s">
        <v>3691</v>
      </c>
      <c r="CO190" s="12" t="s">
        <v>3692</v>
      </c>
      <c r="CP190" s="12" t="s">
        <v>3693</v>
      </c>
      <c r="CQ190" s="12" t="s">
        <v>3694</v>
      </c>
      <c r="CR190" s="12" t="s">
        <v>3695</v>
      </c>
      <c r="CS190" s="12" t="s">
        <v>3696</v>
      </c>
      <c r="CT190" s="12" t="s">
        <v>3697</v>
      </c>
    </row>
    <row r="191" spans="1:98" hidden="1" x14ac:dyDescent="0.3">
      <c r="A191" s="12" t="s">
        <v>25</v>
      </c>
      <c r="B191" s="12" t="s">
        <v>3698</v>
      </c>
      <c r="C191" s="12" t="s">
        <v>3699</v>
      </c>
      <c r="D191" s="12" t="s">
        <v>3700</v>
      </c>
      <c r="E191" s="12" t="s">
        <v>578</v>
      </c>
      <c r="F191" s="12" t="s">
        <v>578</v>
      </c>
      <c r="G191" s="12" t="s">
        <v>578</v>
      </c>
      <c r="H191" s="12" t="s">
        <v>578</v>
      </c>
      <c r="I191" s="12" t="s">
        <v>578</v>
      </c>
      <c r="J191" s="12" t="s">
        <v>578</v>
      </c>
      <c r="K191" s="12" t="s">
        <v>578</v>
      </c>
      <c r="L191" s="12" t="s">
        <v>578</v>
      </c>
      <c r="M191" s="12" t="s">
        <v>578</v>
      </c>
      <c r="N191" s="12" t="s">
        <v>578</v>
      </c>
      <c r="O191" s="12" t="s">
        <v>578</v>
      </c>
      <c r="P191" s="12" t="s">
        <v>578</v>
      </c>
      <c r="Q191" s="12" t="s">
        <v>578</v>
      </c>
      <c r="R191" s="12" t="s">
        <v>578</v>
      </c>
      <c r="S191" s="12" t="s">
        <v>578</v>
      </c>
      <c r="T191" s="12" t="s">
        <v>578</v>
      </c>
      <c r="U191" s="12" t="s">
        <v>578</v>
      </c>
      <c r="V191" s="12" t="s">
        <v>578</v>
      </c>
      <c r="W191" s="12" t="s">
        <v>578</v>
      </c>
      <c r="X191" s="12" t="s">
        <v>578</v>
      </c>
      <c r="Y191" s="12" t="s">
        <v>578</v>
      </c>
      <c r="Z191" s="12" t="s">
        <v>578</v>
      </c>
      <c r="AA191" s="12" t="s">
        <v>578</v>
      </c>
      <c r="AB191" s="12" t="s">
        <v>578</v>
      </c>
      <c r="AC191" s="12" t="s">
        <v>578</v>
      </c>
      <c r="AD191" s="12" t="s">
        <v>578</v>
      </c>
      <c r="AE191" s="12" t="s">
        <v>578</v>
      </c>
      <c r="AF191" s="12" t="s">
        <v>578</v>
      </c>
      <c r="AG191" s="12" t="s">
        <v>578</v>
      </c>
      <c r="AH191" s="12" t="s">
        <v>578</v>
      </c>
      <c r="AI191" s="12" t="s">
        <v>578</v>
      </c>
      <c r="AJ191" s="12" t="s">
        <v>578</v>
      </c>
      <c r="AK191" s="12" t="s">
        <v>578</v>
      </c>
      <c r="AL191" s="12" t="s">
        <v>578</v>
      </c>
      <c r="AM191" s="12" t="s">
        <v>578</v>
      </c>
      <c r="AN191" s="12" t="s">
        <v>578</v>
      </c>
      <c r="AO191" s="12" t="s">
        <v>578</v>
      </c>
      <c r="AP191" s="12" t="s">
        <v>578</v>
      </c>
      <c r="AQ191" s="12" t="s">
        <v>578</v>
      </c>
      <c r="AR191" s="12" t="s">
        <v>578</v>
      </c>
      <c r="AS191" s="12" t="s">
        <v>578</v>
      </c>
      <c r="AT191" s="12" t="s">
        <v>578</v>
      </c>
      <c r="AU191" s="12" t="s">
        <v>578</v>
      </c>
      <c r="AV191" s="12" t="s">
        <v>578</v>
      </c>
      <c r="AW191" s="12" t="s">
        <v>578</v>
      </c>
      <c r="AX191" s="12" t="s">
        <v>578</v>
      </c>
      <c r="AY191" s="12" t="s">
        <v>578</v>
      </c>
      <c r="AZ191" s="12" t="s">
        <v>578</v>
      </c>
      <c r="BA191" s="12" t="s">
        <v>578</v>
      </c>
      <c r="BB191" s="12" t="s">
        <v>578</v>
      </c>
      <c r="BC191" s="12" t="s">
        <v>578</v>
      </c>
      <c r="BD191" s="12" t="s">
        <v>578</v>
      </c>
      <c r="BE191" s="12" t="s">
        <v>579</v>
      </c>
      <c r="BF191" s="12" t="s">
        <v>579</v>
      </c>
      <c r="BG191" s="12" t="s">
        <v>581</v>
      </c>
      <c r="BH191" s="12" t="s">
        <v>582</v>
      </c>
      <c r="BI191" s="12" t="s">
        <v>755</v>
      </c>
      <c r="BJ191" s="12" t="s">
        <v>755</v>
      </c>
      <c r="BK191" s="12" t="s">
        <v>673</v>
      </c>
      <c r="BL191" s="12" t="s">
        <v>673</v>
      </c>
      <c r="BM191" s="12" t="s">
        <v>674</v>
      </c>
      <c r="BN191" s="12" t="s">
        <v>971</v>
      </c>
      <c r="BO191" s="12" t="s">
        <v>588</v>
      </c>
      <c r="BP191" s="12" t="s">
        <v>1046</v>
      </c>
      <c r="BQ191" s="12" t="s">
        <v>954</v>
      </c>
      <c r="BR191" s="12" t="s">
        <v>679</v>
      </c>
      <c r="BS191" s="12" t="s">
        <v>680</v>
      </c>
      <c r="BT191" s="12" t="s">
        <v>634</v>
      </c>
      <c r="BU191" s="12" t="s">
        <v>634</v>
      </c>
      <c r="BV191" s="12" t="s">
        <v>720</v>
      </c>
      <c r="BW191" s="12" t="s">
        <v>976</v>
      </c>
      <c r="BX191" s="12" t="s">
        <v>590</v>
      </c>
      <c r="BY191" s="12" t="s">
        <v>636</v>
      </c>
      <c r="BZ191" s="12" t="s">
        <v>863</v>
      </c>
      <c r="CA191" s="12" t="s">
        <v>637</v>
      </c>
      <c r="CB191" s="12" t="s">
        <v>864</v>
      </c>
      <c r="CC191" s="12" t="s">
        <v>864</v>
      </c>
      <c r="CD191" s="12" t="s">
        <v>592</v>
      </c>
      <c r="CE191" s="12" t="s">
        <v>592</v>
      </c>
      <c r="CF191" s="12" t="s">
        <v>1501</v>
      </c>
      <c r="CG191" s="12" t="s">
        <v>593</v>
      </c>
      <c r="CH191" s="12" t="s">
        <v>1276</v>
      </c>
      <c r="CI191" s="12" t="s">
        <v>1354</v>
      </c>
      <c r="CJ191" s="12" t="s">
        <v>873</v>
      </c>
      <c r="CK191" s="12" t="s">
        <v>812</v>
      </c>
      <c r="CL191" s="12" t="s">
        <v>1358</v>
      </c>
      <c r="CM191" s="12" t="s">
        <v>1821</v>
      </c>
      <c r="CN191" s="12" t="s">
        <v>920</v>
      </c>
      <c r="CO191" s="12" t="s">
        <v>1515</v>
      </c>
      <c r="CP191" s="12" t="s">
        <v>1515</v>
      </c>
      <c r="CQ191" s="12" t="s">
        <v>1814</v>
      </c>
      <c r="CR191" s="12" t="s">
        <v>2100</v>
      </c>
      <c r="CS191" s="12" t="s">
        <v>2101</v>
      </c>
      <c r="CT191" s="12" t="s">
        <v>1278</v>
      </c>
    </row>
    <row r="192" spans="1:98" hidden="1" x14ac:dyDescent="0.3">
      <c r="A192" s="12" t="s">
        <v>25</v>
      </c>
      <c r="B192" s="12" t="s">
        <v>3701</v>
      </c>
      <c r="C192" s="12" t="s">
        <v>3702</v>
      </c>
      <c r="D192" s="12" t="s">
        <v>3703</v>
      </c>
      <c r="E192" s="12" t="s">
        <v>578</v>
      </c>
      <c r="F192" s="12" t="s">
        <v>578</v>
      </c>
      <c r="G192" s="12" t="s">
        <v>578</v>
      </c>
      <c r="H192" s="12" t="s">
        <v>578</v>
      </c>
      <c r="I192" s="12" t="s">
        <v>578</v>
      </c>
      <c r="J192" s="12" t="s">
        <v>578</v>
      </c>
      <c r="K192" s="12" t="s">
        <v>578</v>
      </c>
      <c r="L192" s="12" t="s">
        <v>578</v>
      </c>
      <c r="M192" s="12" t="s">
        <v>578</v>
      </c>
      <c r="N192" s="12" t="s">
        <v>578</v>
      </c>
      <c r="O192" s="12" t="s">
        <v>578</v>
      </c>
      <c r="P192" s="12" t="s">
        <v>578</v>
      </c>
      <c r="Q192" s="12" t="s">
        <v>578</v>
      </c>
      <c r="R192" s="12" t="s">
        <v>578</v>
      </c>
      <c r="S192" s="12" t="s">
        <v>578</v>
      </c>
      <c r="T192" s="12" t="s">
        <v>578</v>
      </c>
      <c r="U192" s="12" t="s">
        <v>578</v>
      </c>
      <c r="V192" s="12" t="s">
        <v>578</v>
      </c>
      <c r="W192" s="12" t="s">
        <v>578</v>
      </c>
      <c r="X192" s="12" t="s">
        <v>578</v>
      </c>
      <c r="Y192" s="12" t="s">
        <v>578</v>
      </c>
      <c r="Z192" s="12" t="s">
        <v>578</v>
      </c>
      <c r="AA192" s="12" t="s">
        <v>578</v>
      </c>
      <c r="AB192" s="12" t="s">
        <v>578</v>
      </c>
      <c r="AC192" s="12" t="s">
        <v>578</v>
      </c>
      <c r="AD192" s="12" t="s">
        <v>578</v>
      </c>
      <c r="AE192" s="12" t="s">
        <v>578</v>
      </c>
      <c r="AF192" s="12" t="s">
        <v>578</v>
      </c>
      <c r="AG192" s="12" t="s">
        <v>578</v>
      </c>
      <c r="AH192" s="12" t="s">
        <v>578</v>
      </c>
      <c r="AI192" s="12" t="s">
        <v>578</v>
      </c>
      <c r="AJ192" s="12" t="s">
        <v>578</v>
      </c>
      <c r="AK192" s="12" t="s">
        <v>578</v>
      </c>
      <c r="AL192" s="12" t="s">
        <v>578</v>
      </c>
      <c r="AM192" s="12" t="s">
        <v>578</v>
      </c>
      <c r="AN192" s="12" t="s">
        <v>578</v>
      </c>
      <c r="AO192" s="12" t="s">
        <v>578</v>
      </c>
      <c r="AP192" s="12" t="s">
        <v>578</v>
      </c>
      <c r="AQ192" s="12" t="s">
        <v>578</v>
      </c>
      <c r="AR192" s="12" t="s">
        <v>578</v>
      </c>
      <c r="AS192" s="12" t="s">
        <v>578</v>
      </c>
      <c r="AT192" s="12" t="s">
        <v>578</v>
      </c>
      <c r="AU192" s="12" t="s">
        <v>578</v>
      </c>
      <c r="AV192" s="12" t="s">
        <v>578</v>
      </c>
      <c r="AW192" s="12" t="s">
        <v>578</v>
      </c>
      <c r="AX192" s="12" t="s">
        <v>578</v>
      </c>
      <c r="AY192" s="12" t="s">
        <v>578</v>
      </c>
      <c r="AZ192" s="12" t="s">
        <v>578</v>
      </c>
      <c r="BA192" s="12" t="s">
        <v>578</v>
      </c>
      <c r="BB192" s="12" t="s">
        <v>578</v>
      </c>
      <c r="BC192" s="12" t="s">
        <v>578</v>
      </c>
      <c r="BD192" s="12" t="s">
        <v>578</v>
      </c>
      <c r="BE192" s="12" t="s">
        <v>579</v>
      </c>
      <c r="BF192" s="12" t="s">
        <v>623</v>
      </c>
      <c r="BG192" s="12" t="s">
        <v>623</v>
      </c>
      <c r="BH192" s="12" t="s">
        <v>623</v>
      </c>
      <c r="BI192" s="12" t="s">
        <v>623</v>
      </c>
      <c r="BJ192" s="12" t="s">
        <v>623</v>
      </c>
      <c r="BK192" s="12" t="s">
        <v>623</v>
      </c>
      <c r="BL192" s="12" t="s">
        <v>623</v>
      </c>
      <c r="BM192" s="12" t="s">
        <v>623</v>
      </c>
      <c r="BN192" s="12" t="s">
        <v>672</v>
      </c>
      <c r="BO192" s="12" t="s">
        <v>672</v>
      </c>
      <c r="BP192" s="12" t="s">
        <v>672</v>
      </c>
      <c r="BQ192" s="12" t="s">
        <v>672</v>
      </c>
      <c r="BR192" s="12" t="s">
        <v>672</v>
      </c>
      <c r="BS192" s="12" t="s">
        <v>672</v>
      </c>
      <c r="BT192" s="12" t="s">
        <v>761</v>
      </c>
      <c r="BU192" s="12" t="s">
        <v>761</v>
      </c>
      <c r="BV192" s="12" t="s">
        <v>868</v>
      </c>
      <c r="BW192" s="12" t="s">
        <v>868</v>
      </c>
      <c r="BX192" s="12" t="s">
        <v>868</v>
      </c>
      <c r="BY192" s="12" t="s">
        <v>868</v>
      </c>
      <c r="BZ192" s="12" t="s">
        <v>756</v>
      </c>
      <c r="CA192" s="12" t="s">
        <v>756</v>
      </c>
      <c r="CB192" s="12" t="s">
        <v>756</v>
      </c>
      <c r="CC192" s="12" t="s">
        <v>756</v>
      </c>
      <c r="CD192" s="12" t="s">
        <v>756</v>
      </c>
      <c r="CE192" s="12" t="s">
        <v>756</v>
      </c>
      <c r="CF192" s="12" t="s">
        <v>762</v>
      </c>
      <c r="CG192" s="12" t="s">
        <v>762</v>
      </c>
      <c r="CH192" s="12" t="s">
        <v>762</v>
      </c>
      <c r="CI192" s="12" t="s">
        <v>762</v>
      </c>
      <c r="CJ192" s="12" t="s">
        <v>762</v>
      </c>
      <c r="CK192" s="12" t="s">
        <v>762</v>
      </c>
      <c r="CL192" s="12" t="s">
        <v>762</v>
      </c>
      <c r="CM192" s="12" t="s">
        <v>762</v>
      </c>
      <c r="CN192" s="12" t="s">
        <v>762</v>
      </c>
      <c r="CO192" s="12" t="s">
        <v>762</v>
      </c>
      <c r="CP192" s="12" t="s">
        <v>762</v>
      </c>
      <c r="CQ192" s="12" t="s">
        <v>762</v>
      </c>
      <c r="CR192" s="12" t="s">
        <v>762</v>
      </c>
      <c r="CS192" s="12" t="s">
        <v>762</v>
      </c>
      <c r="CT192" s="12" t="s">
        <v>762</v>
      </c>
    </row>
    <row r="193" spans="1:98" hidden="1" x14ac:dyDescent="0.3">
      <c r="A193" s="12" t="s">
        <v>25</v>
      </c>
      <c r="B193" s="12" t="s">
        <v>3704</v>
      </c>
      <c r="C193" s="12" t="s">
        <v>3705</v>
      </c>
      <c r="D193" s="12" t="s">
        <v>3706</v>
      </c>
      <c r="E193" s="12" t="s">
        <v>578</v>
      </c>
      <c r="F193" s="12" t="s">
        <v>578</v>
      </c>
      <c r="G193" s="12" t="s">
        <v>578</v>
      </c>
      <c r="H193" s="12" t="s">
        <v>578</v>
      </c>
      <c r="I193" s="12" t="s">
        <v>578</v>
      </c>
      <c r="J193" s="12" t="s">
        <v>578</v>
      </c>
      <c r="K193" s="12" t="s">
        <v>578</v>
      </c>
      <c r="L193" s="12" t="s">
        <v>578</v>
      </c>
      <c r="M193" s="12" t="s">
        <v>578</v>
      </c>
      <c r="N193" s="12" t="s">
        <v>578</v>
      </c>
      <c r="O193" s="12" t="s">
        <v>578</v>
      </c>
      <c r="P193" s="12" t="s">
        <v>578</v>
      </c>
      <c r="Q193" s="12" t="s">
        <v>578</v>
      </c>
      <c r="R193" s="12" t="s">
        <v>578</v>
      </c>
      <c r="S193" s="12" t="s">
        <v>578</v>
      </c>
      <c r="T193" s="12" t="s">
        <v>578</v>
      </c>
      <c r="U193" s="12" t="s">
        <v>578</v>
      </c>
      <c r="V193" s="12" t="s">
        <v>578</v>
      </c>
      <c r="W193" s="12" t="s">
        <v>578</v>
      </c>
      <c r="X193" s="12" t="s">
        <v>578</v>
      </c>
      <c r="Y193" s="12" t="s">
        <v>578</v>
      </c>
      <c r="Z193" s="12" t="s">
        <v>578</v>
      </c>
      <c r="AA193" s="12" t="s">
        <v>578</v>
      </c>
      <c r="AB193" s="12" t="s">
        <v>578</v>
      </c>
      <c r="AC193" s="12" t="s">
        <v>578</v>
      </c>
      <c r="AD193" s="12" t="s">
        <v>578</v>
      </c>
      <c r="AE193" s="12" t="s">
        <v>578</v>
      </c>
      <c r="AF193" s="12" t="s">
        <v>578</v>
      </c>
      <c r="AG193" s="12" t="s">
        <v>578</v>
      </c>
      <c r="AH193" s="12" t="s">
        <v>578</v>
      </c>
      <c r="AI193" s="12" t="s">
        <v>578</v>
      </c>
      <c r="AJ193" s="12" t="s">
        <v>578</v>
      </c>
      <c r="AK193" s="12" t="s">
        <v>578</v>
      </c>
      <c r="AL193" s="12" t="s">
        <v>578</v>
      </c>
      <c r="AM193" s="12" t="s">
        <v>578</v>
      </c>
      <c r="AN193" s="12" t="s">
        <v>578</v>
      </c>
      <c r="AO193" s="12" t="s">
        <v>578</v>
      </c>
      <c r="AP193" s="12" t="s">
        <v>578</v>
      </c>
      <c r="AQ193" s="12" t="s">
        <v>578</v>
      </c>
      <c r="AR193" s="12" t="s">
        <v>578</v>
      </c>
      <c r="AS193" s="12" t="s">
        <v>578</v>
      </c>
      <c r="AT193" s="12" t="s">
        <v>578</v>
      </c>
      <c r="AU193" s="12" t="s">
        <v>578</v>
      </c>
      <c r="AV193" s="12" t="s">
        <v>578</v>
      </c>
      <c r="AW193" s="12" t="s">
        <v>578</v>
      </c>
      <c r="AX193" s="12" t="s">
        <v>578</v>
      </c>
      <c r="AY193" s="12" t="s">
        <v>578</v>
      </c>
      <c r="AZ193" s="12" t="s">
        <v>578</v>
      </c>
      <c r="BA193" s="12" t="s">
        <v>578</v>
      </c>
      <c r="BB193" s="12" t="s">
        <v>578</v>
      </c>
      <c r="BC193" s="12" t="s">
        <v>578</v>
      </c>
      <c r="BD193" s="12" t="s">
        <v>578</v>
      </c>
      <c r="BE193" s="12" t="s">
        <v>579</v>
      </c>
      <c r="BF193" s="12" t="s">
        <v>579</v>
      </c>
      <c r="BG193" s="12" t="s">
        <v>579</v>
      </c>
      <c r="BH193" s="12" t="s">
        <v>579</v>
      </c>
      <c r="BI193" s="12" t="s">
        <v>579</v>
      </c>
      <c r="BJ193" s="12" t="s">
        <v>579</v>
      </c>
      <c r="BK193" s="12" t="s">
        <v>579</v>
      </c>
      <c r="BL193" s="12" t="s">
        <v>579</v>
      </c>
      <c r="BM193" s="12" t="s">
        <v>579</v>
      </c>
      <c r="BN193" s="12" t="s">
        <v>579</v>
      </c>
      <c r="BO193" s="12" t="s">
        <v>579</v>
      </c>
      <c r="BP193" s="12" t="s">
        <v>579</v>
      </c>
      <c r="BQ193" s="12" t="s">
        <v>579</v>
      </c>
      <c r="BR193" s="12" t="s">
        <v>579</v>
      </c>
      <c r="BS193" s="12" t="s">
        <v>579</v>
      </c>
      <c r="BT193" s="12" t="s">
        <v>579</v>
      </c>
      <c r="BU193" s="12" t="s">
        <v>579</v>
      </c>
      <c r="BV193" s="12" t="s">
        <v>579</v>
      </c>
      <c r="BW193" s="12" t="s">
        <v>579</v>
      </c>
      <c r="BX193" s="12" t="s">
        <v>623</v>
      </c>
      <c r="BY193" s="12" t="s">
        <v>672</v>
      </c>
      <c r="BZ193" s="12" t="s">
        <v>582</v>
      </c>
      <c r="CA193" s="12" t="s">
        <v>582</v>
      </c>
      <c r="CB193" s="12" t="s">
        <v>582</v>
      </c>
      <c r="CC193" s="12" t="s">
        <v>755</v>
      </c>
      <c r="CD193" s="12" t="s">
        <v>755</v>
      </c>
      <c r="CE193" s="12" t="s">
        <v>625</v>
      </c>
      <c r="CF193" s="12" t="s">
        <v>625</v>
      </c>
      <c r="CG193" s="12" t="s">
        <v>625</v>
      </c>
      <c r="CH193" s="12" t="s">
        <v>625</v>
      </c>
      <c r="CI193" s="12" t="s">
        <v>625</v>
      </c>
      <c r="CJ193" s="12" t="s">
        <v>625</v>
      </c>
      <c r="CK193" s="12" t="s">
        <v>625</v>
      </c>
      <c r="CL193" s="12" t="s">
        <v>625</v>
      </c>
      <c r="CM193" s="12" t="s">
        <v>625</v>
      </c>
      <c r="CN193" s="12" t="s">
        <v>625</v>
      </c>
      <c r="CO193" s="12" t="s">
        <v>625</v>
      </c>
      <c r="CP193" s="12" t="s">
        <v>625</v>
      </c>
      <c r="CQ193" s="12" t="s">
        <v>625</v>
      </c>
      <c r="CR193" s="12" t="s">
        <v>868</v>
      </c>
      <c r="CS193" s="12" t="s">
        <v>868</v>
      </c>
      <c r="CT193" s="12" t="s">
        <v>756</v>
      </c>
    </row>
    <row r="194" spans="1:98" hidden="1" x14ac:dyDescent="0.3">
      <c r="A194" s="12" t="s">
        <v>25</v>
      </c>
      <c r="B194" s="12" t="s">
        <v>3707</v>
      </c>
      <c r="C194" s="12" t="s">
        <v>3708</v>
      </c>
      <c r="D194" s="12" t="s">
        <v>3709</v>
      </c>
      <c r="E194" s="12" t="s">
        <v>578</v>
      </c>
      <c r="F194" s="12" t="s">
        <v>578</v>
      </c>
      <c r="G194" s="12" t="s">
        <v>578</v>
      </c>
      <c r="H194" s="12" t="s">
        <v>578</v>
      </c>
      <c r="I194" s="12" t="s">
        <v>578</v>
      </c>
      <c r="J194" s="12" t="s">
        <v>578</v>
      </c>
      <c r="K194" s="12" t="s">
        <v>578</v>
      </c>
      <c r="L194" s="12" t="s">
        <v>578</v>
      </c>
      <c r="M194" s="12" t="s">
        <v>578</v>
      </c>
      <c r="N194" s="12" t="s">
        <v>578</v>
      </c>
      <c r="O194" s="12" t="s">
        <v>578</v>
      </c>
      <c r="P194" s="12" t="s">
        <v>578</v>
      </c>
      <c r="Q194" s="12" t="s">
        <v>578</v>
      </c>
      <c r="R194" s="12" t="s">
        <v>578</v>
      </c>
      <c r="S194" s="12" t="s">
        <v>578</v>
      </c>
      <c r="T194" s="12" t="s">
        <v>578</v>
      </c>
      <c r="U194" s="12" t="s">
        <v>578</v>
      </c>
      <c r="V194" s="12" t="s">
        <v>578</v>
      </c>
      <c r="W194" s="12" t="s">
        <v>578</v>
      </c>
      <c r="X194" s="12" t="s">
        <v>578</v>
      </c>
      <c r="Y194" s="12" t="s">
        <v>578</v>
      </c>
      <c r="Z194" s="12" t="s">
        <v>578</v>
      </c>
      <c r="AA194" s="12" t="s">
        <v>578</v>
      </c>
      <c r="AB194" s="12" t="s">
        <v>578</v>
      </c>
      <c r="AC194" s="12" t="s">
        <v>578</v>
      </c>
      <c r="AD194" s="12" t="s">
        <v>578</v>
      </c>
      <c r="AE194" s="12" t="s">
        <v>578</v>
      </c>
      <c r="AF194" s="12" t="s">
        <v>578</v>
      </c>
      <c r="AG194" s="12" t="s">
        <v>578</v>
      </c>
      <c r="AH194" s="12" t="s">
        <v>578</v>
      </c>
      <c r="AI194" s="12" t="s">
        <v>578</v>
      </c>
      <c r="AJ194" s="12" t="s">
        <v>578</v>
      </c>
      <c r="AK194" s="12" t="s">
        <v>578</v>
      </c>
      <c r="AL194" s="12" t="s">
        <v>578</v>
      </c>
      <c r="AM194" s="12" t="s">
        <v>578</v>
      </c>
      <c r="AN194" s="12" t="s">
        <v>578</v>
      </c>
      <c r="AO194" s="12" t="s">
        <v>579</v>
      </c>
      <c r="AP194" s="12" t="s">
        <v>579</v>
      </c>
      <c r="AQ194" s="12" t="s">
        <v>579</v>
      </c>
      <c r="AR194" s="12" t="s">
        <v>579</v>
      </c>
      <c r="AS194" s="12" t="s">
        <v>755</v>
      </c>
      <c r="AT194" s="12" t="s">
        <v>624</v>
      </c>
      <c r="AU194" s="12" t="s">
        <v>584</v>
      </c>
      <c r="AV194" s="12" t="s">
        <v>585</v>
      </c>
      <c r="AW194" s="12" t="s">
        <v>585</v>
      </c>
      <c r="AX194" s="12" t="s">
        <v>626</v>
      </c>
      <c r="AY194" s="12" t="s">
        <v>971</v>
      </c>
      <c r="AZ194" s="12" t="s">
        <v>971</v>
      </c>
      <c r="BA194" s="12" t="s">
        <v>630</v>
      </c>
      <c r="BB194" s="12" t="s">
        <v>853</v>
      </c>
      <c r="BC194" s="12" t="s">
        <v>974</v>
      </c>
      <c r="BD194" s="12" t="s">
        <v>856</v>
      </c>
      <c r="BE194" s="12" t="s">
        <v>856</v>
      </c>
      <c r="BF194" s="12" t="s">
        <v>1732</v>
      </c>
      <c r="BG194" s="12" t="s">
        <v>1208</v>
      </c>
      <c r="BH194" s="12" t="s">
        <v>1208</v>
      </c>
      <c r="BI194" s="12" t="s">
        <v>1418</v>
      </c>
      <c r="BJ194" s="12" t="s">
        <v>1418</v>
      </c>
      <c r="BK194" s="12" t="s">
        <v>920</v>
      </c>
      <c r="BL194" s="12" t="s">
        <v>920</v>
      </c>
      <c r="BM194" s="12" t="s">
        <v>1026</v>
      </c>
      <c r="BN194" s="12" t="s">
        <v>1362</v>
      </c>
      <c r="BO194" s="12" t="s">
        <v>1362</v>
      </c>
      <c r="BP194" s="12" t="s">
        <v>1887</v>
      </c>
      <c r="BQ194" s="12" t="s">
        <v>1887</v>
      </c>
      <c r="BR194" s="12" t="s">
        <v>643</v>
      </c>
      <c r="BS194" s="12" t="s">
        <v>726</v>
      </c>
      <c r="BT194" s="12" t="s">
        <v>726</v>
      </c>
      <c r="BU194" s="12" t="s">
        <v>685</v>
      </c>
      <c r="BV194" s="12" t="s">
        <v>1517</v>
      </c>
      <c r="BW194" s="12" t="s">
        <v>1517</v>
      </c>
      <c r="BX194" s="12" t="s">
        <v>1816</v>
      </c>
      <c r="BY194" s="12" t="s">
        <v>1816</v>
      </c>
      <c r="BZ194" s="12" t="s">
        <v>645</v>
      </c>
      <c r="CA194" s="12" t="s">
        <v>775</v>
      </c>
      <c r="CB194" s="12" t="s">
        <v>775</v>
      </c>
      <c r="CC194" s="12" t="s">
        <v>1737</v>
      </c>
      <c r="CD194" s="12" t="s">
        <v>1737</v>
      </c>
      <c r="CE194" s="12" t="s">
        <v>648</v>
      </c>
      <c r="CF194" s="12" t="s">
        <v>2059</v>
      </c>
      <c r="CG194" s="12" t="s">
        <v>1888</v>
      </c>
      <c r="CH194" s="12" t="s">
        <v>1888</v>
      </c>
      <c r="CI194" s="12" t="s">
        <v>1888</v>
      </c>
      <c r="CJ194" s="12" t="s">
        <v>2061</v>
      </c>
      <c r="CK194" s="12" t="s">
        <v>1312</v>
      </c>
      <c r="CL194" s="12" t="s">
        <v>1698</v>
      </c>
      <c r="CM194" s="12" t="s">
        <v>965</v>
      </c>
      <c r="CN194" s="12" t="s">
        <v>3710</v>
      </c>
      <c r="CO194" s="12" t="s">
        <v>2987</v>
      </c>
      <c r="CP194" s="12" t="s">
        <v>3527</v>
      </c>
      <c r="CQ194" s="12" t="s">
        <v>1132</v>
      </c>
      <c r="CR194" s="12" t="s">
        <v>1847</v>
      </c>
      <c r="CS194" s="12" t="s">
        <v>736</v>
      </c>
      <c r="CT194" s="12" t="s">
        <v>3711</v>
      </c>
    </row>
    <row r="195" spans="1:98" hidden="1" x14ac:dyDescent="0.3">
      <c r="A195" s="12" t="s">
        <v>25</v>
      </c>
      <c r="B195" s="12" t="s">
        <v>3712</v>
      </c>
      <c r="C195" s="12" t="s">
        <v>3713</v>
      </c>
      <c r="D195" s="12" t="s">
        <v>3714</v>
      </c>
      <c r="E195" s="12" t="s">
        <v>578</v>
      </c>
      <c r="F195" s="12" t="s">
        <v>578</v>
      </c>
      <c r="G195" s="12" t="s">
        <v>578</v>
      </c>
      <c r="H195" s="12" t="s">
        <v>578</v>
      </c>
      <c r="I195" s="12" t="s">
        <v>578</v>
      </c>
      <c r="J195" s="12" t="s">
        <v>578</v>
      </c>
      <c r="K195" s="12" t="s">
        <v>578</v>
      </c>
      <c r="L195" s="12" t="s">
        <v>578</v>
      </c>
      <c r="M195" s="12" t="s">
        <v>578</v>
      </c>
      <c r="N195" s="12" t="s">
        <v>578</v>
      </c>
      <c r="O195" s="12" t="s">
        <v>578</v>
      </c>
      <c r="P195" s="12" t="s">
        <v>578</v>
      </c>
      <c r="Q195" s="12" t="s">
        <v>578</v>
      </c>
      <c r="R195" s="12" t="s">
        <v>578</v>
      </c>
      <c r="S195" s="12" t="s">
        <v>578</v>
      </c>
      <c r="T195" s="12" t="s">
        <v>578</v>
      </c>
      <c r="U195" s="12" t="s">
        <v>578</v>
      </c>
      <c r="V195" s="12" t="s">
        <v>578</v>
      </c>
      <c r="W195" s="12" t="s">
        <v>578</v>
      </c>
      <c r="X195" s="12" t="s">
        <v>578</v>
      </c>
      <c r="Y195" s="12" t="s">
        <v>578</v>
      </c>
      <c r="Z195" s="12" t="s">
        <v>578</v>
      </c>
      <c r="AA195" s="12" t="s">
        <v>578</v>
      </c>
      <c r="AB195" s="12" t="s">
        <v>578</v>
      </c>
      <c r="AC195" s="12" t="s">
        <v>578</v>
      </c>
      <c r="AD195" s="12" t="s">
        <v>578</v>
      </c>
      <c r="AE195" s="12" t="s">
        <v>578</v>
      </c>
      <c r="AF195" s="12" t="s">
        <v>578</v>
      </c>
      <c r="AG195" s="12" t="s">
        <v>578</v>
      </c>
      <c r="AH195" s="12" t="s">
        <v>578</v>
      </c>
      <c r="AI195" s="12" t="s">
        <v>578</v>
      </c>
      <c r="AJ195" s="12" t="s">
        <v>578</v>
      </c>
      <c r="AK195" s="12" t="s">
        <v>578</v>
      </c>
      <c r="AL195" s="12" t="s">
        <v>578</v>
      </c>
      <c r="AM195" s="12" t="s">
        <v>578</v>
      </c>
      <c r="AN195" s="12" t="s">
        <v>578</v>
      </c>
      <c r="AO195" s="12" t="s">
        <v>578</v>
      </c>
      <c r="AP195" s="12" t="s">
        <v>578</v>
      </c>
      <c r="AQ195" s="12" t="s">
        <v>578</v>
      </c>
      <c r="AR195" s="12" t="s">
        <v>578</v>
      </c>
      <c r="AS195" s="12" t="s">
        <v>579</v>
      </c>
      <c r="AT195" s="12" t="s">
        <v>579</v>
      </c>
      <c r="AU195" s="12" t="s">
        <v>579</v>
      </c>
      <c r="AV195" s="12" t="s">
        <v>581</v>
      </c>
      <c r="AW195" s="12" t="s">
        <v>581</v>
      </c>
      <c r="AX195" s="12" t="s">
        <v>581</v>
      </c>
      <c r="AY195" s="12" t="s">
        <v>583</v>
      </c>
      <c r="AZ195" s="12" t="s">
        <v>762</v>
      </c>
      <c r="BA195" s="12" t="s">
        <v>675</v>
      </c>
      <c r="BB195" s="12" t="s">
        <v>585</v>
      </c>
      <c r="BC195" s="12" t="s">
        <v>768</v>
      </c>
      <c r="BD195" s="12" t="s">
        <v>977</v>
      </c>
      <c r="BE195" s="12" t="s">
        <v>862</v>
      </c>
      <c r="BF195" s="12" t="s">
        <v>862</v>
      </c>
      <c r="BG195" s="12" t="s">
        <v>1501</v>
      </c>
      <c r="BH195" s="12" t="s">
        <v>874</v>
      </c>
      <c r="BI195" s="12" t="s">
        <v>874</v>
      </c>
      <c r="BJ195" s="12" t="s">
        <v>1687</v>
      </c>
      <c r="BK195" s="12" t="s">
        <v>2059</v>
      </c>
      <c r="BL195" s="12" t="s">
        <v>1031</v>
      </c>
      <c r="BM195" s="12" t="s">
        <v>689</v>
      </c>
      <c r="BN195" s="12" t="s">
        <v>663</v>
      </c>
      <c r="BO195" s="12" t="s">
        <v>2044</v>
      </c>
      <c r="BP195" s="12" t="s">
        <v>934</v>
      </c>
      <c r="BQ195" s="12" t="s">
        <v>1167</v>
      </c>
      <c r="BR195" s="12" t="s">
        <v>3715</v>
      </c>
      <c r="BS195" s="12" t="s">
        <v>1467</v>
      </c>
      <c r="BT195" s="12" t="s">
        <v>1014</v>
      </c>
      <c r="BU195" s="12" t="s">
        <v>3156</v>
      </c>
      <c r="BV195" s="12" t="s">
        <v>3716</v>
      </c>
      <c r="BW195" s="12" t="s">
        <v>2714</v>
      </c>
      <c r="BX195" s="12" t="s">
        <v>3717</v>
      </c>
      <c r="BY195" s="12" t="s">
        <v>3718</v>
      </c>
      <c r="BZ195" s="12" t="s">
        <v>3719</v>
      </c>
      <c r="CA195" s="12" t="s">
        <v>3720</v>
      </c>
      <c r="CB195" s="12" t="s">
        <v>2466</v>
      </c>
      <c r="CC195" s="12" t="s">
        <v>3721</v>
      </c>
      <c r="CD195" s="12" t="s">
        <v>3722</v>
      </c>
      <c r="CE195" s="12" t="s">
        <v>3723</v>
      </c>
      <c r="CF195" s="12" t="s">
        <v>3724</v>
      </c>
      <c r="CG195" s="12" t="s">
        <v>3725</v>
      </c>
      <c r="CH195" s="12" t="s">
        <v>3726</v>
      </c>
      <c r="CI195" s="12" t="s">
        <v>3727</v>
      </c>
      <c r="CJ195" s="12" t="s">
        <v>3728</v>
      </c>
      <c r="CK195" s="12" t="s">
        <v>3729</v>
      </c>
      <c r="CL195" s="12" t="s">
        <v>3730</v>
      </c>
      <c r="CM195" s="12" t="s">
        <v>3731</v>
      </c>
      <c r="CN195" s="12" t="s">
        <v>3732</v>
      </c>
      <c r="CO195" s="12" t="s">
        <v>3733</v>
      </c>
      <c r="CP195" s="12" t="s">
        <v>3734</v>
      </c>
      <c r="CQ195" s="12" t="s">
        <v>3735</v>
      </c>
      <c r="CR195" s="12" t="s">
        <v>3736</v>
      </c>
      <c r="CS195" s="12" t="s">
        <v>3737</v>
      </c>
      <c r="CT195" s="12" t="s">
        <v>3738</v>
      </c>
    </row>
    <row r="196" spans="1:98" hidden="1" x14ac:dyDescent="0.3">
      <c r="A196" s="12" t="s">
        <v>25</v>
      </c>
      <c r="B196" s="12" t="s">
        <v>3739</v>
      </c>
      <c r="C196" s="12" t="s">
        <v>3740</v>
      </c>
      <c r="D196" s="12" t="s">
        <v>3741</v>
      </c>
      <c r="E196" s="12" t="s">
        <v>578</v>
      </c>
      <c r="F196" s="12" t="s">
        <v>578</v>
      </c>
      <c r="G196" s="12" t="s">
        <v>578</v>
      </c>
      <c r="H196" s="12" t="s">
        <v>578</v>
      </c>
      <c r="I196" s="12" t="s">
        <v>578</v>
      </c>
      <c r="J196" s="12" t="s">
        <v>578</v>
      </c>
      <c r="K196" s="12" t="s">
        <v>578</v>
      </c>
      <c r="L196" s="12" t="s">
        <v>578</v>
      </c>
      <c r="M196" s="12" t="s">
        <v>578</v>
      </c>
      <c r="N196" s="12" t="s">
        <v>578</v>
      </c>
      <c r="O196" s="12" t="s">
        <v>578</v>
      </c>
      <c r="P196" s="12" t="s">
        <v>578</v>
      </c>
      <c r="Q196" s="12" t="s">
        <v>578</v>
      </c>
      <c r="R196" s="12" t="s">
        <v>578</v>
      </c>
      <c r="S196" s="12" t="s">
        <v>578</v>
      </c>
      <c r="T196" s="12" t="s">
        <v>578</v>
      </c>
      <c r="U196" s="12" t="s">
        <v>578</v>
      </c>
      <c r="V196" s="12" t="s">
        <v>578</v>
      </c>
      <c r="W196" s="12" t="s">
        <v>578</v>
      </c>
      <c r="X196" s="12" t="s">
        <v>578</v>
      </c>
      <c r="Y196" s="12" t="s">
        <v>578</v>
      </c>
      <c r="Z196" s="12" t="s">
        <v>578</v>
      </c>
      <c r="AA196" s="12" t="s">
        <v>578</v>
      </c>
      <c r="AB196" s="12" t="s">
        <v>578</v>
      </c>
      <c r="AC196" s="12" t="s">
        <v>578</v>
      </c>
      <c r="AD196" s="12" t="s">
        <v>578</v>
      </c>
      <c r="AE196" s="12" t="s">
        <v>578</v>
      </c>
      <c r="AF196" s="12" t="s">
        <v>578</v>
      </c>
      <c r="AG196" s="12" t="s">
        <v>578</v>
      </c>
      <c r="AH196" s="12" t="s">
        <v>578</v>
      </c>
      <c r="AI196" s="12" t="s">
        <v>578</v>
      </c>
      <c r="AJ196" s="12" t="s">
        <v>578</v>
      </c>
      <c r="AK196" s="12" t="s">
        <v>578</v>
      </c>
      <c r="AL196" s="12" t="s">
        <v>578</v>
      </c>
      <c r="AM196" s="12" t="s">
        <v>578</v>
      </c>
      <c r="AN196" s="12" t="s">
        <v>578</v>
      </c>
      <c r="AO196" s="12" t="s">
        <v>578</v>
      </c>
      <c r="AP196" s="12" t="s">
        <v>578</v>
      </c>
      <c r="AQ196" s="12" t="s">
        <v>578</v>
      </c>
      <c r="AR196" s="12" t="s">
        <v>578</v>
      </c>
      <c r="AS196" s="12" t="s">
        <v>579</v>
      </c>
      <c r="AT196" s="12" t="s">
        <v>623</v>
      </c>
      <c r="AU196" s="12" t="s">
        <v>580</v>
      </c>
      <c r="AV196" s="12" t="s">
        <v>580</v>
      </c>
      <c r="AW196" s="12" t="s">
        <v>580</v>
      </c>
      <c r="AX196" s="12" t="s">
        <v>580</v>
      </c>
      <c r="AY196" s="12" t="s">
        <v>580</v>
      </c>
      <c r="AZ196" s="12" t="s">
        <v>580</v>
      </c>
      <c r="BA196" s="12" t="s">
        <v>580</v>
      </c>
      <c r="BB196" s="12" t="s">
        <v>580</v>
      </c>
      <c r="BC196" s="12" t="s">
        <v>580</v>
      </c>
      <c r="BD196" s="12" t="s">
        <v>624</v>
      </c>
      <c r="BE196" s="12" t="s">
        <v>624</v>
      </c>
      <c r="BF196" s="12" t="s">
        <v>587</v>
      </c>
      <c r="BG196" s="12" t="s">
        <v>587</v>
      </c>
      <c r="BH196" s="12" t="s">
        <v>676</v>
      </c>
      <c r="BI196" s="12" t="s">
        <v>766</v>
      </c>
      <c r="BJ196" s="12" t="s">
        <v>766</v>
      </c>
      <c r="BK196" s="12" t="s">
        <v>628</v>
      </c>
      <c r="BL196" s="12" t="s">
        <v>972</v>
      </c>
      <c r="BM196" s="12" t="s">
        <v>955</v>
      </c>
      <c r="BN196" s="12" t="s">
        <v>771</v>
      </c>
      <c r="BO196" s="12" t="s">
        <v>977</v>
      </c>
      <c r="BP196" s="12" t="s">
        <v>860</v>
      </c>
      <c r="BQ196" s="12" t="s">
        <v>864</v>
      </c>
      <c r="BR196" s="12" t="s">
        <v>1418</v>
      </c>
      <c r="BS196" s="12" t="s">
        <v>2034</v>
      </c>
      <c r="BT196" s="12" t="s">
        <v>2014</v>
      </c>
      <c r="BU196" s="12" t="s">
        <v>1310</v>
      </c>
      <c r="BV196" s="12" t="s">
        <v>1026</v>
      </c>
      <c r="BW196" s="12" t="s">
        <v>1838</v>
      </c>
      <c r="BX196" s="12" t="s">
        <v>984</v>
      </c>
      <c r="BY196" s="12" t="s">
        <v>987</v>
      </c>
      <c r="BZ196" s="12" t="s">
        <v>1570</v>
      </c>
      <c r="CA196" s="12" t="s">
        <v>1392</v>
      </c>
      <c r="CB196" s="12" t="s">
        <v>1506</v>
      </c>
      <c r="CC196" s="12" t="s">
        <v>596</v>
      </c>
      <c r="CD196" s="12" t="s">
        <v>1509</v>
      </c>
      <c r="CE196" s="12" t="s">
        <v>1490</v>
      </c>
      <c r="CF196" s="12" t="s">
        <v>817</v>
      </c>
      <c r="CG196" s="12" t="s">
        <v>1028</v>
      </c>
      <c r="CH196" s="12" t="s">
        <v>3121</v>
      </c>
      <c r="CI196" s="12" t="s">
        <v>1829</v>
      </c>
      <c r="CJ196" s="12" t="s">
        <v>599</v>
      </c>
      <c r="CK196" s="12" t="s">
        <v>1210</v>
      </c>
      <c r="CL196" s="12" t="s">
        <v>2056</v>
      </c>
      <c r="CM196" s="12" t="s">
        <v>1519</v>
      </c>
      <c r="CN196" s="12" t="s">
        <v>1746</v>
      </c>
      <c r="CO196" s="12" t="s">
        <v>601</v>
      </c>
      <c r="CP196" s="12" t="s">
        <v>650</v>
      </c>
      <c r="CQ196" s="12" t="s">
        <v>2503</v>
      </c>
      <c r="CR196" s="12" t="s">
        <v>1699</v>
      </c>
      <c r="CS196" s="12" t="s">
        <v>1845</v>
      </c>
      <c r="CT196" s="12" t="s">
        <v>738</v>
      </c>
    </row>
    <row r="197" spans="1:98" hidden="1" x14ac:dyDescent="0.3">
      <c r="A197" s="12" t="s">
        <v>25</v>
      </c>
      <c r="B197" s="12" t="s">
        <v>3742</v>
      </c>
      <c r="C197" s="12" t="s">
        <v>3743</v>
      </c>
      <c r="D197" s="12" t="s">
        <v>3744</v>
      </c>
      <c r="E197" s="12" t="s">
        <v>578</v>
      </c>
      <c r="F197" s="12" t="s">
        <v>578</v>
      </c>
      <c r="G197" s="12" t="s">
        <v>578</v>
      </c>
      <c r="H197" s="12" t="s">
        <v>578</v>
      </c>
      <c r="I197" s="12" t="s">
        <v>578</v>
      </c>
      <c r="J197" s="12" t="s">
        <v>578</v>
      </c>
      <c r="K197" s="12" t="s">
        <v>578</v>
      </c>
      <c r="L197" s="12" t="s">
        <v>578</v>
      </c>
      <c r="M197" s="12" t="s">
        <v>578</v>
      </c>
      <c r="N197" s="12" t="s">
        <v>578</v>
      </c>
      <c r="O197" s="12" t="s">
        <v>578</v>
      </c>
      <c r="P197" s="12" t="s">
        <v>578</v>
      </c>
      <c r="Q197" s="12" t="s">
        <v>578</v>
      </c>
      <c r="R197" s="12" t="s">
        <v>578</v>
      </c>
      <c r="S197" s="12" t="s">
        <v>578</v>
      </c>
      <c r="T197" s="12" t="s">
        <v>578</v>
      </c>
      <c r="U197" s="12" t="s">
        <v>578</v>
      </c>
      <c r="V197" s="12" t="s">
        <v>578</v>
      </c>
      <c r="W197" s="12" t="s">
        <v>578</v>
      </c>
      <c r="X197" s="12" t="s">
        <v>578</v>
      </c>
      <c r="Y197" s="12" t="s">
        <v>578</v>
      </c>
      <c r="Z197" s="12" t="s">
        <v>578</v>
      </c>
      <c r="AA197" s="12" t="s">
        <v>578</v>
      </c>
      <c r="AB197" s="12" t="s">
        <v>578</v>
      </c>
      <c r="AC197" s="12" t="s">
        <v>578</v>
      </c>
      <c r="AD197" s="12" t="s">
        <v>578</v>
      </c>
      <c r="AE197" s="12" t="s">
        <v>578</v>
      </c>
      <c r="AF197" s="12" t="s">
        <v>578</v>
      </c>
      <c r="AG197" s="12" t="s">
        <v>578</v>
      </c>
      <c r="AH197" s="12" t="s">
        <v>578</v>
      </c>
      <c r="AI197" s="12" t="s">
        <v>578</v>
      </c>
      <c r="AJ197" s="12" t="s">
        <v>578</v>
      </c>
      <c r="AK197" s="12" t="s">
        <v>578</v>
      </c>
      <c r="AL197" s="12" t="s">
        <v>578</v>
      </c>
      <c r="AM197" s="12" t="s">
        <v>578</v>
      </c>
      <c r="AN197" s="12" t="s">
        <v>578</v>
      </c>
      <c r="AO197" s="12" t="s">
        <v>578</v>
      </c>
      <c r="AP197" s="12" t="s">
        <v>578</v>
      </c>
      <c r="AQ197" s="12" t="s">
        <v>578</v>
      </c>
      <c r="AR197" s="12" t="s">
        <v>578</v>
      </c>
      <c r="AS197" s="12" t="s">
        <v>578</v>
      </c>
      <c r="AT197" s="12" t="s">
        <v>578</v>
      </c>
      <c r="AU197" s="12" t="s">
        <v>578</v>
      </c>
      <c r="AV197" s="12" t="s">
        <v>578</v>
      </c>
      <c r="AW197" s="12" t="s">
        <v>579</v>
      </c>
      <c r="AX197" s="12" t="s">
        <v>579</v>
      </c>
      <c r="AY197" s="12" t="s">
        <v>579</v>
      </c>
      <c r="AZ197" s="12" t="s">
        <v>579</v>
      </c>
      <c r="BA197" s="12" t="s">
        <v>581</v>
      </c>
      <c r="BB197" s="12" t="s">
        <v>625</v>
      </c>
      <c r="BC197" s="12" t="s">
        <v>674</v>
      </c>
      <c r="BD197" s="12" t="s">
        <v>917</v>
      </c>
      <c r="BE197" s="12" t="s">
        <v>918</v>
      </c>
      <c r="BF197" s="12" t="s">
        <v>678</v>
      </c>
      <c r="BG197" s="12" t="s">
        <v>631</v>
      </c>
      <c r="BH197" s="12" t="s">
        <v>870</v>
      </c>
      <c r="BI197" s="12" t="s">
        <v>1352</v>
      </c>
      <c r="BJ197" s="12" t="s">
        <v>862</v>
      </c>
      <c r="BK197" s="12" t="s">
        <v>1356</v>
      </c>
      <c r="BL197" s="12" t="s">
        <v>874</v>
      </c>
      <c r="BM197" s="12" t="s">
        <v>1392</v>
      </c>
      <c r="BN197" s="12" t="s">
        <v>816</v>
      </c>
      <c r="BO197" s="12" t="s">
        <v>1741</v>
      </c>
      <c r="BP197" s="12" t="s">
        <v>1398</v>
      </c>
      <c r="BQ197" s="12" t="s">
        <v>1398</v>
      </c>
      <c r="BR197" s="12" t="s">
        <v>1369</v>
      </c>
      <c r="BS197" s="12" t="s">
        <v>744</v>
      </c>
      <c r="BT197" s="12" t="s">
        <v>3745</v>
      </c>
      <c r="BU197" s="12" t="s">
        <v>2856</v>
      </c>
      <c r="BV197" s="12" t="s">
        <v>934</v>
      </c>
      <c r="BW197" s="12" t="s">
        <v>3746</v>
      </c>
      <c r="BX197" s="12" t="s">
        <v>693</v>
      </c>
      <c r="BY197" s="12" t="s">
        <v>3747</v>
      </c>
      <c r="BZ197" s="12" t="s">
        <v>3188</v>
      </c>
      <c r="CA197" s="12" t="s">
        <v>2209</v>
      </c>
      <c r="CB197" s="12" t="s">
        <v>3748</v>
      </c>
      <c r="CC197" s="12" t="s">
        <v>3749</v>
      </c>
      <c r="CD197" s="12" t="s">
        <v>3750</v>
      </c>
      <c r="CE197" s="12" t="s">
        <v>3751</v>
      </c>
      <c r="CF197" s="12" t="s">
        <v>2153</v>
      </c>
      <c r="CG197" s="12" t="s">
        <v>3752</v>
      </c>
      <c r="CH197" s="12" t="s">
        <v>1543</v>
      </c>
      <c r="CI197" s="12" t="s">
        <v>3753</v>
      </c>
      <c r="CJ197" s="12" t="s">
        <v>3754</v>
      </c>
      <c r="CK197" s="12" t="s">
        <v>3755</v>
      </c>
      <c r="CL197" s="12" t="s">
        <v>3756</v>
      </c>
      <c r="CM197" s="12" t="s">
        <v>3757</v>
      </c>
      <c r="CN197" s="12" t="s">
        <v>3758</v>
      </c>
      <c r="CO197" s="12" t="s">
        <v>2311</v>
      </c>
      <c r="CP197" s="12" t="s">
        <v>3759</v>
      </c>
      <c r="CQ197" s="12" t="s">
        <v>3759</v>
      </c>
      <c r="CR197" s="12" t="s">
        <v>3759</v>
      </c>
      <c r="CS197" s="12" t="s">
        <v>3759</v>
      </c>
      <c r="CT197" s="12" t="s">
        <v>3759</v>
      </c>
    </row>
    <row r="198" spans="1:98" hidden="1" x14ac:dyDescent="0.3">
      <c r="A198" s="12" t="s">
        <v>25</v>
      </c>
      <c r="B198" s="12" t="s">
        <v>3760</v>
      </c>
      <c r="C198" s="12" t="s">
        <v>3761</v>
      </c>
      <c r="D198" s="12" t="s">
        <v>3762</v>
      </c>
      <c r="E198" s="12" t="s">
        <v>578</v>
      </c>
      <c r="F198" s="12" t="s">
        <v>578</v>
      </c>
      <c r="G198" s="12" t="s">
        <v>578</v>
      </c>
      <c r="H198" s="12" t="s">
        <v>578</v>
      </c>
      <c r="I198" s="12" t="s">
        <v>578</v>
      </c>
      <c r="J198" s="12" t="s">
        <v>578</v>
      </c>
      <c r="K198" s="12" t="s">
        <v>578</v>
      </c>
      <c r="L198" s="12" t="s">
        <v>578</v>
      </c>
      <c r="M198" s="12" t="s">
        <v>578</v>
      </c>
      <c r="N198" s="12" t="s">
        <v>578</v>
      </c>
      <c r="O198" s="12" t="s">
        <v>578</v>
      </c>
      <c r="P198" s="12" t="s">
        <v>578</v>
      </c>
      <c r="Q198" s="12" t="s">
        <v>578</v>
      </c>
      <c r="R198" s="12" t="s">
        <v>578</v>
      </c>
      <c r="S198" s="12" t="s">
        <v>578</v>
      </c>
      <c r="T198" s="12" t="s">
        <v>578</v>
      </c>
      <c r="U198" s="12" t="s">
        <v>578</v>
      </c>
      <c r="V198" s="12" t="s">
        <v>578</v>
      </c>
      <c r="W198" s="12" t="s">
        <v>578</v>
      </c>
      <c r="X198" s="12" t="s">
        <v>578</v>
      </c>
      <c r="Y198" s="12" t="s">
        <v>578</v>
      </c>
      <c r="Z198" s="12" t="s">
        <v>578</v>
      </c>
      <c r="AA198" s="12" t="s">
        <v>578</v>
      </c>
      <c r="AB198" s="12" t="s">
        <v>578</v>
      </c>
      <c r="AC198" s="12" t="s">
        <v>578</v>
      </c>
      <c r="AD198" s="12" t="s">
        <v>578</v>
      </c>
      <c r="AE198" s="12" t="s">
        <v>578</v>
      </c>
      <c r="AF198" s="12" t="s">
        <v>578</v>
      </c>
      <c r="AG198" s="12" t="s">
        <v>578</v>
      </c>
      <c r="AH198" s="12" t="s">
        <v>578</v>
      </c>
      <c r="AI198" s="12" t="s">
        <v>578</v>
      </c>
      <c r="AJ198" s="12" t="s">
        <v>578</v>
      </c>
      <c r="AK198" s="12" t="s">
        <v>578</v>
      </c>
      <c r="AL198" s="12" t="s">
        <v>578</v>
      </c>
      <c r="AM198" s="12" t="s">
        <v>578</v>
      </c>
      <c r="AN198" s="12" t="s">
        <v>578</v>
      </c>
      <c r="AO198" s="12" t="s">
        <v>578</v>
      </c>
      <c r="AP198" s="12" t="s">
        <v>578</v>
      </c>
      <c r="AQ198" s="12" t="s">
        <v>578</v>
      </c>
      <c r="AR198" s="12" t="s">
        <v>578</v>
      </c>
      <c r="AS198" s="12" t="s">
        <v>578</v>
      </c>
      <c r="AT198" s="12" t="s">
        <v>578</v>
      </c>
      <c r="AU198" s="12" t="s">
        <v>578</v>
      </c>
      <c r="AV198" s="12" t="s">
        <v>578</v>
      </c>
      <c r="AW198" s="12" t="s">
        <v>578</v>
      </c>
      <c r="AX198" s="12" t="s">
        <v>578</v>
      </c>
      <c r="AY198" s="12" t="s">
        <v>578</v>
      </c>
      <c r="AZ198" s="12" t="s">
        <v>578</v>
      </c>
      <c r="BA198" s="12" t="s">
        <v>578</v>
      </c>
      <c r="BB198" s="12" t="s">
        <v>578</v>
      </c>
      <c r="BC198" s="12" t="s">
        <v>578</v>
      </c>
      <c r="BD198" s="12" t="s">
        <v>578</v>
      </c>
      <c r="BE198" s="12" t="s">
        <v>623</v>
      </c>
      <c r="BF198" s="12" t="s">
        <v>623</v>
      </c>
      <c r="BG198" s="12" t="s">
        <v>672</v>
      </c>
      <c r="BH198" s="12" t="s">
        <v>580</v>
      </c>
      <c r="BI198" s="12" t="s">
        <v>580</v>
      </c>
      <c r="BJ198" s="12" t="s">
        <v>851</v>
      </c>
      <c r="BK198" s="12" t="s">
        <v>582</v>
      </c>
      <c r="BL198" s="12" t="s">
        <v>582</v>
      </c>
      <c r="BM198" s="12" t="s">
        <v>582</v>
      </c>
      <c r="BN198" s="12" t="s">
        <v>582</v>
      </c>
      <c r="BO198" s="12" t="s">
        <v>582</v>
      </c>
      <c r="BP198" s="12" t="s">
        <v>582</v>
      </c>
      <c r="BQ198" s="12" t="s">
        <v>582</v>
      </c>
      <c r="BR198" s="12" t="s">
        <v>582</v>
      </c>
      <c r="BS198" s="12" t="s">
        <v>755</v>
      </c>
      <c r="BT198" s="12" t="s">
        <v>755</v>
      </c>
      <c r="BU198" s="12" t="s">
        <v>755</v>
      </c>
      <c r="BV198" s="12" t="s">
        <v>624</v>
      </c>
      <c r="BW198" s="12" t="s">
        <v>624</v>
      </c>
      <c r="BX198" s="12" t="s">
        <v>624</v>
      </c>
      <c r="BY198" s="12" t="s">
        <v>624</v>
      </c>
      <c r="BZ198" s="12" t="s">
        <v>624</v>
      </c>
      <c r="CA198" s="12" t="s">
        <v>624</v>
      </c>
      <c r="CB198" s="12" t="s">
        <v>583</v>
      </c>
      <c r="CC198" s="12" t="s">
        <v>583</v>
      </c>
      <c r="CD198" s="12" t="s">
        <v>583</v>
      </c>
      <c r="CE198" s="12" t="s">
        <v>583</v>
      </c>
      <c r="CF198" s="12" t="s">
        <v>583</v>
      </c>
      <c r="CG198" s="12" t="s">
        <v>583</v>
      </c>
      <c r="CH198" s="12" t="s">
        <v>583</v>
      </c>
      <c r="CI198" s="12" t="s">
        <v>583</v>
      </c>
      <c r="CJ198" s="12" t="s">
        <v>583</v>
      </c>
      <c r="CK198" s="12" t="s">
        <v>583</v>
      </c>
      <c r="CL198" s="12" t="s">
        <v>583</v>
      </c>
      <c r="CM198" s="12" t="s">
        <v>583</v>
      </c>
      <c r="CN198" s="12" t="s">
        <v>583</v>
      </c>
      <c r="CO198" s="12" t="s">
        <v>583</v>
      </c>
      <c r="CP198" s="12" t="s">
        <v>583</v>
      </c>
      <c r="CQ198" s="12" t="s">
        <v>583</v>
      </c>
      <c r="CR198" s="12" t="s">
        <v>583</v>
      </c>
      <c r="CS198" s="12" t="s">
        <v>583</v>
      </c>
      <c r="CT198" s="12" t="s">
        <v>583</v>
      </c>
    </row>
    <row r="199" spans="1:98" hidden="1" x14ac:dyDescent="0.3">
      <c r="A199" s="12" t="s">
        <v>25</v>
      </c>
      <c r="B199" s="12" t="s">
        <v>3763</v>
      </c>
      <c r="C199" s="12" t="s">
        <v>3764</v>
      </c>
      <c r="D199" s="12" t="s">
        <v>3765</v>
      </c>
      <c r="E199" s="12" t="s">
        <v>578</v>
      </c>
      <c r="F199" s="12" t="s">
        <v>579</v>
      </c>
      <c r="G199" s="12" t="s">
        <v>672</v>
      </c>
      <c r="H199" s="12" t="s">
        <v>672</v>
      </c>
      <c r="I199" s="12" t="s">
        <v>580</v>
      </c>
      <c r="J199" s="12" t="s">
        <v>581</v>
      </c>
      <c r="K199" s="12" t="s">
        <v>582</v>
      </c>
      <c r="L199" s="12" t="s">
        <v>582</v>
      </c>
      <c r="M199" s="12" t="s">
        <v>624</v>
      </c>
      <c r="N199" s="12" t="s">
        <v>868</v>
      </c>
      <c r="O199" s="12" t="s">
        <v>584</v>
      </c>
      <c r="P199" s="12" t="s">
        <v>808</v>
      </c>
      <c r="Q199" s="12" t="s">
        <v>808</v>
      </c>
      <c r="R199" s="12" t="s">
        <v>587</v>
      </c>
      <c r="S199" s="12" t="s">
        <v>869</v>
      </c>
      <c r="T199" s="12" t="s">
        <v>869</v>
      </c>
      <c r="U199" s="12" t="s">
        <v>2018</v>
      </c>
      <c r="V199" s="12" t="s">
        <v>627</v>
      </c>
      <c r="W199" s="12" t="s">
        <v>588</v>
      </c>
      <c r="X199" s="12" t="s">
        <v>768</v>
      </c>
      <c r="Y199" s="12" t="s">
        <v>972</v>
      </c>
      <c r="Z199" s="12" t="s">
        <v>954</v>
      </c>
      <c r="AA199" s="12" t="s">
        <v>1413</v>
      </c>
      <c r="AB199" s="12" t="s">
        <v>955</v>
      </c>
      <c r="AC199" s="12" t="s">
        <v>975</v>
      </c>
      <c r="AD199" s="12" t="s">
        <v>720</v>
      </c>
      <c r="AE199" s="12" t="s">
        <v>855</v>
      </c>
      <c r="AF199" s="12" t="s">
        <v>1184</v>
      </c>
      <c r="AG199" s="12" t="s">
        <v>590</v>
      </c>
      <c r="AH199" s="12" t="s">
        <v>590</v>
      </c>
      <c r="AI199" s="12" t="s">
        <v>1124</v>
      </c>
      <c r="AJ199" s="12" t="s">
        <v>1124</v>
      </c>
      <c r="AK199" s="12" t="s">
        <v>636</v>
      </c>
      <c r="AL199" s="12" t="s">
        <v>636</v>
      </c>
      <c r="AM199" s="12" t="s">
        <v>857</v>
      </c>
      <c r="AN199" s="12" t="s">
        <v>858</v>
      </c>
      <c r="AO199" s="12" t="s">
        <v>858</v>
      </c>
      <c r="AP199" s="12" t="s">
        <v>858</v>
      </c>
      <c r="AQ199" s="12" t="s">
        <v>863</v>
      </c>
      <c r="AR199" s="12" t="s">
        <v>1664</v>
      </c>
      <c r="AS199" s="12" t="s">
        <v>1499</v>
      </c>
      <c r="AT199" s="12" t="s">
        <v>592</v>
      </c>
      <c r="AU199" s="12" t="s">
        <v>592</v>
      </c>
      <c r="AV199" s="12" t="s">
        <v>1417</v>
      </c>
      <c r="AW199" s="12" t="s">
        <v>2034</v>
      </c>
      <c r="AX199" s="12" t="s">
        <v>1358</v>
      </c>
      <c r="AY199" s="12" t="s">
        <v>1814</v>
      </c>
      <c r="AZ199" s="12" t="s">
        <v>1814</v>
      </c>
      <c r="BA199" s="12" t="s">
        <v>813</v>
      </c>
      <c r="BB199" s="12" t="s">
        <v>2102</v>
      </c>
      <c r="BC199" s="12" t="s">
        <v>2102</v>
      </c>
      <c r="BD199" s="12" t="s">
        <v>985</v>
      </c>
      <c r="BE199" s="12" t="s">
        <v>642</v>
      </c>
      <c r="BF199" s="12" t="s">
        <v>1506</v>
      </c>
      <c r="BG199" s="12" t="s">
        <v>644</v>
      </c>
      <c r="BH199" s="12" t="s">
        <v>775</v>
      </c>
      <c r="BI199" s="12" t="s">
        <v>1608</v>
      </c>
      <c r="BJ199" s="12" t="s">
        <v>1397</v>
      </c>
      <c r="BK199" s="12" t="s">
        <v>3766</v>
      </c>
      <c r="BL199" s="12" t="s">
        <v>3767</v>
      </c>
      <c r="BM199" s="12" t="s">
        <v>3710</v>
      </c>
      <c r="BN199" s="12" t="s">
        <v>1425</v>
      </c>
      <c r="BO199" s="12" t="s">
        <v>1705</v>
      </c>
      <c r="BP199" s="12" t="s">
        <v>1987</v>
      </c>
      <c r="BQ199" s="12" t="s">
        <v>2855</v>
      </c>
      <c r="BR199" s="12" t="s">
        <v>2326</v>
      </c>
      <c r="BS199" s="12" t="s">
        <v>1893</v>
      </c>
      <c r="BT199" s="12" t="s">
        <v>2005</v>
      </c>
      <c r="BU199" s="12" t="s">
        <v>1966</v>
      </c>
      <c r="BV199" s="12" t="s">
        <v>1101</v>
      </c>
      <c r="BW199" s="12" t="s">
        <v>1899</v>
      </c>
      <c r="BX199" s="12" t="s">
        <v>3768</v>
      </c>
      <c r="BY199" s="12" t="s">
        <v>3769</v>
      </c>
      <c r="BZ199" s="12" t="s">
        <v>2229</v>
      </c>
      <c r="CA199" s="12" t="s">
        <v>1301</v>
      </c>
      <c r="CB199" s="12" t="s">
        <v>3770</v>
      </c>
      <c r="CC199" s="12" t="s">
        <v>3771</v>
      </c>
      <c r="CD199" s="12" t="s">
        <v>3772</v>
      </c>
      <c r="CE199" s="12" t="s">
        <v>3773</v>
      </c>
      <c r="CF199" s="12" t="s">
        <v>3774</v>
      </c>
      <c r="CG199" s="12" t="s">
        <v>3775</v>
      </c>
      <c r="CH199" s="12" t="s">
        <v>3776</v>
      </c>
      <c r="CI199" s="12" t="s">
        <v>3777</v>
      </c>
      <c r="CJ199" s="12" t="s">
        <v>3778</v>
      </c>
      <c r="CK199" s="12" t="s">
        <v>3779</v>
      </c>
      <c r="CL199" s="12" t="s">
        <v>3780</v>
      </c>
      <c r="CM199" s="12" t="s">
        <v>3781</v>
      </c>
      <c r="CN199" s="12" t="s">
        <v>3782</v>
      </c>
      <c r="CO199" s="12" t="s">
        <v>3783</v>
      </c>
      <c r="CP199" s="12" t="s">
        <v>3784</v>
      </c>
      <c r="CQ199" s="12" t="s">
        <v>3785</v>
      </c>
      <c r="CR199" s="12" t="s">
        <v>3786</v>
      </c>
      <c r="CS199" s="12" t="s">
        <v>3787</v>
      </c>
      <c r="CT199" s="12" t="s">
        <v>3788</v>
      </c>
    </row>
    <row r="200" spans="1:98" hidden="1" x14ac:dyDescent="0.3">
      <c r="A200" s="12" t="s">
        <v>25</v>
      </c>
      <c r="B200" s="12" t="s">
        <v>3789</v>
      </c>
      <c r="C200" s="12" t="s">
        <v>3790</v>
      </c>
      <c r="D200" s="12" t="s">
        <v>3791</v>
      </c>
      <c r="E200" s="12" t="s">
        <v>578</v>
      </c>
      <c r="F200" s="12" t="s">
        <v>578</v>
      </c>
      <c r="G200" s="12" t="s">
        <v>578</v>
      </c>
      <c r="H200" s="12" t="s">
        <v>578</v>
      </c>
      <c r="I200" s="12" t="s">
        <v>578</v>
      </c>
      <c r="J200" s="12" t="s">
        <v>578</v>
      </c>
      <c r="K200" s="12" t="s">
        <v>578</v>
      </c>
      <c r="L200" s="12" t="s">
        <v>578</v>
      </c>
      <c r="M200" s="12" t="s">
        <v>578</v>
      </c>
      <c r="N200" s="12" t="s">
        <v>578</v>
      </c>
      <c r="O200" s="12" t="s">
        <v>578</v>
      </c>
      <c r="P200" s="12" t="s">
        <v>578</v>
      </c>
      <c r="Q200" s="12" t="s">
        <v>578</v>
      </c>
      <c r="R200" s="12" t="s">
        <v>578</v>
      </c>
      <c r="S200" s="12" t="s">
        <v>578</v>
      </c>
      <c r="T200" s="12" t="s">
        <v>578</v>
      </c>
      <c r="U200" s="12" t="s">
        <v>578</v>
      </c>
      <c r="V200" s="12" t="s">
        <v>578</v>
      </c>
      <c r="W200" s="12" t="s">
        <v>578</v>
      </c>
      <c r="X200" s="12" t="s">
        <v>578</v>
      </c>
      <c r="Y200" s="12" t="s">
        <v>578</v>
      </c>
      <c r="Z200" s="12" t="s">
        <v>578</v>
      </c>
      <c r="AA200" s="12" t="s">
        <v>578</v>
      </c>
      <c r="AB200" s="12" t="s">
        <v>578</v>
      </c>
      <c r="AC200" s="12" t="s">
        <v>578</v>
      </c>
      <c r="AD200" s="12" t="s">
        <v>578</v>
      </c>
      <c r="AE200" s="12" t="s">
        <v>578</v>
      </c>
      <c r="AF200" s="12" t="s">
        <v>578</v>
      </c>
      <c r="AG200" s="12" t="s">
        <v>578</v>
      </c>
      <c r="AH200" s="12" t="s">
        <v>578</v>
      </c>
      <c r="AI200" s="12" t="s">
        <v>578</v>
      </c>
      <c r="AJ200" s="12" t="s">
        <v>578</v>
      </c>
      <c r="AK200" s="12" t="s">
        <v>578</v>
      </c>
      <c r="AL200" s="12" t="s">
        <v>578</v>
      </c>
      <c r="AM200" s="12" t="s">
        <v>578</v>
      </c>
      <c r="AN200" s="12" t="s">
        <v>578</v>
      </c>
      <c r="AO200" s="12" t="s">
        <v>578</v>
      </c>
      <c r="AP200" s="12" t="s">
        <v>578</v>
      </c>
      <c r="AQ200" s="12" t="s">
        <v>578</v>
      </c>
      <c r="AR200" s="12" t="s">
        <v>578</v>
      </c>
      <c r="AS200" s="12" t="s">
        <v>578</v>
      </c>
      <c r="AT200" s="12" t="s">
        <v>578</v>
      </c>
      <c r="AU200" s="12" t="s">
        <v>578</v>
      </c>
      <c r="AV200" s="12" t="s">
        <v>578</v>
      </c>
      <c r="AW200" s="12" t="s">
        <v>579</v>
      </c>
      <c r="AX200" s="12" t="s">
        <v>579</v>
      </c>
      <c r="AY200" s="12" t="s">
        <v>672</v>
      </c>
      <c r="AZ200" s="12" t="s">
        <v>672</v>
      </c>
      <c r="BA200" s="12" t="s">
        <v>582</v>
      </c>
      <c r="BB200" s="12" t="s">
        <v>624</v>
      </c>
      <c r="BC200" s="12" t="s">
        <v>584</v>
      </c>
      <c r="BD200" s="12" t="s">
        <v>852</v>
      </c>
      <c r="BE200" s="12" t="s">
        <v>1096</v>
      </c>
      <c r="BF200" s="12" t="s">
        <v>679</v>
      </c>
      <c r="BG200" s="12" t="s">
        <v>1180</v>
      </c>
      <c r="BH200" s="12" t="s">
        <v>975</v>
      </c>
      <c r="BI200" s="12" t="s">
        <v>864</v>
      </c>
      <c r="BJ200" s="12" t="s">
        <v>638</v>
      </c>
      <c r="BK200" s="12" t="s">
        <v>1357</v>
      </c>
      <c r="BL200" s="12" t="s">
        <v>2102</v>
      </c>
      <c r="BM200" s="12" t="s">
        <v>1532</v>
      </c>
      <c r="BN200" s="12" t="s">
        <v>640</v>
      </c>
      <c r="BO200" s="12" t="s">
        <v>2515</v>
      </c>
      <c r="BP200" s="12" t="s">
        <v>3043</v>
      </c>
      <c r="BQ200" s="12" t="s">
        <v>1506</v>
      </c>
      <c r="BR200" s="12" t="s">
        <v>2221</v>
      </c>
      <c r="BS200" s="12" t="s">
        <v>1738</v>
      </c>
      <c r="BT200" s="12" t="s">
        <v>1210</v>
      </c>
      <c r="BU200" s="12" t="s">
        <v>2057</v>
      </c>
      <c r="BV200" s="12" t="s">
        <v>2060</v>
      </c>
      <c r="BW200" s="12" t="s">
        <v>652</v>
      </c>
      <c r="BX200" s="12" t="s">
        <v>1698</v>
      </c>
      <c r="BY200" s="12" t="s">
        <v>2453</v>
      </c>
      <c r="BZ200" s="12" t="s">
        <v>3792</v>
      </c>
      <c r="CA200" s="12" t="s">
        <v>1370</v>
      </c>
      <c r="CB200" s="12" t="s">
        <v>2081</v>
      </c>
      <c r="CC200" s="12" t="s">
        <v>1406</v>
      </c>
      <c r="CD200" s="12" t="s">
        <v>1891</v>
      </c>
      <c r="CE200" s="12" t="s">
        <v>2988</v>
      </c>
      <c r="CF200" s="12" t="s">
        <v>2235</v>
      </c>
      <c r="CG200" s="12" t="s">
        <v>2841</v>
      </c>
      <c r="CH200" s="12" t="s">
        <v>3793</v>
      </c>
      <c r="CI200" s="12" t="s">
        <v>999</v>
      </c>
      <c r="CJ200" s="12" t="s">
        <v>932</v>
      </c>
      <c r="CK200" s="12" t="s">
        <v>3794</v>
      </c>
      <c r="CL200" s="12" t="s">
        <v>2287</v>
      </c>
      <c r="CM200" s="12" t="s">
        <v>3768</v>
      </c>
      <c r="CN200" s="12" t="s">
        <v>3795</v>
      </c>
      <c r="CO200" s="12" t="s">
        <v>2142</v>
      </c>
      <c r="CP200" s="12" t="s">
        <v>2363</v>
      </c>
      <c r="CQ200" s="12" t="s">
        <v>3796</v>
      </c>
      <c r="CR200" s="12" t="s">
        <v>3797</v>
      </c>
      <c r="CS200" s="12" t="s">
        <v>3627</v>
      </c>
      <c r="CT200" s="12" t="s">
        <v>1776</v>
      </c>
    </row>
    <row r="201" spans="1:98" hidden="1" x14ac:dyDescent="0.3">
      <c r="A201" s="12" t="s">
        <v>25</v>
      </c>
      <c r="B201" s="12" t="s">
        <v>3798</v>
      </c>
      <c r="C201" s="12" t="s">
        <v>3799</v>
      </c>
      <c r="D201" s="12" t="s">
        <v>3800</v>
      </c>
      <c r="E201" s="12" t="s">
        <v>578</v>
      </c>
      <c r="F201" s="12" t="s">
        <v>578</v>
      </c>
      <c r="G201" s="12" t="s">
        <v>578</v>
      </c>
      <c r="H201" s="12" t="s">
        <v>578</v>
      </c>
      <c r="I201" s="12" t="s">
        <v>578</v>
      </c>
      <c r="J201" s="12" t="s">
        <v>578</v>
      </c>
      <c r="K201" s="12" t="s">
        <v>578</v>
      </c>
      <c r="L201" s="12" t="s">
        <v>578</v>
      </c>
      <c r="M201" s="12" t="s">
        <v>578</v>
      </c>
      <c r="N201" s="12" t="s">
        <v>578</v>
      </c>
      <c r="O201" s="12" t="s">
        <v>578</v>
      </c>
      <c r="P201" s="12" t="s">
        <v>578</v>
      </c>
      <c r="Q201" s="12" t="s">
        <v>578</v>
      </c>
      <c r="R201" s="12" t="s">
        <v>578</v>
      </c>
      <c r="S201" s="12" t="s">
        <v>578</v>
      </c>
      <c r="T201" s="12" t="s">
        <v>578</v>
      </c>
      <c r="U201" s="12" t="s">
        <v>578</v>
      </c>
      <c r="V201" s="12" t="s">
        <v>578</v>
      </c>
      <c r="W201" s="12" t="s">
        <v>578</v>
      </c>
      <c r="X201" s="12" t="s">
        <v>578</v>
      </c>
      <c r="Y201" s="12" t="s">
        <v>578</v>
      </c>
      <c r="Z201" s="12" t="s">
        <v>578</v>
      </c>
      <c r="AA201" s="12" t="s">
        <v>578</v>
      </c>
      <c r="AB201" s="12" t="s">
        <v>578</v>
      </c>
      <c r="AC201" s="12" t="s">
        <v>578</v>
      </c>
      <c r="AD201" s="12" t="s">
        <v>578</v>
      </c>
      <c r="AE201" s="12" t="s">
        <v>578</v>
      </c>
      <c r="AF201" s="12" t="s">
        <v>578</v>
      </c>
      <c r="AG201" s="12" t="s">
        <v>578</v>
      </c>
      <c r="AH201" s="12" t="s">
        <v>578</v>
      </c>
      <c r="AI201" s="12" t="s">
        <v>578</v>
      </c>
      <c r="AJ201" s="12" t="s">
        <v>578</v>
      </c>
      <c r="AK201" s="12" t="s">
        <v>578</v>
      </c>
      <c r="AL201" s="12" t="s">
        <v>578</v>
      </c>
      <c r="AM201" s="12" t="s">
        <v>578</v>
      </c>
      <c r="AN201" s="12" t="s">
        <v>578</v>
      </c>
      <c r="AO201" s="12" t="s">
        <v>578</v>
      </c>
      <c r="AP201" s="12" t="s">
        <v>578</v>
      </c>
      <c r="AQ201" s="12" t="s">
        <v>578</v>
      </c>
      <c r="AR201" s="12" t="s">
        <v>578</v>
      </c>
      <c r="AS201" s="12" t="s">
        <v>578</v>
      </c>
      <c r="AT201" s="12" t="s">
        <v>578</v>
      </c>
      <c r="AU201" s="12" t="s">
        <v>578</v>
      </c>
      <c r="AV201" s="12" t="s">
        <v>623</v>
      </c>
      <c r="AW201" s="12" t="s">
        <v>582</v>
      </c>
      <c r="AX201" s="12" t="s">
        <v>582</v>
      </c>
      <c r="AY201" s="12" t="s">
        <v>584</v>
      </c>
      <c r="AZ201" s="12" t="s">
        <v>584</v>
      </c>
      <c r="BA201" s="12" t="s">
        <v>766</v>
      </c>
      <c r="BB201" s="12" t="s">
        <v>992</v>
      </c>
      <c r="BC201" s="12" t="s">
        <v>636</v>
      </c>
      <c r="BD201" s="12" t="s">
        <v>2013</v>
      </c>
      <c r="BE201" s="12" t="s">
        <v>1569</v>
      </c>
      <c r="BF201" s="12" t="s">
        <v>1570</v>
      </c>
      <c r="BG201" s="12" t="s">
        <v>1491</v>
      </c>
      <c r="BH201" s="12" t="s">
        <v>1265</v>
      </c>
      <c r="BI201" s="12" t="s">
        <v>1265</v>
      </c>
      <c r="BJ201" s="12" t="s">
        <v>2001</v>
      </c>
      <c r="BK201" s="12" t="s">
        <v>1613</v>
      </c>
      <c r="BL201" s="12" t="s">
        <v>651</v>
      </c>
      <c r="BM201" s="12" t="s">
        <v>1399</v>
      </c>
      <c r="BN201" s="12" t="s">
        <v>1699</v>
      </c>
      <c r="BO201" s="12" t="s">
        <v>1668</v>
      </c>
      <c r="BP201" s="12" t="s">
        <v>1401</v>
      </c>
      <c r="BQ201" s="12" t="s">
        <v>663</v>
      </c>
      <c r="BR201" s="12" t="s">
        <v>1627</v>
      </c>
      <c r="BS201" s="12" t="s">
        <v>1850</v>
      </c>
      <c r="BT201" s="12" t="s">
        <v>1428</v>
      </c>
      <c r="BU201" s="12" t="s">
        <v>1141</v>
      </c>
      <c r="BV201" s="12" t="s">
        <v>1893</v>
      </c>
      <c r="BW201" s="12" t="s">
        <v>1853</v>
      </c>
      <c r="BX201" s="12" t="s">
        <v>3801</v>
      </c>
      <c r="BY201" s="12" t="s">
        <v>936</v>
      </c>
      <c r="BZ201" s="12" t="s">
        <v>2287</v>
      </c>
      <c r="CA201" s="12" t="s">
        <v>3802</v>
      </c>
      <c r="CB201" s="12" t="s">
        <v>1314</v>
      </c>
      <c r="CC201" s="12" t="s">
        <v>3803</v>
      </c>
      <c r="CD201" s="12" t="s">
        <v>3031</v>
      </c>
      <c r="CE201" s="12" t="s">
        <v>3804</v>
      </c>
      <c r="CF201" s="12" t="s">
        <v>3366</v>
      </c>
      <c r="CG201" s="12" t="s">
        <v>3805</v>
      </c>
      <c r="CH201" s="12" t="s">
        <v>2117</v>
      </c>
      <c r="CI201" s="12" t="s">
        <v>1009</v>
      </c>
      <c r="CJ201" s="12" t="s">
        <v>2704</v>
      </c>
      <c r="CK201" s="12" t="s">
        <v>840</v>
      </c>
      <c r="CL201" s="12" t="s">
        <v>1012</v>
      </c>
      <c r="CM201" s="12" t="s">
        <v>2435</v>
      </c>
      <c r="CN201" s="12" t="s">
        <v>3477</v>
      </c>
      <c r="CO201" s="12" t="s">
        <v>3369</v>
      </c>
      <c r="CP201" s="12" t="s">
        <v>3806</v>
      </c>
      <c r="CQ201" s="12" t="s">
        <v>3807</v>
      </c>
      <c r="CR201" s="12" t="s">
        <v>1774</v>
      </c>
      <c r="CS201" s="12" t="s">
        <v>3370</v>
      </c>
      <c r="CT201" s="12" t="s">
        <v>1110</v>
      </c>
    </row>
    <row r="202" spans="1:98" hidden="1" x14ac:dyDescent="0.3">
      <c r="A202" s="12" t="s">
        <v>25</v>
      </c>
      <c r="B202" s="12" t="s">
        <v>3808</v>
      </c>
      <c r="C202" s="12" t="s">
        <v>3809</v>
      </c>
      <c r="D202" s="12" t="s">
        <v>3810</v>
      </c>
      <c r="E202" s="12" t="s">
        <v>578</v>
      </c>
      <c r="F202" s="12" t="s">
        <v>578</v>
      </c>
      <c r="G202" s="12" t="s">
        <v>578</v>
      </c>
      <c r="H202" s="12" t="s">
        <v>578</v>
      </c>
      <c r="I202" s="12" t="s">
        <v>578</v>
      </c>
      <c r="J202" s="12" t="s">
        <v>578</v>
      </c>
      <c r="K202" s="12" t="s">
        <v>578</v>
      </c>
      <c r="L202" s="12" t="s">
        <v>578</v>
      </c>
      <c r="M202" s="12" t="s">
        <v>578</v>
      </c>
      <c r="N202" s="12" t="s">
        <v>578</v>
      </c>
      <c r="O202" s="12" t="s">
        <v>578</v>
      </c>
      <c r="P202" s="12" t="s">
        <v>578</v>
      </c>
      <c r="Q202" s="12" t="s">
        <v>578</v>
      </c>
      <c r="R202" s="12" t="s">
        <v>578</v>
      </c>
      <c r="S202" s="12" t="s">
        <v>578</v>
      </c>
      <c r="T202" s="12" t="s">
        <v>578</v>
      </c>
      <c r="U202" s="12" t="s">
        <v>578</v>
      </c>
      <c r="V202" s="12" t="s">
        <v>578</v>
      </c>
      <c r="W202" s="12" t="s">
        <v>578</v>
      </c>
      <c r="X202" s="12" t="s">
        <v>578</v>
      </c>
      <c r="Y202" s="12" t="s">
        <v>578</v>
      </c>
      <c r="Z202" s="12" t="s">
        <v>578</v>
      </c>
      <c r="AA202" s="12" t="s">
        <v>578</v>
      </c>
      <c r="AB202" s="12" t="s">
        <v>578</v>
      </c>
      <c r="AC202" s="12" t="s">
        <v>578</v>
      </c>
      <c r="AD202" s="12" t="s">
        <v>578</v>
      </c>
      <c r="AE202" s="12" t="s">
        <v>578</v>
      </c>
      <c r="AF202" s="12" t="s">
        <v>578</v>
      </c>
      <c r="AG202" s="12" t="s">
        <v>578</v>
      </c>
      <c r="AH202" s="12" t="s">
        <v>578</v>
      </c>
      <c r="AI202" s="12" t="s">
        <v>578</v>
      </c>
      <c r="AJ202" s="12" t="s">
        <v>578</v>
      </c>
      <c r="AK202" s="12" t="s">
        <v>578</v>
      </c>
      <c r="AL202" s="12" t="s">
        <v>578</v>
      </c>
      <c r="AM202" s="12" t="s">
        <v>578</v>
      </c>
      <c r="AN202" s="12" t="s">
        <v>578</v>
      </c>
      <c r="AO202" s="12" t="s">
        <v>578</v>
      </c>
      <c r="AP202" s="12" t="s">
        <v>578</v>
      </c>
      <c r="AQ202" s="12" t="s">
        <v>578</v>
      </c>
      <c r="AR202" s="12" t="s">
        <v>578</v>
      </c>
      <c r="AS202" s="12" t="s">
        <v>578</v>
      </c>
      <c r="AT202" s="12" t="s">
        <v>578</v>
      </c>
      <c r="AU202" s="12" t="s">
        <v>578</v>
      </c>
      <c r="AV202" s="12" t="s">
        <v>578</v>
      </c>
      <c r="AW202" s="12" t="s">
        <v>578</v>
      </c>
      <c r="AX202" s="12" t="s">
        <v>578</v>
      </c>
      <c r="AY202" s="12" t="s">
        <v>578</v>
      </c>
      <c r="AZ202" s="12" t="s">
        <v>578</v>
      </c>
      <c r="BA202" s="12" t="s">
        <v>578</v>
      </c>
      <c r="BB202" s="12" t="s">
        <v>578</v>
      </c>
      <c r="BC202" s="12" t="s">
        <v>578</v>
      </c>
      <c r="BD202" s="12" t="s">
        <v>578</v>
      </c>
      <c r="BE202" s="12" t="s">
        <v>578</v>
      </c>
      <c r="BF202" s="12" t="s">
        <v>578</v>
      </c>
      <c r="BG202" s="12" t="s">
        <v>579</v>
      </c>
      <c r="BH202" s="12" t="s">
        <v>579</v>
      </c>
      <c r="BI202" s="12" t="s">
        <v>579</v>
      </c>
      <c r="BJ202" s="12" t="s">
        <v>579</v>
      </c>
      <c r="BK202" s="12" t="s">
        <v>579</v>
      </c>
      <c r="BL202" s="12" t="s">
        <v>579</v>
      </c>
      <c r="BM202" s="12" t="s">
        <v>579</v>
      </c>
      <c r="BN202" s="12" t="s">
        <v>579</v>
      </c>
      <c r="BO202" s="12" t="s">
        <v>579</v>
      </c>
      <c r="BP202" s="12" t="s">
        <v>579</v>
      </c>
      <c r="BQ202" s="12" t="s">
        <v>623</v>
      </c>
      <c r="BR202" s="12" t="s">
        <v>672</v>
      </c>
      <c r="BS202" s="12" t="s">
        <v>672</v>
      </c>
      <c r="BT202" s="12" t="s">
        <v>672</v>
      </c>
      <c r="BU202" s="12" t="s">
        <v>672</v>
      </c>
      <c r="BV202" s="12" t="s">
        <v>581</v>
      </c>
      <c r="BW202" s="12" t="s">
        <v>581</v>
      </c>
      <c r="BX202" s="12" t="s">
        <v>581</v>
      </c>
      <c r="BY202" s="12" t="s">
        <v>582</v>
      </c>
      <c r="BZ202" s="12" t="s">
        <v>582</v>
      </c>
      <c r="CA202" s="12" t="s">
        <v>582</v>
      </c>
      <c r="CB202" s="12" t="s">
        <v>582</v>
      </c>
      <c r="CC202" s="12" t="s">
        <v>755</v>
      </c>
      <c r="CD202" s="12" t="s">
        <v>625</v>
      </c>
      <c r="CE202" s="12" t="s">
        <v>625</v>
      </c>
      <c r="CF202" s="12" t="s">
        <v>585</v>
      </c>
      <c r="CG202" s="12" t="s">
        <v>585</v>
      </c>
      <c r="CH202" s="12" t="s">
        <v>757</v>
      </c>
      <c r="CI202" s="12" t="s">
        <v>680</v>
      </c>
      <c r="CJ202" s="12" t="s">
        <v>680</v>
      </c>
      <c r="CK202" s="12" t="s">
        <v>856</v>
      </c>
      <c r="CL202" s="12" t="s">
        <v>856</v>
      </c>
      <c r="CM202" s="12" t="s">
        <v>1500</v>
      </c>
      <c r="CN202" s="12" t="s">
        <v>1356</v>
      </c>
      <c r="CO202" s="12" t="s">
        <v>724</v>
      </c>
      <c r="CP202" s="12" t="s">
        <v>596</v>
      </c>
      <c r="CQ202" s="12" t="s">
        <v>2001</v>
      </c>
      <c r="CR202" s="12" t="s">
        <v>2001</v>
      </c>
      <c r="CS202" s="12" t="s">
        <v>1743</v>
      </c>
      <c r="CT202" s="12" t="s">
        <v>1743</v>
      </c>
    </row>
    <row r="203" spans="1:98" hidden="1" x14ac:dyDescent="0.3">
      <c r="A203" s="12" t="s">
        <v>25</v>
      </c>
      <c r="B203" s="12" t="s">
        <v>3811</v>
      </c>
      <c r="C203" s="12" t="s">
        <v>3812</v>
      </c>
      <c r="D203" s="12" t="s">
        <v>3813</v>
      </c>
      <c r="E203" s="12" t="s">
        <v>578</v>
      </c>
      <c r="F203" s="12" t="s">
        <v>578</v>
      </c>
      <c r="G203" s="12" t="s">
        <v>578</v>
      </c>
      <c r="H203" s="12" t="s">
        <v>578</v>
      </c>
      <c r="I203" s="12" t="s">
        <v>578</v>
      </c>
      <c r="J203" s="12" t="s">
        <v>578</v>
      </c>
      <c r="K203" s="12" t="s">
        <v>578</v>
      </c>
      <c r="L203" s="12" t="s">
        <v>578</v>
      </c>
      <c r="M203" s="12" t="s">
        <v>578</v>
      </c>
      <c r="N203" s="12" t="s">
        <v>578</v>
      </c>
      <c r="O203" s="12" t="s">
        <v>578</v>
      </c>
      <c r="P203" s="12" t="s">
        <v>578</v>
      </c>
      <c r="Q203" s="12" t="s">
        <v>578</v>
      </c>
      <c r="R203" s="12" t="s">
        <v>578</v>
      </c>
      <c r="S203" s="12" t="s">
        <v>578</v>
      </c>
      <c r="T203" s="12" t="s">
        <v>578</v>
      </c>
      <c r="U203" s="12" t="s">
        <v>578</v>
      </c>
      <c r="V203" s="12" t="s">
        <v>578</v>
      </c>
      <c r="W203" s="12" t="s">
        <v>578</v>
      </c>
      <c r="X203" s="12" t="s">
        <v>578</v>
      </c>
      <c r="Y203" s="12" t="s">
        <v>578</v>
      </c>
      <c r="Z203" s="12" t="s">
        <v>578</v>
      </c>
      <c r="AA203" s="12" t="s">
        <v>578</v>
      </c>
      <c r="AB203" s="12" t="s">
        <v>578</v>
      </c>
      <c r="AC203" s="12" t="s">
        <v>578</v>
      </c>
      <c r="AD203" s="12" t="s">
        <v>578</v>
      </c>
      <c r="AE203" s="12" t="s">
        <v>578</v>
      </c>
      <c r="AF203" s="12" t="s">
        <v>578</v>
      </c>
      <c r="AG203" s="12" t="s">
        <v>578</v>
      </c>
      <c r="AH203" s="12" t="s">
        <v>578</v>
      </c>
      <c r="AI203" s="12" t="s">
        <v>578</v>
      </c>
      <c r="AJ203" s="12" t="s">
        <v>578</v>
      </c>
      <c r="AK203" s="12" t="s">
        <v>578</v>
      </c>
      <c r="AL203" s="12" t="s">
        <v>578</v>
      </c>
      <c r="AM203" s="12" t="s">
        <v>578</v>
      </c>
      <c r="AN203" s="12" t="s">
        <v>578</v>
      </c>
      <c r="AO203" s="12" t="s">
        <v>578</v>
      </c>
      <c r="AP203" s="12" t="s">
        <v>578</v>
      </c>
      <c r="AQ203" s="12" t="s">
        <v>578</v>
      </c>
      <c r="AR203" s="12" t="s">
        <v>578</v>
      </c>
      <c r="AS203" s="12" t="s">
        <v>578</v>
      </c>
      <c r="AT203" s="12" t="s">
        <v>578</v>
      </c>
      <c r="AU203" s="12" t="s">
        <v>578</v>
      </c>
      <c r="AV203" s="12" t="s">
        <v>579</v>
      </c>
      <c r="AW203" s="12" t="s">
        <v>579</v>
      </c>
      <c r="AX203" s="12" t="s">
        <v>579</v>
      </c>
      <c r="AY203" s="12" t="s">
        <v>672</v>
      </c>
      <c r="AZ203" s="12" t="s">
        <v>672</v>
      </c>
      <c r="BA203" s="12" t="s">
        <v>582</v>
      </c>
      <c r="BB203" s="12" t="s">
        <v>868</v>
      </c>
      <c r="BC203" s="12" t="s">
        <v>673</v>
      </c>
      <c r="BD203" s="12" t="s">
        <v>587</v>
      </c>
      <c r="BE203" s="12" t="s">
        <v>628</v>
      </c>
      <c r="BF203" s="12" t="s">
        <v>630</v>
      </c>
      <c r="BG203" s="12" t="s">
        <v>853</v>
      </c>
      <c r="BH203" s="12" t="s">
        <v>853</v>
      </c>
      <c r="BI203" s="12" t="s">
        <v>1500</v>
      </c>
      <c r="BJ203" s="12" t="s">
        <v>1814</v>
      </c>
      <c r="BK203" s="12" t="s">
        <v>1980</v>
      </c>
      <c r="BL203" s="12" t="s">
        <v>2000</v>
      </c>
      <c r="BM203" s="12" t="s">
        <v>1687</v>
      </c>
      <c r="BN203" s="12" t="s">
        <v>2395</v>
      </c>
      <c r="BO203" s="12" t="s">
        <v>2085</v>
      </c>
      <c r="BP203" s="12" t="s">
        <v>3814</v>
      </c>
      <c r="BQ203" s="12" t="s">
        <v>3815</v>
      </c>
      <c r="BR203" s="12" t="s">
        <v>3396</v>
      </c>
      <c r="BS203" s="12" t="s">
        <v>3816</v>
      </c>
      <c r="BT203" s="12" t="s">
        <v>3589</v>
      </c>
      <c r="BU203" s="12" t="s">
        <v>2290</v>
      </c>
      <c r="BV203" s="12" t="s">
        <v>1774</v>
      </c>
      <c r="BW203" s="12" t="s">
        <v>2335</v>
      </c>
      <c r="BX203" s="12" t="s">
        <v>3817</v>
      </c>
      <c r="BY203" s="12" t="s">
        <v>3818</v>
      </c>
      <c r="BZ203" s="12" t="s">
        <v>1810</v>
      </c>
      <c r="CA203" s="12" t="s">
        <v>3819</v>
      </c>
      <c r="CB203" s="12" t="s">
        <v>3820</v>
      </c>
      <c r="CC203" s="12" t="s">
        <v>3821</v>
      </c>
      <c r="CD203" s="12" t="s">
        <v>3822</v>
      </c>
      <c r="CE203" s="12" t="s">
        <v>3266</v>
      </c>
      <c r="CF203" s="12" t="s">
        <v>3823</v>
      </c>
      <c r="CG203" s="12" t="s">
        <v>3824</v>
      </c>
      <c r="CH203" s="12" t="s">
        <v>3825</v>
      </c>
      <c r="CI203" s="12" t="s">
        <v>3826</v>
      </c>
      <c r="CJ203" s="12" t="s">
        <v>2860</v>
      </c>
      <c r="CK203" s="12" t="s">
        <v>3827</v>
      </c>
      <c r="CL203" s="12" t="s">
        <v>2466</v>
      </c>
      <c r="CM203" s="12" t="s">
        <v>3828</v>
      </c>
      <c r="CN203" s="12" t="s">
        <v>3165</v>
      </c>
      <c r="CO203" s="12" t="s">
        <v>3829</v>
      </c>
      <c r="CP203" s="12" t="s">
        <v>3830</v>
      </c>
      <c r="CQ203" s="12" t="s">
        <v>2372</v>
      </c>
      <c r="CR203" s="12" t="s">
        <v>3831</v>
      </c>
      <c r="CS203" s="12" t="s">
        <v>3832</v>
      </c>
      <c r="CT203" s="12" t="s">
        <v>3833</v>
      </c>
    </row>
    <row r="204" spans="1:98" hidden="1" x14ac:dyDescent="0.3">
      <c r="A204" s="12" t="s">
        <v>25</v>
      </c>
      <c r="B204" s="12" t="s">
        <v>3834</v>
      </c>
      <c r="C204" s="12" t="s">
        <v>3835</v>
      </c>
      <c r="D204" s="12" t="s">
        <v>3836</v>
      </c>
      <c r="E204" s="12" t="s">
        <v>578</v>
      </c>
      <c r="F204" s="12" t="s">
        <v>578</v>
      </c>
      <c r="G204" s="12" t="s">
        <v>578</v>
      </c>
      <c r="H204" s="12" t="s">
        <v>578</v>
      </c>
      <c r="I204" s="12" t="s">
        <v>578</v>
      </c>
      <c r="J204" s="12" t="s">
        <v>578</v>
      </c>
      <c r="K204" s="12" t="s">
        <v>578</v>
      </c>
      <c r="L204" s="12" t="s">
        <v>578</v>
      </c>
      <c r="M204" s="12" t="s">
        <v>578</v>
      </c>
      <c r="N204" s="12" t="s">
        <v>578</v>
      </c>
      <c r="O204" s="12" t="s">
        <v>579</v>
      </c>
      <c r="P204" s="12" t="s">
        <v>579</v>
      </c>
      <c r="Q204" s="12" t="s">
        <v>579</v>
      </c>
      <c r="R204" s="12" t="s">
        <v>579</v>
      </c>
      <c r="S204" s="12" t="s">
        <v>579</v>
      </c>
      <c r="T204" s="12" t="s">
        <v>579</v>
      </c>
      <c r="U204" s="12" t="s">
        <v>579</v>
      </c>
      <c r="V204" s="12" t="s">
        <v>579</v>
      </c>
      <c r="W204" s="12" t="s">
        <v>623</v>
      </c>
      <c r="X204" s="12" t="s">
        <v>623</v>
      </c>
      <c r="Y204" s="12" t="s">
        <v>623</v>
      </c>
      <c r="Z204" s="12" t="s">
        <v>623</v>
      </c>
      <c r="AA204" s="12" t="s">
        <v>623</v>
      </c>
      <c r="AB204" s="12" t="s">
        <v>623</v>
      </c>
      <c r="AC204" s="12" t="s">
        <v>623</v>
      </c>
      <c r="AD204" s="12" t="s">
        <v>623</v>
      </c>
      <c r="AE204" s="12" t="s">
        <v>623</v>
      </c>
      <c r="AF204" s="12" t="s">
        <v>623</v>
      </c>
      <c r="AG204" s="12" t="s">
        <v>623</v>
      </c>
      <c r="AH204" s="12" t="s">
        <v>623</v>
      </c>
      <c r="AI204" s="12" t="s">
        <v>623</v>
      </c>
      <c r="AJ204" s="12" t="s">
        <v>623</v>
      </c>
      <c r="AK204" s="12" t="s">
        <v>623</v>
      </c>
      <c r="AL204" s="12" t="s">
        <v>623</v>
      </c>
      <c r="AM204" s="12" t="s">
        <v>851</v>
      </c>
      <c r="AN204" s="12" t="s">
        <v>868</v>
      </c>
      <c r="AO204" s="12" t="s">
        <v>762</v>
      </c>
      <c r="AP204" s="12" t="s">
        <v>852</v>
      </c>
      <c r="AQ204" s="12" t="s">
        <v>768</v>
      </c>
      <c r="AR204" s="12" t="s">
        <v>590</v>
      </c>
      <c r="AS204" s="12" t="s">
        <v>593</v>
      </c>
      <c r="AT204" s="12" t="s">
        <v>981</v>
      </c>
      <c r="AU204" s="12" t="s">
        <v>1392</v>
      </c>
      <c r="AV204" s="12" t="s">
        <v>645</v>
      </c>
      <c r="AW204" s="12" t="s">
        <v>652</v>
      </c>
      <c r="AX204" s="12" t="s">
        <v>3837</v>
      </c>
      <c r="AY204" s="12" t="s">
        <v>745</v>
      </c>
      <c r="AZ204" s="12" t="s">
        <v>1868</v>
      </c>
      <c r="BA204" s="12" t="s">
        <v>3838</v>
      </c>
      <c r="BB204" s="12" t="s">
        <v>794</v>
      </c>
      <c r="BC204" s="12" t="s">
        <v>794</v>
      </c>
      <c r="BD204" s="12" t="s">
        <v>3839</v>
      </c>
      <c r="BE204" s="12" t="s">
        <v>3840</v>
      </c>
      <c r="BF204" s="12" t="s">
        <v>3841</v>
      </c>
      <c r="BG204" s="12" t="s">
        <v>3842</v>
      </c>
      <c r="BH204" s="12" t="s">
        <v>3843</v>
      </c>
      <c r="BI204" s="12" t="s">
        <v>3844</v>
      </c>
      <c r="BJ204" s="12" t="s">
        <v>3845</v>
      </c>
      <c r="BK204" s="12" t="s">
        <v>3846</v>
      </c>
      <c r="BL204" s="12" t="s">
        <v>3847</v>
      </c>
      <c r="BM204" s="12" t="s">
        <v>3848</v>
      </c>
      <c r="BN204" s="12" t="s">
        <v>3849</v>
      </c>
      <c r="BO204" s="12" t="s">
        <v>3850</v>
      </c>
      <c r="BP204" s="12" t="s">
        <v>3851</v>
      </c>
      <c r="BQ204" s="12" t="s">
        <v>3852</v>
      </c>
      <c r="BR204" s="12" t="s">
        <v>3853</v>
      </c>
      <c r="BS204" s="12" t="s">
        <v>3854</v>
      </c>
      <c r="BT204" s="12" t="s">
        <v>3855</v>
      </c>
      <c r="BU204" s="12" t="s">
        <v>3856</v>
      </c>
      <c r="BV204" s="12" t="s">
        <v>3857</v>
      </c>
      <c r="BW204" s="12" t="s">
        <v>3858</v>
      </c>
      <c r="BX204" s="12" t="s">
        <v>3859</v>
      </c>
      <c r="BY204" s="12" t="s">
        <v>3860</v>
      </c>
      <c r="BZ204" s="12" t="s">
        <v>3861</v>
      </c>
      <c r="CA204" s="12" t="s">
        <v>3862</v>
      </c>
      <c r="CB204" s="12" t="s">
        <v>3863</v>
      </c>
      <c r="CC204" s="12" t="s">
        <v>3864</v>
      </c>
      <c r="CD204" s="12" t="s">
        <v>3865</v>
      </c>
      <c r="CE204" s="12" t="s">
        <v>3866</v>
      </c>
      <c r="CF204" s="12" t="s">
        <v>3867</v>
      </c>
      <c r="CG204" s="12" t="s">
        <v>3868</v>
      </c>
      <c r="CH204" s="12" t="s">
        <v>3869</v>
      </c>
      <c r="CI204" s="12" t="s">
        <v>3870</v>
      </c>
      <c r="CJ204" s="12" t="s">
        <v>3871</v>
      </c>
      <c r="CK204" s="12" t="s">
        <v>3872</v>
      </c>
      <c r="CL204" s="12" t="s">
        <v>3873</v>
      </c>
      <c r="CM204" s="12" t="s">
        <v>3874</v>
      </c>
      <c r="CN204" s="12" t="s">
        <v>3875</v>
      </c>
      <c r="CO204" s="12" t="s">
        <v>3876</v>
      </c>
      <c r="CP204" s="12" t="s">
        <v>3877</v>
      </c>
      <c r="CQ204" s="12" t="s">
        <v>3878</v>
      </c>
      <c r="CR204" s="12" t="s">
        <v>3879</v>
      </c>
      <c r="CS204" s="12" t="s">
        <v>3880</v>
      </c>
      <c r="CT204" s="12" t="s">
        <v>3881</v>
      </c>
    </row>
    <row r="205" spans="1:98" hidden="1" x14ac:dyDescent="0.3">
      <c r="A205" s="12" t="s">
        <v>25</v>
      </c>
      <c r="B205" s="12" t="s">
        <v>3882</v>
      </c>
      <c r="C205" s="12" t="s">
        <v>3883</v>
      </c>
      <c r="D205" s="12" t="s">
        <v>3884</v>
      </c>
      <c r="E205" s="12" t="s">
        <v>578</v>
      </c>
      <c r="F205" s="12" t="s">
        <v>578</v>
      </c>
      <c r="G205" s="12" t="s">
        <v>578</v>
      </c>
      <c r="H205" s="12" t="s">
        <v>578</v>
      </c>
      <c r="I205" s="12" t="s">
        <v>578</v>
      </c>
      <c r="J205" s="12" t="s">
        <v>579</v>
      </c>
      <c r="K205" s="12" t="s">
        <v>579</v>
      </c>
      <c r="L205" s="12" t="s">
        <v>579</v>
      </c>
      <c r="M205" s="12" t="s">
        <v>579</v>
      </c>
      <c r="N205" s="12" t="s">
        <v>579</v>
      </c>
      <c r="O205" s="12" t="s">
        <v>579</v>
      </c>
      <c r="P205" s="12" t="s">
        <v>579</v>
      </c>
      <c r="Q205" s="12" t="s">
        <v>579</v>
      </c>
      <c r="R205" s="12" t="s">
        <v>579</v>
      </c>
      <c r="S205" s="12" t="s">
        <v>579</v>
      </c>
      <c r="T205" s="12" t="s">
        <v>579</v>
      </c>
      <c r="U205" s="12" t="s">
        <v>579</v>
      </c>
      <c r="V205" s="12" t="s">
        <v>579</v>
      </c>
      <c r="W205" s="12" t="s">
        <v>579</v>
      </c>
      <c r="X205" s="12" t="s">
        <v>579</v>
      </c>
      <c r="Y205" s="12" t="s">
        <v>579</v>
      </c>
      <c r="Z205" s="12" t="s">
        <v>579</v>
      </c>
      <c r="AA205" s="12" t="s">
        <v>579</v>
      </c>
      <c r="AB205" s="12" t="s">
        <v>579</v>
      </c>
      <c r="AC205" s="12" t="s">
        <v>579</v>
      </c>
      <c r="AD205" s="12" t="s">
        <v>579</v>
      </c>
      <c r="AE205" s="12" t="s">
        <v>579</v>
      </c>
      <c r="AF205" s="12" t="s">
        <v>579</v>
      </c>
      <c r="AG205" s="12" t="s">
        <v>579</v>
      </c>
      <c r="AH205" s="12" t="s">
        <v>579</v>
      </c>
      <c r="AI205" s="12" t="s">
        <v>579</v>
      </c>
      <c r="AJ205" s="12" t="s">
        <v>579</v>
      </c>
      <c r="AK205" s="12" t="s">
        <v>579</v>
      </c>
      <c r="AL205" s="12" t="s">
        <v>579</v>
      </c>
      <c r="AM205" s="12" t="s">
        <v>579</v>
      </c>
      <c r="AN205" s="12" t="s">
        <v>579</v>
      </c>
      <c r="AO205" s="12" t="s">
        <v>579</v>
      </c>
      <c r="AP205" s="12" t="s">
        <v>579</v>
      </c>
      <c r="AQ205" s="12" t="s">
        <v>579</v>
      </c>
      <c r="AR205" s="12" t="s">
        <v>579</v>
      </c>
      <c r="AS205" s="12" t="s">
        <v>579</v>
      </c>
      <c r="AT205" s="12" t="s">
        <v>579</v>
      </c>
      <c r="AU205" s="12" t="s">
        <v>579</v>
      </c>
      <c r="AV205" s="12" t="s">
        <v>579</v>
      </c>
      <c r="AW205" s="12" t="s">
        <v>579</v>
      </c>
      <c r="AX205" s="12" t="s">
        <v>579</v>
      </c>
      <c r="AY205" s="12" t="s">
        <v>579</v>
      </c>
      <c r="AZ205" s="12" t="s">
        <v>579</v>
      </c>
      <c r="BA205" s="12" t="s">
        <v>579</v>
      </c>
      <c r="BB205" s="12" t="s">
        <v>623</v>
      </c>
      <c r="BC205" s="12" t="s">
        <v>623</v>
      </c>
      <c r="BD205" s="12" t="s">
        <v>851</v>
      </c>
      <c r="BE205" s="12" t="s">
        <v>624</v>
      </c>
      <c r="BF205" s="12" t="s">
        <v>808</v>
      </c>
      <c r="BG205" s="12" t="s">
        <v>869</v>
      </c>
      <c r="BH205" s="12" t="s">
        <v>1096</v>
      </c>
      <c r="BI205" s="12" t="s">
        <v>630</v>
      </c>
      <c r="BJ205" s="12" t="s">
        <v>680</v>
      </c>
      <c r="BK205" s="12" t="s">
        <v>1120</v>
      </c>
      <c r="BL205" s="12" t="s">
        <v>855</v>
      </c>
      <c r="BM205" s="12" t="s">
        <v>976</v>
      </c>
      <c r="BN205" s="12" t="s">
        <v>772</v>
      </c>
      <c r="BO205" s="12" t="s">
        <v>863</v>
      </c>
      <c r="BP205" s="12" t="s">
        <v>863</v>
      </c>
      <c r="BQ205" s="12" t="s">
        <v>1664</v>
      </c>
      <c r="BR205" s="12" t="s">
        <v>1664</v>
      </c>
      <c r="BS205" s="12" t="s">
        <v>722</v>
      </c>
      <c r="BT205" s="12" t="s">
        <v>1417</v>
      </c>
      <c r="BU205" s="12" t="s">
        <v>980</v>
      </c>
      <c r="BV205" s="12" t="s">
        <v>1821</v>
      </c>
      <c r="BW205" s="12" t="s">
        <v>639</v>
      </c>
      <c r="BX205" s="12" t="s">
        <v>1309</v>
      </c>
      <c r="BY205" s="12" t="s">
        <v>1733</v>
      </c>
      <c r="BZ205" s="12" t="s">
        <v>1277</v>
      </c>
      <c r="CA205" s="12" t="s">
        <v>1278</v>
      </c>
      <c r="CB205" s="12" t="s">
        <v>2102</v>
      </c>
      <c r="CC205" s="12" t="s">
        <v>1532</v>
      </c>
      <c r="CD205" s="12" t="s">
        <v>1976</v>
      </c>
      <c r="CE205" s="12" t="s">
        <v>1838</v>
      </c>
      <c r="CF205" s="12" t="s">
        <v>1838</v>
      </c>
      <c r="CG205" s="12" t="s">
        <v>3885</v>
      </c>
      <c r="CH205" s="12" t="s">
        <v>875</v>
      </c>
      <c r="CI205" s="12" t="s">
        <v>1489</v>
      </c>
      <c r="CJ205" s="12" t="s">
        <v>1423</v>
      </c>
      <c r="CK205" s="12" t="s">
        <v>1624</v>
      </c>
      <c r="CL205" s="12" t="s">
        <v>1624</v>
      </c>
      <c r="CM205" s="12" t="s">
        <v>1509</v>
      </c>
      <c r="CN205" s="12" t="s">
        <v>1492</v>
      </c>
      <c r="CO205" s="12" t="s">
        <v>1459</v>
      </c>
      <c r="CP205" s="12" t="s">
        <v>647</v>
      </c>
      <c r="CQ205" s="12" t="s">
        <v>1518</v>
      </c>
      <c r="CR205" s="12" t="s">
        <v>1164</v>
      </c>
      <c r="CS205" s="12" t="s">
        <v>1282</v>
      </c>
      <c r="CT205" s="12" t="s">
        <v>963</v>
      </c>
    </row>
    <row r="206" spans="1:98" hidden="1" x14ac:dyDescent="0.3">
      <c r="A206" s="12" t="s">
        <v>25</v>
      </c>
      <c r="B206" s="12" t="s">
        <v>3886</v>
      </c>
      <c r="C206" s="12" t="s">
        <v>3887</v>
      </c>
      <c r="D206" s="12" t="s">
        <v>3888</v>
      </c>
      <c r="E206" s="12" t="s">
        <v>578</v>
      </c>
      <c r="F206" s="12" t="s">
        <v>578</v>
      </c>
      <c r="G206" s="12" t="s">
        <v>578</v>
      </c>
      <c r="H206" s="12" t="s">
        <v>578</v>
      </c>
      <c r="I206" s="12" t="s">
        <v>578</v>
      </c>
      <c r="J206" s="12" t="s">
        <v>578</v>
      </c>
      <c r="K206" s="12" t="s">
        <v>578</v>
      </c>
      <c r="L206" s="12" t="s">
        <v>578</v>
      </c>
      <c r="M206" s="12" t="s">
        <v>578</v>
      </c>
      <c r="N206" s="12" t="s">
        <v>578</v>
      </c>
      <c r="O206" s="12" t="s">
        <v>578</v>
      </c>
      <c r="P206" s="12" t="s">
        <v>578</v>
      </c>
      <c r="Q206" s="12" t="s">
        <v>578</v>
      </c>
      <c r="R206" s="12" t="s">
        <v>578</v>
      </c>
      <c r="S206" s="12" t="s">
        <v>578</v>
      </c>
      <c r="T206" s="12" t="s">
        <v>578</v>
      </c>
      <c r="U206" s="12" t="s">
        <v>578</v>
      </c>
      <c r="V206" s="12" t="s">
        <v>578</v>
      </c>
      <c r="W206" s="12" t="s">
        <v>578</v>
      </c>
      <c r="X206" s="12" t="s">
        <v>578</v>
      </c>
      <c r="Y206" s="12" t="s">
        <v>578</v>
      </c>
      <c r="Z206" s="12" t="s">
        <v>578</v>
      </c>
      <c r="AA206" s="12" t="s">
        <v>578</v>
      </c>
      <c r="AB206" s="12" t="s">
        <v>578</v>
      </c>
      <c r="AC206" s="12" t="s">
        <v>578</v>
      </c>
      <c r="AD206" s="12" t="s">
        <v>578</v>
      </c>
      <c r="AE206" s="12" t="s">
        <v>578</v>
      </c>
      <c r="AF206" s="12" t="s">
        <v>578</v>
      </c>
      <c r="AG206" s="12" t="s">
        <v>578</v>
      </c>
      <c r="AH206" s="12" t="s">
        <v>578</v>
      </c>
      <c r="AI206" s="12" t="s">
        <v>578</v>
      </c>
      <c r="AJ206" s="12" t="s">
        <v>578</v>
      </c>
      <c r="AK206" s="12" t="s">
        <v>578</v>
      </c>
      <c r="AL206" s="12" t="s">
        <v>578</v>
      </c>
      <c r="AM206" s="12" t="s">
        <v>578</v>
      </c>
      <c r="AN206" s="12" t="s">
        <v>578</v>
      </c>
      <c r="AO206" s="12" t="s">
        <v>578</v>
      </c>
      <c r="AP206" s="12" t="s">
        <v>578</v>
      </c>
      <c r="AQ206" s="12" t="s">
        <v>578</v>
      </c>
      <c r="AR206" s="12" t="s">
        <v>578</v>
      </c>
      <c r="AS206" s="12" t="s">
        <v>578</v>
      </c>
      <c r="AT206" s="12" t="s">
        <v>578</v>
      </c>
      <c r="AU206" s="12" t="s">
        <v>578</v>
      </c>
      <c r="AV206" s="12" t="s">
        <v>578</v>
      </c>
      <c r="AW206" s="12" t="s">
        <v>578</v>
      </c>
      <c r="AX206" s="12" t="s">
        <v>578</v>
      </c>
      <c r="AY206" s="12" t="s">
        <v>578</v>
      </c>
      <c r="AZ206" s="12" t="s">
        <v>578</v>
      </c>
      <c r="BA206" s="12" t="s">
        <v>578</v>
      </c>
      <c r="BB206" s="12" t="s">
        <v>578</v>
      </c>
      <c r="BC206" s="12" t="s">
        <v>578</v>
      </c>
      <c r="BD206" s="12" t="s">
        <v>579</v>
      </c>
      <c r="BE206" s="12" t="s">
        <v>579</v>
      </c>
      <c r="BF206" s="12" t="s">
        <v>579</v>
      </c>
      <c r="BG206" s="12" t="s">
        <v>579</v>
      </c>
      <c r="BH206" s="12" t="s">
        <v>579</v>
      </c>
      <c r="BI206" s="12" t="s">
        <v>623</v>
      </c>
      <c r="BJ206" s="12" t="s">
        <v>623</v>
      </c>
      <c r="BK206" s="12" t="s">
        <v>623</v>
      </c>
      <c r="BL206" s="12" t="s">
        <v>623</v>
      </c>
      <c r="BM206" s="12" t="s">
        <v>623</v>
      </c>
      <c r="BN206" s="12" t="s">
        <v>623</v>
      </c>
      <c r="BO206" s="12" t="s">
        <v>672</v>
      </c>
      <c r="BP206" s="12" t="s">
        <v>672</v>
      </c>
      <c r="BQ206" s="12" t="s">
        <v>672</v>
      </c>
      <c r="BR206" s="12" t="s">
        <v>672</v>
      </c>
      <c r="BS206" s="12" t="s">
        <v>581</v>
      </c>
      <c r="BT206" s="12" t="s">
        <v>851</v>
      </c>
      <c r="BU206" s="12" t="s">
        <v>851</v>
      </c>
      <c r="BV206" s="12" t="s">
        <v>582</v>
      </c>
      <c r="BW206" s="12" t="s">
        <v>582</v>
      </c>
      <c r="BX206" s="12" t="s">
        <v>755</v>
      </c>
      <c r="BY206" s="12" t="s">
        <v>624</v>
      </c>
      <c r="BZ206" s="12" t="s">
        <v>624</v>
      </c>
      <c r="CA206" s="12" t="s">
        <v>625</v>
      </c>
      <c r="CB206" s="12" t="s">
        <v>625</v>
      </c>
      <c r="CC206" s="12" t="s">
        <v>756</v>
      </c>
      <c r="CD206" s="12" t="s">
        <v>756</v>
      </c>
      <c r="CE206" s="12" t="s">
        <v>762</v>
      </c>
      <c r="CF206" s="12" t="s">
        <v>673</v>
      </c>
      <c r="CG206" s="12" t="s">
        <v>674</v>
      </c>
      <c r="CH206" s="12" t="s">
        <v>674</v>
      </c>
      <c r="CI206" s="12" t="s">
        <v>953</v>
      </c>
      <c r="CJ206" s="12" t="s">
        <v>852</v>
      </c>
      <c r="CK206" s="12" t="s">
        <v>852</v>
      </c>
      <c r="CL206" s="12" t="s">
        <v>852</v>
      </c>
      <c r="CM206" s="12" t="s">
        <v>627</v>
      </c>
      <c r="CN206" s="12" t="s">
        <v>973</v>
      </c>
      <c r="CO206" s="12" t="s">
        <v>973</v>
      </c>
      <c r="CP206" s="12" t="s">
        <v>1260</v>
      </c>
      <c r="CQ206" s="12" t="s">
        <v>1260</v>
      </c>
      <c r="CR206" s="12" t="s">
        <v>1025</v>
      </c>
      <c r="CS206" s="12" t="s">
        <v>595</v>
      </c>
      <c r="CT206" s="12" t="s">
        <v>595</v>
      </c>
    </row>
    <row r="207" spans="1:98" hidden="1" x14ac:dyDescent="0.3">
      <c r="A207" s="12" t="s">
        <v>25</v>
      </c>
      <c r="B207" s="12" t="s">
        <v>3889</v>
      </c>
      <c r="C207" s="12" t="s">
        <v>3890</v>
      </c>
      <c r="D207" s="12" t="s">
        <v>3891</v>
      </c>
      <c r="E207" s="12" t="s">
        <v>578</v>
      </c>
      <c r="F207" s="12" t="s">
        <v>578</v>
      </c>
      <c r="G207" s="12" t="s">
        <v>578</v>
      </c>
      <c r="H207" s="12" t="s">
        <v>578</v>
      </c>
      <c r="I207" s="12" t="s">
        <v>578</v>
      </c>
      <c r="J207" s="12" t="s">
        <v>578</v>
      </c>
      <c r="K207" s="12" t="s">
        <v>578</v>
      </c>
      <c r="L207" s="12" t="s">
        <v>578</v>
      </c>
      <c r="M207" s="12" t="s">
        <v>578</v>
      </c>
      <c r="N207" s="12" t="s">
        <v>578</v>
      </c>
      <c r="O207" s="12" t="s">
        <v>578</v>
      </c>
      <c r="P207" s="12" t="s">
        <v>578</v>
      </c>
      <c r="Q207" s="12" t="s">
        <v>578</v>
      </c>
      <c r="R207" s="12" t="s">
        <v>578</v>
      </c>
      <c r="S207" s="12" t="s">
        <v>578</v>
      </c>
      <c r="T207" s="12" t="s">
        <v>578</v>
      </c>
      <c r="U207" s="12" t="s">
        <v>578</v>
      </c>
      <c r="V207" s="12" t="s">
        <v>578</v>
      </c>
      <c r="W207" s="12" t="s">
        <v>578</v>
      </c>
      <c r="X207" s="12" t="s">
        <v>578</v>
      </c>
      <c r="Y207" s="12" t="s">
        <v>578</v>
      </c>
      <c r="Z207" s="12" t="s">
        <v>578</v>
      </c>
      <c r="AA207" s="12" t="s">
        <v>578</v>
      </c>
      <c r="AB207" s="12" t="s">
        <v>578</v>
      </c>
      <c r="AC207" s="12" t="s">
        <v>578</v>
      </c>
      <c r="AD207" s="12" t="s">
        <v>578</v>
      </c>
      <c r="AE207" s="12" t="s">
        <v>578</v>
      </c>
      <c r="AF207" s="12" t="s">
        <v>578</v>
      </c>
      <c r="AG207" s="12" t="s">
        <v>578</v>
      </c>
      <c r="AH207" s="12" t="s">
        <v>578</v>
      </c>
      <c r="AI207" s="12" t="s">
        <v>578</v>
      </c>
      <c r="AJ207" s="12" t="s">
        <v>578</v>
      </c>
      <c r="AK207" s="12" t="s">
        <v>578</v>
      </c>
      <c r="AL207" s="12" t="s">
        <v>578</v>
      </c>
      <c r="AM207" s="12" t="s">
        <v>578</v>
      </c>
      <c r="AN207" s="12" t="s">
        <v>578</v>
      </c>
      <c r="AO207" s="12" t="s">
        <v>578</v>
      </c>
      <c r="AP207" s="12" t="s">
        <v>578</v>
      </c>
      <c r="AQ207" s="12" t="s">
        <v>578</v>
      </c>
      <c r="AR207" s="12" t="s">
        <v>578</v>
      </c>
      <c r="AS207" s="12" t="s">
        <v>578</v>
      </c>
      <c r="AT207" s="12" t="s">
        <v>578</v>
      </c>
      <c r="AU207" s="12" t="s">
        <v>578</v>
      </c>
      <c r="AV207" s="12" t="s">
        <v>578</v>
      </c>
      <c r="AW207" s="12" t="s">
        <v>578</v>
      </c>
      <c r="AX207" s="12" t="s">
        <v>578</v>
      </c>
      <c r="AY207" s="12" t="s">
        <v>578</v>
      </c>
      <c r="AZ207" s="12" t="s">
        <v>578</v>
      </c>
      <c r="BA207" s="12" t="s">
        <v>578</v>
      </c>
      <c r="BB207" s="12" t="s">
        <v>578</v>
      </c>
      <c r="BC207" s="12" t="s">
        <v>578</v>
      </c>
      <c r="BD207" s="12" t="s">
        <v>578</v>
      </c>
      <c r="BE207" s="12" t="s">
        <v>579</v>
      </c>
      <c r="BF207" s="12" t="s">
        <v>579</v>
      </c>
      <c r="BG207" s="12" t="s">
        <v>579</v>
      </c>
      <c r="BH207" s="12" t="s">
        <v>579</v>
      </c>
      <c r="BI207" s="12" t="s">
        <v>579</v>
      </c>
      <c r="BJ207" s="12" t="s">
        <v>579</v>
      </c>
      <c r="BK207" s="12" t="s">
        <v>580</v>
      </c>
      <c r="BL207" s="12" t="s">
        <v>580</v>
      </c>
      <c r="BM207" s="12" t="s">
        <v>581</v>
      </c>
      <c r="BN207" s="12" t="s">
        <v>581</v>
      </c>
      <c r="BO207" s="12" t="s">
        <v>582</v>
      </c>
      <c r="BP207" s="12" t="s">
        <v>755</v>
      </c>
      <c r="BQ207" s="12" t="s">
        <v>755</v>
      </c>
      <c r="BR207" s="12" t="s">
        <v>755</v>
      </c>
      <c r="BS207" s="12" t="s">
        <v>755</v>
      </c>
      <c r="BT207" s="12" t="s">
        <v>755</v>
      </c>
      <c r="BU207" s="12" t="s">
        <v>755</v>
      </c>
      <c r="BV207" s="12" t="s">
        <v>761</v>
      </c>
      <c r="BW207" s="12" t="s">
        <v>624</v>
      </c>
      <c r="BX207" s="12" t="s">
        <v>624</v>
      </c>
      <c r="BY207" s="12" t="s">
        <v>624</v>
      </c>
      <c r="BZ207" s="12" t="s">
        <v>624</v>
      </c>
      <c r="CA207" s="12" t="s">
        <v>624</v>
      </c>
      <c r="CB207" s="12" t="s">
        <v>624</v>
      </c>
      <c r="CC207" s="12" t="s">
        <v>624</v>
      </c>
      <c r="CD207" s="12" t="s">
        <v>624</v>
      </c>
      <c r="CE207" s="12" t="s">
        <v>624</v>
      </c>
      <c r="CF207" s="12" t="s">
        <v>624</v>
      </c>
      <c r="CG207" s="12" t="s">
        <v>624</v>
      </c>
      <c r="CH207" s="12" t="s">
        <v>624</v>
      </c>
      <c r="CI207" s="12" t="s">
        <v>624</v>
      </c>
      <c r="CJ207" s="12" t="s">
        <v>624</v>
      </c>
      <c r="CK207" s="12" t="s">
        <v>624</v>
      </c>
      <c r="CL207" s="12" t="s">
        <v>624</v>
      </c>
      <c r="CM207" s="12" t="s">
        <v>624</v>
      </c>
      <c r="CN207" s="12" t="s">
        <v>624</v>
      </c>
      <c r="CO207" s="12" t="s">
        <v>624</v>
      </c>
      <c r="CP207" s="12" t="s">
        <v>624</v>
      </c>
      <c r="CQ207" s="12" t="s">
        <v>624</v>
      </c>
      <c r="CR207" s="12" t="s">
        <v>624</v>
      </c>
      <c r="CS207" s="12" t="s">
        <v>624</v>
      </c>
      <c r="CT207" s="12" t="s">
        <v>624</v>
      </c>
    </row>
    <row r="208" spans="1:98" hidden="1" x14ac:dyDescent="0.3">
      <c r="A208" s="12" t="s">
        <v>25</v>
      </c>
      <c r="B208" s="12" t="s">
        <v>3892</v>
      </c>
      <c r="C208" s="12" t="s">
        <v>3893</v>
      </c>
      <c r="D208" s="12" t="s">
        <v>3894</v>
      </c>
      <c r="E208" s="12" t="s">
        <v>578</v>
      </c>
      <c r="F208" s="12" t="s">
        <v>578</v>
      </c>
      <c r="G208" s="12" t="s">
        <v>578</v>
      </c>
      <c r="H208" s="12" t="s">
        <v>578</v>
      </c>
      <c r="I208" s="12" t="s">
        <v>578</v>
      </c>
      <c r="J208" s="12" t="s">
        <v>578</v>
      </c>
      <c r="K208" s="12" t="s">
        <v>578</v>
      </c>
      <c r="L208" s="12" t="s">
        <v>578</v>
      </c>
      <c r="M208" s="12" t="s">
        <v>578</v>
      </c>
      <c r="N208" s="12" t="s">
        <v>579</v>
      </c>
      <c r="O208" s="12" t="s">
        <v>579</v>
      </c>
      <c r="P208" s="12" t="s">
        <v>579</v>
      </c>
      <c r="Q208" s="12" t="s">
        <v>579</v>
      </c>
      <c r="R208" s="12" t="s">
        <v>579</v>
      </c>
      <c r="S208" s="12" t="s">
        <v>579</v>
      </c>
      <c r="T208" s="12" t="s">
        <v>579</v>
      </c>
      <c r="U208" s="12" t="s">
        <v>579</v>
      </c>
      <c r="V208" s="12" t="s">
        <v>579</v>
      </c>
      <c r="W208" s="12" t="s">
        <v>579</v>
      </c>
      <c r="X208" s="12" t="s">
        <v>579</v>
      </c>
      <c r="Y208" s="12" t="s">
        <v>579</v>
      </c>
      <c r="Z208" s="12" t="s">
        <v>579</v>
      </c>
      <c r="AA208" s="12" t="s">
        <v>579</v>
      </c>
      <c r="AB208" s="12" t="s">
        <v>579</v>
      </c>
      <c r="AC208" s="12" t="s">
        <v>579</v>
      </c>
      <c r="AD208" s="12" t="s">
        <v>579</v>
      </c>
      <c r="AE208" s="12" t="s">
        <v>579</v>
      </c>
      <c r="AF208" s="12" t="s">
        <v>579</v>
      </c>
      <c r="AG208" s="12" t="s">
        <v>579</v>
      </c>
      <c r="AH208" s="12" t="s">
        <v>579</v>
      </c>
      <c r="AI208" s="12" t="s">
        <v>579</v>
      </c>
      <c r="AJ208" s="12" t="s">
        <v>579</v>
      </c>
      <c r="AK208" s="12" t="s">
        <v>579</v>
      </c>
      <c r="AL208" s="12" t="s">
        <v>579</v>
      </c>
      <c r="AM208" s="12" t="s">
        <v>579</v>
      </c>
      <c r="AN208" s="12" t="s">
        <v>623</v>
      </c>
      <c r="AO208" s="12" t="s">
        <v>582</v>
      </c>
      <c r="AP208" s="12" t="s">
        <v>582</v>
      </c>
      <c r="AQ208" s="12" t="s">
        <v>625</v>
      </c>
      <c r="AR208" s="12" t="s">
        <v>756</v>
      </c>
      <c r="AS208" s="12" t="s">
        <v>762</v>
      </c>
      <c r="AT208" s="12" t="s">
        <v>585</v>
      </c>
      <c r="AU208" s="12" t="s">
        <v>917</v>
      </c>
      <c r="AV208" s="12" t="s">
        <v>591</v>
      </c>
      <c r="AW208" s="12" t="s">
        <v>1732</v>
      </c>
      <c r="AX208" s="12" t="s">
        <v>2089</v>
      </c>
      <c r="AY208" s="12" t="s">
        <v>1488</v>
      </c>
      <c r="AZ208" s="12" t="s">
        <v>2030</v>
      </c>
      <c r="BA208" s="12" t="s">
        <v>995</v>
      </c>
      <c r="BB208" s="12" t="s">
        <v>3837</v>
      </c>
      <c r="BC208" s="12" t="s">
        <v>2106</v>
      </c>
      <c r="BD208" s="12" t="s">
        <v>2225</v>
      </c>
      <c r="BE208" s="12" t="s">
        <v>2430</v>
      </c>
      <c r="BF208" s="12" t="s">
        <v>3895</v>
      </c>
      <c r="BG208" s="12" t="s">
        <v>3896</v>
      </c>
      <c r="BH208" s="12" t="s">
        <v>2684</v>
      </c>
      <c r="BI208" s="12" t="s">
        <v>618</v>
      </c>
      <c r="BJ208" s="12" t="s">
        <v>3897</v>
      </c>
      <c r="BK208" s="12" t="s">
        <v>3898</v>
      </c>
      <c r="BL208" s="12" t="s">
        <v>2689</v>
      </c>
      <c r="BM208" s="12" t="s">
        <v>3266</v>
      </c>
      <c r="BN208" s="12" t="s">
        <v>2294</v>
      </c>
      <c r="BO208" s="12" t="s">
        <v>3899</v>
      </c>
      <c r="BP208" s="12" t="s">
        <v>3900</v>
      </c>
      <c r="BQ208" s="12" t="s">
        <v>1575</v>
      </c>
      <c r="BR208" s="12" t="s">
        <v>3901</v>
      </c>
      <c r="BS208" s="12" t="s">
        <v>2863</v>
      </c>
      <c r="BT208" s="12" t="s">
        <v>3902</v>
      </c>
      <c r="BU208" s="12" t="s">
        <v>3903</v>
      </c>
      <c r="BV208" s="12" t="s">
        <v>3904</v>
      </c>
      <c r="BW208" s="12" t="s">
        <v>3905</v>
      </c>
      <c r="BX208" s="12" t="s">
        <v>3906</v>
      </c>
      <c r="BY208" s="12" t="s">
        <v>3907</v>
      </c>
      <c r="BZ208" s="12" t="s">
        <v>3908</v>
      </c>
      <c r="CA208" s="12" t="s">
        <v>3909</v>
      </c>
      <c r="CB208" s="12" t="s">
        <v>3910</v>
      </c>
      <c r="CC208" s="12" t="s">
        <v>3911</v>
      </c>
      <c r="CD208" s="12" t="s">
        <v>3912</v>
      </c>
      <c r="CE208" s="12" t="s">
        <v>3913</v>
      </c>
      <c r="CF208" s="12" t="s">
        <v>3914</v>
      </c>
      <c r="CG208" s="12" t="s">
        <v>3915</v>
      </c>
      <c r="CH208" s="12" t="s">
        <v>3916</v>
      </c>
      <c r="CI208" s="12" t="s">
        <v>3917</v>
      </c>
      <c r="CJ208" s="12" t="s">
        <v>3918</v>
      </c>
      <c r="CK208" s="12" t="s">
        <v>3919</v>
      </c>
      <c r="CL208" s="12" t="s">
        <v>3920</v>
      </c>
      <c r="CM208" s="12" t="s">
        <v>3921</v>
      </c>
      <c r="CN208" s="12" t="s">
        <v>3922</v>
      </c>
      <c r="CO208" s="12" t="s">
        <v>3923</v>
      </c>
      <c r="CP208" s="12" t="s">
        <v>3924</v>
      </c>
      <c r="CQ208" s="12" t="s">
        <v>3925</v>
      </c>
      <c r="CR208" s="12" t="s">
        <v>3926</v>
      </c>
      <c r="CS208" s="12" t="s">
        <v>3927</v>
      </c>
      <c r="CT208" s="12" t="s">
        <v>3928</v>
      </c>
    </row>
    <row r="209" spans="1:98" hidden="1" x14ac:dyDescent="0.3">
      <c r="A209" s="12" t="s">
        <v>25</v>
      </c>
      <c r="B209" s="12" t="s">
        <v>3929</v>
      </c>
      <c r="C209" s="12" t="s">
        <v>3930</v>
      </c>
      <c r="D209" s="12" t="s">
        <v>3931</v>
      </c>
      <c r="E209" s="12" t="s">
        <v>578</v>
      </c>
      <c r="F209" s="12" t="s">
        <v>578</v>
      </c>
      <c r="G209" s="12" t="s">
        <v>578</v>
      </c>
      <c r="H209" s="12" t="s">
        <v>578</v>
      </c>
      <c r="I209" s="12" t="s">
        <v>578</v>
      </c>
      <c r="J209" s="12" t="s">
        <v>578</v>
      </c>
      <c r="K209" s="12" t="s">
        <v>578</v>
      </c>
      <c r="L209" s="12" t="s">
        <v>578</v>
      </c>
      <c r="M209" s="12" t="s">
        <v>578</v>
      </c>
      <c r="N209" s="12" t="s">
        <v>578</v>
      </c>
      <c r="O209" s="12" t="s">
        <v>578</v>
      </c>
      <c r="P209" s="12" t="s">
        <v>578</v>
      </c>
      <c r="Q209" s="12" t="s">
        <v>578</v>
      </c>
      <c r="R209" s="12" t="s">
        <v>578</v>
      </c>
      <c r="S209" s="12" t="s">
        <v>578</v>
      </c>
      <c r="T209" s="12" t="s">
        <v>578</v>
      </c>
      <c r="U209" s="12" t="s">
        <v>578</v>
      </c>
      <c r="V209" s="12" t="s">
        <v>578</v>
      </c>
      <c r="W209" s="12" t="s">
        <v>578</v>
      </c>
      <c r="X209" s="12" t="s">
        <v>578</v>
      </c>
      <c r="Y209" s="12" t="s">
        <v>578</v>
      </c>
      <c r="Z209" s="12" t="s">
        <v>578</v>
      </c>
      <c r="AA209" s="12" t="s">
        <v>578</v>
      </c>
      <c r="AB209" s="12" t="s">
        <v>578</v>
      </c>
      <c r="AC209" s="12" t="s">
        <v>578</v>
      </c>
      <c r="AD209" s="12" t="s">
        <v>578</v>
      </c>
      <c r="AE209" s="12" t="s">
        <v>578</v>
      </c>
      <c r="AF209" s="12" t="s">
        <v>578</v>
      </c>
      <c r="AG209" s="12" t="s">
        <v>578</v>
      </c>
      <c r="AH209" s="12" t="s">
        <v>578</v>
      </c>
      <c r="AI209" s="12" t="s">
        <v>578</v>
      </c>
      <c r="AJ209" s="12" t="s">
        <v>578</v>
      </c>
      <c r="AK209" s="12" t="s">
        <v>578</v>
      </c>
      <c r="AL209" s="12" t="s">
        <v>578</v>
      </c>
      <c r="AM209" s="12" t="s">
        <v>579</v>
      </c>
      <c r="AN209" s="12" t="s">
        <v>579</v>
      </c>
      <c r="AO209" s="12" t="s">
        <v>755</v>
      </c>
      <c r="AP209" s="12" t="s">
        <v>755</v>
      </c>
      <c r="AQ209" s="12" t="s">
        <v>808</v>
      </c>
      <c r="AR209" s="12" t="s">
        <v>913</v>
      </c>
      <c r="AS209" s="12" t="s">
        <v>629</v>
      </c>
      <c r="AT209" s="12" t="s">
        <v>769</v>
      </c>
      <c r="AU209" s="12" t="s">
        <v>682</v>
      </c>
      <c r="AV209" s="12" t="s">
        <v>1353</v>
      </c>
      <c r="AW209" s="12" t="s">
        <v>1126</v>
      </c>
      <c r="AX209" s="12" t="s">
        <v>1264</v>
      </c>
      <c r="AY209" s="12" t="s">
        <v>959</v>
      </c>
      <c r="AZ209" s="12" t="s">
        <v>3932</v>
      </c>
      <c r="BA209" s="12" t="s">
        <v>1703</v>
      </c>
      <c r="BB209" s="12" t="s">
        <v>1995</v>
      </c>
      <c r="BC209" s="12" t="s">
        <v>1995</v>
      </c>
      <c r="BD209" s="12" t="s">
        <v>3933</v>
      </c>
      <c r="BE209" s="12" t="s">
        <v>3934</v>
      </c>
      <c r="BF209" s="12" t="s">
        <v>3748</v>
      </c>
      <c r="BG209" s="12" t="s">
        <v>3748</v>
      </c>
      <c r="BH209" s="12" t="s">
        <v>3935</v>
      </c>
      <c r="BI209" s="12" t="s">
        <v>3936</v>
      </c>
      <c r="BJ209" s="12" t="s">
        <v>3937</v>
      </c>
      <c r="BK209" s="12" t="s">
        <v>3938</v>
      </c>
      <c r="BL209" s="12" t="s">
        <v>2775</v>
      </c>
      <c r="BM209" s="12" t="s">
        <v>3939</v>
      </c>
      <c r="BN209" s="12" t="s">
        <v>3940</v>
      </c>
      <c r="BO209" s="12" t="s">
        <v>3941</v>
      </c>
      <c r="BP209" s="12" t="s">
        <v>3942</v>
      </c>
      <c r="BQ209" s="12" t="s">
        <v>3943</v>
      </c>
      <c r="BR209" s="12" t="s">
        <v>3944</v>
      </c>
      <c r="BS209" s="12" t="s">
        <v>3945</v>
      </c>
      <c r="BT209" s="12" t="s">
        <v>3946</v>
      </c>
      <c r="BU209" s="12" t="s">
        <v>3947</v>
      </c>
      <c r="BV209" s="12" t="s">
        <v>3948</v>
      </c>
      <c r="BW209" s="12" t="s">
        <v>3949</v>
      </c>
      <c r="BX209" s="12" t="s">
        <v>3950</v>
      </c>
      <c r="BY209" s="12" t="s">
        <v>3951</v>
      </c>
      <c r="BZ209" s="12" t="s">
        <v>3952</v>
      </c>
      <c r="CA209" s="12" t="s">
        <v>3953</v>
      </c>
      <c r="CB209" s="12" t="s">
        <v>3954</v>
      </c>
      <c r="CC209" s="12" t="s">
        <v>3955</v>
      </c>
      <c r="CD209" s="12" t="s">
        <v>3956</v>
      </c>
      <c r="CE209" s="12" t="s">
        <v>3957</v>
      </c>
      <c r="CF209" s="12" t="s">
        <v>3958</v>
      </c>
      <c r="CG209" s="12" t="s">
        <v>3959</v>
      </c>
      <c r="CH209" s="12" t="s">
        <v>3960</v>
      </c>
      <c r="CI209" s="12" t="s">
        <v>3961</v>
      </c>
      <c r="CJ209" s="12" t="s">
        <v>3962</v>
      </c>
      <c r="CK209" s="12" t="s">
        <v>3963</v>
      </c>
      <c r="CL209" s="12" t="s">
        <v>3964</v>
      </c>
      <c r="CM209" s="12" t="s">
        <v>3965</v>
      </c>
      <c r="CN209" s="12" t="s">
        <v>3966</v>
      </c>
      <c r="CO209" s="12" t="s">
        <v>3967</v>
      </c>
      <c r="CP209" s="12" t="s">
        <v>3968</v>
      </c>
      <c r="CQ209" s="12" t="s">
        <v>3969</v>
      </c>
      <c r="CR209" s="12" t="s">
        <v>3970</v>
      </c>
      <c r="CS209" s="12" t="s">
        <v>3971</v>
      </c>
      <c r="CT209" s="12" t="s">
        <v>3972</v>
      </c>
    </row>
    <row r="210" spans="1:98" hidden="1" x14ac:dyDescent="0.3">
      <c r="A210" s="12" t="s">
        <v>25</v>
      </c>
      <c r="B210" s="12" t="s">
        <v>3973</v>
      </c>
      <c r="C210" s="12" t="s">
        <v>3974</v>
      </c>
      <c r="D210" s="12" t="s">
        <v>3975</v>
      </c>
      <c r="E210" s="12" t="s">
        <v>579</v>
      </c>
      <c r="F210" s="12" t="s">
        <v>579</v>
      </c>
      <c r="G210" s="12" t="s">
        <v>672</v>
      </c>
      <c r="H210" s="12" t="s">
        <v>672</v>
      </c>
      <c r="I210" s="12" t="s">
        <v>580</v>
      </c>
      <c r="J210" s="12" t="s">
        <v>581</v>
      </c>
      <c r="K210" s="12" t="s">
        <v>755</v>
      </c>
      <c r="L210" s="12" t="s">
        <v>755</v>
      </c>
      <c r="M210" s="12" t="s">
        <v>761</v>
      </c>
      <c r="N210" s="12" t="s">
        <v>624</v>
      </c>
      <c r="O210" s="12" t="s">
        <v>624</v>
      </c>
      <c r="P210" s="12" t="s">
        <v>624</v>
      </c>
      <c r="Q210" s="12" t="s">
        <v>624</v>
      </c>
      <c r="R210" s="12" t="s">
        <v>583</v>
      </c>
      <c r="S210" s="12" t="s">
        <v>583</v>
      </c>
      <c r="T210" s="12" t="s">
        <v>584</v>
      </c>
      <c r="U210" s="12" t="s">
        <v>584</v>
      </c>
      <c r="V210" s="12" t="s">
        <v>673</v>
      </c>
      <c r="W210" s="12" t="s">
        <v>808</v>
      </c>
      <c r="X210" s="12" t="s">
        <v>808</v>
      </c>
      <c r="Y210" s="12" t="s">
        <v>808</v>
      </c>
      <c r="Z210" s="12" t="s">
        <v>808</v>
      </c>
      <c r="AA210" s="12" t="s">
        <v>808</v>
      </c>
      <c r="AB210" s="12" t="s">
        <v>808</v>
      </c>
      <c r="AC210" s="12" t="s">
        <v>808</v>
      </c>
      <c r="AD210" s="12" t="s">
        <v>675</v>
      </c>
      <c r="AE210" s="12" t="s">
        <v>586</v>
      </c>
      <c r="AF210" s="12" t="s">
        <v>586</v>
      </c>
      <c r="AG210" s="12" t="s">
        <v>626</v>
      </c>
      <c r="AH210" s="12" t="s">
        <v>587</v>
      </c>
      <c r="AI210" s="12" t="s">
        <v>676</v>
      </c>
      <c r="AJ210" s="12" t="s">
        <v>676</v>
      </c>
      <c r="AK210" s="12" t="s">
        <v>869</v>
      </c>
      <c r="AL210" s="12" t="s">
        <v>2018</v>
      </c>
      <c r="AM210" s="12" t="s">
        <v>766</v>
      </c>
      <c r="AN210" s="12" t="s">
        <v>852</v>
      </c>
      <c r="AO210" s="12" t="s">
        <v>852</v>
      </c>
      <c r="AP210" s="12" t="s">
        <v>767</v>
      </c>
      <c r="AQ210" s="12" t="s">
        <v>718</v>
      </c>
      <c r="AR210" s="12" t="s">
        <v>588</v>
      </c>
      <c r="AS210" s="12" t="s">
        <v>1046</v>
      </c>
      <c r="AT210" s="12" t="s">
        <v>629</v>
      </c>
      <c r="AU210" s="12" t="s">
        <v>629</v>
      </c>
      <c r="AV210" s="12" t="s">
        <v>1096</v>
      </c>
      <c r="AW210" s="12" t="s">
        <v>768</v>
      </c>
      <c r="AX210" s="12" t="s">
        <v>768</v>
      </c>
      <c r="AY210" s="12" t="s">
        <v>768</v>
      </c>
      <c r="AZ210" s="12" t="s">
        <v>768</v>
      </c>
      <c r="BA210" s="12" t="s">
        <v>972</v>
      </c>
      <c r="BB210" s="12" t="s">
        <v>678</v>
      </c>
      <c r="BC210" s="12" t="s">
        <v>991</v>
      </c>
      <c r="BD210" s="12" t="s">
        <v>954</v>
      </c>
      <c r="BE210" s="12" t="s">
        <v>719</v>
      </c>
      <c r="BF210" s="12" t="s">
        <v>632</v>
      </c>
      <c r="BG210" s="12" t="s">
        <v>955</v>
      </c>
      <c r="BH210" s="12" t="s">
        <v>855</v>
      </c>
      <c r="BI210" s="12" t="s">
        <v>861</v>
      </c>
      <c r="BJ210" s="12" t="s">
        <v>1499</v>
      </c>
      <c r="BK210" s="12" t="s">
        <v>1356</v>
      </c>
      <c r="BL210" s="12" t="s">
        <v>2100</v>
      </c>
      <c r="BM210" s="12" t="s">
        <v>982</v>
      </c>
      <c r="BN210" s="12" t="s">
        <v>984</v>
      </c>
      <c r="BO210" s="12" t="s">
        <v>1735</v>
      </c>
      <c r="BP210" s="12" t="s">
        <v>815</v>
      </c>
      <c r="BQ210" s="12" t="s">
        <v>1511</v>
      </c>
      <c r="BR210" s="12" t="s">
        <v>727</v>
      </c>
      <c r="BS210" s="12" t="s">
        <v>1828</v>
      </c>
      <c r="BT210" s="12" t="s">
        <v>1098</v>
      </c>
      <c r="BU210" s="12" t="s">
        <v>1424</v>
      </c>
      <c r="BV210" s="12" t="s">
        <v>1742</v>
      </c>
      <c r="BW210" s="12" t="s">
        <v>819</v>
      </c>
      <c r="BX210" s="12" t="s">
        <v>2058</v>
      </c>
      <c r="BY210" s="12" t="s">
        <v>2572</v>
      </c>
      <c r="BZ210" s="12" t="s">
        <v>995</v>
      </c>
      <c r="CA210" s="12" t="s">
        <v>2060</v>
      </c>
      <c r="CB210" s="12" t="s">
        <v>1981</v>
      </c>
      <c r="CC210" s="12" t="s">
        <v>731</v>
      </c>
      <c r="CD210" s="12" t="s">
        <v>3976</v>
      </c>
      <c r="CE210" s="12" t="s">
        <v>1691</v>
      </c>
      <c r="CF210" s="12" t="s">
        <v>2189</v>
      </c>
      <c r="CG210" s="12" t="s">
        <v>3766</v>
      </c>
      <c r="CH210" s="12" t="s">
        <v>2502</v>
      </c>
      <c r="CI210" s="12" t="s">
        <v>1693</v>
      </c>
      <c r="CJ210" s="12" t="s">
        <v>1693</v>
      </c>
      <c r="CK210" s="12" t="s">
        <v>1694</v>
      </c>
      <c r="CL210" s="12" t="s">
        <v>1694</v>
      </c>
      <c r="CM210" s="12" t="s">
        <v>1694</v>
      </c>
      <c r="CN210" s="12" t="s">
        <v>3126</v>
      </c>
      <c r="CO210" s="12" t="s">
        <v>963</v>
      </c>
      <c r="CP210" s="12" t="s">
        <v>1368</v>
      </c>
      <c r="CQ210" s="12" t="s">
        <v>1533</v>
      </c>
      <c r="CR210" s="12" t="s">
        <v>1698</v>
      </c>
      <c r="CS210" s="12" t="s">
        <v>2890</v>
      </c>
      <c r="CT210" s="12" t="s">
        <v>733</v>
      </c>
    </row>
    <row r="211" spans="1:98" hidden="1" x14ac:dyDescent="0.3">
      <c r="A211" s="12" t="s">
        <v>25</v>
      </c>
      <c r="B211" s="12" t="s">
        <v>3977</v>
      </c>
      <c r="C211" s="12" t="s">
        <v>3978</v>
      </c>
      <c r="D211" s="12" t="s">
        <v>3979</v>
      </c>
      <c r="E211" s="12" t="s">
        <v>578</v>
      </c>
      <c r="F211" s="12" t="s">
        <v>578</v>
      </c>
      <c r="G211" s="12" t="s">
        <v>578</v>
      </c>
      <c r="H211" s="12" t="s">
        <v>578</v>
      </c>
      <c r="I211" s="12" t="s">
        <v>578</v>
      </c>
      <c r="J211" s="12" t="s">
        <v>578</v>
      </c>
      <c r="K211" s="12" t="s">
        <v>578</v>
      </c>
      <c r="L211" s="12" t="s">
        <v>578</v>
      </c>
      <c r="M211" s="12" t="s">
        <v>578</v>
      </c>
      <c r="N211" s="12" t="s">
        <v>578</v>
      </c>
      <c r="O211" s="12" t="s">
        <v>578</v>
      </c>
      <c r="P211" s="12" t="s">
        <v>578</v>
      </c>
      <c r="Q211" s="12" t="s">
        <v>578</v>
      </c>
      <c r="R211" s="12" t="s">
        <v>578</v>
      </c>
      <c r="S211" s="12" t="s">
        <v>578</v>
      </c>
      <c r="T211" s="12" t="s">
        <v>578</v>
      </c>
      <c r="U211" s="12" t="s">
        <v>578</v>
      </c>
      <c r="V211" s="12" t="s">
        <v>578</v>
      </c>
      <c r="W211" s="12" t="s">
        <v>578</v>
      </c>
      <c r="X211" s="12" t="s">
        <v>578</v>
      </c>
      <c r="Y211" s="12" t="s">
        <v>578</v>
      </c>
      <c r="Z211" s="12" t="s">
        <v>578</v>
      </c>
      <c r="AA211" s="12" t="s">
        <v>578</v>
      </c>
      <c r="AB211" s="12" t="s">
        <v>578</v>
      </c>
      <c r="AC211" s="12" t="s">
        <v>578</v>
      </c>
      <c r="AD211" s="12" t="s">
        <v>578</v>
      </c>
      <c r="AE211" s="12" t="s">
        <v>578</v>
      </c>
      <c r="AF211" s="12" t="s">
        <v>578</v>
      </c>
      <c r="AG211" s="12" t="s">
        <v>578</v>
      </c>
      <c r="AH211" s="12" t="s">
        <v>578</v>
      </c>
      <c r="AI211" s="12" t="s">
        <v>578</v>
      </c>
      <c r="AJ211" s="12" t="s">
        <v>578</v>
      </c>
      <c r="AK211" s="12" t="s">
        <v>578</v>
      </c>
      <c r="AL211" s="12" t="s">
        <v>578</v>
      </c>
      <c r="AM211" s="12" t="s">
        <v>578</v>
      </c>
      <c r="AN211" s="12" t="s">
        <v>578</v>
      </c>
      <c r="AO211" s="12" t="s">
        <v>578</v>
      </c>
      <c r="AP211" s="12" t="s">
        <v>578</v>
      </c>
      <c r="AQ211" s="12" t="s">
        <v>578</v>
      </c>
      <c r="AR211" s="12" t="s">
        <v>578</v>
      </c>
      <c r="AS211" s="12" t="s">
        <v>578</v>
      </c>
      <c r="AT211" s="12" t="s">
        <v>578</v>
      </c>
      <c r="AU211" s="12" t="s">
        <v>578</v>
      </c>
      <c r="AV211" s="12" t="s">
        <v>578</v>
      </c>
      <c r="AW211" s="12" t="s">
        <v>578</v>
      </c>
      <c r="AX211" s="12" t="s">
        <v>578</v>
      </c>
      <c r="AY211" s="12" t="s">
        <v>578</v>
      </c>
      <c r="AZ211" s="12" t="s">
        <v>578</v>
      </c>
      <c r="BA211" s="12" t="s">
        <v>578</v>
      </c>
      <c r="BB211" s="12" t="s">
        <v>578</v>
      </c>
      <c r="BC211" s="12" t="s">
        <v>578</v>
      </c>
      <c r="BD211" s="12" t="s">
        <v>578</v>
      </c>
      <c r="BE211" s="12" t="s">
        <v>578</v>
      </c>
      <c r="BF211" s="12" t="s">
        <v>578</v>
      </c>
      <c r="BG211" s="12" t="s">
        <v>579</v>
      </c>
      <c r="BH211" s="12" t="s">
        <v>579</v>
      </c>
      <c r="BI211" s="12" t="s">
        <v>672</v>
      </c>
      <c r="BJ211" s="12" t="s">
        <v>851</v>
      </c>
      <c r="BK211" s="12" t="s">
        <v>851</v>
      </c>
      <c r="BL211" s="12" t="s">
        <v>851</v>
      </c>
      <c r="BM211" s="12" t="s">
        <v>625</v>
      </c>
      <c r="BN211" s="12" t="s">
        <v>625</v>
      </c>
      <c r="BO211" s="12" t="s">
        <v>625</v>
      </c>
      <c r="BP211" s="12" t="s">
        <v>625</v>
      </c>
      <c r="BQ211" s="12" t="s">
        <v>868</v>
      </c>
      <c r="BR211" s="12" t="s">
        <v>868</v>
      </c>
      <c r="BS211" s="12" t="s">
        <v>756</v>
      </c>
      <c r="BT211" s="12" t="s">
        <v>756</v>
      </c>
      <c r="BU211" s="12" t="s">
        <v>674</v>
      </c>
      <c r="BV211" s="12" t="s">
        <v>674</v>
      </c>
      <c r="BW211" s="12" t="s">
        <v>675</v>
      </c>
      <c r="BX211" s="12" t="s">
        <v>675</v>
      </c>
      <c r="BY211" s="12" t="s">
        <v>675</v>
      </c>
      <c r="BZ211" s="12" t="s">
        <v>675</v>
      </c>
      <c r="CA211" s="12" t="s">
        <v>586</v>
      </c>
      <c r="CB211" s="12" t="s">
        <v>587</v>
      </c>
      <c r="CC211" s="12" t="s">
        <v>587</v>
      </c>
      <c r="CD211" s="12" t="s">
        <v>757</v>
      </c>
      <c r="CE211" s="12" t="s">
        <v>757</v>
      </c>
      <c r="CF211" s="12" t="s">
        <v>852</v>
      </c>
      <c r="CG211" s="12" t="s">
        <v>852</v>
      </c>
      <c r="CH211" s="12" t="s">
        <v>852</v>
      </c>
      <c r="CI211" s="12" t="s">
        <v>991</v>
      </c>
      <c r="CJ211" s="12" t="s">
        <v>719</v>
      </c>
      <c r="CK211" s="12" t="s">
        <v>721</v>
      </c>
      <c r="CL211" s="12" t="s">
        <v>591</v>
      </c>
      <c r="CM211" s="12" t="s">
        <v>1515</v>
      </c>
      <c r="CN211" s="12" t="s">
        <v>1515</v>
      </c>
      <c r="CO211" s="12" t="s">
        <v>594</v>
      </c>
      <c r="CP211" s="12" t="s">
        <v>1492</v>
      </c>
      <c r="CQ211" s="12" t="s">
        <v>1492</v>
      </c>
      <c r="CR211" s="12" t="s">
        <v>3027</v>
      </c>
      <c r="CS211" s="12" t="s">
        <v>3027</v>
      </c>
      <c r="CT211" s="12" t="s">
        <v>599</v>
      </c>
    </row>
    <row r="212" spans="1:98" hidden="1" x14ac:dyDescent="0.3">
      <c r="A212" s="12" t="s">
        <v>25</v>
      </c>
      <c r="B212" s="12" t="s">
        <v>3980</v>
      </c>
      <c r="C212" s="12" t="s">
        <v>3981</v>
      </c>
      <c r="D212" s="12" t="s">
        <v>3982</v>
      </c>
      <c r="E212" s="12" t="s">
        <v>623</v>
      </c>
      <c r="F212" s="12" t="s">
        <v>672</v>
      </c>
      <c r="G212" s="12" t="s">
        <v>581</v>
      </c>
      <c r="H212" s="12" t="s">
        <v>582</v>
      </c>
      <c r="I212" s="12" t="s">
        <v>755</v>
      </c>
      <c r="J212" s="12" t="s">
        <v>755</v>
      </c>
      <c r="K212" s="12" t="s">
        <v>756</v>
      </c>
      <c r="L212" s="12" t="s">
        <v>756</v>
      </c>
      <c r="M212" s="12" t="s">
        <v>756</v>
      </c>
      <c r="N212" s="12" t="s">
        <v>674</v>
      </c>
      <c r="O212" s="12" t="s">
        <v>674</v>
      </c>
      <c r="P212" s="12" t="s">
        <v>674</v>
      </c>
      <c r="Q212" s="12" t="s">
        <v>674</v>
      </c>
      <c r="R212" s="12" t="s">
        <v>757</v>
      </c>
      <c r="S212" s="12" t="s">
        <v>757</v>
      </c>
      <c r="T212" s="12" t="s">
        <v>757</v>
      </c>
      <c r="U212" s="12" t="s">
        <v>757</v>
      </c>
      <c r="V212" s="12" t="s">
        <v>852</v>
      </c>
      <c r="W212" s="12" t="s">
        <v>852</v>
      </c>
      <c r="X212" s="12" t="s">
        <v>852</v>
      </c>
      <c r="Y212" s="12" t="s">
        <v>627</v>
      </c>
      <c r="Z212" s="12" t="s">
        <v>627</v>
      </c>
      <c r="AA212" s="12" t="s">
        <v>627</v>
      </c>
      <c r="AB212" s="12" t="s">
        <v>627</v>
      </c>
      <c r="AC212" s="12" t="s">
        <v>627</v>
      </c>
      <c r="AD212" s="12" t="s">
        <v>767</v>
      </c>
      <c r="AE212" s="12" t="s">
        <v>917</v>
      </c>
      <c r="AF212" s="12" t="s">
        <v>917</v>
      </c>
      <c r="AG212" s="12" t="s">
        <v>917</v>
      </c>
      <c r="AH212" s="12" t="s">
        <v>917</v>
      </c>
      <c r="AI212" s="12" t="s">
        <v>917</v>
      </c>
      <c r="AJ212" s="12" t="s">
        <v>917</v>
      </c>
      <c r="AK212" s="12" t="s">
        <v>917</v>
      </c>
      <c r="AL212" s="12" t="s">
        <v>917</v>
      </c>
      <c r="AM212" s="12" t="s">
        <v>677</v>
      </c>
      <c r="AN212" s="12" t="s">
        <v>588</v>
      </c>
      <c r="AO212" s="12" t="s">
        <v>588</v>
      </c>
      <c r="AP212" s="12" t="s">
        <v>1046</v>
      </c>
      <c r="AQ212" s="12" t="s">
        <v>629</v>
      </c>
      <c r="AR212" s="12" t="s">
        <v>629</v>
      </c>
      <c r="AS212" s="12" t="s">
        <v>1259</v>
      </c>
      <c r="AT212" s="12" t="s">
        <v>1259</v>
      </c>
      <c r="AU212" s="12" t="s">
        <v>1259</v>
      </c>
      <c r="AV212" s="12" t="s">
        <v>972</v>
      </c>
      <c r="AW212" s="12" t="s">
        <v>678</v>
      </c>
      <c r="AX212" s="12" t="s">
        <v>954</v>
      </c>
      <c r="AY212" s="12" t="s">
        <v>954</v>
      </c>
      <c r="AZ212" s="12" t="s">
        <v>954</v>
      </c>
      <c r="BA212" s="12" t="s">
        <v>719</v>
      </c>
      <c r="BB212" s="12" t="s">
        <v>632</v>
      </c>
      <c r="BC212" s="12" t="s">
        <v>634</v>
      </c>
      <c r="BD212" s="12" t="s">
        <v>720</v>
      </c>
      <c r="BE212" s="12" t="s">
        <v>976</v>
      </c>
      <c r="BF212" s="12" t="s">
        <v>1353</v>
      </c>
      <c r="BG212" s="12" t="s">
        <v>1515</v>
      </c>
      <c r="BH212" s="12" t="s">
        <v>1531</v>
      </c>
      <c r="BI212" s="12" t="s">
        <v>642</v>
      </c>
      <c r="BJ212" s="12" t="s">
        <v>1736</v>
      </c>
      <c r="BK212" s="12" t="s">
        <v>1742</v>
      </c>
      <c r="BL212" s="12" t="s">
        <v>961</v>
      </c>
      <c r="BM212" s="12" t="s">
        <v>2106</v>
      </c>
      <c r="BN212" s="12" t="s">
        <v>1524</v>
      </c>
      <c r="BO212" s="12" t="s">
        <v>1527</v>
      </c>
      <c r="BP212" s="12" t="s">
        <v>936</v>
      </c>
      <c r="BQ212" s="12" t="s">
        <v>3983</v>
      </c>
      <c r="BR212" s="12" t="s">
        <v>1147</v>
      </c>
      <c r="BS212" s="12" t="s">
        <v>3984</v>
      </c>
      <c r="BT212" s="12" t="s">
        <v>3985</v>
      </c>
      <c r="BU212" s="12" t="s">
        <v>1794</v>
      </c>
      <c r="BV212" s="12" t="s">
        <v>3986</v>
      </c>
      <c r="BW212" s="12" t="s">
        <v>2719</v>
      </c>
      <c r="BX212" s="12" t="s">
        <v>3987</v>
      </c>
      <c r="BY212" s="12" t="s">
        <v>3988</v>
      </c>
      <c r="BZ212" s="12" t="s">
        <v>3989</v>
      </c>
      <c r="CA212" s="12" t="s">
        <v>3990</v>
      </c>
      <c r="CB212" s="12" t="s">
        <v>3991</v>
      </c>
      <c r="CC212" s="12" t="s">
        <v>3992</v>
      </c>
      <c r="CD212" s="12" t="s">
        <v>2893</v>
      </c>
      <c r="CE212" s="12" t="s">
        <v>3993</v>
      </c>
      <c r="CF212" s="12" t="s">
        <v>2148</v>
      </c>
      <c r="CG212" s="12" t="s">
        <v>1159</v>
      </c>
      <c r="CH212" s="12" t="s">
        <v>3994</v>
      </c>
      <c r="CI212" s="12" t="s">
        <v>3995</v>
      </c>
      <c r="CJ212" s="12" t="s">
        <v>3996</v>
      </c>
      <c r="CK212" s="12" t="s">
        <v>3997</v>
      </c>
      <c r="CL212" s="12" t="s">
        <v>3998</v>
      </c>
      <c r="CM212" s="12" t="s">
        <v>3935</v>
      </c>
      <c r="CN212" s="12" t="s">
        <v>3999</v>
      </c>
      <c r="CO212" s="12" t="s">
        <v>4000</v>
      </c>
      <c r="CP212" s="12" t="s">
        <v>4001</v>
      </c>
      <c r="CQ212" s="12" t="s">
        <v>711</v>
      </c>
      <c r="CR212" s="12" t="s">
        <v>4002</v>
      </c>
      <c r="CS212" s="12" t="s">
        <v>799</v>
      </c>
      <c r="CT212" s="12" t="s">
        <v>4003</v>
      </c>
    </row>
    <row r="213" spans="1:98" hidden="1" x14ac:dyDescent="0.3">
      <c r="A213" s="12" t="s">
        <v>25</v>
      </c>
      <c r="B213" s="12" t="s">
        <v>4004</v>
      </c>
      <c r="C213" s="12" t="s">
        <v>4005</v>
      </c>
      <c r="D213" s="12" t="s">
        <v>4006</v>
      </c>
      <c r="E213" s="12" t="s">
        <v>578</v>
      </c>
      <c r="F213" s="12" t="s">
        <v>578</v>
      </c>
      <c r="G213" s="12" t="s">
        <v>578</v>
      </c>
      <c r="H213" s="12" t="s">
        <v>578</v>
      </c>
      <c r="I213" s="12" t="s">
        <v>578</v>
      </c>
      <c r="J213" s="12" t="s">
        <v>578</v>
      </c>
      <c r="K213" s="12" t="s">
        <v>578</v>
      </c>
      <c r="L213" s="12" t="s">
        <v>578</v>
      </c>
      <c r="M213" s="12" t="s">
        <v>578</v>
      </c>
      <c r="N213" s="12" t="s">
        <v>578</v>
      </c>
      <c r="O213" s="12" t="s">
        <v>578</v>
      </c>
      <c r="P213" s="12" t="s">
        <v>578</v>
      </c>
      <c r="Q213" s="12" t="s">
        <v>578</v>
      </c>
      <c r="R213" s="12" t="s">
        <v>578</v>
      </c>
      <c r="S213" s="12" t="s">
        <v>578</v>
      </c>
      <c r="T213" s="12" t="s">
        <v>578</v>
      </c>
      <c r="U213" s="12" t="s">
        <v>578</v>
      </c>
      <c r="V213" s="12" t="s">
        <v>578</v>
      </c>
      <c r="W213" s="12" t="s">
        <v>578</v>
      </c>
      <c r="X213" s="12" t="s">
        <v>578</v>
      </c>
      <c r="Y213" s="12" t="s">
        <v>578</v>
      </c>
      <c r="Z213" s="12" t="s">
        <v>578</v>
      </c>
      <c r="AA213" s="12" t="s">
        <v>578</v>
      </c>
      <c r="AB213" s="12" t="s">
        <v>578</v>
      </c>
      <c r="AC213" s="12" t="s">
        <v>578</v>
      </c>
      <c r="AD213" s="12" t="s">
        <v>578</v>
      </c>
      <c r="AE213" s="12" t="s">
        <v>578</v>
      </c>
      <c r="AF213" s="12" t="s">
        <v>578</v>
      </c>
      <c r="AG213" s="12" t="s">
        <v>578</v>
      </c>
      <c r="AH213" s="12" t="s">
        <v>578</v>
      </c>
      <c r="AI213" s="12" t="s">
        <v>578</v>
      </c>
      <c r="AJ213" s="12" t="s">
        <v>578</v>
      </c>
      <c r="AK213" s="12" t="s">
        <v>578</v>
      </c>
      <c r="AL213" s="12" t="s">
        <v>578</v>
      </c>
      <c r="AM213" s="12" t="s">
        <v>578</v>
      </c>
      <c r="AN213" s="12" t="s">
        <v>578</v>
      </c>
      <c r="AO213" s="12" t="s">
        <v>578</v>
      </c>
      <c r="AP213" s="12" t="s">
        <v>578</v>
      </c>
      <c r="AQ213" s="12" t="s">
        <v>578</v>
      </c>
      <c r="AR213" s="12" t="s">
        <v>578</v>
      </c>
      <c r="AS213" s="12" t="s">
        <v>578</v>
      </c>
      <c r="AT213" s="12" t="s">
        <v>578</v>
      </c>
      <c r="AU213" s="12" t="s">
        <v>578</v>
      </c>
      <c r="AV213" s="12" t="s">
        <v>578</v>
      </c>
      <c r="AW213" s="12" t="s">
        <v>579</v>
      </c>
      <c r="AX213" s="12" t="s">
        <v>579</v>
      </c>
      <c r="AY213" s="12" t="s">
        <v>579</v>
      </c>
      <c r="AZ213" s="12" t="s">
        <v>579</v>
      </c>
      <c r="BA213" s="12" t="s">
        <v>579</v>
      </c>
      <c r="BB213" s="12" t="s">
        <v>579</v>
      </c>
      <c r="BC213" s="12" t="s">
        <v>579</v>
      </c>
      <c r="BD213" s="12" t="s">
        <v>579</v>
      </c>
      <c r="BE213" s="12" t="s">
        <v>579</v>
      </c>
      <c r="BF213" s="12" t="s">
        <v>579</v>
      </c>
      <c r="BG213" s="12" t="s">
        <v>579</v>
      </c>
      <c r="BH213" s="12" t="s">
        <v>579</v>
      </c>
      <c r="BI213" s="12" t="s">
        <v>579</v>
      </c>
      <c r="BJ213" s="12" t="s">
        <v>579</v>
      </c>
      <c r="BK213" s="12" t="s">
        <v>761</v>
      </c>
      <c r="BL213" s="12" t="s">
        <v>584</v>
      </c>
      <c r="BM213" s="12" t="s">
        <v>584</v>
      </c>
      <c r="BN213" s="12" t="s">
        <v>808</v>
      </c>
      <c r="BO213" s="12" t="s">
        <v>675</v>
      </c>
      <c r="BP213" s="12" t="s">
        <v>626</v>
      </c>
      <c r="BQ213" s="12" t="s">
        <v>626</v>
      </c>
      <c r="BR213" s="12" t="s">
        <v>757</v>
      </c>
      <c r="BS213" s="12" t="s">
        <v>757</v>
      </c>
      <c r="BT213" s="12" t="s">
        <v>757</v>
      </c>
      <c r="BU213" s="12" t="s">
        <v>2018</v>
      </c>
      <c r="BV213" s="12" t="s">
        <v>767</v>
      </c>
      <c r="BW213" s="12" t="s">
        <v>971</v>
      </c>
      <c r="BX213" s="12" t="s">
        <v>718</v>
      </c>
      <c r="BY213" s="12" t="s">
        <v>588</v>
      </c>
      <c r="BZ213" s="12" t="s">
        <v>1046</v>
      </c>
      <c r="CA213" s="12" t="s">
        <v>1096</v>
      </c>
      <c r="CB213" s="12" t="s">
        <v>1413</v>
      </c>
      <c r="CC213" s="12" t="s">
        <v>870</v>
      </c>
      <c r="CD213" s="12" t="s">
        <v>634</v>
      </c>
      <c r="CE213" s="12" t="s">
        <v>1120</v>
      </c>
      <c r="CF213" s="12" t="s">
        <v>635</v>
      </c>
      <c r="CG213" s="12" t="s">
        <v>635</v>
      </c>
      <c r="CH213" s="12" t="s">
        <v>635</v>
      </c>
      <c r="CI213" s="12" t="s">
        <v>855</v>
      </c>
      <c r="CJ213" s="12" t="s">
        <v>855</v>
      </c>
      <c r="CK213" s="12" t="s">
        <v>1184</v>
      </c>
      <c r="CL213" s="12" t="s">
        <v>1184</v>
      </c>
      <c r="CM213" s="12" t="s">
        <v>1352</v>
      </c>
      <c r="CN213" s="12" t="s">
        <v>590</v>
      </c>
      <c r="CO213" s="12" t="s">
        <v>590</v>
      </c>
      <c r="CP213" s="12" t="s">
        <v>590</v>
      </c>
      <c r="CQ213" s="12" t="s">
        <v>977</v>
      </c>
      <c r="CR213" s="12" t="s">
        <v>721</v>
      </c>
      <c r="CS213" s="12" t="s">
        <v>721</v>
      </c>
      <c r="CT213" s="12" t="s">
        <v>682</v>
      </c>
    </row>
    <row r="214" spans="1:98" hidden="1" x14ac:dyDescent="0.3">
      <c r="A214" s="12" t="s">
        <v>25</v>
      </c>
      <c r="B214" s="12" t="s">
        <v>4007</v>
      </c>
      <c r="C214" s="12" t="s">
        <v>4008</v>
      </c>
      <c r="D214" s="12" t="s">
        <v>4009</v>
      </c>
      <c r="E214" s="12" t="s">
        <v>578</v>
      </c>
      <c r="F214" s="12" t="s">
        <v>578</v>
      </c>
      <c r="G214" s="12" t="s">
        <v>578</v>
      </c>
      <c r="H214" s="12" t="s">
        <v>578</v>
      </c>
      <c r="I214" s="12" t="s">
        <v>578</v>
      </c>
      <c r="J214" s="12" t="s">
        <v>578</v>
      </c>
      <c r="K214" s="12" t="s">
        <v>578</v>
      </c>
      <c r="L214" s="12" t="s">
        <v>578</v>
      </c>
      <c r="M214" s="12" t="s">
        <v>578</v>
      </c>
      <c r="N214" s="12" t="s">
        <v>578</v>
      </c>
      <c r="O214" s="12" t="s">
        <v>578</v>
      </c>
      <c r="P214" s="12" t="s">
        <v>578</v>
      </c>
      <c r="Q214" s="12" t="s">
        <v>578</v>
      </c>
      <c r="R214" s="12" t="s">
        <v>578</v>
      </c>
      <c r="S214" s="12" t="s">
        <v>578</v>
      </c>
      <c r="T214" s="12" t="s">
        <v>578</v>
      </c>
      <c r="U214" s="12" t="s">
        <v>578</v>
      </c>
      <c r="V214" s="12" t="s">
        <v>578</v>
      </c>
      <c r="W214" s="12" t="s">
        <v>578</v>
      </c>
      <c r="X214" s="12" t="s">
        <v>578</v>
      </c>
      <c r="Y214" s="12" t="s">
        <v>578</v>
      </c>
      <c r="Z214" s="12" t="s">
        <v>578</v>
      </c>
      <c r="AA214" s="12" t="s">
        <v>578</v>
      </c>
      <c r="AB214" s="12" t="s">
        <v>578</v>
      </c>
      <c r="AC214" s="12" t="s">
        <v>578</v>
      </c>
      <c r="AD214" s="12" t="s">
        <v>578</v>
      </c>
      <c r="AE214" s="12" t="s">
        <v>578</v>
      </c>
      <c r="AF214" s="12" t="s">
        <v>578</v>
      </c>
      <c r="AG214" s="12" t="s">
        <v>578</v>
      </c>
      <c r="AH214" s="12" t="s">
        <v>578</v>
      </c>
      <c r="AI214" s="12" t="s">
        <v>578</v>
      </c>
      <c r="AJ214" s="12" t="s">
        <v>578</v>
      </c>
      <c r="AK214" s="12" t="s">
        <v>578</v>
      </c>
      <c r="AL214" s="12" t="s">
        <v>578</v>
      </c>
      <c r="AM214" s="12" t="s">
        <v>578</v>
      </c>
      <c r="AN214" s="12" t="s">
        <v>578</v>
      </c>
      <c r="AO214" s="12" t="s">
        <v>578</v>
      </c>
      <c r="AP214" s="12" t="s">
        <v>578</v>
      </c>
      <c r="AQ214" s="12" t="s">
        <v>578</v>
      </c>
      <c r="AR214" s="12" t="s">
        <v>578</v>
      </c>
      <c r="AS214" s="12" t="s">
        <v>578</v>
      </c>
      <c r="AT214" s="12" t="s">
        <v>578</v>
      </c>
      <c r="AU214" s="12" t="s">
        <v>578</v>
      </c>
      <c r="AV214" s="12" t="s">
        <v>578</v>
      </c>
      <c r="AW214" s="12" t="s">
        <v>578</v>
      </c>
      <c r="AX214" s="12" t="s">
        <v>578</v>
      </c>
      <c r="AY214" s="12" t="s">
        <v>578</v>
      </c>
      <c r="AZ214" s="12" t="s">
        <v>578</v>
      </c>
      <c r="BA214" s="12" t="s">
        <v>578</v>
      </c>
      <c r="BB214" s="12" t="s">
        <v>578</v>
      </c>
      <c r="BC214" s="12" t="s">
        <v>578</v>
      </c>
      <c r="BD214" s="12" t="s">
        <v>578</v>
      </c>
      <c r="BE214" s="12" t="s">
        <v>623</v>
      </c>
      <c r="BF214" s="12" t="s">
        <v>623</v>
      </c>
      <c r="BG214" s="12" t="s">
        <v>580</v>
      </c>
      <c r="BH214" s="12" t="s">
        <v>581</v>
      </c>
      <c r="BI214" s="12" t="s">
        <v>582</v>
      </c>
      <c r="BJ214" s="12" t="s">
        <v>761</v>
      </c>
      <c r="BK214" s="12" t="s">
        <v>761</v>
      </c>
      <c r="BL214" s="12" t="s">
        <v>991</v>
      </c>
      <c r="BM214" s="12" t="s">
        <v>954</v>
      </c>
      <c r="BN214" s="12" t="s">
        <v>630</v>
      </c>
      <c r="BO214" s="12" t="s">
        <v>992</v>
      </c>
      <c r="BP214" s="12" t="s">
        <v>680</v>
      </c>
      <c r="BQ214" s="12" t="s">
        <v>870</v>
      </c>
      <c r="BR214" s="12" t="s">
        <v>973</v>
      </c>
      <c r="BS214" s="12" t="s">
        <v>589</v>
      </c>
      <c r="BT214" s="12" t="s">
        <v>810</v>
      </c>
      <c r="BU214" s="12" t="s">
        <v>976</v>
      </c>
      <c r="BV214" s="12" t="s">
        <v>681</v>
      </c>
      <c r="BW214" s="12" t="s">
        <v>682</v>
      </c>
      <c r="BX214" s="12" t="s">
        <v>591</v>
      </c>
      <c r="BY214" s="12" t="s">
        <v>978</v>
      </c>
      <c r="BZ214" s="12" t="s">
        <v>862</v>
      </c>
      <c r="CA214" s="12" t="s">
        <v>637</v>
      </c>
      <c r="CB214" s="12" t="s">
        <v>864</v>
      </c>
      <c r="CC214" s="12" t="s">
        <v>1260</v>
      </c>
      <c r="CD214" s="12" t="s">
        <v>1260</v>
      </c>
      <c r="CE214" s="12" t="s">
        <v>1208</v>
      </c>
      <c r="CF214" s="12" t="s">
        <v>1208</v>
      </c>
      <c r="CG214" s="12" t="s">
        <v>872</v>
      </c>
      <c r="CH214" s="12" t="s">
        <v>722</v>
      </c>
      <c r="CI214" s="12" t="s">
        <v>722</v>
      </c>
      <c r="CJ214" s="12" t="s">
        <v>722</v>
      </c>
      <c r="CK214" s="12" t="s">
        <v>1353</v>
      </c>
      <c r="CL214" s="12" t="s">
        <v>1353</v>
      </c>
      <c r="CM214" s="12" t="s">
        <v>1353</v>
      </c>
      <c r="CN214" s="12" t="s">
        <v>1353</v>
      </c>
      <c r="CO214" s="12" t="s">
        <v>1353</v>
      </c>
      <c r="CP214" s="12" t="s">
        <v>1353</v>
      </c>
      <c r="CQ214" s="12" t="s">
        <v>811</v>
      </c>
      <c r="CR214" s="12" t="s">
        <v>811</v>
      </c>
      <c r="CS214" s="12" t="s">
        <v>811</v>
      </c>
      <c r="CT214" s="12" t="s">
        <v>811</v>
      </c>
    </row>
    <row r="215" spans="1:98" hidden="1" x14ac:dyDescent="0.3">
      <c r="A215" s="12" t="s">
        <v>25</v>
      </c>
      <c r="B215" s="12" t="s">
        <v>4010</v>
      </c>
      <c r="C215" s="12" t="s">
        <v>4011</v>
      </c>
      <c r="D215" s="12" t="s">
        <v>2575</v>
      </c>
      <c r="E215" s="12" t="s">
        <v>578</v>
      </c>
      <c r="F215" s="12" t="s">
        <v>578</v>
      </c>
      <c r="G215" s="12" t="s">
        <v>578</v>
      </c>
      <c r="H215" s="12" t="s">
        <v>578</v>
      </c>
      <c r="I215" s="12" t="s">
        <v>578</v>
      </c>
      <c r="J215" s="12" t="s">
        <v>578</v>
      </c>
      <c r="K215" s="12" t="s">
        <v>578</v>
      </c>
      <c r="L215" s="12" t="s">
        <v>578</v>
      </c>
      <c r="M215" s="12" t="s">
        <v>578</v>
      </c>
      <c r="N215" s="12" t="s">
        <v>578</v>
      </c>
      <c r="O215" s="12" t="s">
        <v>578</v>
      </c>
      <c r="P215" s="12" t="s">
        <v>578</v>
      </c>
      <c r="Q215" s="12" t="s">
        <v>578</v>
      </c>
      <c r="R215" s="12" t="s">
        <v>578</v>
      </c>
      <c r="S215" s="12" t="s">
        <v>578</v>
      </c>
      <c r="T215" s="12" t="s">
        <v>578</v>
      </c>
      <c r="U215" s="12" t="s">
        <v>578</v>
      </c>
      <c r="V215" s="12" t="s">
        <v>578</v>
      </c>
      <c r="W215" s="12" t="s">
        <v>578</v>
      </c>
      <c r="X215" s="12" t="s">
        <v>578</v>
      </c>
      <c r="Y215" s="12" t="s">
        <v>578</v>
      </c>
      <c r="Z215" s="12" t="s">
        <v>578</v>
      </c>
      <c r="AA215" s="12" t="s">
        <v>578</v>
      </c>
      <c r="AB215" s="12" t="s">
        <v>578</v>
      </c>
      <c r="AC215" s="12" t="s">
        <v>578</v>
      </c>
      <c r="AD215" s="12" t="s">
        <v>578</v>
      </c>
      <c r="AE215" s="12" t="s">
        <v>578</v>
      </c>
      <c r="AF215" s="12" t="s">
        <v>578</v>
      </c>
      <c r="AG215" s="12" t="s">
        <v>578</v>
      </c>
      <c r="AH215" s="12" t="s">
        <v>578</v>
      </c>
      <c r="AI215" s="12" t="s">
        <v>578</v>
      </c>
      <c r="AJ215" s="12" t="s">
        <v>578</v>
      </c>
      <c r="AK215" s="12" t="s">
        <v>578</v>
      </c>
      <c r="AL215" s="12" t="s">
        <v>578</v>
      </c>
      <c r="AM215" s="12" t="s">
        <v>578</v>
      </c>
      <c r="AN215" s="12" t="s">
        <v>578</v>
      </c>
      <c r="AO215" s="12" t="s">
        <v>578</v>
      </c>
      <c r="AP215" s="12" t="s">
        <v>578</v>
      </c>
      <c r="AQ215" s="12" t="s">
        <v>578</v>
      </c>
      <c r="AR215" s="12" t="s">
        <v>578</v>
      </c>
      <c r="AS215" s="12" t="s">
        <v>578</v>
      </c>
      <c r="AT215" s="12" t="s">
        <v>578</v>
      </c>
      <c r="AU215" s="12" t="s">
        <v>579</v>
      </c>
      <c r="AV215" s="12" t="s">
        <v>579</v>
      </c>
      <c r="AW215" s="12" t="s">
        <v>579</v>
      </c>
      <c r="AX215" s="12" t="s">
        <v>579</v>
      </c>
      <c r="AY215" s="12" t="s">
        <v>623</v>
      </c>
      <c r="AZ215" s="12" t="s">
        <v>623</v>
      </c>
      <c r="BA215" s="12" t="s">
        <v>581</v>
      </c>
      <c r="BB215" s="12" t="s">
        <v>582</v>
      </c>
      <c r="BC215" s="12" t="s">
        <v>582</v>
      </c>
      <c r="BD215" s="12" t="s">
        <v>584</v>
      </c>
      <c r="BE215" s="12" t="s">
        <v>808</v>
      </c>
      <c r="BF215" s="12" t="s">
        <v>808</v>
      </c>
      <c r="BG215" s="12" t="s">
        <v>675</v>
      </c>
      <c r="BH215" s="12" t="s">
        <v>587</v>
      </c>
      <c r="BI215" s="12" t="s">
        <v>953</v>
      </c>
      <c r="BJ215" s="12" t="s">
        <v>718</v>
      </c>
      <c r="BK215" s="12" t="s">
        <v>679</v>
      </c>
      <c r="BL215" s="12" t="s">
        <v>680</v>
      </c>
      <c r="BM215" s="12" t="s">
        <v>720</v>
      </c>
      <c r="BN215" s="12" t="s">
        <v>636</v>
      </c>
      <c r="BO215" s="12" t="s">
        <v>1353</v>
      </c>
      <c r="BP215" s="12" t="s">
        <v>1516</v>
      </c>
      <c r="BQ215" s="12" t="s">
        <v>641</v>
      </c>
      <c r="BR215" s="12" t="s">
        <v>1839</v>
      </c>
      <c r="BS215" s="12" t="s">
        <v>1028</v>
      </c>
      <c r="BT215" s="12" t="s">
        <v>1831</v>
      </c>
      <c r="BU215" s="12" t="s">
        <v>1831</v>
      </c>
      <c r="BV215" s="12" t="s">
        <v>2167</v>
      </c>
      <c r="BW215" s="12" t="s">
        <v>602</v>
      </c>
      <c r="BX215" s="12" t="s">
        <v>3710</v>
      </c>
      <c r="BY215" s="12" t="s">
        <v>1035</v>
      </c>
      <c r="BZ215" s="12" t="s">
        <v>1724</v>
      </c>
      <c r="CA215" s="12" t="s">
        <v>997</v>
      </c>
      <c r="CB215" s="12" t="s">
        <v>4012</v>
      </c>
      <c r="CC215" s="12" t="s">
        <v>2680</v>
      </c>
      <c r="CD215" s="12" t="s">
        <v>1571</v>
      </c>
      <c r="CE215" s="12" t="s">
        <v>1137</v>
      </c>
      <c r="CF215" s="12" t="s">
        <v>3384</v>
      </c>
      <c r="CG215" s="12" t="s">
        <v>998</v>
      </c>
      <c r="CH215" s="12" t="s">
        <v>3528</v>
      </c>
      <c r="CI215" s="12" t="s">
        <v>2223</v>
      </c>
      <c r="CJ215" s="12" t="s">
        <v>1380</v>
      </c>
      <c r="CK215" s="12" t="s">
        <v>2050</v>
      </c>
      <c r="CL215" s="12" t="s">
        <v>827</v>
      </c>
      <c r="CM215" s="12" t="s">
        <v>2286</v>
      </c>
      <c r="CN215" s="12" t="s">
        <v>2286</v>
      </c>
      <c r="CO215" s="12" t="s">
        <v>1966</v>
      </c>
      <c r="CP215" s="12" t="s">
        <v>1463</v>
      </c>
      <c r="CQ215" s="12" t="s">
        <v>1463</v>
      </c>
      <c r="CR215" s="12" t="s">
        <v>4013</v>
      </c>
      <c r="CS215" s="12" t="s">
        <v>4014</v>
      </c>
      <c r="CT215" s="12" t="s">
        <v>1629</v>
      </c>
    </row>
    <row r="216" spans="1:98" hidden="1" x14ac:dyDescent="0.3">
      <c r="A216" s="12" t="s">
        <v>25</v>
      </c>
      <c r="B216" s="12" t="s">
        <v>4015</v>
      </c>
      <c r="C216" s="12" t="s">
        <v>4016</v>
      </c>
      <c r="D216" s="12" t="s">
        <v>4017</v>
      </c>
      <c r="E216" s="12" t="s">
        <v>578</v>
      </c>
      <c r="F216" s="12" t="s">
        <v>578</v>
      </c>
      <c r="G216" s="12" t="s">
        <v>578</v>
      </c>
      <c r="H216" s="12" t="s">
        <v>578</v>
      </c>
      <c r="I216" s="12" t="s">
        <v>578</v>
      </c>
      <c r="J216" s="12" t="s">
        <v>578</v>
      </c>
      <c r="K216" s="12" t="s">
        <v>578</v>
      </c>
      <c r="L216" s="12" t="s">
        <v>578</v>
      </c>
      <c r="M216" s="12" t="s">
        <v>578</v>
      </c>
      <c r="N216" s="12" t="s">
        <v>578</v>
      </c>
      <c r="O216" s="12" t="s">
        <v>578</v>
      </c>
      <c r="P216" s="12" t="s">
        <v>578</v>
      </c>
      <c r="Q216" s="12" t="s">
        <v>578</v>
      </c>
      <c r="R216" s="12" t="s">
        <v>578</v>
      </c>
      <c r="S216" s="12" t="s">
        <v>578</v>
      </c>
      <c r="T216" s="12" t="s">
        <v>578</v>
      </c>
      <c r="U216" s="12" t="s">
        <v>578</v>
      </c>
      <c r="V216" s="12" t="s">
        <v>578</v>
      </c>
      <c r="W216" s="12" t="s">
        <v>578</v>
      </c>
      <c r="X216" s="12" t="s">
        <v>578</v>
      </c>
      <c r="Y216" s="12" t="s">
        <v>578</v>
      </c>
      <c r="Z216" s="12" t="s">
        <v>578</v>
      </c>
      <c r="AA216" s="12" t="s">
        <v>578</v>
      </c>
      <c r="AB216" s="12" t="s">
        <v>578</v>
      </c>
      <c r="AC216" s="12" t="s">
        <v>578</v>
      </c>
      <c r="AD216" s="12" t="s">
        <v>578</v>
      </c>
      <c r="AE216" s="12" t="s">
        <v>578</v>
      </c>
      <c r="AF216" s="12" t="s">
        <v>578</v>
      </c>
      <c r="AG216" s="12" t="s">
        <v>578</v>
      </c>
      <c r="AH216" s="12" t="s">
        <v>578</v>
      </c>
      <c r="AI216" s="12" t="s">
        <v>578</v>
      </c>
      <c r="AJ216" s="12" t="s">
        <v>578</v>
      </c>
      <c r="AK216" s="12" t="s">
        <v>578</v>
      </c>
      <c r="AL216" s="12" t="s">
        <v>578</v>
      </c>
      <c r="AM216" s="12" t="s">
        <v>578</v>
      </c>
      <c r="AN216" s="12" t="s">
        <v>578</v>
      </c>
      <c r="AO216" s="12" t="s">
        <v>578</v>
      </c>
      <c r="AP216" s="12" t="s">
        <v>578</v>
      </c>
      <c r="AQ216" s="12" t="s">
        <v>578</v>
      </c>
      <c r="AR216" s="12" t="s">
        <v>578</v>
      </c>
      <c r="AS216" s="12" t="s">
        <v>578</v>
      </c>
      <c r="AT216" s="12" t="s">
        <v>578</v>
      </c>
      <c r="AU216" s="12" t="s">
        <v>578</v>
      </c>
      <c r="AV216" s="12" t="s">
        <v>578</v>
      </c>
      <c r="AW216" s="12" t="s">
        <v>578</v>
      </c>
      <c r="AX216" s="12" t="s">
        <v>578</v>
      </c>
      <c r="AY216" s="12" t="s">
        <v>578</v>
      </c>
      <c r="AZ216" s="12" t="s">
        <v>578</v>
      </c>
      <c r="BA216" s="12" t="s">
        <v>578</v>
      </c>
      <c r="BB216" s="12" t="s">
        <v>579</v>
      </c>
      <c r="BC216" s="12" t="s">
        <v>579</v>
      </c>
      <c r="BD216" s="12" t="s">
        <v>581</v>
      </c>
      <c r="BE216" s="12" t="s">
        <v>581</v>
      </c>
      <c r="BF216" s="12" t="s">
        <v>851</v>
      </c>
      <c r="BG216" s="12" t="s">
        <v>808</v>
      </c>
      <c r="BH216" s="12" t="s">
        <v>972</v>
      </c>
      <c r="BI216" s="12" t="s">
        <v>978</v>
      </c>
      <c r="BJ216" s="12" t="s">
        <v>2839</v>
      </c>
      <c r="BK216" s="12" t="s">
        <v>1099</v>
      </c>
      <c r="BL216" s="12" t="s">
        <v>2576</v>
      </c>
      <c r="BM216" s="12" t="s">
        <v>2124</v>
      </c>
      <c r="BN216" s="12" t="s">
        <v>4018</v>
      </c>
      <c r="BO216" s="12" t="s">
        <v>4019</v>
      </c>
      <c r="BP216" s="12" t="s">
        <v>4020</v>
      </c>
      <c r="BQ216" s="12" t="s">
        <v>4021</v>
      </c>
      <c r="BR216" s="12" t="s">
        <v>4022</v>
      </c>
      <c r="BS216" s="12" t="s">
        <v>4023</v>
      </c>
      <c r="BT216" s="12" t="s">
        <v>4024</v>
      </c>
      <c r="BU216" s="12" t="s">
        <v>4025</v>
      </c>
      <c r="BV216" s="12" t="s">
        <v>4026</v>
      </c>
      <c r="BW216" s="12" t="s">
        <v>4027</v>
      </c>
      <c r="BX216" s="12" t="s">
        <v>4028</v>
      </c>
      <c r="BY216" s="12" t="s">
        <v>4029</v>
      </c>
      <c r="BZ216" s="12" t="s">
        <v>4030</v>
      </c>
      <c r="CA216" s="12" t="s">
        <v>4031</v>
      </c>
      <c r="CB216" s="12" t="s">
        <v>4032</v>
      </c>
      <c r="CC216" s="12" t="s">
        <v>4033</v>
      </c>
      <c r="CD216" s="12" t="s">
        <v>4034</v>
      </c>
      <c r="CE216" s="12" t="s">
        <v>4035</v>
      </c>
      <c r="CF216" s="12" t="s">
        <v>4036</v>
      </c>
      <c r="CG216" s="12" t="s">
        <v>4037</v>
      </c>
      <c r="CH216" s="12" t="s">
        <v>4038</v>
      </c>
      <c r="CI216" s="12" t="s">
        <v>4039</v>
      </c>
      <c r="CJ216" s="12" t="s">
        <v>4040</v>
      </c>
      <c r="CK216" s="12" t="s">
        <v>4041</v>
      </c>
      <c r="CL216" s="12" t="s">
        <v>4042</v>
      </c>
      <c r="CM216" s="12" t="s">
        <v>4043</v>
      </c>
      <c r="CN216" s="12" t="s">
        <v>4044</v>
      </c>
      <c r="CO216" s="12" t="s">
        <v>4045</v>
      </c>
      <c r="CP216" s="12" t="s">
        <v>4046</v>
      </c>
      <c r="CQ216" s="12" t="s">
        <v>4047</v>
      </c>
      <c r="CR216" s="12" t="s">
        <v>4048</v>
      </c>
      <c r="CS216" s="12" t="s">
        <v>4049</v>
      </c>
      <c r="CT216" s="12" t="s">
        <v>4050</v>
      </c>
    </row>
    <row r="217" spans="1:98" hidden="1" x14ac:dyDescent="0.3">
      <c r="A217" s="12" t="s">
        <v>25</v>
      </c>
      <c r="B217" s="12" t="s">
        <v>4051</v>
      </c>
      <c r="C217" s="12" t="s">
        <v>4052</v>
      </c>
      <c r="D217" s="12" t="s">
        <v>2782</v>
      </c>
      <c r="E217" s="12" t="s">
        <v>578</v>
      </c>
      <c r="F217" s="12" t="s">
        <v>578</v>
      </c>
      <c r="G217" s="12" t="s">
        <v>578</v>
      </c>
      <c r="H217" s="12" t="s">
        <v>578</v>
      </c>
      <c r="I217" s="12" t="s">
        <v>578</v>
      </c>
      <c r="J217" s="12" t="s">
        <v>578</v>
      </c>
      <c r="K217" s="12" t="s">
        <v>578</v>
      </c>
      <c r="L217" s="12" t="s">
        <v>578</v>
      </c>
      <c r="M217" s="12" t="s">
        <v>578</v>
      </c>
      <c r="N217" s="12" t="s">
        <v>578</v>
      </c>
      <c r="O217" s="12" t="s">
        <v>578</v>
      </c>
      <c r="P217" s="12" t="s">
        <v>578</v>
      </c>
      <c r="Q217" s="12" t="s">
        <v>578</v>
      </c>
      <c r="R217" s="12" t="s">
        <v>578</v>
      </c>
      <c r="S217" s="12" t="s">
        <v>578</v>
      </c>
      <c r="T217" s="12" t="s">
        <v>578</v>
      </c>
      <c r="U217" s="12" t="s">
        <v>578</v>
      </c>
      <c r="V217" s="12" t="s">
        <v>578</v>
      </c>
      <c r="W217" s="12" t="s">
        <v>578</v>
      </c>
      <c r="X217" s="12" t="s">
        <v>578</v>
      </c>
      <c r="Y217" s="12" t="s">
        <v>578</v>
      </c>
      <c r="Z217" s="12" t="s">
        <v>578</v>
      </c>
      <c r="AA217" s="12" t="s">
        <v>578</v>
      </c>
      <c r="AB217" s="12" t="s">
        <v>578</v>
      </c>
      <c r="AC217" s="12" t="s">
        <v>578</v>
      </c>
      <c r="AD217" s="12" t="s">
        <v>578</v>
      </c>
      <c r="AE217" s="12" t="s">
        <v>578</v>
      </c>
      <c r="AF217" s="12" t="s">
        <v>578</v>
      </c>
      <c r="AG217" s="12" t="s">
        <v>578</v>
      </c>
      <c r="AH217" s="12" t="s">
        <v>578</v>
      </c>
      <c r="AI217" s="12" t="s">
        <v>578</v>
      </c>
      <c r="AJ217" s="12" t="s">
        <v>578</v>
      </c>
      <c r="AK217" s="12" t="s">
        <v>578</v>
      </c>
      <c r="AL217" s="12" t="s">
        <v>578</v>
      </c>
      <c r="AM217" s="12" t="s">
        <v>578</v>
      </c>
      <c r="AN217" s="12" t="s">
        <v>578</v>
      </c>
      <c r="AO217" s="12" t="s">
        <v>578</v>
      </c>
      <c r="AP217" s="12" t="s">
        <v>578</v>
      </c>
      <c r="AQ217" s="12" t="s">
        <v>578</v>
      </c>
      <c r="AR217" s="12" t="s">
        <v>578</v>
      </c>
      <c r="AS217" s="12" t="s">
        <v>578</v>
      </c>
      <c r="AT217" s="12" t="s">
        <v>578</v>
      </c>
      <c r="AU217" s="12" t="s">
        <v>578</v>
      </c>
      <c r="AV217" s="12" t="s">
        <v>578</v>
      </c>
      <c r="AW217" s="12" t="s">
        <v>578</v>
      </c>
      <c r="AX217" s="12" t="s">
        <v>578</v>
      </c>
      <c r="AY217" s="12" t="s">
        <v>578</v>
      </c>
      <c r="AZ217" s="12" t="s">
        <v>578</v>
      </c>
      <c r="BA217" s="12" t="s">
        <v>578</v>
      </c>
      <c r="BB217" s="12" t="s">
        <v>578</v>
      </c>
      <c r="BC217" s="12" t="s">
        <v>578</v>
      </c>
      <c r="BD217" s="12" t="s">
        <v>578</v>
      </c>
      <c r="BE217" s="12" t="s">
        <v>578</v>
      </c>
      <c r="BF217" s="12" t="s">
        <v>578</v>
      </c>
      <c r="BG217" s="12" t="s">
        <v>578</v>
      </c>
      <c r="BH217" s="12" t="s">
        <v>578</v>
      </c>
      <c r="BI217" s="12" t="s">
        <v>578</v>
      </c>
      <c r="BJ217" s="12" t="s">
        <v>578</v>
      </c>
      <c r="BK217" s="12" t="s">
        <v>578</v>
      </c>
      <c r="BL217" s="12" t="s">
        <v>579</v>
      </c>
      <c r="BM217" s="12" t="s">
        <v>579</v>
      </c>
      <c r="BN217" s="12" t="s">
        <v>761</v>
      </c>
      <c r="BO217" s="12" t="s">
        <v>761</v>
      </c>
      <c r="BP217" s="12" t="s">
        <v>756</v>
      </c>
      <c r="BQ217" s="12" t="s">
        <v>756</v>
      </c>
      <c r="BR217" s="12" t="s">
        <v>626</v>
      </c>
      <c r="BS217" s="12" t="s">
        <v>2018</v>
      </c>
      <c r="BT217" s="12" t="s">
        <v>627</v>
      </c>
      <c r="BU217" s="12" t="s">
        <v>627</v>
      </c>
      <c r="BV217" s="12" t="s">
        <v>1096</v>
      </c>
      <c r="BW217" s="12" t="s">
        <v>1096</v>
      </c>
      <c r="BX217" s="12" t="s">
        <v>768</v>
      </c>
      <c r="BY217" s="12" t="s">
        <v>678</v>
      </c>
      <c r="BZ217" s="12" t="s">
        <v>678</v>
      </c>
      <c r="CA217" s="12" t="s">
        <v>809</v>
      </c>
      <c r="CB217" s="12" t="s">
        <v>809</v>
      </c>
      <c r="CC217" s="12" t="s">
        <v>809</v>
      </c>
      <c r="CD217" s="12" t="s">
        <v>719</v>
      </c>
      <c r="CE217" s="12" t="s">
        <v>719</v>
      </c>
      <c r="CF217" s="12" t="s">
        <v>719</v>
      </c>
      <c r="CG217" s="12" t="s">
        <v>719</v>
      </c>
      <c r="CH217" s="12" t="s">
        <v>679</v>
      </c>
      <c r="CI217" s="12" t="s">
        <v>679</v>
      </c>
      <c r="CJ217" s="12" t="s">
        <v>631</v>
      </c>
      <c r="CK217" s="12" t="s">
        <v>631</v>
      </c>
      <c r="CL217" s="12" t="s">
        <v>631</v>
      </c>
      <c r="CM217" s="12" t="s">
        <v>769</v>
      </c>
      <c r="CN217" s="12" t="s">
        <v>631</v>
      </c>
      <c r="CO217" s="12" t="s">
        <v>631</v>
      </c>
      <c r="CP217" s="12" t="s">
        <v>769</v>
      </c>
      <c r="CQ217" s="12" t="s">
        <v>919</v>
      </c>
      <c r="CR217" s="12" t="s">
        <v>1180</v>
      </c>
      <c r="CS217" s="12" t="s">
        <v>589</v>
      </c>
      <c r="CT217" s="12" t="s">
        <v>720</v>
      </c>
    </row>
    <row r="218" spans="1:98" hidden="1" x14ac:dyDescent="0.3">
      <c r="A218" s="12" t="s">
        <v>25</v>
      </c>
      <c r="B218" s="12" t="s">
        <v>4053</v>
      </c>
      <c r="C218" s="12" t="s">
        <v>4054</v>
      </c>
      <c r="D218" s="12" t="s">
        <v>4055</v>
      </c>
      <c r="E218" s="12" t="s">
        <v>578</v>
      </c>
      <c r="F218" s="12" t="s">
        <v>578</v>
      </c>
      <c r="G218" s="12" t="s">
        <v>578</v>
      </c>
      <c r="H218" s="12" t="s">
        <v>578</v>
      </c>
      <c r="I218" s="12" t="s">
        <v>578</v>
      </c>
      <c r="J218" s="12" t="s">
        <v>578</v>
      </c>
      <c r="K218" s="12" t="s">
        <v>578</v>
      </c>
      <c r="L218" s="12" t="s">
        <v>578</v>
      </c>
      <c r="M218" s="12" t="s">
        <v>578</v>
      </c>
      <c r="N218" s="12" t="s">
        <v>578</v>
      </c>
      <c r="O218" s="12" t="s">
        <v>578</v>
      </c>
      <c r="P218" s="12" t="s">
        <v>578</v>
      </c>
      <c r="Q218" s="12" t="s">
        <v>578</v>
      </c>
      <c r="R218" s="12" t="s">
        <v>578</v>
      </c>
      <c r="S218" s="12" t="s">
        <v>578</v>
      </c>
      <c r="T218" s="12" t="s">
        <v>578</v>
      </c>
      <c r="U218" s="12" t="s">
        <v>578</v>
      </c>
      <c r="V218" s="12" t="s">
        <v>578</v>
      </c>
      <c r="W218" s="12" t="s">
        <v>578</v>
      </c>
      <c r="X218" s="12" t="s">
        <v>578</v>
      </c>
      <c r="Y218" s="12" t="s">
        <v>578</v>
      </c>
      <c r="Z218" s="12" t="s">
        <v>578</v>
      </c>
      <c r="AA218" s="12" t="s">
        <v>578</v>
      </c>
      <c r="AB218" s="12" t="s">
        <v>578</v>
      </c>
      <c r="AC218" s="12" t="s">
        <v>578</v>
      </c>
      <c r="AD218" s="12" t="s">
        <v>578</v>
      </c>
      <c r="AE218" s="12" t="s">
        <v>578</v>
      </c>
      <c r="AF218" s="12" t="s">
        <v>578</v>
      </c>
      <c r="AG218" s="12" t="s">
        <v>578</v>
      </c>
      <c r="AH218" s="12" t="s">
        <v>578</v>
      </c>
      <c r="AI218" s="12" t="s">
        <v>578</v>
      </c>
      <c r="AJ218" s="12" t="s">
        <v>578</v>
      </c>
      <c r="AK218" s="12" t="s">
        <v>578</v>
      </c>
      <c r="AL218" s="12" t="s">
        <v>578</v>
      </c>
      <c r="AM218" s="12" t="s">
        <v>578</v>
      </c>
      <c r="AN218" s="12" t="s">
        <v>578</v>
      </c>
      <c r="AO218" s="12" t="s">
        <v>578</v>
      </c>
      <c r="AP218" s="12" t="s">
        <v>578</v>
      </c>
      <c r="AQ218" s="12" t="s">
        <v>578</v>
      </c>
      <c r="AR218" s="12" t="s">
        <v>578</v>
      </c>
      <c r="AS218" s="12" t="s">
        <v>578</v>
      </c>
      <c r="AT218" s="12" t="s">
        <v>579</v>
      </c>
      <c r="AU218" s="12" t="s">
        <v>579</v>
      </c>
      <c r="AV218" s="12" t="s">
        <v>579</v>
      </c>
      <c r="AW218" s="12" t="s">
        <v>579</v>
      </c>
      <c r="AX218" s="12" t="s">
        <v>579</v>
      </c>
      <c r="AY218" s="12" t="s">
        <v>579</v>
      </c>
      <c r="AZ218" s="12" t="s">
        <v>579</v>
      </c>
      <c r="BA218" s="12" t="s">
        <v>579</v>
      </c>
      <c r="BB218" s="12" t="s">
        <v>579</v>
      </c>
      <c r="BC218" s="12" t="s">
        <v>579</v>
      </c>
      <c r="BD218" s="12" t="s">
        <v>672</v>
      </c>
      <c r="BE218" s="12" t="s">
        <v>672</v>
      </c>
      <c r="BF218" s="12" t="s">
        <v>672</v>
      </c>
      <c r="BG218" s="12" t="s">
        <v>582</v>
      </c>
      <c r="BH218" s="12" t="s">
        <v>756</v>
      </c>
      <c r="BI218" s="12" t="s">
        <v>756</v>
      </c>
      <c r="BJ218" s="12" t="s">
        <v>584</v>
      </c>
      <c r="BK218" s="12" t="s">
        <v>953</v>
      </c>
      <c r="BL218" s="12" t="s">
        <v>972</v>
      </c>
      <c r="BM218" s="12" t="s">
        <v>1120</v>
      </c>
      <c r="BN218" s="12" t="s">
        <v>1120</v>
      </c>
      <c r="BO218" s="12" t="s">
        <v>772</v>
      </c>
      <c r="BP218" s="12" t="s">
        <v>1886</v>
      </c>
      <c r="BQ218" s="12" t="s">
        <v>2137</v>
      </c>
      <c r="BR218" s="12" t="s">
        <v>1518</v>
      </c>
      <c r="BS218" s="12" t="s">
        <v>1888</v>
      </c>
      <c r="BT218" s="12" t="s">
        <v>658</v>
      </c>
      <c r="BU218" s="12" t="s">
        <v>662</v>
      </c>
      <c r="BV218" s="12" t="s">
        <v>1992</v>
      </c>
      <c r="BW218" s="12" t="s">
        <v>3649</v>
      </c>
      <c r="BX218" s="12" t="s">
        <v>3801</v>
      </c>
      <c r="BY218" s="12" t="s">
        <v>4056</v>
      </c>
      <c r="BZ218" s="12" t="s">
        <v>3397</v>
      </c>
      <c r="CA218" s="12" t="s">
        <v>4057</v>
      </c>
      <c r="CB218" s="12" t="s">
        <v>1016</v>
      </c>
      <c r="CC218" s="12" t="s">
        <v>3817</v>
      </c>
      <c r="CD218" s="12" t="s">
        <v>4058</v>
      </c>
      <c r="CE218" s="12" t="s">
        <v>4059</v>
      </c>
      <c r="CF218" s="12" t="s">
        <v>4060</v>
      </c>
      <c r="CG218" s="12" t="s">
        <v>4061</v>
      </c>
      <c r="CH218" s="12" t="s">
        <v>3677</v>
      </c>
      <c r="CI218" s="12" t="s">
        <v>4062</v>
      </c>
      <c r="CJ218" s="12" t="s">
        <v>4063</v>
      </c>
      <c r="CK218" s="12" t="s">
        <v>3536</v>
      </c>
      <c r="CL218" s="12" t="s">
        <v>1639</v>
      </c>
      <c r="CM218" s="12" t="s">
        <v>4064</v>
      </c>
      <c r="CN218" s="12" t="s">
        <v>4065</v>
      </c>
      <c r="CO218" s="12" t="s">
        <v>4066</v>
      </c>
      <c r="CP218" s="12" t="s">
        <v>4067</v>
      </c>
      <c r="CQ218" s="12" t="s">
        <v>4068</v>
      </c>
      <c r="CR218" s="12" t="s">
        <v>4069</v>
      </c>
      <c r="CS218" s="12" t="s">
        <v>4070</v>
      </c>
      <c r="CT218" s="12" t="s">
        <v>4071</v>
      </c>
    </row>
    <row r="219" spans="1:98" hidden="1" x14ac:dyDescent="0.3">
      <c r="A219" s="12" t="s">
        <v>25</v>
      </c>
      <c r="B219" s="12" t="s">
        <v>4072</v>
      </c>
      <c r="C219" s="12" t="s">
        <v>3713</v>
      </c>
      <c r="D219" s="12" t="s">
        <v>4073</v>
      </c>
      <c r="E219" s="12" t="s">
        <v>578</v>
      </c>
      <c r="F219" s="12" t="s">
        <v>578</v>
      </c>
      <c r="G219" s="12" t="s">
        <v>578</v>
      </c>
      <c r="H219" s="12" t="s">
        <v>578</v>
      </c>
      <c r="I219" s="12" t="s">
        <v>578</v>
      </c>
      <c r="J219" s="12" t="s">
        <v>578</v>
      </c>
      <c r="K219" s="12" t="s">
        <v>578</v>
      </c>
      <c r="L219" s="12" t="s">
        <v>580</v>
      </c>
      <c r="M219" s="12" t="s">
        <v>580</v>
      </c>
      <c r="N219" s="12" t="s">
        <v>580</v>
      </c>
      <c r="O219" s="12" t="s">
        <v>580</v>
      </c>
      <c r="P219" s="12" t="s">
        <v>581</v>
      </c>
      <c r="Q219" s="12" t="s">
        <v>581</v>
      </c>
      <c r="R219" s="12" t="s">
        <v>581</v>
      </c>
      <c r="S219" s="12" t="s">
        <v>581</v>
      </c>
      <c r="T219" s="12" t="s">
        <v>581</v>
      </c>
      <c r="U219" s="12" t="s">
        <v>581</v>
      </c>
      <c r="V219" s="12" t="s">
        <v>582</v>
      </c>
      <c r="W219" s="12" t="s">
        <v>582</v>
      </c>
      <c r="X219" s="12" t="s">
        <v>755</v>
      </c>
      <c r="Y219" s="12" t="s">
        <v>755</v>
      </c>
      <c r="Z219" s="12" t="s">
        <v>755</v>
      </c>
      <c r="AA219" s="12" t="s">
        <v>755</v>
      </c>
      <c r="AB219" s="12" t="s">
        <v>755</v>
      </c>
      <c r="AC219" s="12" t="s">
        <v>755</v>
      </c>
      <c r="AD219" s="12" t="s">
        <v>761</v>
      </c>
      <c r="AE219" s="12" t="s">
        <v>761</v>
      </c>
      <c r="AF219" s="12" t="s">
        <v>761</v>
      </c>
      <c r="AG219" s="12" t="s">
        <v>761</v>
      </c>
      <c r="AH219" s="12" t="s">
        <v>761</v>
      </c>
      <c r="AI219" s="12" t="s">
        <v>761</v>
      </c>
      <c r="AJ219" s="12" t="s">
        <v>868</v>
      </c>
      <c r="AK219" s="12" t="s">
        <v>868</v>
      </c>
      <c r="AL219" s="12" t="s">
        <v>868</v>
      </c>
      <c r="AM219" s="12" t="s">
        <v>868</v>
      </c>
      <c r="AN219" s="12" t="s">
        <v>868</v>
      </c>
      <c r="AO219" s="12" t="s">
        <v>868</v>
      </c>
      <c r="AP219" s="12" t="s">
        <v>674</v>
      </c>
      <c r="AQ219" s="12" t="s">
        <v>585</v>
      </c>
      <c r="AR219" s="12" t="s">
        <v>585</v>
      </c>
      <c r="AS219" s="12" t="s">
        <v>585</v>
      </c>
      <c r="AT219" s="12" t="s">
        <v>913</v>
      </c>
      <c r="AU219" s="12" t="s">
        <v>913</v>
      </c>
      <c r="AV219" s="12" t="s">
        <v>953</v>
      </c>
      <c r="AW219" s="12" t="s">
        <v>953</v>
      </c>
      <c r="AX219" s="12" t="s">
        <v>768</v>
      </c>
      <c r="AY219" s="12" t="s">
        <v>768</v>
      </c>
      <c r="AZ219" s="12" t="s">
        <v>768</v>
      </c>
      <c r="BA219" s="12" t="s">
        <v>589</v>
      </c>
      <c r="BB219" s="12" t="s">
        <v>589</v>
      </c>
      <c r="BC219" s="12" t="s">
        <v>1124</v>
      </c>
      <c r="BD219" s="12" t="s">
        <v>1124</v>
      </c>
      <c r="BE219" s="12" t="s">
        <v>1124</v>
      </c>
      <c r="BF219" s="12" t="s">
        <v>978</v>
      </c>
      <c r="BG219" s="12" t="s">
        <v>978</v>
      </c>
      <c r="BH219" s="12" t="s">
        <v>978</v>
      </c>
      <c r="BI219" s="12" t="s">
        <v>722</v>
      </c>
      <c r="BJ219" s="12" t="s">
        <v>1025</v>
      </c>
      <c r="BK219" s="12" t="s">
        <v>1025</v>
      </c>
      <c r="BL219" s="12" t="s">
        <v>2100</v>
      </c>
      <c r="BM219" s="12" t="s">
        <v>2100</v>
      </c>
      <c r="BN219" s="12" t="s">
        <v>3885</v>
      </c>
      <c r="BO219" s="12" t="s">
        <v>2030</v>
      </c>
      <c r="BP219" s="12" t="s">
        <v>648</v>
      </c>
      <c r="BQ219" s="12" t="s">
        <v>648</v>
      </c>
      <c r="BR219" s="12" t="s">
        <v>2078</v>
      </c>
      <c r="BS219" s="12" t="s">
        <v>1720</v>
      </c>
      <c r="BT219" s="12" t="s">
        <v>1984</v>
      </c>
      <c r="BU219" s="12" t="s">
        <v>4074</v>
      </c>
      <c r="BV219" s="12" t="s">
        <v>4075</v>
      </c>
      <c r="BW219" s="12" t="s">
        <v>2225</v>
      </c>
      <c r="BX219" s="12" t="s">
        <v>949</v>
      </c>
      <c r="BY219" s="12" t="s">
        <v>2133</v>
      </c>
      <c r="BZ219" s="12" t="s">
        <v>3818</v>
      </c>
      <c r="CA219" s="12" t="s">
        <v>4076</v>
      </c>
      <c r="CB219" s="12" t="s">
        <v>4077</v>
      </c>
      <c r="CC219" s="12" t="s">
        <v>4078</v>
      </c>
      <c r="CD219" s="12" t="s">
        <v>4079</v>
      </c>
      <c r="CE219" s="12" t="s">
        <v>4080</v>
      </c>
      <c r="CF219" s="12" t="s">
        <v>4081</v>
      </c>
      <c r="CG219" s="12" t="s">
        <v>3051</v>
      </c>
      <c r="CH219" s="12" t="s">
        <v>4082</v>
      </c>
      <c r="CI219" s="12" t="s">
        <v>4083</v>
      </c>
      <c r="CJ219" s="12" t="s">
        <v>4084</v>
      </c>
      <c r="CK219" s="12" t="s">
        <v>4085</v>
      </c>
      <c r="CL219" s="12" t="s">
        <v>4086</v>
      </c>
      <c r="CM219" s="12" t="s">
        <v>4087</v>
      </c>
      <c r="CN219" s="12" t="s">
        <v>4087</v>
      </c>
      <c r="CO219" s="12" t="s">
        <v>4088</v>
      </c>
      <c r="CP219" s="12" t="s">
        <v>4089</v>
      </c>
      <c r="CQ219" s="12" t="s">
        <v>3060</v>
      </c>
      <c r="CR219" s="12" t="s">
        <v>4090</v>
      </c>
      <c r="CS219" s="12" t="s">
        <v>4091</v>
      </c>
      <c r="CT219" s="12" t="s">
        <v>4092</v>
      </c>
    </row>
    <row r="220" spans="1:98" hidden="1" x14ac:dyDescent="0.3">
      <c r="A220" s="12" t="s">
        <v>4093</v>
      </c>
      <c r="B220" s="12" t="s">
        <v>4094</v>
      </c>
      <c r="C220" s="12" t="s">
        <v>4095</v>
      </c>
      <c r="D220" s="12" t="s">
        <v>4096</v>
      </c>
      <c r="E220" s="12" t="s">
        <v>578</v>
      </c>
      <c r="F220" s="12" t="s">
        <v>578</v>
      </c>
      <c r="G220" s="12" t="s">
        <v>578</v>
      </c>
      <c r="H220" s="12" t="s">
        <v>578</v>
      </c>
      <c r="I220" s="12" t="s">
        <v>578</v>
      </c>
      <c r="J220" s="12" t="s">
        <v>578</v>
      </c>
      <c r="K220" s="12" t="s">
        <v>578</v>
      </c>
      <c r="L220" s="12" t="s">
        <v>578</v>
      </c>
      <c r="M220" s="12" t="s">
        <v>578</v>
      </c>
      <c r="N220" s="12" t="s">
        <v>578</v>
      </c>
      <c r="O220" s="12" t="s">
        <v>578</v>
      </c>
      <c r="P220" s="12" t="s">
        <v>578</v>
      </c>
      <c r="Q220" s="12" t="s">
        <v>578</v>
      </c>
      <c r="R220" s="12" t="s">
        <v>578</v>
      </c>
      <c r="S220" s="12" t="s">
        <v>578</v>
      </c>
      <c r="T220" s="12" t="s">
        <v>578</v>
      </c>
      <c r="U220" s="12" t="s">
        <v>578</v>
      </c>
      <c r="V220" s="12" t="s">
        <v>578</v>
      </c>
      <c r="W220" s="12" t="s">
        <v>578</v>
      </c>
      <c r="X220" s="12" t="s">
        <v>578</v>
      </c>
      <c r="Y220" s="12" t="s">
        <v>578</v>
      </c>
      <c r="Z220" s="12" t="s">
        <v>578</v>
      </c>
      <c r="AA220" s="12" t="s">
        <v>578</v>
      </c>
      <c r="AB220" s="12" t="s">
        <v>578</v>
      </c>
      <c r="AC220" s="12" t="s">
        <v>578</v>
      </c>
      <c r="AD220" s="12" t="s">
        <v>578</v>
      </c>
      <c r="AE220" s="12" t="s">
        <v>578</v>
      </c>
      <c r="AF220" s="12" t="s">
        <v>578</v>
      </c>
      <c r="AG220" s="12" t="s">
        <v>578</v>
      </c>
      <c r="AH220" s="12" t="s">
        <v>578</v>
      </c>
      <c r="AI220" s="12" t="s">
        <v>578</v>
      </c>
      <c r="AJ220" s="12" t="s">
        <v>578</v>
      </c>
      <c r="AK220" s="12" t="s">
        <v>578</v>
      </c>
      <c r="AL220" s="12" t="s">
        <v>578</v>
      </c>
      <c r="AM220" s="12" t="s">
        <v>578</v>
      </c>
      <c r="AN220" s="12" t="s">
        <v>578</v>
      </c>
      <c r="AO220" s="12" t="s">
        <v>578</v>
      </c>
      <c r="AP220" s="12" t="s">
        <v>578</v>
      </c>
      <c r="AQ220" s="12" t="s">
        <v>578</v>
      </c>
      <c r="AR220" s="12" t="s">
        <v>578</v>
      </c>
      <c r="AS220" s="12" t="s">
        <v>578</v>
      </c>
      <c r="AT220" s="12" t="s">
        <v>578</v>
      </c>
      <c r="AU220" s="12" t="s">
        <v>578</v>
      </c>
      <c r="AV220" s="12" t="s">
        <v>578</v>
      </c>
      <c r="AW220" s="12" t="s">
        <v>578</v>
      </c>
      <c r="AX220" s="12" t="s">
        <v>578</v>
      </c>
      <c r="AY220" s="12" t="s">
        <v>578</v>
      </c>
      <c r="AZ220" s="12" t="s">
        <v>578</v>
      </c>
      <c r="BA220" s="12" t="s">
        <v>578</v>
      </c>
      <c r="BB220" s="12" t="s">
        <v>578</v>
      </c>
      <c r="BC220" s="12" t="s">
        <v>578</v>
      </c>
      <c r="BD220" s="12" t="s">
        <v>578</v>
      </c>
      <c r="BE220" s="12" t="s">
        <v>578</v>
      </c>
      <c r="BF220" s="12" t="s">
        <v>578</v>
      </c>
      <c r="BG220" s="12" t="s">
        <v>578</v>
      </c>
      <c r="BH220" s="12" t="s">
        <v>578</v>
      </c>
      <c r="BI220" s="12" t="s">
        <v>578</v>
      </c>
      <c r="BJ220" s="12" t="s">
        <v>623</v>
      </c>
      <c r="BK220" s="12" t="s">
        <v>623</v>
      </c>
      <c r="BL220" s="12" t="s">
        <v>623</v>
      </c>
      <c r="BM220" s="12" t="s">
        <v>851</v>
      </c>
      <c r="BN220" s="12" t="s">
        <v>851</v>
      </c>
      <c r="BO220" s="12" t="s">
        <v>851</v>
      </c>
      <c r="BP220" s="12" t="s">
        <v>582</v>
      </c>
      <c r="BQ220" s="12" t="s">
        <v>762</v>
      </c>
      <c r="BR220" s="12" t="s">
        <v>673</v>
      </c>
      <c r="BS220" s="12" t="s">
        <v>673</v>
      </c>
      <c r="BT220" s="12" t="s">
        <v>586</v>
      </c>
      <c r="BU220" s="12" t="s">
        <v>913</v>
      </c>
      <c r="BV220" s="12" t="s">
        <v>852</v>
      </c>
      <c r="BW220" s="12" t="s">
        <v>852</v>
      </c>
      <c r="BX220" s="12" t="s">
        <v>917</v>
      </c>
      <c r="BY220" s="12" t="s">
        <v>917</v>
      </c>
      <c r="BZ220" s="12" t="s">
        <v>917</v>
      </c>
      <c r="CA220" s="12" t="s">
        <v>677</v>
      </c>
      <c r="CB220" s="12" t="s">
        <v>718</v>
      </c>
      <c r="CC220" s="12" t="s">
        <v>718</v>
      </c>
      <c r="CD220" s="12" t="s">
        <v>718</v>
      </c>
      <c r="CE220" s="12" t="s">
        <v>678</v>
      </c>
      <c r="CF220" s="12" t="s">
        <v>678</v>
      </c>
      <c r="CG220" s="12" t="s">
        <v>678</v>
      </c>
      <c r="CH220" s="12" t="s">
        <v>992</v>
      </c>
      <c r="CI220" s="12" t="s">
        <v>992</v>
      </c>
      <c r="CJ220" s="12" t="s">
        <v>992</v>
      </c>
      <c r="CK220" s="12" t="s">
        <v>1184</v>
      </c>
      <c r="CL220" s="12" t="s">
        <v>1184</v>
      </c>
      <c r="CM220" s="12" t="s">
        <v>1352</v>
      </c>
      <c r="CN220" s="12" t="s">
        <v>1352</v>
      </c>
      <c r="CO220" s="12" t="s">
        <v>977</v>
      </c>
      <c r="CP220" s="12" t="s">
        <v>977</v>
      </c>
      <c r="CQ220" s="12" t="s">
        <v>977</v>
      </c>
      <c r="CR220" s="12" t="s">
        <v>860</v>
      </c>
      <c r="CS220" s="12" t="s">
        <v>860</v>
      </c>
      <c r="CT220" s="12" t="s">
        <v>860</v>
      </c>
    </row>
    <row r="221" spans="1:98" hidden="1" x14ac:dyDescent="0.3">
      <c r="A221" s="12" t="s">
        <v>4097</v>
      </c>
      <c r="B221" s="12" t="s">
        <v>4094</v>
      </c>
      <c r="C221" s="12" t="s">
        <v>4098</v>
      </c>
      <c r="D221" s="12" t="s">
        <v>4099</v>
      </c>
      <c r="E221" s="12" t="s">
        <v>578</v>
      </c>
      <c r="F221" s="12" t="s">
        <v>578</v>
      </c>
      <c r="G221" s="12" t="s">
        <v>578</v>
      </c>
      <c r="H221" s="12" t="s">
        <v>578</v>
      </c>
      <c r="I221" s="12" t="s">
        <v>578</v>
      </c>
      <c r="J221" s="12" t="s">
        <v>578</v>
      </c>
      <c r="K221" s="12" t="s">
        <v>578</v>
      </c>
      <c r="L221" s="12" t="s">
        <v>578</v>
      </c>
      <c r="M221" s="12" t="s">
        <v>578</v>
      </c>
      <c r="N221" s="12" t="s">
        <v>578</v>
      </c>
      <c r="O221" s="12" t="s">
        <v>578</v>
      </c>
      <c r="P221" s="12" t="s">
        <v>578</v>
      </c>
      <c r="Q221" s="12" t="s">
        <v>578</v>
      </c>
      <c r="R221" s="12" t="s">
        <v>578</v>
      </c>
      <c r="S221" s="12" t="s">
        <v>578</v>
      </c>
      <c r="T221" s="12" t="s">
        <v>578</v>
      </c>
      <c r="U221" s="12" t="s">
        <v>578</v>
      </c>
      <c r="V221" s="12" t="s">
        <v>578</v>
      </c>
      <c r="W221" s="12" t="s">
        <v>578</v>
      </c>
      <c r="X221" s="12" t="s">
        <v>578</v>
      </c>
      <c r="Y221" s="12" t="s">
        <v>578</v>
      </c>
      <c r="Z221" s="12" t="s">
        <v>578</v>
      </c>
      <c r="AA221" s="12" t="s">
        <v>578</v>
      </c>
      <c r="AB221" s="12" t="s">
        <v>578</v>
      </c>
      <c r="AC221" s="12" t="s">
        <v>578</v>
      </c>
      <c r="AD221" s="12" t="s">
        <v>578</v>
      </c>
      <c r="AE221" s="12" t="s">
        <v>578</v>
      </c>
      <c r="AF221" s="12" t="s">
        <v>578</v>
      </c>
      <c r="AG221" s="12" t="s">
        <v>578</v>
      </c>
      <c r="AH221" s="12" t="s">
        <v>578</v>
      </c>
      <c r="AI221" s="12" t="s">
        <v>578</v>
      </c>
      <c r="AJ221" s="12" t="s">
        <v>578</v>
      </c>
      <c r="AK221" s="12" t="s">
        <v>578</v>
      </c>
      <c r="AL221" s="12" t="s">
        <v>578</v>
      </c>
      <c r="AM221" s="12" t="s">
        <v>578</v>
      </c>
      <c r="AN221" s="12" t="s">
        <v>578</v>
      </c>
      <c r="AO221" s="12" t="s">
        <v>578</v>
      </c>
      <c r="AP221" s="12" t="s">
        <v>578</v>
      </c>
      <c r="AQ221" s="12" t="s">
        <v>578</v>
      </c>
      <c r="AR221" s="12" t="s">
        <v>578</v>
      </c>
      <c r="AS221" s="12" t="s">
        <v>578</v>
      </c>
      <c r="AT221" s="12" t="s">
        <v>578</v>
      </c>
      <c r="AU221" s="12" t="s">
        <v>578</v>
      </c>
      <c r="AV221" s="12" t="s">
        <v>578</v>
      </c>
      <c r="AW221" s="12" t="s">
        <v>578</v>
      </c>
      <c r="AX221" s="12" t="s">
        <v>578</v>
      </c>
      <c r="AY221" s="12" t="s">
        <v>578</v>
      </c>
      <c r="AZ221" s="12" t="s">
        <v>578</v>
      </c>
      <c r="BA221" s="12" t="s">
        <v>578</v>
      </c>
      <c r="BB221" s="12" t="s">
        <v>578</v>
      </c>
      <c r="BC221" s="12" t="s">
        <v>578</v>
      </c>
      <c r="BD221" s="12" t="s">
        <v>579</v>
      </c>
      <c r="BE221" s="12" t="s">
        <v>579</v>
      </c>
      <c r="BF221" s="12" t="s">
        <v>579</v>
      </c>
      <c r="BG221" s="12" t="s">
        <v>579</v>
      </c>
      <c r="BH221" s="12" t="s">
        <v>579</v>
      </c>
      <c r="BI221" s="12" t="s">
        <v>579</v>
      </c>
      <c r="BJ221" s="12" t="s">
        <v>672</v>
      </c>
      <c r="BK221" s="12" t="s">
        <v>672</v>
      </c>
      <c r="BL221" s="12" t="s">
        <v>672</v>
      </c>
      <c r="BM221" s="12" t="s">
        <v>672</v>
      </c>
      <c r="BN221" s="12" t="s">
        <v>581</v>
      </c>
      <c r="BO221" s="12" t="s">
        <v>851</v>
      </c>
      <c r="BP221" s="12" t="s">
        <v>755</v>
      </c>
      <c r="BQ221" s="12" t="s">
        <v>755</v>
      </c>
      <c r="BR221" s="12" t="s">
        <v>755</v>
      </c>
      <c r="BS221" s="12" t="s">
        <v>755</v>
      </c>
      <c r="BT221" s="12" t="s">
        <v>755</v>
      </c>
      <c r="BU221" s="12" t="s">
        <v>625</v>
      </c>
      <c r="BV221" s="12" t="s">
        <v>756</v>
      </c>
      <c r="BW221" s="12" t="s">
        <v>586</v>
      </c>
      <c r="BX221" s="12" t="s">
        <v>869</v>
      </c>
      <c r="BY221" s="12" t="s">
        <v>869</v>
      </c>
      <c r="BZ221" s="12" t="s">
        <v>917</v>
      </c>
      <c r="CA221" s="12" t="s">
        <v>917</v>
      </c>
      <c r="CB221" s="12" t="s">
        <v>718</v>
      </c>
      <c r="CC221" s="12" t="s">
        <v>768</v>
      </c>
      <c r="CD221" s="12" t="s">
        <v>768</v>
      </c>
      <c r="CE221" s="12" t="s">
        <v>768</v>
      </c>
      <c r="CF221" s="12" t="s">
        <v>768</v>
      </c>
      <c r="CG221" s="12" t="s">
        <v>768</v>
      </c>
      <c r="CH221" s="12" t="s">
        <v>719</v>
      </c>
      <c r="CI221" s="12" t="s">
        <v>719</v>
      </c>
      <c r="CJ221" s="12" t="s">
        <v>679</v>
      </c>
      <c r="CK221" s="12" t="s">
        <v>679</v>
      </c>
      <c r="CL221" s="12" t="s">
        <v>680</v>
      </c>
      <c r="CM221" s="12" t="s">
        <v>919</v>
      </c>
      <c r="CN221" s="12" t="s">
        <v>919</v>
      </c>
      <c r="CO221" s="12" t="s">
        <v>919</v>
      </c>
      <c r="CP221" s="12" t="s">
        <v>973</v>
      </c>
      <c r="CQ221" s="12" t="s">
        <v>973</v>
      </c>
      <c r="CR221" s="12" t="s">
        <v>973</v>
      </c>
      <c r="CS221" s="12" t="s">
        <v>973</v>
      </c>
      <c r="CT221" s="12" t="s">
        <v>634</v>
      </c>
    </row>
    <row r="222" spans="1:98" hidden="1" x14ac:dyDescent="0.3">
      <c r="A222" s="12" t="s">
        <v>4100</v>
      </c>
      <c r="B222" s="12" t="s">
        <v>4094</v>
      </c>
      <c r="C222" s="12" t="s">
        <v>4101</v>
      </c>
      <c r="D222" s="12" t="s">
        <v>4102</v>
      </c>
      <c r="E222" s="12" t="s">
        <v>578</v>
      </c>
      <c r="F222" s="12" t="s">
        <v>578</v>
      </c>
      <c r="G222" s="12" t="s">
        <v>578</v>
      </c>
      <c r="H222" s="12" t="s">
        <v>578</v>
      </c>
      <c r="I222" s="12" t="s">
        <v>578</v>
      </c>
      <c r="J222" s="12" t="s">
        <v>578</v>
      </c>
      <c r="K222" s="12" t="s">
        <v>578</v>
      </c>
      <c r="L222" s="12" t="s">
        <v>578</v>
      </c>
      <c r="M222" s="12" t="s">
        <v>578</v>
      </c>
      <c r="N222" s="12" t="s">
        <v>578</v>
      </c>
      <c r="O222" s="12" t="s">
        <v>578</v>
      </c>
      <c r="P222" s="12" t="s">
        <v>578</v>
      </c>
      <c r="Q222" s="12" t="s">
        <v>578</v>
      </c>
      <c r="R222" s="12" t="s">
        <v>578</v>
      </c>
      <c r="S222" s="12" t="s">
        <v>578</v>
      </c>
      <c r="T222" s="12" t="s">
        <v>578</v>
      </c>
      <c r="U222" s="12" t="s">
        <v>578</v>
      </c>
      <c r="V222" s="12" t="s">
        <v>578</v>
      </c>
      <c r="W222" s="12" t="s">
        <v>578</v>
      </c>
      <c r="X222" s="12" t="s">
        <v>578</v>
      </c>
      <c r="Y222" s="12" t="s">
        <v>578</v>
      </c>
      <c r="Z222" s="12" t="s">
        <v>578</v>
      </c>
      <c r="AA222" s="12" t="s">
        <v>578</v>
      </c>
      <c r="AB222" s="12" t="s">
        <v>578</v>
      </c>
      <c r="AC222" s="12" t="s">
        <v>578</v>
      </c>
      <c r="AD222" s="12" t="s">
        <v>578</v>
      </c>
      <c r="AE222" s="12" t="s">
        <v>578</v>
      </c>
      <c r="AF222" s="12" t="s">
        <v>578</v>
      </c>
      <c r="AG222" s="12" t="s">
        <v>578</v>
      </c>
      <c r="AH222" s="12" t="s">
        <v>578</v>
      </c>
      <c r="AI222" s="12" t="s">
        <v>578</v>
      </c>
      <c r="AJ222" s="12" t="s">
        <v>578</v>
      </c>
      <c r="AK222" s="12" t="s">
        <v>578</v>
      </c>
      <c r="AL222" s="12" t="s">
        <v>578</v>
      </c>
      <c r="AM222" s="12" t="s">
        <v>578</v>
      </c>
      <c r="AN222" s="12" t="s">
        <v>578</v>
      </c>
      <c r="AO222" s="12" t="s">
        <v>578</v>
      </c>
      <c r="AP222" s="12" t="s">
        <v>578</v>
      </c>
      <c r="AQ222" s="12" t="s">
        <v>578</v>
      </c>
      <c r="AR222" s="12" t="s">
        <v>578</v>
      </c>
      <c r="AS222" s="12" t="s">
        <v>578</v>
      </c>
      <c r="AT222" s="12" t="s">
        <v>578</v>
      </c>
      <c r="AU222" s="12" t="s">
        <v>578</v>
      </c>
      <c r="AV222" s="12" t="s">
        <v>578</v>
      </c>
      <c r="AW222" s="12" t="s">
        <v>578</v>
      </c>
      <c r="AX222" s="12" t="s">
        <v>578</v>
      </c>
      <c r="AY222" s="12" t="s">
        <v>578</v>
      </c>
      <c r="AZ222" s="12" t="s">
        <v>578</v>
      </c>
      <c r="BA222" s="12" t="s">
        <v>579</v>
      </c>
      <c r="BB222" s="12" t="s">
        <v>623</v>
      </c>
      <c r="BC222" s="12" t="s">
        <v>623</v>
      </c>
      <c r="BD222" s="12" t="s">
        <v>623</v>
      </c>
      <c r="BE222" s="12" t="s">
        <v>623</v>
      </c>
      <c r="BF222" s="12" t="s">
        <v>672</v>
      </c>
      <c r="BG222" s="12" t="s">
        <v>851</v>
      </c>
      <c r="BH222" s="12" t="s">
        <v>851</v>
      </c>
      <c r="BI222" s="12" t="s">
        <v>851</v>
      </c>
      <c r="BJ222" s="12" t="s">
        <v>583</v>
      </c>
      <c r="BK222" s="12" t="s">
        <v>756</v>
      </c>
      <c r="BL222" s="12" t="s">
        <v>852</v>
      </c>
      <c r="BM222" s="12" t="s">
        <v>852</v>
      </c>
      <c r="BN222" s="12" t="s">
        <v>971</v>
      </c>
      <c r="BO222" s="12" t="s">
        <v>971</v>
      </c>
      <c r="BP222" s="12" t="s">
        <v>918</v>
      </c>
      <c r="BQ222" s="12" t="s">
        <v>973</v>
      </c>
      <c r="BR222" s="12" t="s">
        <v>721</v>
      </c>
      <c r="BS222" s="12" t="s">
        <v>772</v>
      </c>
      <c r="BT222" s="12" t="s">
        <v>1499</v>
      </c>
      <c r="BU222" s="12" t="s">
        <v>2013</v>
      </c>
      <c r="BV222" s="12" t="s">
        <v>2013</v>
      </c>
      <c r="BW222" s="12" t="s">
        <v>1815</v>
      </c>
      <c r="BX222" s="12" t="s">
        <v>1422</v>
      </c>
      <c r="BY222" s="12" t="s">
        <v>1507</v>
      </c>
      <c r="BZ222" s="12" t="s">
        <v>1494</v>
      </c>
      <c r="CA222" s="12" t="s">
        <v>1830</v>
      </c>
      <c r="CB222" s="12" t="s">
        <v>1281</v>
      </c>
      <c r="CC222" s="12" t="s">
        <v>2056</v>
      </c>
      <c r="CD222" s="12" t="s">
        <v>1187</v>
      </c>
      <c r="CE222" s="12" t="s">
        <v>649</v>
      </c>
      <c r="CF222" s="12" t="s">
        <v>3126</v>
      </c>
      <c r="CG222" s="12" t="s">
        <v>820</v>
      </c>
      <c r="CH222" s="12" t="s">
        <v>3224</v>
      </c>
      <c r="CI222" s="12" t="s">
        <v>878</v>
      </c>
      <c r="CJ222" s="12" t="s">
        <v>1188</v>
      </c>
      <c r="CK222" s="12" t="s">
        <v>2679</v>
      </c>
      <c r="CL222" s="12" t="s">
        <v>1369</v>
      </c>
      <c r="CM222" s="12" t="s">
        <v>1844</v>
      </c>
      <c r="CN222" s="12" t="s">
        <v>604</v>
      </c>
      <c r="CO222" s="12" t="s">
        <v>1847</v>
      </c>
      <c r="CP222" s="12" t="s">
        <v>1847</v>
      </c>
      <c r="CQ222" s="12" t="s">
        <v>4103</v>
      </c>
      <c r="CR222" s="12" t="s">
        <v>2064</v>
      </c>
      <c r="CS222" s="12" t="s">
        <v>605</v>
      </c>
      <c r="CT222" s="12" t="s">
        <v>2037</v>
      </c>
    </row>
    <row r="223" spans="1:98" hidden="1" x14ac:dyDescent="0.3">
      <c r="A223" s="12" t="s">
        <v>4104</v>
      </c>
      <c r="B223" s="12" t="s">
        <v>4094</v>
      </c>
      <c r="C223" s="12" t="s">
        <v>4105</v>
      </c>
      <c r="D223" s="12" t="s">
        <v>4106</v>
      </c>
      <c r="E223" s="12" t="s">
        <v>578</v>
      </c>
      <c r="F223" s="12" t="s">
        <v>578</v>
      </c>
      <c r="G223" s="12" t="s">
        <v>578</v>
      </c>
      <c r="H223" s="12" t="s">
        <v>578</v>
      </c>
      <c r="I223" s="12" t="s">
        <v>578</v>
      </c>
      <c r="J223" s="12" t="s">
        <v>578</v>
      </c>
      <c r="K223" s="12" t="s">
        <v>578</v>
      </c>
      <c r="L223" s="12" t="s">
        <v>578</v>
      </c>
      <c r="M223" s="12" t="s">
        <v>578</v>
      </c>
      <c r="N223" s="12" t="s">
        <v>578</v>
      </c>
      <c r="O223" s="12" t="s">
        <v>578</v>
      </c>
      <c r="P223" s="12" t="s">
        <v>578</v>
      </c>
      <c r="Q223" s="12" t="s">
        <v>578</v>
      </c>
      <c r="R223" s="12" t="s">
        <v>578</v>
      </c>
      <c r="S223" s="12" t="s">
        <v>578</v>
      </c>
      <c r="T223" s="12" t="s">
        <v>578</v>
      </c>
      <c r="U223" s="12" t="s">
        <v>578</v>
      </c>
      <c r="V223" s="12" t="s">
        <v>578</v>
      </c>
      <c r="W223" s="12" t="s">
        <v>578</v>
      </c>
      <c r="X223" s="12" t="s">
        <v>578</v>
      </c>
      <c r="Y223" s="12" t="s">
        <v>578</v>
      </c>
      <c r="Z223" s="12" t="s">
        <v>578</v>
      </c>
      <c r="AA223" s="12" t="s">
        <v>578</v>
      </c>
      <c r="AB223" s="12" t="s">
        <v>578</v>
      </c>
      <c r="AC223" s="12" t="s">
        <v>578</v>
      </c>
      <c r="AD223" s="12" t="s">
        <v>578</v>
      </c>
      <c r="AE223" s="12" t="s">
        <v>578</v>
      </c>
      <c r="AF223" s="12" t="s">
        <v>578</v>
      </c>
      <c r="AG223" s="12" t="s">
        <v>578</v>
      </c>
      <c r="AH223" s="12" t="s">
        <v>578</v>
      </c>
      <c r="AI223" s="12" t="s">
        <v>578</v>
      </c>
      <c r="AJ223" s="12" t="s">
        <v>578</v>
      </c>
      <c r="AK223" s="12" t="s">
        <v>578</v>
      </c>
      <c r="AL223" s="12" t="s">
        <v>578</v>
      </c>
      <c r="AM223" s="12" t="s">
        <v>578</v>
      </c>
      <c r="AN223" s="12" t="s">
        <v>578</v>
      </c>
      <c r="AO223" s="12" t="s">
        <v>578</v>
      </c>
      <c r="AP223" s="12" t="s">
        <v>578</v>
      </c>
      <c r="AQ223" s="12" t="s">
        <v>578</v>
      </c>
      <c r="AR223" s="12" t="s">
        <v>578</v>
      </c>
      <c r="AS223" s="12" t="s">
        <v>578</v>
      </c>
      <c r="AT223" s="12" t="s">
        <v>578</v>
      </c>
      <c r="AU223" s="12" t="s">
        <v>579</v>
      </c>
      <c r="AV223" s="12" t="s">
        <v>579</v>
      </c>
      <c r="AW223" s="12" t="s">
        <v>579</v>
      </c>
      <c r="AX223" s="12" t="s">
        <v>579</v>
      </c>
      <c r="AY223" s="12" t="s">
        <v>579</v>
      </c>
      <c r="AZ223" s="12" t="s">
        <v>579</v>
      </c>
      <c r="BA223" s="12" t="s">
        <v>579</v>
      </c>
      <c r="BB223" s="12" t="s">
        <v>579</v>
      </c>
      <c r="BC223" s="12" t="s">
        <v>579</v>
      </c>
      <c r="BD223" s="12" t="s">
        <v>579</v>
      </c>
      <c r="BE223" s="12" t="s">
        <v>579</v>
      </c>
      <c r="BF223" s="12" t="s">
        <v>579</v>
      </c>
      <c r="BG223" s="12" t="s">
        <v>579</v>
      </c>
      <c r="BH223" s="12" t="s">
        <v>672</v>
      </c>
      <c r="BI223" s="12" t="s">
        <v>755</v>
      </c>
      <c r="BJ223" s="12" t="s">
        <v>624</v>
      </c>
      <c r="BK223" s="12" t="s">
        <v>624</v>
      </c>
      <c r="BL223" s="12" t="s">
        <v>624</v>
      </c>
      <c r="BM223" s="12" t="s">
        <v>762</v>
      </c>
      <c r="BN223" s="12" t="s">
        <v>762</v>
      </c>
      <c r="BO223" s="12" t="s">
        <v>762</v>
      </c>
      <c r="BP223" s="12" t="s">
        <v>676</v>
      </c>
      <c r="BQ223" s="12" t="s">
        <v>917</v>
      </c>
      <c r="BR223" s="12" t="s">
        <v>631</v>
      </c>
      <c r="BS223" s="12" t="s">
        <v>769</v>
      </c>
      <c r="BT223" s="12" t="s">
        <v>870</v>
      </c>
      <c r="BU223" s="12" t="s">
        <v>974</v>
      </c>
      <c r="BV223" s="12" t="s">
        <v>974</v>
      </c>
      <c r="BW223" s="12" t="s">
        <v>1184</v>
      </c>
      <c r="BX223" s="12" t="s">
        <v>721</v>
      </c>
      <c r="BY223" s="12" t="s">
        <v>1125</v>
      </c>
      <c r="BZ223" s="12" t="s">
        <v>978</v>
      </c>
      <c r="CA223" s="12" t="s">
        <v>862</v>
      </c>
      <c r="CB223" s="12" t="s">
        <v>1208</v>
      </c>
      <c r="CC223" s="12" t="s">
        <v>722</v>
      </c>
      <c r="CD223" s="12" t="s">
        <v>593</v>
      </c>
      <c r="CE223" s="12" t="s">
        <v>638</v>
      </c>
      <c r="CF223" s="12" t="s">
        <v>1354</v>
      </c>
      <c r="CG223" s="12" t="s">
        <v>1355</v>
      </c>
      <c r="CH223" s="12" t="s">
        <v>1355</v>
      </c>
      <c r="CI223" s="12" t="s">
        <v>1355</v>
      </c>
      <c r="CJ223" s="12" t="s">
        <v>1355</v>
      </c>
      <c r="CK223" s="12" t="s">
        <v>1047</v>
      </c>
      <c r="CL223" s="12" t="s">
        <v>1047</v>
      </c>
      <c r="CM223" s="12" t="s">
        <v>1261</v>
      </c>
      <c r="CN223" s="12" t="s">
        <v>1261</v>
      </c>
      <c r="CO223" s="12" t="s">
        <v>1261</v>
      </c>
      <c r="CP223" s="12" t="s">
        <v>1261</v>
      </c>
      <c r="CQ223" s="12" t="s">
        <v>1261</v>
      </c>
      <c r="CR223" s="12" t="s">
        <v>1261</v>
      </c>
      <c r="CS223" s="12" t="s">
        <v>723</v>
      </c>
      <c r="CT223" s="12" t="s">
        <v>723</v>
      </c>
    </row>
    <row r="224" spans="1:98" hidden="1" x14ac:dyDescent="0.3">
      <c r="A224" s="12" t="s">
        <v>4107</v>
      </c>
      <c r="B224" s="12" t="s">
        <v>4094</v>
      </c>
      <c r="C224" s="12" t="s">
        <v>4108</v>
      </c>
      <c r="D224" s="12" t="s">
        <v>4109</v>
      </c>
      <c r="E224" s="12" t="s">
        <v>578</v>
      </c>
      <c r="F224" s="12" t="s">
        <v>578</v>
      </c>
      <c r="G224" s="12" t="s">
        <v>578</v>
      </c>
      <c r="H224" s="12" t="s">
        <v>578</v>
      </c>
      <c r="I224" s="12" t="s">
        <v>578</v>
      </c>
      <c r="J224" s="12" t="s">
        <v>578</v>
      </c>
      <c r="K224" s="12" t="s">
        <v>578</v>
      </c>
      <c r="L224" s="12" t="s">
        <v>578</v>
      </c>
      <c r="M224" s="12" t="s">
        <v>578</v>
      </c>
      <c r="N224" s="12" t="s">
        <v>578</v>
      </c>
      <c r="O224" s="12" t="s">
        <v>578</v>
      </c>
      <c r="P224" s="12" t="s">
        <v>578</v>
      </c>
      <c r="Q224" s="12" t="s">
        <v>578</v>
      </c>
      <c r="R224" s="12" t="s">
        <v>578</v>
      </c>
      <c r="S224" s="12" t="s">
        <v>578</v>
      </c>
      <c r="T224" s="12" t="s">
        <v>578</v>
      </c>
      <c r="U224" s="12" t="s">
        <v>578</v>
      </c>
      <c r="V224" s="12" t="s">
        <v>578</v>
      </c>
      <c r="W224" s="12" t="s">
        <v>578</v>
      </c>
      <c r="X224" s="12" t="s">
        <v>578</v>
      </c>
      <c r="Y224" s="12" t="s">
        <v>578</v>
      </c>
      <c r="Z224" s="12" t="s">
        <v>578</v>
      </c>
      <c r="AA224" s="12" t="s">
        <v>578</v>
      </c>
      <c r="AB224" s="12" t="s">
        <v>578</v>
      </c>
      <c r="AC224" s="12" t="s">
        <v>578</v>
      </c>
      <c r="AD224" s="12" t="s">
        <v>578</v>
      </c>
      <c r="AE224" s="12" t="s">
        <v>578</v>
      </c>
      <c r="AF224" s="12" t="s">
        <v>578</v>
      </c>
      <c r="AG224" s="12" t="s">
        <v>578</v>
      </c>
      <c r="AH224" s="12" t="s">
        <v>578</v>
      </c>
      <c r="AI224" s="12" t="s">
        <v>578</v>
      </c>
      <c r="AJ224" s="12" t="s">
        <v>578</v>
      </c>
      <c r="AK224" s="12" t="s">
        <v>578</v>
      </c>
      <c r="AL224" s="12" t="s">
        <v>578</v>
      </c>
      <c r="AM224" s="12" t="s">
        <v>578</v>
      </c>
      <c r="AN224" s="12" t="s">
        <v>578</v>
      </c>
      <c r="AO224" s="12" t="s">
        <v>578</v>
      </c>
      <c r="AP224" s="12" t="s">
        <v>578</v>
      </c>
      <c r="AQ224" s="12" t="s">
        <v>578</v>
      </c>
      <c r="AR224" s="12" t="s">
        <v>578</v>
      </c>
      <c r="AS224" s="12" t="s">
        <v>578</v>
      </c>
      <c r="AT224" s="12" t="s">
        <v>578</v>
      </c>
      <c r="AU224" s="12" t="s">
        <v>578</v>
      </c>
      <c r="AV224" s="12" t="s">
        <v>578</v>
      </c>
      <c r="AW224" s="12" t="s">
        <v>578</v>
      </c>
      <c r="AX224" s="12" t="s">
        <v>578</v>
      </c>
      <c r="AY224" s="12" t="s">
        <v>578</v>
      </c>
      <c r="AZ224" s="12" t="s">
        <v>578</v>
      </c>
      <c r="BA224" s="12" t="s">
        <v>578</v>
      </c>
      <c r="BB224" s="12" t="s">
        <v>578</v>
      </c>
      <c r="BC224" s="12" t="s">
        <v>578</v>
      </c>
      <c r="BD224" s="12" t="s">
        <v>578</v>
      </c>
      <c r="BE224" s="12" t="s">
        <v>578</v>
      </c>
      <c r="BF224" s="12" t="s">
        <v>578</v>
      </c>
      <c r="BG224" s="12" t="s">
        <v>578</v>
      </c>
      <c r="BH224" s="12" t="s">
        <v>578</v>
      </c>
      <c r="BI224" s="12" t="s">
        <v>578</v>
      </c>
      <c r="BJ224" s="12" t="s">
        <v>578</v>
      </c>
      <c r="BK224" s="12" t="s">
        <v>579</v>
      </c>
      <c r="BL224" s="12" t="s">
        <v>579</v>
      </c>
      <c r="BM224" s="12" t="s">
        <v>581</v>
      </c>
      <c r="BN224" s="12" t="s">
        <v>868</v>
      </c>
      <c r="BO224" s="12" t="s">
        <v>626</v>
      </c>
      <c r="BP224" s="12" t="s">
        <v>626</v>
      </c>
      <c r="BQ224" s="12" t="s">
        <v>757</v>
      </c>
      <c r="BR224" s="12" t="s">
        <v>953</v>
      </c>
      <c r="BS224" s="12" t="s">
        <v>852</v>
      </c>
      <c r="BT224" s="12" t="s">
        <v>629</v>
      </c>
      <c r="BU224" s="12" t="s">
        <v>991</v>
      </c>
      <c r="BV224" s="12" t="s">
        <v>680</v>
      </c>
      <c r="BW224" s="12" t="s">
        <v>770</v>
      </c>
      <c r="BX224" s="12" t="s">
        <v>1125</v>
      </c>
      <c r="BY224" s="12" t="s">
        <v>1353</v>
      </c>
      <c r="BZ224" s="12" t="s">
        <v>1276</v>
      </c>
      <c r="CA224" s="12" t="s">
        <v>1354</v>
      </c>
      <c r="CB224" s="12" t="s">
        <v>683</v>
      </c>
      <c r="CC224" s="12" t="s">
        <v>1814</v>
      </c>
      <c r="CD224" s="12" t="s">
        <v>774</v>
      </c>
      <c r="CE224" s="12" t="s">
        <v>1838</v>
      </c>
      <c r="CF224" s="12" t="s">
        <v>684</v>
      </c>
      <c r="CG224" s="12" t="s">
        <v>1506</v>
      </c>
      <c r="CH224" s="12" t="s">
        <v>1127</v>
      </c>
      <c r="CI224" s="12" t="s">
        <v>1363</v>
      </c>
      <c r="CJ224" s="12" t="s">
        <v>1492</v>
      </c>
      <c r="CK224" s="12" t="s">
        <v>1128</v>
      </c>
      <c r="CL224" s="12" t="s">
        <v>3027</v>
      </c>
      <c r="CM224" s="12" t="s">
        <v>1829</v>
      </c>
      <c r="CN224" s="12" t="s">
        <v>1665</v>
      </c>
      <c r="CO224" s="12" t="s">
        <v>1098</v>
      </c>
      <c r="CP224" s="12" t="s">
        <v>1266</v>
      </c>
      <c r="CQ224" s="12" t="s">
        <v>876</v>
      </c>
      <c r="CR224" s="12" t="s">
        <v>876</v>
      </c>
      <c r="CS224" s="12" t="s">
        <v>876</v>
      </c>
      <c r="CT224" s="12" t="s">
        <v>728</v>
      </c>
    </row>
    <row r="225" spans="1:98" hidden="1" x14ac:dyDescent="0.3">
      <c r="A225" s="12" t="s">
        <v>4110</v>
      </c>
      <c r="B225" s="12" t="s">
        <v>4094</v>
      </c>
      <c r="C225" s="12" t="s">
        <v>4111</v>
      </c>
      <c r="D225" s="12" t="s">
        <v>4112</v>
      </c>
      <c r="E225" s="12" t="s">
        <v>578</v>
      </c>
      <c r="F225" s="12" t="s">
        <v>578</v>
      </c>
      <c r="G225" s="12" t="s">
        <v>578</v>
      </c>
      <c r="H225" s="12" t="s">
        <v>578</v>
      </c>
      <c r="I225" s="12" t="s">
        <v>578</v>
      </c>
      <c r="J225" s="12" t="s">
        <v>578</v>
      </c>
      <c r="K225" s="12" t="s">
        <v>578</v>
      </c>
      <c r="L225" s="12" t="s">
        <v>578</v>
      </c>
      <c r="M225" s="12" t="s">
        <v>578</v>
      </c>
      <c r="N225" s="12" t="s">
        <v>578</v>
      </c>
      <c r="O225" s="12" t="s">
        <v>578</v>
      </c>
      <c r="P225" s="12" t="s">
        <v>578</v>
      </c>
      <c r="Q225" s="12" t="s">
        <v>578</v>
      </c>
      <c r="R225" s="12" t="s">
        <v>578</v>
      </c>
      <c r="S225" s="12" t="s">
        <v>578</v>
      </c>
      <c r="T225" s="12" t="s">
        <v>578</v>
      </c>
      <c r="U225" s="12" t="s">
        <v>578</v>
      </c>
      <c r="V225" s="12" t="s">
        <v>578</v>
      </c>
      <c r="W225" s="12" t="s">
        <v>578</v>
      </c>
      <c r="X225" s="12" t="s">
        <v>578</v>
      </c>
      <c r="Y225" s="12" t="s">
        <v>578</v>
      </c>
      <c r="Z225" s="12" t="s">
        <v>578</v>
      </c>
      <c r="AA225" s="12" t="s">
        <v>578</v>
      </c>
      <c r="AB225" s="12" t="s">
        <v>578</v>
      </c>
      <c r="AC225" s="12" t="s">
        <v>578</v>
      </c>
      <c r="AD225" s="12" t="s">
        <v>578</v>
      </c>
      <c r="AE225" s="12" t="s">
        <v>578</v>
      </c>
      <c r="AF225" s="12" t="s">
        <v>578</v>
      </c>
      <c r="AG225" s="12" t="s">
        <v>578</v>
      </c>
      <c r="AH225" s="12" t="s">
        <v>578</v>
      </c>
      <c r="AI225" s="12" t="s">
        <v>578</v>
      </c>
      <c r="AJ225" s="12" t="s">
        <v>578</v>
      </c>
      <c r="AK225" s="12" t="s">
        <v>578</v>
      </c>
      <c r="AL225" s="12" t="s">
        <v>578</v>
      </c>
      <c r="AM225" s="12" t="s">
        <v>578</v>
      </c>
      <c r="AN225" s="12" t="s">
        <v>578</v>
      </c>
      <c r="AO225" s="12" t="s">
        <v>578</v>
      </c>
      <c r="AP225" s="12" t="s">
        <v>578</v>
      </c>
      <c r="AQ225" s="12" t="s">
        <v>578</v>
      </c>
      <c r="AR225" s="12" t="s">
        <v>578</v>
      </c>
      <c r="AS225" s="12" t="s">
        <v>578</v>
      </c>
      <c r="AT225" s="12" t="s">
        <v>578</v>
      </c>
      <c r="AU225" s="12" t="s">
        <v>578</v>
      </c>
      <c r="AV225" s="12" t="s">
        <v>578</v>
      </c>
      <c r="AW225" s="12" t="s">
        <v>578</v>
      </c>
      <c r="AX225" s="12" t="s">
        <v>578</v>
      </c>
      <c r="AY225" s="12" t="s">
        <v>578</v>
      </c>
      <c r="AZ225" s="12" t="s">
        <v>578</v>
      </c>
      <c r="BA225" s="12" t="s">
        <v>578</v>
      </c>
      <c r="BB225" s="12" t="s">
        <v>578</v>
      </c>
      <c r="BC225" s="12" t="s">
        <v>578</v>
      </c>
      <c r="BD225" s="12" t="s">
        <v>578</v>
      </c>
      <c r="BE225" s="12" t="s">
        <v>578</v>
      </c>
      <c r="BF225" s="12" t="s">
        <v>578</v>
      </c>
      <c r="BG225" s="12" t="s">
        <v>578</v>
      </c>
      <c r="BH225" s="12" t="s">
        <v>578</v>
      </c>
      <c r="BI225" s="12" t="s">
        <v>579</v>
      </c>
      <c r="BJ225" s="12" t="s">
        <v>579</v>
      </c>
      <c r="BK225" s="12" t="s">
        <v>579</v>
      </c>
      <c r="BL225" s="12" t="s">
        <v>579</v>
      </c>
      <c r="BM225" s="12" t="s">
        <v>579</v>
      </c>
      <c r="BN225" s="12" t="s">
        <v>579</v>
      </c>
      <c r="BO225" s="12" t="s">
        <v>579</v>
      </c>
      <c r="BP225" s="12" t="s">
        <v>579</v>
      </c>
      <c r="BQ225" s="12" t="s">
        <v>581</v>
      </c>
      <c r="BR225" s="12" t="s">
        <v>581</v>
      </c>
      <c r="BS225" s="12" t="s">
        <v>581</v>
      </c>
      <c r="BT225" s="12" t="s">
        <v>581</v>
      </c>
      <c r="BU225" s="12" t="s">
        <v>581</v>
      </c>
      <c r="BV225" s="12" t="s">
        <v>581</v>
      </c>
      <c r="BW225" s="12" t="s">
        <v>581</v>
      </c>
      <c r="BX225" s="12" t="s">
        <v>581</v>
      </c>
      <c r="BY225" s="12" t="s">
        <v>851</v>
      </c>
      <c r="BZ225" s="12" t="s">
        <v>851</v>
      </c>
      <c r="CA225" s="12" t="s">
        <v>851</v>
      </c>
      <c r="CB225" s="12" t="s">
        <v>851</v>
      </c>
      <c r="CC225" s="12" t="s">
        <v>761</v>
      </c>
      <c r="CD225" s="12" t="s">
        <v>761</v>
      </c>
      <c r="CE225" s="12" t="s">
        <v>761</v>
      </c>
      <c r="CF225" s="12" t="s">
        <v>761</v>
      </c>
      <c r="CG225" s="12" t="s">
        <v>761</v>
      </c>
      <c r="CH225" s="12" t="s">
        <v>761</v>
      </c>
      <c r="CI225" s="12" t="s">
        <v>583</v>
      </c>
      <c r="CJ225" s="12" t="s">
        <v>583</v>
      </c>
      <c r="CK225" s="12" t="s">
        <v>583</v>
      </c>
      <c r="CL225" s="12" t="s">
        <v>583</v>
      </c>
      <c r="CM225" s="12" t="s">
        <v>583</v>
      </c>
      <c r="CN225" s="12" t="s">
        <v>583</v>
      </c>
      <c r="CO225" s="12" t="s">
        <v>583</v>
      </c>
      <c r="CP225" s="12" t="s">
        <v>583</v>
      </c>
      <c r="CQ225" s="12" t="s">
        <v>583</v>
      </c>
      <c r="CR225" s="12" t="s">
        <v>583</v>
      </c>
      <c r="CS225" s="12" t="s">
        <v>583</v>
      </c>
      <c r="CT225" s="12" t="s">
        <v>583</v>
      </c>
    </row>
    <row r="226" spans="1:98" hidden="1" x14ac:dyDescent="0.3">
      <c r="A226" s="12" t="s">
        <v>25</v>
      </c>
      <c r="B226" s="12" t="s">
        <v>4094</v>
      </c>
      <c r="C226" s="12" t="s">
        <v>4113</v>
      </c>
      <c r="D226" s="12" t="s">
        <v>4114</v>
      </c>
      <c r="E226" s="12" t="s">
        <v>578</v>
      </c>
      <c r="F226" s="12" t="s">
        <v>578</v>
      </c>
      <c r="G226" s="12" t="s">
        <v>578</v>
      </c>
      <c r="H226" s="12" t="s">
        <v>578</v>
      </c>
      <c r="I226" s="12" t="s">
        <v>578</v>
      </c>
      <c r="J226" s="12" t="s">
        <v>578</v>
      </c>
      <c r="K226" s="12" t="s">
        <v>578</v>
      </c>
      <c r="L226" s="12" t="s">
        <v>578</v>
      </c>
      <c r="M226" s="12" t="s">
        <v>578</v>
      </c>
      <c r="N226" s="12" t="s">
        <v>623</v>
      </c>
      <c r="O226" s="12" t="s">
        <v>623</v>
      </c>
      <c r="P226" s="12" t="s">
        <v>623</v>
      </c>
      <c r="Q226" s="12" t="s">
        <v>623</v>
      </c>
      <c r="R226" s="12" t="s">
        <v>623</v>
      </c>
      <c r="S226" s="12" t="s">
        <v>623</v>
      </c>
      <c r="T226" s="12" t="s">
        <v>623</v>
      </c>
      <c r="U226" s="12" t="s">
        <v>672</v>
      </c>
      <c r="V226" s="12" t="s">
        <v>672</v>
      </c>
      <c r="W226" s="12" t="s">
        <v>672</v>
      </c>
      <c r="X226" s="12" t="s">
        <v>755</v>
      </c>
      <c r="Y226" s="12" t="s">
        <v>755</v>
      </c>
      <c r="Z226" s="12" t="s">
        <v>761</v>
      </c>
      <c r="AA226" s="12" t="s">
        <v>761</v>
      </c>
      <c r="AB226" s="12" t="s">
        <v>761</v>
      </c>
      <c r="AC226" s="12" t="s">
        <v>761</v>
      </c>
      <c r="AD226" s="12" t="s">
        <v>761</v>
      </c>
      <c r="AE226" s="12" t="s">
        <v>761</v>
      </c>
      <c r="AF226" s="12" t="s">
        <v>761</v>
      </c>
      <c r="AG226" s="12" t="s">
        <v>761</v>
      </c>
      <c r="AH226" s="12" t="s">
        <v>761</v>
      </c>
      <c r="AI226" s="12" t="s">
        <v>761</v>
      </c>
      <c r="AJ226" s="12" t="s">
        <v>761</v>
      </c>
      <c r="AK226" s="12" t="s">
        <v>761</v>
      </c>
      <c r="AL226" s="12" t="s">
        <v>868</v>
      </c>
      <c r="AM226" s="12" t="s">
        <v>868</v>
      </c>
      <c r="AN226" s="12" t="s">
        <v>868</v>
      </c>
      <c r="AO226" s="12" t="s">
        <v>762</v>
      </c>
      <c r="AP226" s="12" t="s">
        <v>675</v>
      </c>
      <c r="AQ226" s="12" t="s">
        <v>626</v>
      </c>
      <c r="AR226" s="12" t="s">
        <v>971</v>
      </c>
      <c r="AS226" s="12" t="s">
        <v>588</v>
      </c>
      <c r="AT226" s="12" t="s">
        <v>630</v>
      </c>
      <c r="AU226" s="12" t="s">
        <v>1124</v>
      </c>
      <c r="AV226" s="12" t="s">
        <v>811</v>
      </c>
      <c r="AW226" s="12" t="s">
        <v>1186</v>
      </c>
      <c r="AX226" s="12" t="s">
        <v>1604</v>
      </c>
      <c r="AY226" s="12" t="s">
        <v>597</v>
      </c>
      <c r="AZ226" s="12" t="s">
        <v>1311</v>
      </c>
      <c r="BA226" s="12" t="s">
        <v>2189</v>
      </c>
      <c r="BB226" s="12" t="s">
        <v>1701</v>
      </c>
      <c r="BC226" s="12" t="s">
        <v>1701</v>
      </c>
      <c r="BD226" s="12" t="s">
        <v>2140</v>
      </c>
      <c r="BE226" s="12" t="s">
        <v>4115</v>
      </c>
      <c r="BF226" s="12" t="s">
        <v>4115</v>
      </c>
      <c r="BG226" s="12" t="s">
        <v>4116</v>
      </c>
      <c r="BH226" s="12" t="s">
        <v>2210</v>
      </c>
      <c r="BI226" s="12" t="s">
        <v>3194</v>
      </c>
      <c r="BJ226" s="12" t="s">
        <v>4117</v>
      </c>
      <c r="BK226" s="12" t="s">
        <v>4118</v>
      </c>
      <c r="BL226" s="12" t="s">
        <v>4119</v>
      </c>
      <c r="BM226" s="12" t="s">
        <v>4120</v>
      </c>
      <c r="BN226" s="12" t="s">
        <v>4121</v>
      </c>
      <c r="BO226" s="12" t="s">
        <v>4122</v>
      </c>
      <c r="BP226" s="12" t="s">
        <v>4123</v>
      </c>
      <c r="BQ226" s="12" t="s">
        <v>4124</v>
      </c>
      <c r="BR226" s="12" t="s">
        <v>4125</v>
      </c>
      <c r="BS226" s="12" t="s">
        <v>4126</v>
      </c>
      <c r="BT226" s="12" t="s">
        <v>4127</v>
      </c>
      <c r="BU226" s="12" t="s">
        <v>4128</v>
      </c>
      <c r="BV226" s="12" t="s">
        <v>4129</v>
      </c>
      <c r="BW226" s="12" t="s">
        <v>4130</v>
      </c>
      <c r="BX226" s="12" t="s">
        <v>4131</v>
      </c>
      <c r="BY226" s="12" t="s">
        <v>4132</v>
      </c>
      <c r="BZ226" s="12" t="s">
        <v>4133</v>
      </c>
      <c r="CA226" s="12" t="s">
        <v>4134</v>
      </c>
      <c r="CB226" s="12" t="s">
        <v>4135</v>
      </c>
      <c r="CC226" s="12" t="s">
        <v>4136</v>
      </c>
      <c r="CD226" s="12" t="s">
        <v>4137</v>
      </c>
      <c r="CE226" s="12" t="s">
        <v>4138</v>
      </c>
      <c r="CF226" s="12" t="s">
        <v>4139</v>
      </c>
      <c r="CG226" s="12" t="s">
        <v>4140</v>
      </c>
      <c r="CH226" s="12" t="s">
        <v>4141</v>
      </c>
      <c r="CI226" s="12" t="s">
        <v>4142</v>
      </c>
      <c r="CJ226" s="12" t="s">
        <v>4143</v>
      </c>
      <c r="CK226" s="12" t="s">
        <v>4144</v>
      </c>
      <c r="CL226" s="12" t="s">
        <v>4145</v>
      </c>
      <c r="CM226" s="12" t="s">
        <v>4146</v>
      </c>
      <c r="CN226" s="12" t="s">
        <v>4147</v>
      </c>
      <c r="CO226" s="12" t="s">
        <v>4148</v>
      </c>
      <c r="CP226" s="12" t="s">
        <v>4149</v>
      </c>
      <c r="CQ226" s="12" t="s">
        <v>4150</v>
      </c>
      <c r="CR226" s="12" t="s">
        <v>4151</v>
      </c>
      <c r="CS226" s="12" t="s">
        <v>4152</v>
      </c>
      <c r="CT226" s="12" t="s">
        <v>4153</v>
      </c>
    </row>
    <row r="227" spans="1:98" hidden="1" x14ac:dyDescent="0.3">
      <c r="A227" s="12" t="s">
        <v>25</v>
      </c>
      <c r="B227" s="12" t="s">
        <v>4154</v>
      </c>
      <c r="C227" s="12" t="s">
        <v>4155</v>
      </c>
      <c r="D227" s="12" t="s">
        <v>4156</v>
      </c>
      <c r="E227" s="12" t="s">
        <v>578</v>
      </c>
      <c r="F227" s="12" t="s">
        <v>578</v>
      </c>
      <c r="G227" s="12" t="s">
        <v>578</v>
      </c>
      <c r="H227" s="12" t="s">
        <v>578</v>
      </c>
      <c r="I227" s="12" t="s">
        <v>578</v>
      </c>
      <c r="J227" s="12" t="s">
        <v>578</v>
      </c>
      <c r="K227" s="12" t="s">
        <v>578</v>
      </c>
      <c r="L227" s="12" t="s">
        <v>578</v>
      </c>
      <c r="M227" s="12" t="s">
        <v>578</v>
      </c>
      <c r="N227" s="12" t="s">
        <v>578</v>
      </c>
      <c r="O227" s="12" t="s">
        <v>578</v>
      </c>
      <c r="P227" s="12" t="s">
        <v>578</v>
      </c>
      <c r="Q227" s="12" t="s">
        <v>578</v>
      </c>
      <c r="R227" s="12" t="s">
        <v>578</v>
      </c>
      <c r="S227" s="12" t="s">
        <v>578</v>
      </c>
      <c r="T227" s="12" t="s">
        <v>578</v>
      </c>
      <c r="U227" s="12" t="s">
        <v>578</v>
      </c>
      <c r="V227" s="12" t="s">
        <v>578</v>
      </c>
      <c r="W227" s="12" t="s">
        <v>578</v>
      </c>
      <c r="X227" s="12" t="s">
        <v>578</v>
      </c>
      <c r="Y227" s="12" t="s">
        <v>578</v>
      </c>
      <c r="Z227" s="12" t="s">
        <v>578</v>
      </c>
      <c r="AA227" s="12" t="s">
        <v>578</v>
      </c>
      <c r="AB227" s="12" t="s">
        <v>578</v>
      </c>
      <c r="AC227" s="12" t="s">
        <v>578</v>
      </c>
      <c r="AD227" s="12" t="s">
        <v>578</v>
      </c>
      <c r="AE227" s="12" t="s">
        <v>578</v>
      </c>
      <c r="AF227" s="12" t="s">
        <v>578</v>
      </c>
      <c r="AG227" s="12" t="s">
        <v>578</v>
      </c>
      <c r="AH227" s="12" t="s">
        <v>578</v>
      </c>
      <c r="AI227" s="12" t="s">
        <v>578</v>
      </c>
      <c r="AJ227" s="12" t="s">
        <v>578</v>
      </c>
      <c r="AK227" s="12" t="s">
        <v>578</v>
      </c>
      <c r="AL227" s="12" t="s">
        <v>578</v>
      </c>
      <c r="AM227" s="12" t="s">
        <v>578</v>
      </c>
      <c r="AN227" s="12" t="s">
        <v>578</v>
      </c>
      <c r="AO227" s="12" t="s">
        <v>578</v>
      </c>
      <c r="AP227" s="12" t="s">
        <v>578</v>
      </c>
      <c r="AQ227" s="12" t="s">
        <v>578</v>
      </c>
      <c r="AR227" s="12" t="s">
        <v>578</v>
      </c>
      <c r="AS227" s="12" t="s">
        <v>578</v>
      </c>
      <c r="AT227" s="12" t="s">
        <v>578</v>
      </c>
      <c r="AU227" s="12" t="s">
        <v>578</v>
      </c>
      <c r="AV227" s="12" t="s">
        <v>578</v>
      </c>
      <c r="AW227" s="12" t="s">
        <v>578</v>
      </c>
      <c r="AX227" s="12" t="s">
        <v>578</v>
      </c>
      <c r="AY227" s="12" t="s">
        <v>578</v>
      </c>
      <c r="AZ227" s="12" t="s">
        <v>578</v>
      </c>
      <c r="BA227" s="12" t="s">
        <v>578</v>
      </c>
      <c r="BB227" s="12" t="s">
        <v>578</v>
      </c>
      <c r="BC227" s="12" t="s">
        <v>578</v>
      </c>
      <c r="BD227" s="12" t="s">
        <v>578</v>
      </c>
      <c r="BE227" s="12" t="s">
        <v>580</v>
      </c>
      <c r="BF227" s="12" t="s">
        <v>580</v>
      </c>
      <c r="BG227" s="12" t="s">
        <v>755</v>
      </c>
      <c r="BH227" s="12" t="s">
        <v>953</v>
      </c>
      <c r="BI227" s="12" t="s">
        <v>954</v>
      </c>
      <c r="BJ227" s="12" t="s">
        <v>771</v>
      </c>
      <c r="BK227" s="12" t="s">
        <v>591</v>
      </c>
      <c r="BL227" s="12" t="s">
        <v>592</v>
      </c>
      <c r="BM227" s="12" t="s">
        <v>774</v>
      </c>
      <c r="BN227" s="12" t="s">
        <v>1310</v>
      </c>
      <c r="BO227" s="12" t="s">
        <v>1310</v>
      </c>
      <c r="BP227" s="12" t="s">
        <v>1976</v>
      </c>
      <c r="BQ227" s="12" t="s">
        <v>1489</v>
      </c>
      <c r="BR227" s="12" t="s">
        <v>1624</v>
      </c>
      <c r="BS227" s="12" t="s">
        <v>1687</v>
      </c>
      <c r="BT227" s="12" t="s">
        <v>647</v>
      </c>
      <c r="BU227" s="12" t="s">
        <v>1518</v>
      </c>
      <c r="BV227" s="12" t="s">
        <v>1744</v>
      </c>
      <c r="BW227" s="12" t="s">
        <v>1744</v>
      </c>
      <c r="BX227" s="12" t="s">
        <v>1746</v>
      </c>
      <c r="BY227" s="12" t="s">
        <v>2428</v>
      </c>
      <c r="BZ227" s="12" t="s">
        <v>652</v>
      </c>
      <c r="CA227" s="12" t="s">
        <v>652</v>
      </c>
      <c r="CB227" s="12" t="s">
        <v>4157</v>
      </c>
      <c r="CC227" s="12" t="s">
        <v>821</v>
      </c>
      <c r="CD227" s="12" t="s">
        <v>821</v>
      </c>
      <c r="CE227" s="12" t="s">
        <v>1701</v>
      </c>
      <c r="CF227" s="12" t="s">
        <v>2699</v>
      </c>
      <c r="CG227" s="12" t="s">
        <v>659</v>
      </c>
      <c r="CH227" s="12" t="s">
        <v>1668</v>
      </c>
      <c r="CI227" s="12" t="s">
        <v>1668</v>
      </c>
      <c r="CJ227" s="12" t="s">
        <v>1846</v>
      </c>
      <c r="CK227" s="12" t="s">
        <v>1982</v>
      </c>
      <c r="CL227" s="12" t="s">
        <v>778</v>
      </c>
      <c r="CM227" s="12" t="s">
        <v>778</v>
      </c>
      <c r="CN227" s="12" t="s">
        <v>2080</v>
      </c>
      <c r="CO227" s="12" t="s">
        <v>1038</v>
      </c>
      <c r="CP227" s="12" t="s">
        <v>1755</v>
      </c>
      <c r="CQ227" s="12" t="s">
        <v>1755</v>
      </c>
      <c r="CR227" s="12" t="s">
        <v>1983</v>
      </c>
      <c r="CS227" s="12" t="s">
        <v>1403</v>
      </c>
      <c r="CT227" s="12" t="s">
        <v>4158</v>
      </c>
    </row>
    <row r="228" spans="1:98" hidden="1" x14ac:dyDescent="0.3">
      <c r="A228" s="12" t="s">
        <v>25</v>
      </c>
      <c r="B228" s="12" t="s">
        <v>4159</v>
      </c>
      <c r="C228" s="12" t="s">
        <v>4160</v>
      </c>
      <c r="D228" s="12" t="s">
        <v>4161</v>
      </c>
      <c r="E228" s="12" t="s">
        <v>579</v>
      </c>
      <c r="F228" s="12" t="s">
        <v>579</v>
      </c>
      <c r="G228" s="12" t="s">
        <v>623</v>
      </c>
      <c r="H228" s="12" t="s">
        <v>623</v>
      </c>
      <c r="I228" s="12" t="s">
        <v>581</v>
      </c>
      <c r="J228" s="12" t="s">
        <v>581</v>
      </c>
      <c r="K228" s="12" t="s">
        <v>581</v>
      </c>
      <c r="L228" s="12" t="s">
        <v>581</v>
      </c>
      <c r="M228" s="12" t="s">
        <v>581</v>
      </c>
      <c r="N228" s="12" t="s">
        <v>582</v>
      </c>
      <c r="O228" s="12" t="s">
        <v>755</v>
      </c>
      <c r="P228" s="12" t="s">
        <v>755</v>
      </c>
      <c r="Q228" s="12" t="s">
        <v>583</v>
      </c>
      <c r="R228" s="12" t="s">
        <v>583</v>
      </c>
      <c r="S228" s="12" t="s">
        <v>583</v>
      </c>
      <c r="T228" s="12" t="s">
        <v>583</v>
      </c>
      <c r="U228" s="12" t="s">
        <v>583</v>
      </c>
      <c r="V228" s="12" t="s">
        <v>583</v>
      </c>
      <c r="W228" s="12" t="s">
        <v>583</v>
      </c>
      <c r="X228" s="12" t="s">
        <v>583</v>
      </c>
      <c r="Y228" s="12" t="s">
        <v>625</v>
      </c>
      <c r="Z228" s="12" t="s">
        <v>625</v>
      </c>
      <c r="AA228" s="12" t="s">
        <v>868</v>
      </c>
      <c r="AB228" s="12" t="s">
        <v>868</v>
      </c>
      <c r="AC228" s="12" t="s">
        <v>868</v>
      </c>
      <c r="AD228" s="12" t="s">
        <v>868</v>
      </c>
      <c r="AE228" s="12" t="s">
        <v>868</v>
      </c>
      <c r="AF228" s="12" t="s">
        <v>868</v>
      </c>
      <c r="AG228" s="12" t="s">
        <v>868</v>
      </c>
      <c r="AH228" s="12" t="s">
        <v>868</v>
      </c>
      <c r="AI228" s="12" t="s">
        <v>762</v>
      </c>
      <c r="AJ228" s="12" t="s">
        <v>762</v>
      </c>
      <c r="AK228" s="12" t="s">
        <v>762</v>
      </c>
      <c r="AL228" s="12" t="s">
        <v>630</v>
      </c>
      <c r="AM228" s="12" t="s">
        <v>630</v>
      </c>
      <c r="AN228" s="12" t="s">
        <v>992</v>
      </c>
      <c r="AO228" s="12" t="s">
        <v>1413</v>
      </c>
      <c r="AP228" s="12" t="s">
        <v>680</v>
      </c>
      <c r="AQ228" s="12" t="s">
        <v>770</v>
      </c>
      <c r="AR228" s="12" t="s">
        <v>589</v>
      </c>
      <c r="AS228" s="12" t="s">
        <v>978</v>
      </c>
      <c r="AT228" s="12" t="s">
        <v>1501</v>
      </c>
      <c r="AU228" s="12" t="s">
        <v>2099</v>
      </c>
      <c r="AV228" s="12" t="s">
        <v>1489</v>
      </c>
      <c r="AW228" s="12" t="s">
        <v>1494</v>
      </c>
      <c r="AX228" s="12" t="s">
        <v>2395</v>
      </c>
      <c r="AY228" s="12" t="s">
        <v>660</v>
      </c>
      <c r="AZ228" s="12" t="s">
        <v>740</v>
      </c>
      <c r="BA228" s="12" t="s">
        <v>3321</v>
      </c>
      <c r="BB228" s="12" t="s">
        <v>1013</v>
      </c>
      <c r="BC228" s="12" t="s">
        <v>4162</v>
      </c>
      <c r="BD228" s="12" t="s">
        <v>3719</v>
      </c>
      <c r="BE228" s="12" t="s">
        <v>4163</v>
      </c>
      <c r="BF228" s="12" t="s">
        <v>4164</v>
      </c>
      <c r="BG228" s="12" t="s">
        <v>4165</v>
      </c>
      <c r="BH228" s="12" t="s">
        <v>4166</v>
      </c>
      <c r="BI228" s="12" t="s">
        <v>4167</v>
      </c>
      <c r="BJ228" s="12" t="s">
        <v>4168</v>
      </c>
      <c r="BK228" s="12" t="s">
        <v>4169</v>
      </c>
      <c r="BL228" s="12" t="s">
        <v>4170</v>
      </c>
      <c r="BM228" s="12" t="s">
        <v>4171</v>
      </c>
      <c r="BN228" s="12" t="s">
        <v>4172</v>
      </c>
      <c r="BO228" s="12" t="s">
        <v>4173</v>
      </c>
      <c r="BP228" s="12" t="s">
        <v>4174</v>
      </c>
      <c r="BQ228" s="12" t="s">
        <v>4175</v>
      </c>
      <c r="BR228" s="12" t="s">
        <v>4176</v>
      </c>
      <c r="BS228" s="12" t="s">
        <v>4177</v>
      </c>
      <c r="BT228" s="12" t="s">
        <v>4178</v>
      </c>
      <c r="BU228" s="12" t="s">
        <v>4179</v>
      </c>
      <c r="BV228" s="12" t="s">
        <v>4180</v>
      </c>
      <c r="BW228" s="12" t="s">
        <v>4181</v>
      </c>
      <c r="BX228" s="12" t="s">
        <v>4182</v>
      </c>
      <c r="BY228" s="12" t="s">
        <v>4183</v>
      </c>
      <c r="BZ228" s="12" t="s">
        <v>4184</v>
      </c>
      <c r="CA228" s="12" t="s">
        <v>4185</v>
      </c>
      <c r="CB228" s="12" t="s">
        <v>4186</v>
      </c>
      <c r="CC228" s="12" t="s">
        <v>4187</v>
      </c>
      <c r="CD228" s="12" t="s">
        <v>4188</v>
      </c>
      <c r="CE228" s="12" t="s">
        <v>4189</v>
      </c>
      <c r="CF228" s="12" t="s">
        <v>4190</v>
      </c>
      <c r="CG228" s="12" t="s">
        <v>4191</v>
      </c>
      <c r="CH228" s="12" t="s">
        <v>4192</v>
      </c>
      <c r="CI228" s="12" t="s">
        <v>4193</v>
      </c>
      <c r="CJ228" s="12" t="s">
        <v>4194</v>
      </c>
      <c r="CK228" s="12" t="s">
        <v>4195</v>
      </c>
      <c r="CL228" s="12" t="s">
        <v>4196</v>
      </c>
      <c r="CM228" s="12" t="s">
        <v>4197</v>
      </c>
      <c r="CN228" s="12" t="s">
        <v>4198</v>
      </c>
      <c r="CO228" s="12" t="s">
        <v>4199</v>
      </c>
      <c r="CP228" s="12" t="s">
        <v>4200</v>
      </c>
      <c r="CQ228" s="12" t="s">
        <v>4201</v>
      </c>
      <c r="CR228" s="12" t="s">
        <v>4202</v>
      </c>
      <c r="CS228" s="12" t="s">
        <v>4203</v>
      </c>
      <c r="CT228" s="12" t="s">
        <v>4204</v>
      </c>
    </row>
    <row r="229" spans="1:98" hidden="1" x14ac:dyDescent="0.3">
      <c r="A229" s="12" t="s">
        <v>25</v>
      </c>
      <c r="B229" s="12" t="s">
        <v>4205</v>
      </c>
      <c r="C229" s="12" t="s">
        <v>4206</v>
      </c>
      <c r="D229" s="12" t="s">
        <v>4207</v>
      </c>
      <c r="E229" s="12" t="s">
        <v>578</v>
      </c>
      <c r="F229" s="12" t="s">
        <v>578</v>
      </c>
      <c r="G229" s="12" t="s">
        <v>578</v>
      </c>
      <c r="H229" s="12" t="s">
        <v>578</v>
      </c>
      <c r="I229" s="12" t="s">
        <v>578</v>
      </c>
      <c r="J229" s="12" t="s">
        <v>578</v>
      </c>
      <c r="K229" s="12" t="s">
        <v>578</v>
      </c>
      <c r="L229" s="12" t="s">
        <v>578</v>
      </c>
      <c r="M229" s="12" t="s">
        <v>578</v>
      </c>
      <c r="N229" s="12" t="s">
        <v>578</v>
      </c>
      <c r="O229" s="12" t="s">
        <v>578</v>
      </c>
      <c r="P229" s="12" t="s">
        <v>578</v>
      </c>
      <c r="Q229" s="12" t="s">
        <v>578</v>
      </c>
      <c r="R229" s="12" t="s">
        <v>578</v>
      </c>
      <c r="S229" s="12" t="s">
        <v>578</v>
      </c>
      <c r="T229" s="12" t="s">
        <v>578</v>
      </c>
      <c r="U229" s="12" t="s">
        <v>578</v>
      </c>
      <c r="V229" s="12" t="s">
        <v>578</v>
      </c>
      <c r="W229" s="12" t="s">
        <v>578</v>
      </c>
      <c r="X229" s="12" t="s">
        <v>578</v>
      </c>
      <c r="Y229" s="12" t="s">
        <v>578</v>
      </c>
      <c r="Z229" s="12" t="s">
        <v>578</v>
      </c>
      <c r="AA229" s="12" t="s">
        <v>578</v>
      </c>
      <c r="AB229" s="12" t="s">
        <v>578</v>
      </c>
      <c r="AC229" s="12" t="s">
        <v>578</v>
      </c>
      <c r="AD229" s="12" t="s">
        <v>578</v>
      </c>
      <c r="AE229" s="12" t="s">
        <v>578</v>
      </c>
      <c r="AF229" s="12" t="s">
        <v>578</v>
      </c>
      <c r="AG229" s="12" t="s">
        <v>578</v>
      </c>
      <c r="AH229" s="12" t="s">
        <v>578</v>
      </c>
      <c r="AI229" s="12" t="s">
        <v>578</v>
      </c>
      <c r="AJ229" s="12" t="s">
        <v>578</v>
      </c>
      <c r="AK229" s="12" t="s">
        <v>578</v>
      </c>
      <c r="AL229" s="12" t="s">
        <v>578</v>
      </c>
      <c r="AM229" s="12" t="s">
        <v>578</v>
      </c>
      <c r="AN229" s="12" t="s">
        <v>578</v>
      </c>
      <c r="AO229" s="12" t="s">
        <v>578</v>
      </c>
      <c r="AP229" s="12" t="s">
        <v>578</v>
      </c>
      <c r="AQ229" s="12" t="s">
        <v>578</v>
      </c>
      <c r="AR229" s="12" t="s">
        <v>578</v>
      </c>
      <c r="AS229" s="12" t="s">
        <v>578</v>
      </c>
      <c r="AT229" s="12" t="s">
        <v>578</v>
      </c>
      <c r="AU229" s="12" t="s">
        <v>578</v>
      </c>
      <c r="AV229" s="12" t="s">
        <v>578</v>
      </c>
      <c r="AW229" s="12" t="s">
        <v>578</v>
      </c>
      <c r="AX229" s="12" t="s">
        <v>578</v>
      </c>
      <c r="AY229" s="12" t="s">
        <v>578</v>
      </c>
      <c r="AZ229" s="12" t="s">
        <v>578</v>
      </c>
      <c r="BA229" s="12" t="s">
        <v>578</v>
      </c>
      <c r="BB229" s="12" t="s">
        <v>578</v>
      </c>
      <c r="BC229" s="12" t="s">
        <v>578</v>
      </c>
      <c r="BD229" s="12" t="s">
        <v>578</v>
      </c>
      <c r="BE229" s="12" t="s">
        <v>578</v>
      </c>
      <c r="BF229" s="12" t="s">
        <v>579</v>
      </c>
      <c r="BG229" s="12" t="s">
        <v>851</v>
      </c>
      <c r="BH229" s="12" t="s">
        <v>624</v>
      </c>
      <c r="BI229" s="12" t="s">
        <v>762</v>
      </c>
      <c r="BJ229" s="12" t="s">
        <v>626</v>
      </c>
      <c r="BK229" s="12" t="s">
        <v>627</v>
      </c>
      <c r="BL229" s="12" t="s">
        <v>1259</v>
      </c>
      <c r="BM229" s="12" t="s">
        <v>1259</v>
      </c>
      <c r="BN229" s="12" t="s">
        <v>918</v>
      </c>
      <c r="BO229" s="12" t="s">
        <v>954</v>
      </c>
      <c r="BP229" s="12" t="s">
        <v>680</v>
      </c>
      <c r="BQ229" s="12" t="s">
        <v>720</v>
      </c>
      <c r="BR229" s="12" t="s">
        <v>721</v>
      </c>
      <c r="BS229" s="12" t="s">
        <v>637</v>
      </c>
      <c r="BT229" s="12" t="s">
        <v>920</v>
      </c>
      <c r="BU229" s="12" t="s">
        <v>2099</v>
      </c>
      <c r="BV229" s="12" t="s">
        <v>1815</v>
      </c>
      <c r="BW229" s="12" t="s">
        <v>1569</v>
      </c>
      <c r="BX229" s="12" t="s">
        <v>986</v>
      </c>
      <c r="BY229" s="12" t="s">
        <v>1839</v>
      </c>
      <c r="BZ229" s="12" t="s">
        <v>775</v>
      </c>
      <c r="CA229" s="12" t="s">
        <v>1519</v>
      </c>
      <c r="CB229" s="12" t="s">
        <v>1369</v>
      </c>
      <c r="CC229" s="12" t="s">
        <v>996</v>
      </c>
      <c r="CD229" s="12" t="s">
        <v>738</v>
      </c>
      <c r="CE229" s="12" t="s">
        <v>1710</v>
      </c>
      <c r="CF229" s="12" t="s">
        <v>1286</v>
      </c>
      <c r="CG229" s="12" t="s">
        <v>2044</v>
      </c>
      <c r="CH229" s="12" t="s">
        <v>2397</v>
      </c>
      <c r="CI229" s="12" t="s">
        <v>943</v>
      </c>
      <c r="CJ229" s="12" t="s">
        <v>4208</v>
      </c>
      <c r="CK229" s="12" t="s">
        <v>1015</v>
      </c>
      <c r="CL229" s="12" t="s">
        <v>1771</v>
      </c>
      <c r="CM229" s="12" t="s">
        <v>883</v>
      </c>
      <c r="CN229" s="12" t="s">
        <v>1471</v>
      </c>
      <c r="CO229" s="12" t="s">
        <v>4209</v>
      </c>
      <c r="CP229" s="12" t="s">
        <v>4210</v>
      </c>
      <c r="CQ229" s="12" t="s">
        <v>4211</v>
      </c>
      <c r="CR229" s="12" t="s">
        <v>3442</v>
      </c>
      <c r="CS229" s="12" t="s">
        <v>4212</v>
      </c>
      <c r="CT229" s="12" t="s">
        <v>4213</v>
      </c>
    </row>
    <row r="230" spans="1:98" hidden="1" x14ac:dyDescent="0.3">
      <c r="A230" s="12" t="s">
        <v>25</v>
      </c>
      <c r="B230" s="12" t="s">
        <v>4214</v>
      </c>
      <c r="C230" s="12" t="s">
        <v>4215</v>
      </c>
      <c r="D230" s="12" t="s">
        <v>4216</v>
      </c>
      <c r="E230" s="12" t="s">
        <v>578</v>
      </c>
      <c r="F230" s="12" t="s">
        <v>578</v>
      </c>
      <c r="G230" s="12" t="s">
        <v>578</v>
      </c>
      <c r="H230" s="12" t="s">
        <v>578</v>
      </c>
      <c r="I230" s="12" t="s">
        <v>578</v>
      </c>
      <c r="J230" s="12" t="s">
        <v>578</v>
      </c>
      <c r="K230" s="12" t="s">
        <v>578</v>
      </c>
      <c r="L230" s="12" t="s">
        <v>578</v>
      </c>
      <c r="M230" s="12" t="s">
        <v>578</v>
      </c>
      <c r="N230" s="12" t="s">
        <v>578</v>
      </c>
      <c r="O230" s="12" t="s">
        <v>578</v>
      </c>
      <c r="P230" s="12" t="s">
        <v>578</v>
      </c>
      <c r="Q230" s="12" t="s">
        <v>578</v>
      </c>
      <c r="R230" s="12" t="s">
        <v>578</v>
      </c>
      <c r="S230" s="12" t="s">
        <v>578</v>
      </c>
      <c r="T230" s="12" t="s">
        <v>578</v>
      </c>
      <c r="U230" s="12" t="s">
        <v>578</v>
      </c>
      <c r="V230" s="12" t="s">
        <v>578</v>
      </c>
      <c r="W230" s="12" t="s">
        <v>578</v>
      </c>
      <c r="X230" s="12" t="s">
        <v>578</v>
      </c>
      <c r="Y230" s="12" t="s">
        <v>578</v>
      </c>
      <c r="Z230" s="12" t="s">
        <v>578</v>
      </c>
      <c r="AA230" s="12" t="s">
        <v>578</v>
      </c>
      <c r="AB230" s="12" t="s">
        <v>578</v>
      </c>
      <c r="AC230" s="12" t="s">
        <v>578</v>
      </c>
      <c r="AD230" s="12" t="s">
        <v>578</v>
      </c>
      <c r="AE230" s="12" t="s">
        <v>578</v>
      </c>
      <c r="AF230" s="12" t="s">
        <v>578</v>
      </c>
      <c r="AG230" s="12" t="s">
        <v>578</v>
      </c>
      <c r="AH230" s="12" t="s">
        <v>578</v>
      </c>
      <c r="AI230" s="12" t="s">
        <v>578</v>
      </c>
      <c r="AJ230" s="12" t="s">
        <v>578</v>
      </c>
      <c r="AK230" s="12" t="s">
        <v>578</v>
      </c>
      <c r="AL230" s="12" t="s">
        <v>578</v>
      </c>
      <c r="AM230" s="12" t="s">
        <v>578</v>
      </c>
      <c r="AN230" s="12" t="s">
        <v>578</v>
      </c>
      <c r="AO230" s="12" t="s">
        <v>578</v>
      </c>
      <c r="AP230" s="12" t="s">
        <v>578</v>
      </c>
      <c r="AQ230" s="12" t="s">
        <v>578</v>
      </c>
      <c r="AR230" s="12" t="s">
        <v>578</v>
      </c>
      <c r="AS230" s="12" t="s">
        <v>578</v>
      </c>
      <c r="AT230" s="12" t="s">
        <v>578</v>
      </c>
      <c r="AU230" s="12" t="s">
        <v>578</v>
      </c>
      <c r="AV230" s="12" t="s">
        <v>578</v>
      </c>
      <c r="AW230" s="12" t="s">
        <v>578</v>
      </c>
      <c r="AX230" s="12" t="s">
        <v>578</v>
      </c>
      <c r="AY230" s="12" t="s">
        <v>578</v>
      </c>
      <c r="AZ230" s="12" t="s">
        <v>578</v>
      </c>
      <c r="BA230" s="12" t="s">
        <v>578</v>
      </c>
      <c r="BB230" s="12" t="s">
        <v>578</v>
      </c>
      <c r="BC230" s="12" t="s">
        <v>578</v>
      </c>
      <c r="BD230" s="12" t="s">
        <v>578</v>
      </c>
      <c r="BE230" s="12" t="s">
        <v>623</v>
      </c>
      <c r="BF230" s="12" t="s">
        <v>624</v>
      </c>
      <c r="BG230" s="12" t="s">
        <v>673</v>
      </c>
      <c r="BH230" s="12" t="s">
        <v>627</v>
      </c>
      <c r="BI230" s="12" t="s">
        <v>971</v>
      </c>
      <c r="BJ230" s="12" t="s">
        <v>629</v>
      </c>
      <c r="BK230" s="12" t="s">
        <v>629</v>
      </c>
      <c r="BL230" s="12" t="s">
        <v>634</v>
      </c>
      <c r="BM230" s="12" t="s">
        <v>634</v>
      </c>
      <c r="BN230" s="12" t="s">
        <v>855</v>
      </c>
      <c r="BO230" s="12" t="s">
        <v>590</v>
      </c>
      <c r="BP230" s="12" t="s">
        <v>857</v>
      </c>
      <c r="BQ230" s="12" t="s">
        <v>1260</v>
      </c>
      <c r="BR230" s="12" t="s">
        <v>1260</v>
      </c>
      <c r="BS230" s="12" t="s">
        <v>1418</v>
      </c>
      <c r="BT230" s="12" t="s">
        <v>1418</v>
      </c>
      <c r="BU230" s="12" t="s">
        <v>1356</v>
      </c>
      <c r="BV230" s="12" t="s">
        <v>1356</v>
      </c>
      <c r="BW230" s="12" t="s">
        <v>1821</v>
      </c>
      <c r="BX230" s="12" t="s">
        <v>639</v>
      </c>
      <c r="BY230" s="12" t="s">
        <v>2100</v>
      </c>
      <c r="BZ230" s="12" t="s">
        <v>1623</v>
      </c>
      <c r="CA230" s="12" t="s">
        <v>1733</v>
      </c>
      <c r="CB230" s="12" t="s">
        <v>981</v>
      </c>
      <c r="CC230" s="12" t="s">
        <v>981</v>
      </c>
      <c r="CD230" s="12" t="s">
        <v>1487</v>
      </c>
      <c r="CE230" s="12" t="s">
        <v>874</v>
      </c>
      <c r="CF230" s="12" t="s">
        <v>874</v>
      </c>
      <c r="CG230" s="12" t="s">
        <v>1026</v>
      </c>
      <c r="CH230" s="12" t="s">
        <v>1569</v>
      </c>
      <c r="CI230" s="12" t="s">
        <v>1976</v>
      </c>
      <c r="CJ230" s="12" t="s">
        <v>1976</v>
      </c>
      <c r="CK230" s="12" t="s">
        <v>641</v>
      </c>
      <c r="CL230" s="12" t="s">
        <v>2515</v>
      </c>
      <c r="CM230" s="12" t="s">
        <v>2515</v>
      </c>
      <c r="CN230" s="12" t="s">
        <v>1839</v>
      </c>
      <c r="CO230" s="12" t="s">
        <v>1128</v>
      </c>
      <c r="CP230" s="12" t="s">
        <v>1128</v>
      </c>
      <c r="CQ230" s="12" t="s">
        <v>1129</v>
      </c>
      <c r="CR230" s="12" t="s">
        <v>1395</v>
      </c>
      <c r="CS230" s="12" t="s">
        <v>1029</v>
      </c>
      <c r="CT230" s="12" t="s">
        <v>1396</v>
      </c>
    </row>
    <row r="231" spans="1:98" hidden="1" x14ac:dyDescent="0.3">
      <c r="A231" s="12" t="s">
        <v>25</v>
      </c>
      <c r="B231" s="12" t="s">
        <v>4217</v>
      </c>
      <c r="C231" s="12" t="s">
        <v>3894</v>
      </c>
      <c r="D231" s="12" t="s">
        <v>4218</v>
      </c>
      <c r="E231" s="12" t="s">
        <v>578</v>
      </c>
      <c r="F231" s="12" t="s">
        <v>623</v>
      </c>
      <c r="G231" s="12" t="s">
        <v>623</v>
      </c>
      <c r="H231" s="12" t="s">
        <v>623</v>
      </c>
      <c r="I231" s="12" t="s">
        <v>623</v>
      </c>
      <c r="J231" s="12" t="s">
        <v>623</v>
      </c>
      <c r="K231" s="12" t="s">
        <v>623</v>
      </c>
      <c r="L231" s="12" t="s">
        <v>623</v>
      </c>
      <c r="M231" s="12" t="s">
        <v>623</v>
      </c>
      <c r="N231" s="12" t="s">
        <v>623</v>
      </c>
      <c r="O231" s="12" t="s">
        <v>851</v>
      </c>
      <c r="P231" s="12" t="s">
        <v>851</v>
      </c>
      <c r="Q231" s="12" t="s">
        <v>755</v>
      </c>
      <c r="R231" s="12" t="s">
        <v>755</v>
      </c>
      <c r="S231" s="12" t="s">
        <v>755</v>
      </c>
      <c r="T231" s="12" t="s">
        <v>624</v>
      </c>
      <c r="U231" s="12" t="s">
        <v>624</v>
      </c>
      <c r="V231" s="12" t="s">
        <v>868</v>
      </c>
      <c r="W231" s="12" t="s">
        <v>868</v>
      </c>
      <c r="X231" s="12" t="s">
        <v>756</v>
      </c>
      <c r="Y231" s="12" t="s">
        <v>762</v>
      </c>
      <c r="Z231" s="12" t="s">
        <v>762</v>
      </c>
      <c r="AA231" s="12" t="s">
        <v>584</v>
      </c>
      <c r="AB231" s="12" t="s">
        <v>584</v>
      </c>
      <c r="AC231" s="12" t="s">
        <v>584</v>
      </c>
      <c r="AD231" s="12" t="s">
        <v>584</v>
      </c>
      <c r="AE231" s="12" t="s">
        <v>584</v>
      </c>
      <c r="AF231" s="12" t="s">
        <v>584</v>
      </c>
      <c r="AG231" s="12" t="s">
        <v>584</v>
      </c>
      <c r="AH231" s="12" t="s">
        <v>584</v>
      </c>
      <c r="AI231" s="12" t="s">
        <v>584</v>
      </c>
      <c r="AJ231" s="12" t="s">
        <v>584</v>
      </c>
      <c r="AK231" s="12" t="s">
        <v>584</v>
      </c>
      <c r="AL231" s="12" t="s">
        <v>584</v>
      </c>
      <c r="AM231" s="12" t="s">
        <v>584</v>
      </c>
      <c r="AN231" s="12" t="s">
        <v>584</v>
      </c>
      <c r="AO231" s="12" t="s">
        <v>584</v>
      </c>
      <c r="AP231" s="12" t="s">
        <v>584</v>
      </c>
      <c r="AQ231" s="12" t="s">
        <v>584</v>
      </c>
      <c r="AR231" s="12" t="s">
        <v>584</v>
      </c>
      <c r="AS231" s="12" t="s">
        <v>584</v>
      </c>
      <c r="AT231" s="12" t="s">
        <v>584</v>
      </c>
      <c r="AU231" s="12" t="s">
        <v>584</v>
      </c>
      <c r="AV231" s="12" t="s">
        <v>584</v>
      </c>
      <c r="AW231" s="12" t="s">
        <v>584</v>
      </c>
      <c r="AX231" s="12" t="s">
        <v>808</v>
      </c>
      <c r="AY231" s="12" t="s">
        <v>2018</v>
      </c>
      <c r="AZ231" s="12" t="s">
        <v>2018</v>
      </c>
      <c r="BA231" s="12" t="s">
        <v>766</v>
      </c>
      <c r="BB231" s="12" t="s">
        <v>628</v>
      </c>
      <c r="BC231" s="12" t="s">
        <v>718</v>
      </c>
      <c r="BD231" s="12" t="s">
        <v>972</v>
      </c>
      <c r="BE231" s="12" t="s">
        <v>719</v>
      </c>
      <c r="BF231" s="12" t="s">
        <v>769</v>
      </c>
      <c r="BG231" s="12" t="s">
        <v>919</v>
      </c>
      <c r="BH231" s="12" t="s">
        <v>973</v>
      </c>
      <c r="BI231" s="12" t="s">
        <v>720</v>
      </c>
      <c r="BJ231" s="12" t="s">
        <v>1124</v>
      </c>
      <c r="BK231" s="12" t="s">
        <v>857</v>
      </c>
      <c r="BL231" s="12" t="s">
        <v>591</v>
      </c>
      <c r="BM231" s="12" t="s">
        <v>722</v>
      </c>
      <c r="BN231" s="12" t="s">
        <v>638</v>
      </c>
      <c r="BO231" s="12" t="s">
        <v>873</v>
      </c>
      <c r="BP231" s="12" t="s">
        <v>2013</v>
      </c>
      <c r="BQ231" s="12" t="s">
        <v>2100</v>
      </c>
      <c r="BR231" s="12" t="s">
        <v>1186</v>
      </c>
      <c r="BS231" s="12" t="s">
        <v>595</v>
      </c>
      <c r="BT231" s="12" t="s">
        <v>725</v>
      </c>
      <c r="BU231" s="12" t="s">
        <v>1488</v>
      </c>
      <c r="BV231" s="12" t="s">
        <v>642</v>
      </c>
      <c r="BW231" s="12" t="s">
        <v>1163</v>
      </c>
      <c r="BX231" s="12" t="s">
        <v>1423</v>
      </c>
      <c r="BY231" s="12" t="s">
        <v>596</v>
      </c>
      <c r="BZ231" s="12" t="s">
        <v>2000</v>
      </c>
      <c r="CA231" s="12" t="s">
        <v>1508</v>
      </c>
      <c r="CB231" s="12" t="s">
        <v>1816</v>
      </c>
      <c r="CC231" s="12" t="s">
        <v>816</v>
      </c>
      <c r="CD231" s="12" t="s">
        <v>1817</v>
      </c>
      <c r="CE231" s="12" t="s">
        <v>1493</v>
      </c>
      <c r="CF231" s="12" t="s">
        <v>956</v>
      </c>
      <c r="CG231" s="12" t="s">
        <v>1280</v>
      </c>
      <c r="CH231" s="12" t="s">
        <v>1494</v>
      </c>
      <c r="CI231" s="12" t="s">
        <v>817</v>
      </c>
      <c r="CJ231" s="12" t="s">
        <v>775</v>
      </c>
      <c r="CK231" s="12" t="s">
        <v>727</v>
      </c>
      <c r="CL231" s="12" t="s">
        <v>1264</v>
      </c>
      <c r="CM231" s="12" t="s">
        <v>1264</v>
      </c>
      <c r="CN231" s="12" t="s">
        <v>1264</v>
      </c>
      <c r="CO231" s="12" t="s">
        <v>1264</v>
      </c>
      <c r="CP231" s="12" t="s">
        <v>1264</v>
      </c>
      <c r="CQ231" s="12" t="s">
        <v>1264</v>
      </c>
      <c r="CR231" s="12" t="s">
        <v>1264</v>
      </c>
      <c r="CS231" s="12" t="s">
        <v>1264</v>
      </c>
      <c r="CT231" s="12" t="s">
        <v>3044</v>
      </c>
    </row>
    <row r="232" spans="1:98" hidden="1" x14ac:dyDescent="0.3">
      <c r="A232" s="12" t="s">
        <v>25</v>
      </c>
      <c r="B232" s="12" t="s">
        <v>4219</v>
      </c>
      <c r="C232" s="12" t="s">
        <v>4220</v>
      </c>
      <c r="D232" s="12" t="s">
        <v>4221</v>
      </c>
      <c r="E232" s="12" t="s">
        <v>578</v>
      </c>
      <c r="F232" s="12" t="s">
        <v>578</v>
      </c>
      <c r="G232" s="12" t="s">
        <v>578</v>
      </c>
      <c r="H232" s="12" t="s">
        <v>578</v>
      </c>
      <c r="I232" s="12" t="s">
        <v>578</v>
      </c>
      <c r="J232" s="12" t="s">
        <v>578</v>
      </c>
      <c r="K232" s="12" t="s">
        <v>578</v>
      </c>
      <c r="L232" s="12" t="s">
        <v>578</v>
      </c>
      <c r="M232" s="12" t="s">
        <v>578</v>
      </c>
      <c r="N232" s="12" t="s">
        <v>578</v>
      </c>
      <c r="O232" s="12" t="s">
        <v>578</v>
      </c>
      <c r="P232" s="12" t="s">
        <v>578</v>
      </c>
      <c r="Q232" s="12" t="s">
        <v>578</v>
      </c>
      <c r="R232" s="12" t="s">
        <v>578</v>
      </c>
      <c r="S232" s="12" t="s">
        <v>578</v>
      </c>
      <c r="T232" s="12" t="s">
        <v>578</v>
      </c>
      <c r="U232" s="12" t="s">
        <v>578</v>
      </c>
      <c r="V232" s="12" t="s">
        <v>578</v>
      </c>
      <c r="W232" s="12" t="s">
        <v>578</v>
      </c>
      <c r="X232" s="12" t="s">
        <v>578</v>
      </c>
      <c r="Y232" s="12" t="s">
        <v>578</v>
      </c>
      <c r="Z232" s="12" t="s">
        <v>578</v>
      </c>
      <c r="AA232" s="12" t="s">
        <v>578</v>
      </c>
      <c r="AB232" s="12" t="s">
        <v>578</v>
      </c>
      <c r="AC232" s="12" t="s">
        <v>578</v>
      </c>
      <c r="AD232" s="12" t="s">
        <v>578</v>
      </c>
      <c r="AE232" s="12" t="s">
        <v>578</v>
      </c>
      <c r="AF232" s="12" t="s">
        <v>578</v>
      </c>
      <c r="AG232" s="12" t="s">
        <v>578</v>
      </c>
      <c r="AH232" s="12" t="s">
        <v>578</v>
      </c>
      <c r="AI232" s="12" t="s">
        <v>578</v>
      </c>
      <c r="AJ232" s="12" t="s">
        <v>578</v>
      </c>
      <c r="AK232" s="12" t="s">
        <v>578</v>
      </c>
      <c r="AL232" s="12" t="s">
        <v>578</v>
      </c>
      <c r="AM232" s="12" t="s">
        <v>578</v>
      </c>
      <c r="AN232" s="12" t="s">
        <v>578</v>
      </c>
      <c r="AO232" s="12" t="s">
        <v>578</v>
      </c>
      <c r="AP232" s="12" t="s">
        <v>578</v>
      </c>
      <c r="AQ232" s="12" t="s">
        <v>578</v>
      </c>
      <c r="AR232" s="12" t="s">
        <v>578</v>
      </c>
      <c r="AS232" s="12" t="s">
        <v>578</v>
      </c>
      <c r="AT232" s="12" t="s">
        <v>578</v>
      </c>
      <c r="AU232" s="12" t="s">
        <v>578</v>
      </c>
      <c r="AV232" s="12" t="s">
        <v>578</v>
      </c>
      <c r="AW232" s="12" t="s">
        <v>578</v>
      </c>
      <c r="AX232" s="12" t="s">
        <v>578</v>
      </c>
      <c r="AY232" s="12" t="s">
        <v>578</v>
      </c>
      <c r="AZ232" s="12" t="s">
        <v>578</v>
      </c>
      <c r="BA232" s="12" t="s">
        <v>578</v>
      </c>
      <c r="BB232" s="12" t="s">
        <v>578</v>
      </c>
      <c r="BC232" s="12" t="s">
        <v>578</v>
      </c>
      <c r="BD232" s="12" t="s">
        <v>578</v>
      </c>
      <c r="BE232" s="12" t="s">
        <v>578</v>
      </c>
      <c r="BF232" s="12" t="s">
        <v>578</v>
      </c>
      <c r="BG232" s="12" t="s">
        <v>578</v>
      </c>
      <c r="BH232" s="12" t="s">
        <v>578</v>
      </c>
      <c r="BI232" s="12" t="s">
        <v>623</v>
      </c>
      <c r="BJ232" s="12" t="s">
        <v>623</v>
      </c>
      <c r="BK232" s="12" t="s">
        <v>623</v>
      </c>
      <c r="BL232" s="12" t="s">
        <v>623</v>
      </c>
      <c r="BM232" s="12" t="s">
        <v>672</v>
      </c>
      <c r="BN232" s="12" t="s">
        <v>672</v>
      </c>
      <c r="BO232" s="12" t="s">
        <v>672</v>
      </c>
      <c r="BP232" s="12" t="s">
        <v>625</v>
      </c>
      <c r="BQ232" s="12" t="s">
        <v>584</v>
      </c>
      <c r="BR232" s="12" t="s">
        <v>586</v>
      </c>
      <c r="BS232" s="12" t="s">
        <v>869</v>
      </c>
      <c r="BT232" s="12" t="s">
        <v>953</v>
      </c>
      <c r="BU232" s="12" t="s">
        <v>917</v>
      </c>
      <c r="BV232" s="12" t="s">
        <v>917</v>
      </c>
      <c r="BW232" s="12" t="s">
        <v>971</v>
      </c>
      <c r="BX232" s="12" t="s">
        <v>718</v>
      </c>
      <c r="BY232" s="12" t="s">
        <v>718</v>
      </c>
      <c r="BZ232" s="12" t="s">
        <v>718</v>
      </c>
      <c r="CA232" s="12" t="s">
        <v>718</v>
      </c>
      <c r="CB232" s="12" t="s">
        <v>718</v>
      </c>
      <c r="CC232" s="12" t="s">
        <v>718</v>
      </c>
      <c r="CD232" s="12" t="s">
        <v>718</v>
      </c>
      <c r="CE232" s="12" t="s">
        <v>718</v>
      </c>
      <c r="CF232" s="12" t="s">
        <v>588</v>
      </c>
      <c r="CG232" s="12" t="s">
        <v>588</v>
      </c>
      <c r="CH232" s="12" t="s">
        <v>1259</v>
      </c>
      <c r="CI232" s="12" t="s">
        <v>768</v>
      </c>
      <c r="CJ232" s="12" t="s">
        <v>768</v>
      </c>
      <c r="CK232" s="12" t="s">
        <v>678</v>
      </c>
      <c r="CL232" s="12" t="s">
        <v>678</v>
      </c>
      <c r="CM232" s="12" t="s">
        <v>809</v>
      </c>
      <c r="CN232" s="12" t="s">
        <v>992</v>
      </c>
      <c r="CO232" s="12" t="s">
        <v>919</v>
      </c>
      <c r="CP232" s="12" t="s">
        <v>870</v>
      </c>
      <c r="CQ232" s="12" t="s">
        <v>634</v>
      </c>
      <c r="CR232" s="12" t="s">
        <v>589</v>
      </c>
      <c r="CS232" s="12" t="s">
        <v>635</v>
      </c>
      <c r="CT232" s="12" t="s">
        <v>590</v>
      </c>
    </row>
    <row r="233" spans="1:98" hidden="1" x14ac:dyDescent="0.3">
      <c r="A233" s="12" t="s">
        <v>25</v>
      </c>
      <c r="B233" s="12" t="s">
        <v>4222</v>
      </c>
      <c r="C233" s="12" t="s">
        <v>4223</v>
      </c>
      <c r="D233" s="12" t="s">
        <v>2394</v>
      </c>
      <c r="E233" s="12" t="s">
        <v>578</v>
      </c>
      <c r="F233" s="12" t="s">
        <v>578</v>
      </c>
      <c r="G233" s="12" t="s">
        <v>578</v>
      </c>
      <c r="H233" s="12" t="s">
        <v>578</v>
      </c>
      <c r="I233" s="12" t="s">
        <v>578</v>
      </c>
      <c r="J233" s="12" t="s">
        <v>578</v>
      </c>
      <c r="K233" s="12" t="s">
        <v>578</v>
      </c>
      <c r="L233" s="12" t="s">
        <v>578</v>
      </c>
      <c r="M233" s="12" t="s">
        <v>578</v>
      </c>
      <c r="N233" s="12" t="s">
        <v>578</v>
      </c>
      <c r="O233" s="12" t="s">
        <v>578</v>
      </c>
      <c r="P233" s="12" t="s">
        <v>578</v>
      </c>
      <c r="Q233" s="12" t="s">
        <v>578</v>
      </c>
      <c r="R233" s="12" t="s">
        <v>578</v>
      </c>
      <c r="S233" s="12" t="s">
        <v>578</v>
      </c>
      <c r="T233" s="12" t="s">
        <v>578</v>
      </c>
      <c r="U233" s="12" t="s">
        <v>578</v>
      </c>
      <c r="V233" s="12" t="s">
        <v>578</v>
      </c>
      <c r="W233" s="12" t="s">
        <v>578</v>
      </c>
      <c r="X233" s="12" t="s">
        <v>578</v>
      </c>
      <c r="Y233" s="12" t="s">
        <v>578</v>
      </c>
      <c r="Z233" s="12" t="s">
        <v>578</v>
      </c>
      <c r="AA233" s="12" t="s">
        <v>578</v>
      </c>
      <c r="AB233" s="12" t="s">
        <v>578</v>
      </c>
      <c r="AC233" s="12" t="s">
        <v>578</v>
      </c>
      <c r="AD233" s="12" t="s">
        <v>578</v>
      </c>
      <c r="AE233" s="12" t="s">
        <v>578</v>
      </c>
      <c r="AF233" s="12" t="s">
        <v>578</v>
      </c>
      <c r="AG233" s="12" t="s">
        <v>578</v>
      </c>
      <c r="AH233" s="12" t="s">
        <v>578</v>
      </c>
      <c r="AI233" s="12" t="s">
        <v>578</v>
      </c>
      <c r="AJ233" s="12" t="s">
        <v>578</v>
      </c>
      <c r="AK233" s="12" t="s">
        <v>578</v>
      </c>
      <c r="AL233" s="12" t="s">
        <v>578</v>
      </c>
      <c r="AM233" s="12" t="s">
        <v>578</v>
      </c>
      <c r="AN233" s="12" t="s">
        <v>578</v>
      </c>
      <c r="AO233" s="12" t="s">
        <v>578</v>
      </c>
      <c r="AP233" s="12" t="s">
        <v>578</v>
      </c>
      <c r="AQ233" s="12" t="s">
        <v>578</v>
      </c>
      <c r="AR233" s="12" t="s">
        <v>578</v>
      </c>
      <c r="AS233" s="12" t="s">
        <v>578</v>
      </c>
      <c r="AT233" s="12" t="s">
        <v>578</v>
      </c>
      <c r="AU233" s="12" t="s">
        <v>578</v>
      </c>
      <c r="AV233" s="12" t="s">
        <v>578</v>
      </c>
      <c r="AW233" s="12" t="s">
        <v>578</v>
      </c>
      <c r="AX233" s="12" t="s">
        <v>578</v>
      </c>
      <c r="AY233" s="12" t="s">
        <v>578</v>
      </c>
      <c r="AZ233" s="12" t="s">
        <v>578</v>
      </c>
      <c r="BA233" s="12" t="s">
        <v>578</v>
      </c>
      <c r="BB233" s="12" t="s">
        <v>578</v>
      </c>
      <c r="BC233" s="12" t="s">
        <v>578</v>
      </c>
      <c r="BD233" s="12" t="s">
        <v>578</v>
      </c>
      <c r="BE233" s="12" t="s">
        <v>578</v>
      </c>
      <c r="BF233" s="12" t="s">
        <v>578</v>
      </c>
      <c r="BG233" s="12" t="s">
        <v>578</v>
      </c>
      <c r="BH233" s="12" t="s">
        <v>578</v>
      </c>
      <c r="BI233" s="12" t="s">
        <v>578</v>
      </c>
      <c r="BJ233" s="12" t="s">
        <v>578</v>
      </c>
      <c r="BK233" s="12" t="s">
        <v>579</v>
      </c>
      <c r="BL233" s="12" t="s">
        <v>672</v>
      </c>
      <c r="BM233" s="12" t="s">
        <v>672</v>
      </c>
      <c r="BN233" s="12" t="s">
        <v>672</v>
      </c>
      <c r="BO233" s="12" t="s">
        <v>672</v>
      </c>
      <c r="BP233" s="12" t="s">
        <v>672</v>
      </c>
      <c r="BQ233" s="12" t="s">
        <v>672</v>
      </c>
      <c r="BR233" s="12" t="s">
        <v>581</v>
      </c>
      <c r="BS233" s="12" t="s">
        <v>582</v>
      </c>
      <c r="BT233" s="12" t="s">
        <v>582</v>
      </c>
      <c r="BU233" s="12" t="s">
        <v>582</v>
      </c>
      <c r="BV233" s="12" t="s">
        <v>755</v>
      </c>
      <c r="BW233" s="12" t="s">
        <v>755</v>
      </c>
      <c r="BX233" s="12" t="s">
        <v>761</v>
      </c>
      <c r="BY233" s="12" t="s">
        <v>761</v>
      </c>
      <c r="BZ233" s="12" t="s">
        <v>761</v>
      </c>
      <c r="CA233" s="12" t="s">
        <v>761</v>
      </c>
      <c r="CB233" s="12" t="s">
        <v>624</v>
      </c>
      <c r="CC233" s="12" t="s">
        <v>583</v>
      </c>
      <c r="CD233" s="12" t="s">
        <v>583</v>
      </c>
      <c r="CE233" s="12" t="s">
        <v>583</v>
      </c>
      <c r="CF233" s="12" t="s">
        <v>868</v>
      </c>
      <c r="CG233" s="12" t="s">
        <v>756</v>
      </c>
      <c r="CH233" s="12" t="s">
        <v>756</v>
      </c>
      <c r="CI233" s="12" t="s">
        <v>673</v>
      </c>
      <c r="CJ233" s="12" t="s">
        <v>673</v>
      </c>
      <c r="CK233" s="12" t="s">
        <v>626</v>
      </c>
      <c r="CL233" s="12" t="s">
        <v>626</v>
      </c>
      <c r="CM233" s="12" t="s">
        <v>587</v>
      </c>
      <c r="CN233" s="12" t="s">
        <v>757</v>
      </c>
      <c r="CO233" s="12" t="s">
        <v>757</v>
      </c>
      <c r="CP233" s="12" t="s">
        <v>757</v>
      </c>
      <c r="CQ233" s="12" t="s">
        <v>869</v>
      </c>
      <c r="CR233" s="12" t="s">
        <v>869</v>
      </c>
      <c r="CS233" s="12" t="s">
        <v>869</v>
      </c>
      <c r="CT233" s="12" t="s">
        <v>953</v>
      </c>
    </row>
    <row r="234" spans="1:98" hidden="1" x14ac:dyDescent="0.3">
      <c r="A234" s="12" t="s">
        <v>2212</v>
      </c>
      <c r="B234" s="12" t="s">
        <v>1435</v>
      </c>
      <c r="C234" s="12" t="s">
        <v>2213</v>
      </c>
      <c r="D234" s="12" t="s">
        <v>2213</v>
      </c>
      <c r="E234" s="12" t="s">
        <v>578</v>
      </c>
      <c r="F234" s="12" t="s">
        <v>578</v>
      </c>
      <c r="G234" s="12" t="s">
        <v>578</v>
      </c>
      <c r="H234" s="12" t="s">
        <v>578</v>
      </c>
      <c r="I234" s="12" t="s">
        <v>578</v>
      </c>
      <c r="J234" s="12" t="s">
        <v>578</v>
      </c>
      <c r="K234" s="12" t="s">
        <v>578</v>
      </c>
      <c r="L234" s="12" t="s">
        <v>578</v>
      </c>
      <c r="M234" s="12" t="s">
        <v>578</v>
      </c>
      <c r="N234" s="12" t="s">
        <v>578</v>
      </c>
      <c r="O234" s="12" t="s">
        <v>578</v>
      </c>
      <c r="P234" s="12" t="s">
        <v>578</v>
      </c>
      <c r="Q234" s="12" t="s">
        <v>578</v>
      </c>
      <c r="R234" s="12" t="s">
        <v>578</v>
      </c>
      <c r="S234" s="12" t="s">
        <v>578</v>
      </c>
      <c r="T234" s="12" t="s">
        <v>578</v>
      </c>
      <c r="U234" s="12" t="s">
        <v>578</v>
      </c>
      <c r="V234" s="12" t="s">
        <v>578</v>
      </c>
      <c r="W234" s="12" t="s">
        <v>578</v>
      </c>
      <c r="X234" s="12" t="s">
        <v>578</v>
      </c>
      <c r="Y234" s="12" t="s">
        <v>578</v>
      </c>
      <c r="Z234" s="12" t="s">
        <v>578</v>
      </c>
      <c r="AA234" s="12" t="s">
        <v>578</v>
      </c>
      <c r="AB234" s="12" t="s">
        <v>578</v>
      </c>
      <c r="AC234" s="12" t="s">
        <v>578</v>
      </c>
      <c r="AD234" s="12" t="s">
        <v>578</v>
      </c>
      <c r="AE234" s="12" t="s">
        <v>578</v>
      </c>
      <c r="AF234" s="12" t="s">
        <v>578</v>
      </c>
      <c r="AG234" s="12" t="s">
        <v>578</v>
      </c>
      <c r="AH234" s="12" t="s">
        <v>578</v>
      </c>
      <c r="AI234" s="12" t="s">
        <v>578</v>
      </c>
      <c r="AJ234" s="12" t="s">
        <v>578</v>
      </c>
      <c r="AK234" s="12" t="s">
        <v>578</v>
      </c>
      <c r="AL234" s="12" t="s">
        <v>578</v>
      </c>
      <c r="AM234" s="12" t="s">
        <v>578</v>
      </c>
      <c r="AN234" s="12" t="s">
        <v>578</v>
      </c>
      <c r="AO234" s="12" t="s">
        <v>578</v>
      </c>
      <c r="AP234" s="12" t="s">
        <v>578</v>
      </c>
      <c r="AQ234" s="12" t="s">
        <v>578</v>
      </c>
      <c r="AR234" s="12" t="s">
        <v>578</v>
      </c>
      <c r="AS234" s="12" t="s">
        <v>578</v>
      </c>
      <c r="AT234" s="12" t="s">
        <v>578</v>
      </c>
      <c r="AU234" s="12" t="s">
        <v>578</v>
      </c>
      <c r="AV234" s="12" t="s">
        <v>578</v>
      </c>
      <c r="AW234" s="12" t="s">
        <v>578</v>
      </c>
      <c r="AX234" s="12" t="s">
        <v>578</v>
      </c>
      <c r="AY234" s="12" t="s">
        <v>578</v>
      </c>
      <c r="AZ234" s="12" t="s">
        <v>578</v>
      </c>
      <c r="BA234" s="12" t="s">
        <v>578</v>
      </c>
      <c r="BB234" s="12" t="s">
        <v>578</v>
      </c>
      <c r="BC234" s="12" t="s">
        <v>578</v>
      </c>
      <c r="BD234" s="12" t="s">
        <v>578</v>
      </c>
      <c r="BE234" s="12" t="s">
        <v>578</v>
      </c>
      <c r="BF234" s="12" t="s">
        <v>578</v>
      </c>
      <c r="BG234" s="12" t="s">
        <v>578</v>
      </c>
      <c r="BH234" s="12" t="s">
        <v>578</v>
      </c>
      <c r="BI234" s="12" t="s">
        <v>578</v>
      </c>
      <c r="BJ234" s="12" t="s">
        <v>578</v>
      </c>
      <c r="BK234" s="12" t="s">
        <v>578</v>
      </c>
      <c r="BL234" s="12" t="s">
        <v>578</v>
      </c>
      <c r="BM234" s="12" t="s">
        <v>578</v>
      </c>
      <c r="BN234" s="12" t="s">
        <v>578</v>
      </c>
      <c r="BO234" s="12" t="s">
        <v>578</v>
      </c>
      <c r="BP234" s="12" t="s">
        <v>578</v>
      </c>
      <c r="BQ234" s="12" t="s">
        <v>578</v>
      </c>
      <c r="BR234" s="12" t="s">
        <v>578</v>
      </c>
      <c r="BS234" s="12" t="s">
        <v>578</v>
      </c>
      <c r="BT234" s="12" t="s">
        <v>578</v>
      </c>
      <c r="BU234" s="12" t="s">
        <v>578</v>
      </c>
      <c r="BV234" s="12" t="s">
        <v>578</v>
      </c>
      <c r="BW234" s="12" t="s">
        <v>578</v>
      </c>
      <c r="BX234" s="12" t="s">
        <v>578</v>
      </c>
      <c r="BY234" s="12" t="s">
        <v>578</v>
      </c>
      <c r="BZ234" s="12" t="s">
        <v>578</v>
      </c>
      <c r="CA234" s="12" t="s">
        <v>578</v>
      </c>
      <c r="CB234" s="12" t="s">
        <v>578</v>
      </c>
      <c r="CC234" s="12" t="s">
        <v>578</v>
      </c>
      <c r="CD234" s="12" t="s">
        <v>578</v>
      </c>
      <c r="CE234" s="12" t="s">
        <v>578</v>
      </c>
      <c r="CF234" s="12" t="s">
        <v>578</v>
      </c>
      <c r="CG234" s="12" t="s">
        <v>578</v>
      </c>
      <c r="CH234" s="12" t="s">
        <v>1483</v>
      </c>
      <c r="CI234" s="12" t="s">
        <v>1483</v>
      </c>
      <c r="CJ234" s="12" t="s">
        <v>1483</v>
      </c>
      <c r="CK234" s="12" t="s">
        <v>1483</v>
      </c>
      <c r="CL234" s="12" t="s">
        <v>1483</v>
      </c>
      <c r="CM234" s="12" t="s">
        <v>1483</v>
      </c>
      <c r="CN234" s="12" t="s">
        <v>1483</v>
      </c>
      <c r="CO234" s="12" t="s">
        <v>1483</v>
      </c>
      <c r="CP234" s="12" t="s">
        <v>1483</v>
      </c>
      <c r="CQ234" s="12" t="s">
        <v>1483</v>
      </c>
      <c r="CR234" s="12" t="s">
        <v>1483</v>
      </c>
      <c r="CS234" s="12" t="s">
        <v>578</v>
      </c>
      <c r="CT234" s="12" t="s">
        <v>578</v>
      </c>
    </row>
    <row r="235" spans="1:98" hidden="1" x14ac:dyDescent="0.3">
      <c r="A235" s="12" t="s">
        <v>25</v>
      </c>
      <c r="B235" s="12" t="s">
        <v>4224</v>
      </c>
      <c r="C235" s="12" t="s">
        <v>4225</v>
      </c>
      <c r="D235" s="12" t="s">
        <v>4226</v>
      </c>
      <c r="E235" s="12" t="s">
        <v>578</v>
      </c>
      <c r="F235" s="12" t="s">
        <v>578</v>
      </c>
      <c r="G235" s="12" t="s">
        <v>578</v>
      </c>
      <c r="H235" s="12" t="s">
        <v>578</v>
      </c>
      <c r="I235" s="12" t="s">
        <v>578</v>
      </c>
      <c r="J235" s="12" t="s">
        <v>578</v>
      </c>
      <c r="K235" s="12" t="s">
        <v>578</v>
      </c>
      <c r="L235" s="12" t="s">
        <v>578</v>
      </c>
      <c r="M235" s="12" t="s">
        <v>578</v>
      </c>
      <c r="N235" s="12" t="s">
        <v>578</v>
      </c>
      <c r="O235" s="12" t="s">
        <v>578</v>
      </c>
      <c r="P235" s="12" t="s">
        <v>578</v>
      </c>
      <c r="Q235" s="12" t="s">
        <v>578</v>
      </c>
      <c r="R235" s="12" t="s">
        <v>578</v>
      </c>
      <c r="S235" s="12" t="s">
        <v>578</v>
      </c>
      <c r="T235" s="12" t="s">
        <v>578</v>
      </c>
      <c r="U235" s="12" t="s">
        <v>578</v>
      </c>
      <c r="V235" s="12" t="s">
        <v>578</v>
      </c>
      <c r="W235" s="12" t="s">
        <v>578</v>
      </c>
      <c r="X235" s="12" t="s">
        <v>578</v>
      </c>
      <c r="Y235" s="12" t="s">
        <v>578</v>
      </c>
      <c r="Z235" s="12" t="s">
        <v>578</v>
      </c>
      <c r="AA235" s="12" t="s">
        <v>578</v>
      </c>
      <c r="AB235" s="12" t="s">
        <v>578</v>
      </c>
      <c r="AC235" s="12" t="s">
        <v>578</v>
      </c>
      <c r="AD235" s="12" t="s">
        <v>578</v>
      </c>
      <c r="AE235" s="12" t="s">
        <v>578</v>
      </c>
      <c r="AF235" s="12" t="s">
        <v>578</v>
      </c>
      <c r="AG235" s="12" t="s">
        <v>578</v>
      </c>
      <c r="AH235" s="12" t="s">
        <v>578</v>
      </c>
      <c r="AI235" s="12" t="s">
        <v>578</v>
      </c>
      <c r="AJ235" s="12" t="s">
        <v>578</v>
      </c>
      <c r="AK235" s="12" t="s">
        <v>578</v>
      </c>
      <c r="AL235" s="12" t="s">
        <v>578</v>
      </c>
      <c r="AM235" s="12" t="s">
        <v>578</v>
      </c>
      <c r="AN235" s="12" t="s">
        <v>578</v>
      </c>
      <c r="AO235" s="12" t="s">
        <v>578</v>
      </c>
      <c r="AP235" s="12" t="s">
        <v>578</v>
      </c>
      <c r="AQ235" s="12" t="s">
        <v>578</v>
      </c>
      <c r="AR235" s="12" t="s">
        <v>578</v>
      </c>
      <c r="AS235" s="12" t="s">
        <v>578</v>
      </c>
      <c r="AT235" s="12" t="s">
        <v>578</v>
      </c>
      <c r="AU235" s="12" t="s">
        <v>578</v>
      </c>
      <c r="AV235" s="12" t="s">
        <v>578</v>
      </c>
      <c r="AW235" s="12" t="s">
        <v>578</v>
      </c>
      <c r="AX235" s="12" t="s">
        <v>578</v>
      </c>
      <c r="AY235" s="12" t="s">
        <v>578</v>
      </c>
      <c r="AZ235" s="12" t="s">
        <v>578</v>
      </c>
      <c r="BA235" s="12" t="s">
        <v>578</v>
      </c>
      <c r="BB235" s="12" t="s">
        <v>578</v>
      </c>
      <c r="BC235" s="12" t="s">
        <v>578</v>
      </c>
      <c r="BD235" s="12" t="s">
        <v>578</v>
      </c>
      <c r="BE235" s="12" t="s">
        <v>578</v>
      </c>
      <c r="BF235" s="12" t="s">
        <v>578</v>
      </c>
      <c r="BG235" s="12" t="s">
        <v>578</v>
      </c>
      <c r="BH235" s="12" t="s">
        <v>578</v>
      </c>
      <c r="BI235" s="12" t="s">
        <v>578</v>
      </c>
      <c r="BJ235" s="12" t="s">
        <v>578</v>
      </c>
      <c r="BK235" s="12" t="s">
        <v>578</v>
      </c>
      <c r="BL235" s="12" t="s">
        <v>578</v>
      </c>
      <c r="BM235" s="12" t="s">
        <v>579</v>
      </c>
      <c r="BN235" s="12" t="s">
        <v>623</v>
      </c>
      <c r="BO235" s="12" t="s">
        <v>623</v>
      </c>
      <c r="BP235" s="12" t="s">
        <v>582</v>
      </c>
      <c r="BQ235" s="12" t="s">
        <v>583</v>
      </c>
      <c r="BR235" s="12" t="s">
        <v>583</v>
      </c>
      <c r="BS235" s="12" t="s">
        <v>583</v>
      </c>
      <c r="BT235" s="12" t="s">
        <v>583</v>
      </c>
      <c r="BU235" s="12" t="s">
        <v>583</v>
      </c>
      <c r="BV235" s="12" t="s">
        <v>625</v>
      </c>
      <c r="BW235" s="12" t="s">
        <v>625</v>
      </c>
      <c r="BX235" s="12" t="s">
        <v>625</v>
      </c>
      <c r="BY235" s="12" t="s">
        <v>625</v>
      </c>
      <c r="BZ235" s="12" t="s">
        <v>756</v>
      </c>
      <c r="CA235" s="12" t="s">
        <v>756</v>
      </c>
      <c r="CB235" s="12" t="s">
        <v>762</v>
      </c>
      <c r="CC235" s="12" t="s">
        <v>762</v>
      </c>
      <c r="CD235" s="12" t="s">
        <v>762</v>
      </c>
      <c r="CE235" s="12" t="s">
        <v>762</v>
      </c>
      <c r="CF235" s="12" t="s">
        <v>584</v>
      </c>
      <c r="CG235" s="12" t="s">
        <v>584</v>
      </c>
      <c r="CH235" s="12" t="s">
        <v>584</v>
      </c>
      <c r="CI235" s="12" t="s">
        <v>584</v>
      </c>
      <c r="CJ235" s="12" t="s">
        <v>584</v>
      </c>
      <c r="CK235" s="12" t="s">
        <v>584</v>
      </c>
      <c r="CL235" s="12" t="s">
        <v>584</v>
      </c>
      <c r="CM235" s="12" t="s">
        <v>584</v>
      </c>
      <c r="CN235" s="12" t="s">
        <v>584</v>
      </c>
      <c r="CO235" s="12" t="s">
        <v>584</v>
      </c>
      <c r="CP235" s="12" t="s">
        <v>584</v>
      </c>
      <c r="CQ235" s="12" t="s">
        <v>584</v>
      </c>
      <c r="CR235" s="12" t="s">
        <v>584</v>
      </c>
      <c r="CS235" s="12" t="s">
        <v>584</v>
      </c>
      <c r="CT235" s="12" t="s">
        <v>584</v>
      </c>
    </row>
    <row r="236" spans="1:98" hidden="1" x14ac:dyDescent="0.3">
      <c r="A236" s="12" t="s">
        <v>25</v>
      </c>
      <c r="B236" s="12" t="s">
        <v>4227</v>
      </c>
      <c r="C236" s="12" t="s">
        <v>4228</v>
      </c>
      <c r="D236" s="12" t="s">
        <v>4229</v>
      </c>
      <c r="E236" s="12" t="s">
        <v>578</v>
      </c>
      <c r="F236" s="12" t="s">
        <v>578</v>
      </c>
      <c r="G236" s="12" t="s">
        <v>578</v>
      </c>
      <c r="H236" s="12" t="s">
        <v>578</v>
      </c>
      <c r="I236" s="12" t="s">
        <v>578</v>
      </c>
      <c r="J236" s="12" t="s">
        <v>578</v>
      </c>
      <c r="K236" s="12" t="s">
        <v>578</v>
      </c>
      <c r="L236" s="12" t="s">
        <v>578</v>
      </c>
      <c r="M236" s="12" t="s">
        <v>578</v>
      </c>
      <c r="N236" s="12" t="s">
        <v>578</v>
      </c>
      <c r="O236" s="12" t="s">
        <v>578</v>
      </c>
      <c r="P236" s="12" t="s">
        <v>578</v>
      </c>
      <c r="Q236" s="12" t="s">
        <v>578</v>
      </c>
      <c r="R236" s="12" t="s">
        <v>578</v>
      </c>
      <c r="S236" s="12" t="s">
        <v>578</v>
      </c>
      <c r="T236" s="12" t="s">
        <v>578</v>
      </c>
      <c r="U236" s="12" t="s">
        <v>578</v>
      </c>
      <c r="V236" s="12" t="s">
        <v>578</v>
      </c>
      <c r="W236" s="12" t="s">
        <v>578</v>
      </c>
      <c r="X236" s="12" t="s">
        <v>578</v>
      </c>
      <c r="Y236" s="12" t="s">
        <v>578</v>
      </c>
      <c r="Z236" s="12" t="s">
        <v>578</v>
      </c>
      <c r="AA236" s="12" t="s">
        <v>578</v>
      </c>
      <c r="AB236" s="12" t="s">
        <v>578</v>
      </c>
      <c r="AC236" s="12" t="s">
        <v>578</v>
      </c>
      <c r="AD236" s="12" t="s">
        <v>578</v>
      </c>
      <c r="AE236" s="12" t="s">
        <v>578</v>
      </c>
      <c r="AF236" s="12" t="s">
        <v>578</v>
      </c>
      <c r="AG236" s="12" t="s">
        <v>578</v>
      </c>
      <c r="AH236" s="12" t="s">
        <v>578</v>
      </c>
      <c r="AI236" s="12" t="s">
        <v>578</v>
      </c>
      <c r="AJ236" s="12" t="s">
        <v>578</v>
      </c>
      <c r="AK236" s="12" t="s">
        <v>578</v>
      </c>
      <c r="AL236" s="12" t="s">
        <v>578</v>
      </c>
      <c r="AM236" s="12" t="s">
        <v>578</v>
      </c>
      <c r="AN236" s="12" t="s">
        <v>578</v>
      </c>
      <c r="AO236" s="12" t="s">
        <v>578</v>
      </c>
      <c r="AP236" s="12" t="s">
        <v>578</v>
      </c>
      <c r="AQ236" s="12" t="s">
        <v>578</v>
      </c>
      <c r="AR236" s="12" t="s">
        <v>578</v>
      </c>
      <c r="AS236" s="12" t="s">
        <v>578</v>
      </c>
      <c r="AT236" s="12" t="s">
        <v>578</v>
      </c>
      <c r="AU236" s="12" t="s">
        <v>578</v>
      </c>
      <c r="AV236" s="12" t="s">
        <v>578</v>
      </c>
      <c r="AW236" s="12" t="s">
        <v>578</v>
      </c>
      <c r="AX236" s="12" t="s">
        <v>578</v>
      </c>
      <c r="AY236" s="12" t="s">
        <v>578</v>
      </c>
      <c r="AZ236" s="12" t="s">
        <v>578</v>
      </c>
      <c r="BA236" s="12" t="s">
        <v>578</v>
      </c>
      <c r="BB236" s="12" t="s">
        <v>578</v>
      </c>
      <c r="BC236" s="12" t="s">
        <v>578</v>
      </c>
      <c r="BD236" s="12" t="s">
        <v>578</v>
      </c>
      <c r="BE236" s="12" t="s">
        <v>578</v>
      </c>
      <c r="BF236" s="12" t="s">
        <v>578</v>
      </c>
      <c r="BG236" s="12" t="s">
        <v>578</v>
      </c>
      <c r="BH236" s="12" t="s">
        <v>578</v>
      </c>
      <c r="BI236" s="12" t="s">
        <v>578</v>
      </c>
      <c r="BJ236" s="12" t="s">
        <v>578</v>
      </c>
      <c r="BK236" s="12" t="s">
        <v>578</v>
      </c>
      <c r="BL236" s="12" t="s">
        <v>578</v>
      </c>
      <c r="BM236" s="12" t="s">
        <v>579</v>
      </c>
      <c r="BN236" s="12" t="s">
        <v>579</v>
      </c>
      <c r="BO236" s="12" t="s">
        <v>579</v>
      </c>
      <c r="BP236" s="12" t="s">
        <v>579</v>
      </c>
      <c r="BQ236" s="12" t="s">
        <v>582</v>
      </c>
      <c r="BR236" s="12" t="s">
        <v>582</v>
      </c>
      <c r="BS236" s="12" t="s">
        <v>582</v>
      </c>
      <c r="BT236" s="12" t="s">
        <v>761</v>
      </c>
      <c r="BU236" s="12" t="s">
        <v>761</v>
      </c>
      <c r="BV236" s="12" t="s">
        <v>761</v>
      </c>
      <c r="BW236" s="12" t="s">
        <v>761</v>
      </c>
      <c r="BX236" s="12" t="s">
        <v>624</v>
      </c>
      <c r="BY236" s="12" t="s">
        <v>625</v>
      </c>
      <c r="BZ236" s="12" t="s">
        <v>625</v>
      </c>
      <c r="CA236" s="12" t="s">
        <v>625</v>
      </c>
      <c r="CB236" s="12" t="s">
        <v>625</v>
      </c>
      <c r="CC236" s="12" t="s">
        <v>625</v>
      </c>
      <c r="CD236" s="12" t="s">
        <v>625</v>
      </c>
      <c r="CE236" s="12" t="s">
        <v>625</v>
      </c>
      <c r="CF236" s="12" t="s">
        <v>756</v>
      </c>
      <c r="CG236" s="12" t="s">
        <v>756</v>
      </c>
      <c r="CH236" s="12" t="s">
        <v>756</v>
      </c>
      <c r="CI236" s="12" t="s">
        <v>756</v>
      </c>
      <c r="CJ236" s="12" t="s">
        <v>756</v>
      </c>
      <c r="CK236" s="12" t="s">
        <v>756</v>
      </c>
      <c r="CL236" s="12" t="s">
        <v>756</v>
      </c>
      <c r="CM236" s="12" t="s">
        <v>756</v>
      </c>
      <c r="CN236" s="12" t="s">
        <v>756</v>
      </c>
      <c r="CO236" s="12" t="s">
        <v>756</v>
      </c>
      <c r="CP236" s="12" t="s">
        <v>756</v>
      </c>
      <c r="CQ236" s="12" t="s">
        <v>756</v>
      </c>
      <c r="CR236" s="12" t="s">
        <v>762</v>
      </c>
      <c r="CS236" s="12" t="s">
        <v>762</v>
      </c>
      <c r="CT236" s="12" t="s">
        <v>762</v>
      </c>
    </row>
    <row r="237" spans="1:98" hidden="1" x14ac:dyDescent="0.3">
      <c r="A237" s="12" t="s">
        <v>25</v>
      </c>
      <c r="B237" s="12" t="s">
        <v>4230</v>
      </c>
      <c r="C237" s="12" t="s">
        <v>4231</v>
      </c>
      <c r="D237" s="12" t="s">
        <v>4232</v>
      </c>
      <c r="E237" s="12" t="s">
        <v>578</v>
      </c>
      <c r="F237" s="12" t="s">
        <v>578</v>
      </c>
      <c r="G237" s="12" t="s">
        <v>578</v>
      </c>
      <c r="H237" s="12" t="s">
        <v>578</v>
      </c>
      <c r="I237" s="12" t="s">
        <v>578</v>
      </c>
      <c r="J237" s="12" t="s">
        <v>578</v>
      </c>
      <c r="K237" s="12" t="s">
        <v>578</v>
      </c>
      <c r="L237" s="12" t="s">
        <v>578</v>
      </c>
      <c r="M237" s="12" t="s">
        <v>578</v>
      </c>
      <c r="N237" s="12" t="s">
        <v>578</v>
      </c>
      <c r="O237" s="12" t="s">
        <v>578</v>
      </c>
      <c r="P237" s="12" t="s">
        <v>578</v>
      </c>
      <c r="Q237" s="12" t="s">
        <v>578</v>
      </c>
      <c r="R237" s="12" t="s">
        <v>578</v>
      </c>
      <c r="S237" s="12" t="s">
        <v>578</v>
      </c>
      <c r="T237" s="12" t="s">
        <v>578</v>
      </c>
      <c r="U237" s="12" t="s">
        <v>578</v>
      </c>
      <c r="V237" s="12" t="s">
        <v>578</v>
      </c>
      <c r="W237" s="12" t="s">
        <v>578</v>
      </c>
      <c r="X237" s="12" t="s">
        <v>578</v>
      </c>
      <c r="Y237" s="12" t="s">
        <v>578</v>
      </c>
      <c r="Z237" s="12" t="s">
        <v>578</v>
      </c>
      <c r="AA237" s="12" t="s">
        <v>578</v>
      </c>
      <c r="AB237" s="12" t="s">
        <v>578</v>
      </c>
      <c r="AC237" s="12" t="s">
        <v>578</v>
      </c>
      <c r="AD237" s="12" t="s">
        <v>578</v>
      </c>
      <c r="AE237" s="12" t="s">
        <v>578</v>
      </c>
      <c r="AF237" s="12" t="s">
        <v>578</v>
      </c>
      <c r="AG237" s="12" t="s">
        <v>578</v>
      </c>
      <c r="AH237" s="12" t="s">
        <v>578</v>
      </c>
      <c r="AI237" s="12" t="s">
        <v>578</v>
      </c>
      <c r="AJ237" s="12" t="s">
        <v>578</v>
      </c>
      <c r="AK237" s="12" t="s">
        <v>578</v>
      </c>
      <c r="AL237" s="12" t="s">
        <v>578</v>
      </c>
      <c r="AM237" s="12" t="s">
        <v>578</v>
      </c>
      <c r="AN237" s="12" t="s">
        <v>578</v>
      </c>
      <c r="AO237" s="12" t="s">
        <v>578</v>
      </c>
      <c r="AP237" s="12" t="s">
        <v>578</v>
      </c>
      <c r="AQ237" s="12" t="s">
        <v>578</v>
      </c>
      <c r="AR237" s="12" t="s">
        <v>578</v>
      </c>
      <c r="AS237" s="12" t="s">
        <v>578</v>
      </c>
      <c r="AT237" s="12" t="s">
        <v>578</v>
      </c>
      <c r="AU237" s="12" t="s">
        <v>578</v>
      </c>
      <c r="AV237" s="12" t="s">
        <v>578</v>
      </c>
      <c r="AW237" s="12" t="s">
        <v>578</v>
      </c>
      <c r="AX237" s="12" t="s">
        <v>578</v>
      </c>
      <c r="AY237" s="12" t="s">
        <v>578</v>
      </c>
      <c r="AZ237" s="12" t="s">
        <v>578</v>
      </c>
      <c r="BA237" s="12" t="s">
        <v>578</v>
      </c>
      <c r="BB237" s="12" t="s">
        <v>578</v>
      </c>
      <c r="BC237" s="12" t="s">
        <v>578</v>
      </c>
      <c r="BD237" s="12" t="s">
        <v>578</v>
      </c>
      <c r="BE237" s="12" t="s">
        <v>578</v>
      </c>
      <c r="BF237" s="12" t="s">
        <v>578</v>
      </c>
      <c r="BG237" s="12" t="s">
        <v>578</v>
      </c>
      <c r="BH237" s="12" t="s">
        <v>578</v>
      </c>
      <c r="BI237" s="12" t="s">
        <v>578</v>
      </c>
      <c r="BJ237" s="12" t="s">
        <v>578</v>
      </c>
      <c r="BK237" s="12" t="s">
        <v>578</v>
      </c>
      <c r="BL237" s="12" t="s">
        <v>578</v>
      </c>
      <c r="BM237" s="12" t="s">
        <v>579</v>
      </c>
      <c r="BN237" s="12" t="s">
        <v>579</v>
      </c>
      <c r="BO237" s="12" t="s">
        <v>672</v>
      </c>
      <c r="BP237" s="12" t="s">
        <v>581</v>
      </c>
      <c r="BQ237" s="12" t="s">
        <v>582</v>
      </c>
      <c r="BR237" s="12" t="s">
        <v>582</v>
      </c>
      <c r="BS237" s="12" t="s">
        <v>755</v>
      </c>
      <c r="BT237" s="12" t="s">
        <v>755</v>
      </c>
      <c r="BU237" s="12" t="s">
        <v>755</v>
      </c>
      <c r="BV237" s="12" t="s">
        <v>755</v>
      </c>
      <c r="BW237" s="12" t="s">
        <v>624</v>
      </c>
      <c r="BX237" s="12" t="s">
        <v>624</v>
      </c>
      <c r="BY237" s="12" t="s">
        <v>624</v>
      </c>
      <c r="BZ237" s="12" t="s">
        <v>624</v>
      </c>
      <c r="CA237" s="12" t="s">
        <v>624</v>
      </c>
      <c r="CB237" s="12" t="s">
        <v>624</v>
      </c>
      <c r="CC237" s="12" t="s">
        <v>624</v>
      </c>
      <c r="CD237" s="12" t="s">
        <v>673</v>
      </c>
      <c r="CE237" s="12" t="s">
        <v>673</v>
      </c>
      <c r="CF237" s="12" t="s">
        <v>675</v>
      </c>
      <c r="CG237" s="12" t="s">
        <v>675</v>
      </c>
      <c r="CH237" s="12" t="s">
        <v>585</v>
      </c>
      <c r="CI237" s="12" t="s">
        <v>585</v>
      </c>
      <c r="CJ237" s="12" t="s">
        <v>869</v>
      </c>
      <c r="CK237" s="12" t="s">
        <v>953</v>
      </c>
      <c r="CL237" s="12" t="s">
        <v>766</v>
      </c>
      <c r="CM237" s="12" t="s">
        <v>767</v>
      </c>
      <c r="CN237" s="12" t="s">
        <v>917</v>
      </c>
      <c r="CO237" s="12" t="s">
        <v>718</v>
      </c>
      <c r="CP237" s="12" t="s">
        <v>718</v>
      </c>
      <c r="CQ237" s="12" t="s">
        <v>718</v>
      </c>
      <c r="CR237" s="12" t="s">
        <v>1046</v>
      </c>
      <c r="CS237" s="12" t="s">
        <v>918</v>
      </c>
      <c r="CT237" s="12" t="s">
        <v>870</v>
      </c>
    </row>
    <row r="238" spans="1:98" hidden="1" x14ac:dyDescent="0.3">
      <c r="A238" s="12" t="s">
        <v>25</v>
      </c>
      <c r="B238" s="12" t="s">
        <v>4233</v>
      </c>
      <c r="C238" s="12" t="s">
        <v>4234</v>
      </c>
      <c r="D238" s="12" t="s">
        <v>4235</v>
      </c>
      <c r="E238" s="12" t="s">
        <v>578</v>
      </c>
      <c r="F238" s="12" t="s">
        <v>578</v>
      </c>
      <c r="G238" s="12" t="s">
        <v>578</v>
      </c>
      <c r="H238" s="12" t="s">
        <v>578</v>
      </c>
      <c r="I238" s="12" t="s">
        <v>578</v>
      </c>
      <c r="J238" s="12" t="s">
        <v>578</v>
      </c>
      <c r="K238" s="12" t="s">
        <v>578</v>
      </c>
      <c r="L238" s="12" t="s">
        <v>578</v>
      </c>
      <c r="M238" s="12" t="s">
        <v>578</v>
      </c>
      <c r="N238" s="12" t="s">
        <v>578</v>
      </c>
      <c r="O238" s="12" t="s">
        <v>578</v>
      </c>
      <c r="P238" s="12" t="s">
        <v>578</v>
      </c>
      <c r="Q238" s="12" t="s">
        <v>578</v>
      </c>
      <c r="R238" s="12" t="s">
        <v>578</v>
      </c>
      <c r="S238" s="12" t="s">
        <v>578</v>
      </c>
      <c r="T238" s="12" t="s">
        <v>578</v>
      </c>
      <c r="U238" s="12" t="s">
        <v>578</v>
      </c>
      <c r="V238" s="12" t="s">
        <v>578</v>
      </c>
      <c r="W238" s="12" t="s">
        <v>578</v>
      </c>
      <c r="X238" s="12" t="s">
        <v>578</v>
      </c>
      <c r="Y238" s="12" t="s">
        <v>578</v>
      </c>
      <c r="Z238" s="12" t="s">
        <v>578</v>
      </c>
      <c r="AA238" s="12" t="s">
        <v>578</v>
      </c>
      <c r="AB238" s="12" t="s">
        <v>578</v>
      </c>
      <c r="AC238" s="12" t="s">
        <v>578</v>
      </c>
      <c r="AD238" s="12" t="s">
        <v>578</v>
      </c>
      <c r="AE238" s="12" t="s">
        <v>578</v>
      </c>
      <c r="AF238" s="12" t="s">
        <v>578</v>
      </c>
      <c r="AG238" s="12" t="s">
        <v>578</v>
      </c>
      <c r="AH238" s="12" t="s">
        <v>578</v>
      </c>
      <c r="AI238" s="12" t="s">
        <v>578</v>
      </c>
      <c r="AJ238" s="12" t="s">
        <v>578</v>
      </c>
      <c r="AK238" s="12" t="s">
        <v>578</v>
      </c>
      <c r="AL238" s="12" t="s">
        <v>578</v>
      </c>
      <c r="AM238" s="12" t="s">
        <v>578</v>
      </c>
      <c r="AN238" s="12" t="s">
        <v>578</v>
      </c>
      <c r="AO238" s="12" t="s">
        <v>578</v>
      </c>
      <c r="AP238" s="12" t="s">
        <v>578</v>
      </c>
      <c r="AQ238" s="12" t="s">
        <v>578</v>
      </c>
      <c r="AR238" s="12" t="s">
        <v>578</v>
      </c>
      <c r="AS238" s="12" t="s">
        <v>578</v>
      </c>
      <c r="AT238" s="12" t="s">
        <v>578</v>
      </c>
      <c r="AU238" s="12" t="s">
        <v>578</v>
      </c>
      <c r="AV238" s="12" t="s">
        <v>578</v>
      </c>
      <c r="AW238" s="12" t="s">
        <v>578</v>
      </c>
      <c r="AX238" s="12" t="s">
        <v>578</v>
      </c>
      <c r="AY238" s="12" t="s">
        <v>578</v>
      </c>
      <c r="AZ238" s="12" t="s">
        <v>578</v>
      </c>
      <c r="BA238" s="12" t="s">
        <v>578</v>
      </c>
      <c r="BB238" s="12" t="s">
        <v>578</v>
      </c>
      <c r="BC238" s="12" t="s">
        <v>578</v>
      </c>
      <c r="BD238" s="12" t="s">
        <v>578</v>
      </c>
      <c r="BE238" s="12" t="s">
        <v>578</v>
      </c>
      <c r="BF238" s="12" t="s">
        <v>578</v>
      </c>
      <c r="BG238" s="12" t="s">
        <v>578</v>
      </c>
      <c r="BH238" s="12" t="s">
        <v>578</v>
      </c>
      <c r="BI238" s="12" t="s">
        <v>578</v>
      </c>
      <c r="BJ238" s="12" t="s">
        <v>578</v>
      </c>
      <c r="BK238" s="12" t="s">
        <v>578</v>
      </c>
      <c r="BL238" s="12" t="s">
        <v>578</v>
      </c>
      <c r="BM238" s="12" t="s">
        <v>579</v>
      </c>
      <c r="BN238" s="12" t="s">
        <v>579</v>
      </c>
      <c r="BO238" s="12" t="s">
        <v>579</v>
      </c>
      <c r="BP238" s="12" t="s">
        <v>581</v>
      </c>
      <c r="BQ238" s="12" t="s">
        <v>581</v>
      </c>
      <c r="BR238" s="12" t="s">
        <v>581</v>
      </c>
      <c r="BS238" s="12" t="s">
        <v>581</v>
      </c>
      <c r="BT238" s="12" t="s">
        <v>761</v>
      </c>
      <c r="BU238" s="12" t="s">
        <v>624</v>
      </c>
      <c r="BV238" s="12" t="s">
        <v>624</v>
      </c>
      <c r="BW238" s="12" t="s">
        <v>624</v>
      </c>
      <c r="BX238" s="12" t="s">
        <v>584</v>
      </c>
      <c r="BY238" s="12" t="s">
        <v>584</v>
      </c>
      <c r="BZ238" s="12" t="s">
        <v>584</v>
      </c>
      <c r="CA238" s="12" t="s">
        <v>674</v>
      </c>
      <c r="CB238" s="12" t="s">
        <v>674</v>
      </c>
      <c r="CC238" s="12" t="s">
        <v>674</v>
      </c>
      <c r="CD238" s="12" t="s">
        <v>674</v>
      </c>
      <c r="CE238" s="12" t="s">
        <v>674</v>
      </c>
      <c r="CF238" s="12" t="s">
        <v>674</v>
      </c>
      <c r="CG238" s="12" t="s">
        <v>757</v>
      </c>
      <c r="CH238" s="12" t="s">
        <v>757</v>
      </c>
      <c r="CI238" s="12" t="s">
        <v>757</v>
      </c>
      <c r="CJ238" s="12" t="s">
        <v>953</v>
      </c>
      <c r="CK238" s="12" t="s">
        <v>627</v>
      </c>
      <c r="CL238" s="12" t="s">
        <v>627</v>
      </c>
      <c r="CM238" s="12" t="s">
        <v>628</v>
      </c>
      <c r="CN238" s="12" t="s">
        <v>628</v>
      </c>
      <c r="CO238" s="12" t="s">
        <v>718</v>
      </c>
      <c r="CP238" s="12" t="s">
        <v>718</v>
      </c>
      <c r="CQ238" s="12" t="s">
        <v>629</v>
      </c>
      <c r="CR238" s="12" t="s">
        <v>629</v>
      </c>
      <c r="CS238" s="12" t="s">
        <v>629</v>
      </c>
      <c r="CT238" s="12" t="s">
        <v>629</v>
      </c>
    </row>
    <row r="239" spans="1:98" hidden="1" x14ac:dyDescent="0.3">
      <c r="A239" s="12" t="s">
        <v>25</v>
      </c>
      <c r="B239" s="12" t="s">
        <v>4236</v>
      </c>
      <c r="C239" s="12" t="s">
        <v>4237</v>
      </c>
      <c r="D239" s="12" t="s">
        <v>4238</v>
      </c>
      <c r="E239" s="12" t="s">
        <v>578</v>
      </c>
      <c r="F239" s="12" t="s">
        <v>578</v>
      </c>
      <c r="G239" s="12" t="s">
        <v>578</v>
      </c>
      <c r="H239" s="12" t="s">
        <v>578</v>
      </c>
      <c r="I239" s="12" t="s">
        <v>578</v>
      </c>
      <c r="J239" s="12" t="s">
        <v>578</v>
      </c>
      <c r="K239" s="12" t="s">
        <v>578</v>
      </c>
      <c r="L239" s="12" t="s">
        <v>578</v>
      </c>
      <c r="M239" s="12" t="s">
        <v>578</v>
      </c>
      <c r="N239" s="12" t="s">
        <v>578</v>
      </c>
      <c r="O239" s="12" t="s">
        <v>578</v>
      </c>
      <c r="P239" s="12" t="s">
        <v>578</v>
      </c>
      <c r="Q239" s="12" t="s">
        <v>578</v>
      </c>
      <c r="R239" s="12" t="s">
        <v>578</v>
      </c>
      <c r="S239" s="12" t="s">
        <v>578</v>
      </c>
      <c r="T239" s="12" t="s">
        <v>578</v>
      </c>
      <c r="U239" s="12" t="s">
        <v>578</v>
      </c>
      <c r="V239" s="12" t="s">
        <v>578</v>
      </c>
      <c r="W239" s="12" t="s">
        <v>578</v>
      </c>
      <c r="X239" s="12" t="s">
        <v>578</v>
      </c>
      <c r="Y239" s="12" t="s">
        <v>578</v>
      </c>
      <c r="Z239" s="12" t="s">
        <v>578</v>
      </c>
      <c r="AA239" s="12" t="s">
        <v>578</v>
      </c>
      <c r="AB239" s="12" t="s">
        <v>578</v>
      </c>
      <c r="AC239" s="12" t="s">
        <v>578</v>
      </c>
      <c r="AD239" s="12" t="s">
        <v>578</v>
      </c>
      <c r="AE239" s="12" t="s">
        <v>578</v>
      </c>
      <c r="AF239" s="12" t="s">
        <v>578</v>
      </c>
      <c r="AG239" s="12" t="s">
        <v>578</v>
      </c>
      <c r="AH239" s="12" t="s">
        <v>578</v>
      </c>
      <c r="AI239" s="12" t="s">
        <v>578</v>
      </c>
      <c r="AJ239" s="12" t="s">
        <v>578</v>
      </c>
      <c r="AK239" s="12" t="s">
        <v>578</v>
      </c>
      <c r="AL239" s="12" t="s">
        <v>578</v>
      </c>
      <c r="AM239" s="12" t="s">
        <v>578</v>
      </c>
      <c r="AN239" s="12" t="s">
        <v>578</v>
      </c>
      <c r="AO239" s="12" t="s">
        <v>578</v>
      </c>
      <c r="AP239" s="12" t="s">
        <v>578</v>
      </c>
      <c r="AQ239" s="12" t="s">
        <v>578</v>
      </c>
      <c r="AR239" s="12" t="s">
        <v>578</v>
      </c>
      <c r="AS239" s="12" t="s">
        <v>578</v>
      </c>
      <c r="AT239" s="12" t="s">
        <v>578</v>
      </c>
      <c r="AU239" s="12" t="s">
        <v>578</v>
      </c>
      <c r="AV239" s="12" t="s">
        <v>578</v>
      </c>
      <c r="AW239" s="12" t="s">
        <v>578</v>
      </c>
      <c r="AX239" s="12" t="s">
        <v>578</v>
      </c>
      <c r="AY239" s="12" t="s">
        <v>578</v>
      </c>
      <c r="AZ239" s="12" t="s">
        <v>578</v>
      </c>
      <c r="BA239" s="12" t="s">
        <v>578</v>
      </c>
      <c r="BB239" s="12" t="s">
        <v>578</v>
      </c>
      <c r="BC239" s="12" t="s">
        <v>578</v>
      </c>
      <c r="BD239" s="12" t="s">
        <v>578</v>
      </c>
      <c r="BE239" s="12" t="s">
        <v>578</v>
      </c>
      <c r="BF239" s="12" t="s">
        <v>578</v>
      </c>
      <c r="BG239" s="12" t="s">
        <v>578</v>
      </c>
      <c r="BH239" s="12" t="s">
        <v>578</v>
      </c>
      <c r="BI239" s="12" t="s">
        <v>578</v>
      </c>
      <c r="BJ239" s="12" t="s">
        <v>578</v>
      </c>
      <c r="BK239" s="12" t="s">
        <v>578</v>
      </c>
      <c r="BL239" s="12" t="s">
        <v>578</v>
      </c>
      <c r="BM239" s="12" t="s">
        <v>579</v>
      </c>
      <c r="BN239" s="12" t="s">
        <v>579</v>
      </c>
      <c r="BO239" s="12" t="s">
        <v>579</v>
      </c>
      <c r="BP239" s="12" t="s">
        <v>579</v>
      </c>
      <c r="BQ239" s="12" t="s">
        <v>579</v>
      </c>
      <c r="BR239" s="12" t="s">
        <v>579</v>
      </c>
      <c r="BS239" s="12" t="s">
        <v>579</v>
      </c>
      <c r="BT239" s="12" t="s">
        <v>579</v>
      </c>
      <c r="BU239" s="12" t="s">
        <v>579</v>
      </c>
      <c r="BV239" s="12" t="s">
        <v>579</v>
      </c>
      <c r="BW239" s="12" t="s">
        <v>579</v>
      </c>
      <c r="BX239" s="12" t="s">
        <v>579</v>
      </c>
      <c r="BY239" s="12" t="s">
        <v>579</v>
      </c>
      <c r="BZ239" s="12" t="s">
        <v>579</v>
      </c>
      <c r="CA239" s="12" t="s">
        <v>579</v>
      </c>
      <c r="CB239" s="12" t="s">
        <v>579</v>
      </c>
      <c r="CC239" s="12" t="s">
        <v>579</v>
      </c>
      <c r="CD239" s="12" t="s">
        <v>579</v>
      </c>
      <c r="CE239" s="12" t="s">
        <v>579</v>
      </c>
      <c r="CF239" s="12" t="s">
        <v>623</v>
      </c>
      <c r="CG239" s="12" t="s">
        <v>623</v>
      </c>
      <c r="CH239" s="12" t="s">
        <v>623</v>
      </c>
      <c r="CI239" s="12" t="s">
        <v>580</v>
      </c>
      <c r="CJ239" s="12" t="s">
        <v>851</v>
      </c>
      <c r="CK239" s="12" t="s">
        <v>755</v>
      </c>
      <c r="CL239" s="12" t="s">
        <v>808</v>
      </c>
      <c r="CM239" s="12" t="s">
        <v>808</v>
      </c>
      <c r="CN239" s="12" t="s">
        <v>808</v>
      </c>
      <c r="CO239" s="12" t="s">
        <v>674</v>
      </c>
      <c r="CP239" s="12" t="s">
        <v>586</v>
      </c>
      <c r="CQ239" s="12" t="s">
        <v>626</v>
      </c>
      <c r="CR239" s="12" t="s">
        <v>626</v>
      </c>
      <c r="CS239" s="12" t="s">
        <v>626</v>
      </c>
      <c r="CT239" s="12" t="s">
        <v>587</v>
      </c>
    </row>
    <row r="240" spans="1:98" hidden="1" x14ac:dyDescent="0.3">
      <c r="A240" s="12" t="s">
        <v>25</v>
      </c>
      <c r="B240" s="12" t="s">
        <v>4239</v>
      </c>
      <c r="C240" s="12" t="s">
        <v>1178</v>
      </c>
      <c r="D240" s="12" t="s">
        <v>1179</v>
      </c>
      <c r="E240" s="12" t="s">
        <v>578</v>
      </c>
      <c r="F240" s="12" t="s">
        <v>578</v>
      </c>
      <c r="G240" s="12" t="s">
        <v>578</v>
      </c>
      <c r="H240" s="12" t="s">
        <v>578</v>
      </c>
      <c r="I240" s="12" t="s">
        <v>578</v>
      </c>
      <c r="J240" s="12" t="s">
        <v>578</v>
      </c>
      <c r="K240" s="12" t="s">
        <v>578</v>
      </c>
      <c r="L240" s="12" t="s">
        <v>578</v>
      </c>
      <c r="M240" s="12" t="s">
        <v>578</v>
      </c>
      <c r="N240" s="12" t="s">
        <v>578</v>
      </c>
      <c r="O240" s="12" t="s">
        <v>578</v>
      </c>
      <c r="P240" s="12" t="s">
        <v>578</v>
      </c>
      <c r="Q240" s="12" t="s">
        <v>578</v>
      </c>
      <c r="R240" s="12" t="s">
        <v>578</v>
      </c>
      <c r="S240" s="12" t="s">
        <v>578</v>
      </c>
      <c r="T240" s="12" t="s">
        <v>578</v>
      </c>
      <c r="U240" s="12" t="s">
        <v>578</v>
      </c>
      <c r="V240" s="12" t="s">
        <v>578</v>
      </c>
      <c r="W240" s="12" t="s">
        <v>578</v>
      </c>
      <c r="X240" s="12" t="s">
        <v>578</v>
      </c>
      <c r="Y240" s="12" t="s">
        <v>578</v>
      </c>
      <c r="Z240" s="12" t="s">
        <v>578</v>
      </c>
      <c r="AA240" s="12" t="s">
        <v>578</v>
      </c>
      <c r="AB240" s="12" t="s">
        <v>578</v>
      </c>
      <c r="AC240" s="12" t="s">
        <v>578</v>
      </c>
      <c r="AD240" s="12" t="s">
        <v>578</v>
      </c>
      <c r="AE240" s="12" t="s">
        <v>578</v>
      </c>
      <c r="AF240" s="12" t="s">
        <v>578</v>
      </c>
      <c r="AG240" s="12" t="s">
        <v>578</v>
      </c>
      <c r="AH240" s="12" t="s">
        <v>578</v>
      </c>
      <c r="AI240" s="12" t="s">
        <v>578</v>
      </c>
      <c r="AJ240" s="12" t="s">
        <v>578</v>
      </c>
      <c r="AK240" s="12" t="s">
        <v>578</v>
      </c>
      <c r="AL240" s="12" t="s">
        <v>578</v>
      </c>
      <c r="AM240" s="12" t="s">
        <v>578</v>
      </c>
      <c r="AN240" s="12" t="s">
        <v>578</v>
      </c>
      <c r="AO240" s="12" t="s">
        <v>578</v>
      </c>
      <c r="AP240" s="12" t="s">
        <v>578</v>
      </c>
      <c r="AQ240" s="12" t="s">
        <v>578</v>
      </c>
      <c r="AR240" s="12" t="s">
        <v>578</v>
      </c>
      <c r="AS240" s="12" t="s">
        <v>578</v>
      </c>
      <c r="AT240" s="12" t="s">
        <v>578</v>
      </c>
      <c r="AU240" s="12" t="s">
        <v>578</v>
      </c>
      <c r="AV240" s="12" t="s">
        <v>578</v>
      </c>
      <c r="AW240" s="12" t="s">
        <v>578</v>
      </c>
      <c r="AX240" s="12" t="s">
        <v>578</v>
      </c>
      <c r="AY240" s="12" t="s">
        <v>578</v>
      </c>
      <c r="AZ240" s="12" t="s">
        <v>578</v>
      </c>
      <c r="BA240" s="12" t="s">
        <v>578</v>
      </c>
      <c r="BB240" s="12" t="s">
        <v>578</v>
      </c>
      <c r="BC240" s="12" t="s">
        <v>578</v>
      </c>
      <c r="BD240" s="12" t="s">
        <v>578</v>
      </c>
      <c r="BE240" s="12" t="s">
        <v>578</v>
      </c>
      <c r="BF240" s="12" t="s">
        <v>578</v>
      </c>
      <c r="BG240" s="12" t="s">
        <v>578</v>
      </c>
      <c r="BH240" s="12" t="s">
        <v>578</v>
      </c>
      <c r="BI240" s="12" t="s">
        <v>578</v>
      </c>
      <c r="BJ240" s="12" t="s">
        <v>578</v>
      </c>
      <c r="BK240" s="12" t="s">
        <v>578</v>
      </c>
      <c r="BL240" s="12" t="s">
        <v>578</v>
      </c>
      <c r="BM240" s="12" t="s">
        <v>578</v>
      </c>
      <c r="BN240" s="12" t="s">
        <v>579</v>
      </c>
      <c r="BO240" s="12" t="s">
        <v>579</v>
      </c>
      <c r="BP240" s="12" t="s">
        <v>623</v>
      </c>
      <c r="BQ240" s="12" t="s">
        <v>623</v>
      </c>
      <c r="BR240" s="12" t="s">
        <v>623</v>
      </c>
      <c r="BS240" s="12" t="s">
        <v>623</v>
      </c>
      <c r="BT240" s="12" t="s">
        <v>623</v>
      </c>
      <c r="BU240" s="12" t="s">
        <v>672</v>
      </c>
      <c r="BV240" s="12" t="s">
        <v>672</v>
      </c>
      <c r="BW240" s="12" t="s">
        <v>672</v>
      </c>
      <c r="BX240" s="12" t="s">
        <v>672</v>
      </c>
      <c r="BY240" s="12" t="s">
        <v>580</v>
      </c>
      <c r="BZ240" s="12" t="s">
        <v>580</v>
      </c>
      <c r="CA240" s="12" t="s">
        <v>581</v>
      </c>
      <c r="CB240" s="12" t="s">
        <v>582</v>
      </c>
      <c r="CC240" s="12" t="s">
        <v>582</v>
      </c>
      <c r="CD240" s="12" t="s">
        <v>755</v>
      </c>
      <c r="CE240" s="12" t="s">
        <v>761</v>
      </c>
      <c r="CF240" s="12" t="s">
        <v>624</v>
      </c>
      <c r="CG240" s="12" t="s">
        <v>868</v>
      </c>
      <c r="CH240" s="12" t="s">
        <v>756</v>
      </c>
      <c r="CI240" s="12" t="s">
        <v>808</v>
      </c>
      <c r="CJ240" s="12" t="s">
        <v>808</v>
      </c>
      <c r="CK240" s="12" t="s">
        <v>808</v>
      </c>
      <c r="CL240" s="12" t="s">
        <v>808</v>
      </c>
      <c r="CM240" s="12" t="s">
        <v>808</v>
      </c>
      <c r="CN240" s="12" t="s">
        <v>808</v>
      </c>
      <c r="CO240" s="12" t="s">
        <v>808</v>
      </c>
      <c r="CP240" s="12" t="s">
        <v>808</v>
      </c>
      <c r="CQ240" s="12" t="s">
        <v>808</v>
      </c>
      <c r="CR240" s="12" t="s">
        <v>808</v>
      </c>
      <c r="CS240" s="12" t="s">
        <v>808</v>
      </c>
      <c r="CT240" s="12" t="s">
        <v>808</v>
      </c>
    </row>
    <row r="241" spans="1:98" hidden="1" x14ac:dyDescent="0.3">
      <c r="A241" s="12" t="s">
        <v>4240</v>
      </c>
      <c r="B241" s="12" t="s">
        <v>1435</v>
      </c>
      <c r="C241" s="12" t="s">
        <v>2213</v>
      </c>
      <c r="D241" s="12" t="s">
        <v>2213</v>
      </c>
      <c r="E241" s="12" t="s">
        <v>578</v>
      </c>
      <c r="F241" s="12" t="s">
        <v>578</v>
      </c>
      <c r="G241" s="12" t="s">
        <v>578</v>
      </c>
      <c r="H241" s="12" t="s">
        <v>578</v>
      </c>
      <c r="I241" s="12" t="s">
        <v>578</v>
      </c>
      <c r="J241" s="12" t="s">
        <v>578</v>
      </c>
      <c r="K241" s="12" t="s">
        <v>578</v>
      </c>
      <c r="L241" s="12" t="s">
        <v>578</v>
      </c>
      <c r="M241" s="12" t="s">
        <v>578</v>
      </c>
      <c r="N241" s="12" t="s">
        <v>578</v>
      </c>
      <c r="O241" s="12" t="s">
        <v>578</v>
      </c>
      <c r="P241" s="12" t="s">
        <v>578</v>
      </c>
      <c r="Q241" s="12" t="s">
        <v>578</v>
      </c>
      <c r="R241" s="12" t="s">
        <v>578</v>
      </c>
      <c r="S241" s="12" t="s">
        <v>578</v>
      </c>
      <c r="T241" s="12" t="s">
        <v>578</v>
      </c>
      <c r="U241" s="12" t="s">
        <v>578</v>
      </c>
      <c r="V241" s="12" t="s">
        <v>578</v>
      </c>
      <c r="W241" s="12" t="s">
        <v>578</v>
      </c>
      <c r="X241" s="12" t="s">
        <v>578</v>
      </c>
      <c r="Y241" s="12" t="s">
        <v>578</v>
      </c>
      <c r="Z241" s="12" t="s">
        <v>578</v>
      </c>
      <c r="AA241" s="12" t="s">
        <v>578</v>
      </c>
      <c r="AB241" s="12" t="s">
        <v>578</v>
      </c>
      <c r="AC241" s="12" t="s">
        <v>578</v>
      </c>
      <c r="AD241" s="12" t="s">
        <v>578</v>
      </c>
      <c r="AE241" s="12" t="s">
        <v>578</v>
      </c>
      <c r="AF241" s="12" t="s">
        <v>578</v>
      </c>
      <c r="AG241" s="12" t="s">
        <v>578</v>
      </c>
      <c r="AH241" s="12" t="s">
        <v>578</v>
      </c>
      <c r="AI241" s="12" t="s">
        <v>578</v>
      </c>
      <c r="AJ241" s="12" t="s">
        <v>578</v>
      </c>
      <c r="AK241" s="12" t="s">
        <v>578</v>
      </c>
      <c r="AL241" s="12" t="s">
        <v>578</v>
      </c>
      <c r="AM241" s="12" t="s">
        <v>578</v>
      </c>
      <c r="AN241" s="12" t="s">
        <v>578</v>
      </c>
      <c r="AO241" s="12" t="s">
        <v>578</v>
      </c>
      <c r="AP241" s="12" t="s">
        <v>578</v>
      </c>
      <c r="AQ241" s="12" t="s">
        <v>578</v>
      </c>
      <c r="AR241" s="12" t="s">
        <v>578</v>
      </c>
      <c r="AS241" s="12" t="s">
        <v>578</v>
      </c>
      <c r="AT241" s="12" t="s">
        <v>578</v>
      </c>
      <c r="AU241" s="12" t="s">
        <v>578</v>
      </c>
      <c r="AV241" s="12" t="s">
        <v>578</v>
      </c>
      <c r="AW241" s="12" t="s">
        <v>578</v>
      </c>
      <c r="AX241" s="12" t="s">
        <v>578</v>
      </c>
      <c r="AY241" s="12" t="s">
        <v>578</v>
      </c>
      <c r="AZ241" s="12" t="s">
        <v>578</v>
      </c>
      <c r="BA241" s="12" t="s">
        <v>578</v>
      </c>
      <c r="BB241" s="12" t="s">
        <v>578</v>
      </c>
      <c r="BC241" s="12" t="s">
        <v>578</v>
      </c>
      <c r="BD241" s="12" t="s">
        <v>578</v>
      </c>
      <c r="BE241" s="12" t="s">
        <v>578</v>
      </c>
      <c r="BF241" s="12" t="s">
        <v>578</v>
      </c>
      <c r="BG241" s="12" t="s">
        <v>578</v>
      </c>
      <c r="BH241" s="12" t="s">
        <v>578</v>
      </c>
      <c r="BI241" s="12" t="s">
        <v>578</v>
      </c>
      <c r="BJ241" s="12" t="s">
        <v>578</v>
      </c>
      <c r="BK241" s="12" t="s">
        <v>578</v>
      </c>
      <c r="BL241" s="12" t="s">
        <v>578</v>
      </c>
      <c r="BM241" s="12" t="s">
        <v>578</v>
      </c>
      <c r="BN241" s="12" t="s">
        <v>578</v>
      </c>
      <c r="BO241" s="12" t="s">
        <v>578</v>
      </c>
      <c r="BP241" s="12" t="s">
        <v>578</v>
      </c>
      <c r="BQ241" s="12" t="s">
        <v>578</v>
      </c>
      <c r="BR241" s="12" t="s">
        <v>578</v>
      </c>
      <c r="BS241" s="12" t="s">
        <v>578</v>
      </c>
      <c r="BT241" s="12" t="s">
        <v>578</v>
      </c>
      <c r="BU241" s="12" t="s">
        <v>578</v>
      </c>
      <c r="BV241" s="12" t="s">
        <v>578</v>
      </c>
      <c r="BW241" s="12" t="s">
        <v>578</v>
      </c>
      <c r="BX241" s="12" t="s">
        <v>578</v>
      </c>
      <c r="BY241" s="12" t="s">
        <v>578</v>
      </c>
      <c r="BZ241" s="12" t="s">
        <v>578</v>
      </c>
      <c r="CA241" s="12" t="s">
        <v>578</v>
      </c>
      <c r="CB241" s="12" t="s">
        <v>578</v>
      </c>
      <c r="CC241" s="12" t="s">
        <v>578</v>
      </c>
      <c r="CD241" s="12" t="s">
        <v>578</v>
      </c>
      <c r="CE241" s="12" t="s">
        <v>578</v>
      </c>
      <c r="CF241" s="12" t="s">
        <v>578</v>
      </c>
      <c r="CG241" s="12" t="s">
        <v>578</v>
      </c>
      <c r="CH241" s="12" t="s">
        <v>578</v>
      </c>
      <c r="CI241" s="12" t="s">
        <v>578</v>
      </c>
      <c r="CJ241" s="12" t="s">
        <v>578</v>
      </c>
      <c r="CK241" s="12" t="s">
        <v>578</v>
      </c>
      <c r="CL241" s="12" t="s">
        <v>578</v>
      </c>
      <c r="CM241" s="12" t="s">
        <v>578</v>
      </c>
      <c r="CN241" s="12" t="s">
        <v>578</v>
      </c>
      <c r="CO241" s="12" t="s">
        <v>578</v>
      </c>
      <c r="CP241" s="12" t="s">
        <v>578</v>
      </c>
      <c r="CQ241" s="12" t="s">
        <v>578</v>
      </c>
      <c r="CR241" s="12" t="s">
        <v>578</v>
      </c>
      <c r="CS241" s="12" t="s">
        <v>578</v>
      </c>
      <c r="CT241" s="12" t="s">
        <v>578</v>
      </c>
    </row>
    <row r="242" spans="1:98" hidden="1" x14ac:dyDescent="0.3">
      <c r="A242" s="12" t="s">
        <v>25</v>
      </c>
      <c r="B242" s="12" t="s">
        <v>4241</v>
      </c>
      <c r="C242" s="12" t="s">
        <v>4242</v>
      </c>
      <c r="D242" s="12" t="s">
        <v>4243</v>
      </c>
      <c r="E242" s="12" t="s">
        <v>578</v>
      </c>
      <c r="F242" s="12" t="s">
        <v>578</v>
      </c>
      <c r="G242" s="12" t="s">
        <v>578</v>
      </c>
      <c r="H242" s="12" t="s">
        <v>578</v>
      </c>
      <c r="I242" s="12" t="s">
        <v>578</v>
      </c>
      <c r="J242" s="12" t="s">
        <v>578</v>
      </c>
      <c r="K242" s="12" t="s">
        <v>578</v>
      </c>
      <c r="L242" s="12" t="s">
        <v>578</v>
      </c>
      <c r="M242" s="12" t="s">
        <v>578</v>
      </c>
      <c r="N242" s="12" t="s">
        <v>578</v>
      </c>
      <c r="O242" s="12" t="s">
        <v>578</v>
      </c>
      <c r="P242" s="12" t="s">
        <v>578</v>
      </c>
      <c r="Q242" s="12" t="s">
        <v>578</v>
      </c>
      <c r="R242" s="12" t="s">
        <v>578</v>
      </c>
      <c r="S242" s="12" t="s">
        <v>578</v>
      </c>
      <c r="T242" s="12" t="s">
        <v>578</v>
      </c>
      <c r="U242" s="12" t="s">
        <v>578</v>
      </c>
      <c r="V242" s="12" t="s">
        <v>578</v>
      </c>
      <c r="W242" s="12" t="s">
        <v>578</v>
      </c>
      <c r="X242" s="12" t="s">
        <v>578</v>
      </c>
      <c r="Y242" s="12" t="s">
        <v>578</v>
      </c>
      <c r="Z242" s="12" t="s">
        <v>578</v>
      </c>
      <c r="AA242" s="12" t="s">
        <v>578</v>
      </c>
      <c r="AB242" s="12" t="s">
        <v>578</v>
      </c>
      <c r="AC242" s="12" t="s">
        <v>578</v>
      </c>
      <c r="AD242" s="12" t="s">
        <v>578</v>
      </c>
      <c r="AE242" s="12" t="s">
        <v>578</v>
      </c>
      <c r="AF242" s="12" t="s">
        <v>578</v>
      </c>
      <c r="AG242" s="12" t="s">
        <v>578</v>
      </c>
      <c r="AH242" s="12" t="s">
        <v>578</v>
      </c>
      <c r="AI242" s="12" t="s">
        <v>578</v>
      </c>
      <c r="AJ242" s="12" t="s">
        <v>578</v>
      </c>
      <c r="AK242" s="12" t="s">
        <v>578</v>
      </c>
      <c r="AL242" s="12" t="s">
        <v>578</v>
      </c>
      <c r="AM242" s="12" t="s">
        <v>578</v>
      </c>
      <c r="AN242" s="12" t="s">
        <v>578</v>
      </c>
      <c r="AO242" s="12" t="s">
        <v>578</v>
      </c>
      <c r="AP242" s="12" t="s">
        <v>578</v>
      </c>
      <c r="AQ242" s="12" t="s">
        <v>578</v>
      </c>
      <c r="AR242" s="12" t="s">
        <v>578</v>
      </c>
      <c r="AS242" s="12" t="s">
        <v>578</v>
      </c>
      <c r="AT242" s="12" t="s">
        <v>578</v>
      </c>
      <c r="AU242" s="12" t="s">
        <v>578</v>
      </c>
      <c r="AV242" s="12" t="s">
        <v>578</v>
      </c>
      <c r="AW242" s="12" t="s">
        <v>578</v>
      </c>
      <c r="AX242" s="12" t="s">
        <v>578</v>
      </c>
      <c r="AY242" s="12" t="s">
        <v>578</v>
      </c>
      <c r="AZ242" s="12" t="s">
        <v>578</v>
      </c>
      <c r="BA242" s="12" t="s">
        <v>578</v>
      </c>
      <c r="BB242" s="12" t="s">
        <v>578</v>
      </c>
      <c r="BC242" s="12" t="s">
        <v>578</v>
      </c>
      <c r="BD242" s="12" t="s">
        <v>578</v>
      </c>
      <c r="BE242" s="12" t="s">
        <v>578</v>
      </c>
      <c r="BF242" s="12" t="s">
        <v>578</v>
      </c>
      <c r="BG242" s="12" t="s">
        <v>578</v>
      </c>
      <c r="BH242" s="12" t="s">
        <v>578</v>
      </c>
      <c r="BI242" s="12" t="s">
        <v>578</v>
      </c>
      <c r="BJ242" s="12" t="s">
        <v>578</v>
      </c>
      <c r="BK242" s="12" t="s">
        <v>578</v>
      </c>
      <c r="BL242" s="12" t="s">
        <v>578</v>
      </c>
      <c r="BM242" s="12" t="s">
        <v>578</v>
      </c>
      <c r="BN242" s="12" t="s">
        <v>578</v>
      </c>
      <c r="BO242" s="12" t="s">
        <v>623</v>
      </c>
      <c r="BP242" s="12" t="s">
        <v>672</v>
      </c>
      <c r="BQ242" s="12" t="s">
        <v>851</v>
      </c>
      <c r="BR242" s="12" t="s">
        <v>851</v>
      </c>
      <c r="BS242" s="12" t="s">
        <v>755</v>
      </c>
      <c r="BT242" s="12" t="s">
        <v>755</v>
      </c>
      <c r="BU242" s="12" t="s">
        <v>755</v>
      </c>
      <c r="BV242" s="12" t="s">
        <v>761</v>
      </c>
      <c r="BW242" s="12" t="s">
        <v>624</v>
      </c>
      <c r="BX242" s="12" t="s">
        <v>624</v>
      </c>
      <c r="BY242" s="12" t="s">
        <v>624</v>
      </c>
      <c r="BZ242" s="12" t="s">
        <v>624</v>
      </c>
      <c r="CA242" s="12" t="s">
        <v>583</v>
      </c>
      <c r="CB242" s="12" t="s">
        <v>625</v>
      </c>
      <c r="CC242" s="12" t="s">
        <v>756</v>
      </c>
      <c r="CD242" s="12" t="s">
        <v>762</v>
      </c>
      <c r="CE242" s="12" t="s">
        <v>584</v>
      </c>
      <c r="CF242" s="12" t="s">
        <v>584</v>
      </c>
      <c r="CG242" s="12" t="s">
        <v>808</v>
      </c>
      <c r="CH242" s="12" t="s">
        <v>674</v>
      </c>
      <c r="CI242" s="12" t="s">
        <v>674</v>
      </c>
      <c r="CJ242" s="12" t="s">
        <v>674</v>
      </c>
      <c r="CK242" s="12" t="s">
        <v>674</v>
      </c>
      <c r="CL242" s="12" t="s">
        <v>674</v>
      </c>
      <c r="CM242" s="12" t="s">
        <v>674</v>
      </c>
      <c r="CN242" s="12" t="s">
        <v>674</v>
      </c>
      <c r="CO242" s="12" t="s">
        <v>674</v>
      </c>
      <c r="CP242" s="12" t="s">
        <v>674</v>
      </c>
      <c r="CQ242" s="12" t="s">
        <v>674</v>
      </c>
      <c r="CR242" s="12" t="s">
        <v>674</v>
      </c>
      <c r="CS242" s="12" t="s">
        <v>674</v>
      </c>
      <c r="CT242" s="12" t="s">
        <v>674</v>
      </c>
    </row>
    <row r="243" spans="1:98" hidden="1" x14ac:dyDescent="0.3">
      <c r="A243" s="12" t="s">
        <v>25</v>
      </c>
      <c r="B243" s="12" t="s">
        <v>4244</v>
      </c>
      <c r="C243" s="12" t="s">
        <v>4245</v>
      </c>
      <c r="D243" s="12" t="s">
        <v>4246</v>
      </c>
      <c r="E243" s="12" t="s">
        <v>578</v>
      </c>
      <c r="F243" s="12" t="s">
        <v>578</v>
      </c>
      <c r="G243" s="12" t="s">
        <v>578</v>
      </c>
      <c r="H243" s="12" t="s">
        <v>578</v>
      </c>
      <c r="I243" s="12" t="s">
        <v>578</v>
      </c>
      <c r="J243" s="12" t="s">
        <v>578</v>
      </c>
      <c r="K243" s="12" t="s">
        <v>578</v>
      </c>
      <c r="L243" s="12" t="s">
        <v>578</v>
      </c>
      <c r="M243" s="12" t="s">
        <v>578</v>
      </c>
      <c r="N243" s="12" t="s">
        <v>578</v>
      </c>
      <c r="O243" s="12" t="s">
        <v>578</v>
      </c>
      <c r="P243" s="12" t="s">
        <v>578</v>
      </c>
      <c r="Q243" s="12" t="s">
        <v>578</v>
      </c>
      <c r="R243" s="12" t="s">
        <v>578</v>
      </c>
      <c r="S243" s="12" t="s">
        <v>578</v>
      </c>
      <c r="T243" s="12" t="s">
        <v>578</v>
      </c>
      <c r="U243" s="12" t="s">
        <v>578</v>
      </c>
      <c r="V243" s="12" t="s">
        <v>578</v>
      </c>
      <c r="W243" s="12" t="s">
        <v>578</v>
      </c>
      <c r="X243" s="12" t="s">
        <v>578</v>
      </c>
      <c r="Y243" s="12" t="s">
        <v>578</v>
      </c>
      <c r="Z243" s="12" t="s">
        <v>578</v>
      </c>
      <c r="AA243" s="12" t="s">
        <v>578</v>
      </c>
      <c r="AB243" s="12" t="s">
        <v>578</v>
      </c>
      <c r="AC243" s="12" t="s">
        <v>578</v>
      </c>
      <c r="AD243" s="12" t="s">
        <v>578</v>
      </c>
      <c r="AE243" s="12" t="s">
        <v>578</v>
      </c>
      <c r="AF243" s="12" t="s">
        <v>578</v>
      </c>
      <c r="AG243" s="12" t="s">
        <v>578</v>
      </c>
      <c r="AH243" s="12" t="s">
        <v>578</v>
      </c>
      <c r="AI243" s="12" t="s">
        <v>578</v>
      </c>
      <c r="AJ243" s="12" t="s">
        <v>578</v>
      </c>
      <c r="AK243" s="12" t="s">
        <v>578</v>
      </c>
      <c r="AL243" s="12" t="s">
        <v>578</v>
      </c>
      <c r="AM243" s="12" t="s">
        <v>578</v>
      </c>
      <c r="AN243" s="12" t="s">
        <v>578</v>
      </c>
      <c r="AO243" s="12" t="s">
        <v>578</v>
      </c>
      <c r="AP243" s="12" t="s">
        <v>578</v>
      </c>
      <c r="AQ243" s="12" t="s">
        <v>578</v>
      </c>
      <c r="AR243" s="12" t="s">
        <v>578</v>
      </c>
      <c r="AS243" s="12" t="s">
        <v>578</v>
      </c>
      <c r="AT243" s="12" t="s">
        <v>578</v>
      </c>
      <c r="AU243" s="12" t="s">
        <v>578</v>
      </c>
      <c r="AV243" s="12" t="s">
        <v>578</v>
      </c>
      <c r="AW243" s="12" t="s">
        <v>578</v>
      </c>
      <c r="AX243" s="12" t="s">
        <v>578</v>
      </c>
      <c r="AY243" s="12" t="s">
        <v>578</v>
      </c>
      <c r="AZ243" s="12" t="s">
        <v>578</v>
      </c>
      <c r="BA243" s="12" t="s">
        <v>578</v>
      </c>
      <c r="BB243" s="12" t="s">
        <v>578</v>
      </c>
      <c r="BC243" s="12" t="s">
        <v>578</v>
      </c>
      <c r="BD243" s="12" t="s">
        <v>578</v>
      </c>
      <c r="BE243" s="12" t="s">
        <v>578</v>
      </c>
      <c r="BF243" s="12" t="s">
        <v>578</v>
      </c>
      <c r="BG243" s="12" t="s">
        <v>578</v>
      </c>
      <c r="BH243" s="12" t="s">
        <v>578</v>
      </c>
      <c r="BI243" s="12" t="s">
        <v>578</v>
      </c>
      <c r="BJ243" s="12" t="s">
        <v>578</v>
      </c>
      <c r="BK243" s="12" t="s">
        <v>578</v>
      </c>
      <c r="BL243" s="12" t="s">
        <v>578</v>
      </c>
      <c r="BM243" s="12" t="s">
        <v>578</v>
      </c>
      <c r="BN243" s="12" t="s">
        <v>578</v>
      </c>
      <c r="BO243" s="12" t="s">
        <v>579</v>
      </c>
      <c r="BP243" s="12" t="s">
        <v>579</v>
      </c>
      <c r="BQ243" s="12" t="s">
        <v>579</v>
      </c>
      <c r="BR243" s="12" t="s">
        <v>579</v>
      </c>
      <c r="BS243" s="12" t="s">
        <v>672</v>
      </c>
      <c r="BT243" s="12" t="s">
        <v>755</v>
      </c>
      <c r="BU243" s="12" t="s">
        <v>755</v>
      </c>
      <c r="BV243" s="12" t="s">
        <v>624</v>
      </c>
      <c r="BW243" s="12" t="s">
        <v>624</v>
      </c>
      <c r="BX243" s="12" t="s">
        <v>583</v>
      </c>
      <c r="BY243" s="12" t="s">
        <v>583</v>
      </c>
      <c r="BZ243" s="12" t="s">
        <v>808</v>
      </c>
      <c r="CA243" s="12" t="s">
        <v>808</v>
      </c>
      <c r="CB243" s="12" t="s">
        <v>674</v>
      </c>
      <c r="CC243" s="12" t="s">
        <v>675</v>
      </c>
      <c r="CD243" s="12" t="s">
        <v>585</v>
      </c>
      <c r="CE243" s="12" t="s">
        <v>587</v>
      </c>
      <c r="CF243" s="12" t="s">
        <v>587</v>
      </c>
      <c r="CG243" s="12" t="s">
        <v>587</v>
      </c>
      <c r="CH243" s="12" t="s">
        <v>757</v>
      </c>
      <c r="CI243" s="12" t="s">
        <v>676</v>
      </c>
      <c r="CJ243" s="12" t="s">
        <v>917</v>
      </c>
      <c r="CK243" s="12" t="s">
        <v>678</v>
      </c>
      <c r="CL243" s="12" t="s">
        <v>991</v>
      </c>
      <c r="CM243" s="12" t="s">
        <v>991</v>
      </c>
      <c r="CN243" s="12" t="s">
        <v>991</v>
      </c>
      <c r="CO243" s="12" t="s">
        <v>630</v>
      </c>
      <c r="CP243" s="12" t="s">
        <v>630</v>
      </c>
      <c r="CQ243" s="12" t="s">
        <v>630</v>
      </c>
      <c r="CR243" s="12" t="s">
        <v>632</v>
      </c>
      <c r="CS243" s="12" t="s">
        <v>680</v>
      </c>
      <c r="CT243" s="12" t="s">
        <v>919</v>
      </c>
    </row>
    <row r="244" spans="1:98" hidden="1" x14ac:dyDescent="0.3">
      <c r="A244" s="12" t="s">
        <v>25</v>
      </c>
      <c r="B244" s="12" t="s">
        <v>4247</v>
      </c>
      <c r="C244" s="12" t="s">
        <v>4248</v>
      </c>
      <c r="D244" s="12" t="s">
        <v>4249</v>
      </c>
      <c r="E244" s="12" t="s">
        <v>578</v>
      </c>
      <c r="F244" s="12" t="s">
        <v>578</v>
      </c>
      <c r="G244" s="12" t="s">
        <v>578</v>
      </c>
      <c r="H244" s="12" t="s">
        <v>578</v>
      </c>
      <c r="I244" s="12" t="s">
        <v>578</v>
      </c>
      <c r="J244" s="12" t="s">
        <v>578</v>
      </c>
      <c r="K244" s="12" t="s">
        <v>578</v>
      </c>
      <c r="L244" s="12" t="s">
        <v>578</v>
      </c>
      <c r="M244" s="12" t="s">
        <v>578</v>
      </c>
      <c r="N244" s="12" t="s">
        <v>578</v>
      </c>
      <c r="O244" s="12" t="s">
        <v>578</v>
      </c>
      <c r="P244" s="12" t="s">
        <v>578</v>
      </c>
      <c r="Q244" s="12" t="s">
        <v>578</v>
      </c>
      <c r="R244" s="12" t="s">
        <v>578</v>
      </c>
      <c r="S244" s="12" t="s">
        <v>578</v>
      </c>
      <c r="T244" s="12" t="s">
        <v>578</v>
      </c>
      <c r="U244" s="12" t="s">
        <v>578</v>
      </c>
      <c r="V244" s="12" t="s">
        <v>578</v>
      </c>
      <c r="W244" s="12" t="s">
        <v>578</v>
      </c>
      <c r="X244" s="12" t="s">
        <v>578</v>
      </c>
      <c r="Y244" s="12" t="s">
        <v>578</v>
      </c>
      <c r="Z244" s="12" t="s">
        <v>578</v>
      </c>
      <c r="AA244" s="12" t="s">
        <v>578</v>
      </c>
      <c r="AB244" s="12" t="s">
        <v>578</v>
      </c>
      <c r="AC244" s="12" t="s">
        <v>578</v>
      </c>
      <c r="AD244" s="12" t="s">
        <v>578</v>
      </c>
      <c r="AE244" s="12" t="s">
        <v>578</v>
      </c>
      <c r="AF244" s="12" t="s">
        <v>578</v>
      </c>
      <c r="AG244" s="12" t="s">
        <v>578</v>
      </c>
      <c r="AH244" s="12" t="s">
        <v>578</v>
      </c>
      <c r="AI244" s="12" t="s">
        <v>578</v>
      </c>
      <c r="AJ244" s="12" t="s">
        <v>578</v>
      </c>
      <c r="AK244" s="12" t="s">
        <v>578</v>
      </c>
      <c r="AL244" s="12" t="s">
        <v>578</v>
      </c>
      <c r="AM244" s="12" t="s">
        <v>578</v>
      </c>
      <c r="AN244" s="12" t="s">
        <v>578</v>
      </c>
      <c r="AO244" s="12" t="s">
        <v>578</v>
      </c>
      <c r="AP244" s="12" t="s">
        <v>578</v>
      </c>
      <c r="AQ244" s="12" t="s">
        <v>578</v>
      </c>
      <c r="AR244" s="12" t="s">
        <v>578</v>
      </c>
      <c r="AS244" s="12" t="s">
        <v>578</v>
      </c>
      <c r="AT244" s="12" t="s">
        <v>578</v>
      </c>
      <c r="AU244" s="12" t="s">
        <v>578</v>
      </c>
      <c r="AV244" s="12" t="s">
        <v>580</v>
      </c>
      <c r="AW244" s="12" t="s">
        <v>582</v>
      </c>
      <c r="AX244" s="12" t="s">
        <v>584</v>
      </c>
      <c r="AY244" s="12" t="s">
        <v>584</v>
      </c>
      <c r="AZ244" s="12" t="s">
        <v>674</v>
      </c>
      <c r="BA244" s="12" t="s">
        <v>676</v>
      </c>
      <c r="BB244" s="12" t="s">
        <v>2018</v>
      </c>
      <c r="BC244" s="12" t="s">
        <v>2018</v>
      </c>
      <c r="BD244" s="12" t="s">
        <v>766</v>
      </c>
      <c r="BE244" s="12" t="s">
        <v>917</v>
      </c>
      <c r="BF244" s="12" t="s">
        <v>628</v>
      </c>
      <c r="BG244" s="12" t="s">
        <v>628</v>
      </c>
      <c r="BH244" s="12" t="s">
        <v>718</v>
      </c>
      <c r="BI244" s="12" t="s">
        <v>1046</v>
      </c>
      <c r="BJ244" s="12" t="s">
        <v>1096</v>
      </c>
      <c r="BK244" s="12" t="s">
        <v>972</v>
      </c>
      <c r="BL244" s="12" t="s">
        <v>678</v>
      </c>
      <c r="BM244" s="12" t="s">
        <v>809</v>
      </c>
      <c r="BN244" s="12" t="s">
        <v>632</v>
      </c>
      <c r="BO244" s="12" t="s">
        <v>632</v>
      </c>
      <c r="BP244" s="12" t="s">
        <v>632</v>
      </c>
      <c r="BQ244" s="12" t="s">
        <v>590</v>
      </c>
      <c r="BR244" s="12" t="s">
        <v>857</v>
      </c>
      <c r="BS244" s="12" t="s">
        <v>978</v>
      </c>
      <c r="BT244" s="12" t="s">
        <v>1208</v>
      </c>
      <c r="BU244" s="12" t="s">
        <v>1500</v>
      </c>
      <c r="BV244" s="12" t="s">
        <v>1418</v>
      </c>
      <c r="BW244" s="12" t="s">
        <v>873</v>
      </c>
      <c r="BX244" s="12" t="s">
        <v>2089</v>
      </c>
      <c r="BY244" s="12" t="s">
        <v>814</v>
      </c>
      <c r="BZ244" s="12" t="s">
        <v>1489</v>
      </c>
      <c r="CA244" s="12" t="s">
        <v>596</v>
      </c>
      <c r="CB244" s="12" t="s">
        <v>1492</v>
      </c>
      <c r="CC244" s="12" t="s">
        <v>1393</v>
      </c>
      <c r="CD244" s="12" t="s">
        <v>1495</v>
      </c>
      <c r="CE244" s="12" t="s">
        <v>1495</v>
      </c>
      <c r="CF244" s="12" t="s">
        <v>727</v>
      </c>
      <c r="CG244" s="12" t="s">
        <v>1264</v>
      </c>
      <c r="CH244" s="12" t="s">
        <v>818</v>
      </c>
      <c r="CI244" s="12" t="s">
        <v>728</v>
      </c>
      <c r="CJ244" s="12" t="s">
        <v>728</v>
      </c>
      <c r="CK244" s="12" t="s">
        <v>3932</v>
      </c>
      <c r="CL244" s="12" t="s">
        <v>3932</v>
      </c>
      <c r="CM244" s="12" t="s">
        <v>2395</v>
      </c>
      <c r="CN244" s="12" t="s">
        <v>1697</v>
      </c>
      <c r="CO244" s="12" t="s">
        <v>966</v>
      </c>
      <c r="CP244" s="12" t="s">
        <v>3122</v>
      </c>
      <c r="CQ244" s="12" t="s">
        <v>735</v>
      </c>
      <c r="CR244" s="12" t="s">
        <v>1521</v>
      </c>
      <c r="CS244" s="12" t="s">
        <v>1668</v>
      </c>
      <c r="CT244" s="12" t="s">
        <v>604</v>
      </c>
    </row>
    <row r="245" spans="1:98" hidden="1" x14ac:dyDescent="0.3">
      <c r="A245" s="12" t="s">
        <v>25</v>
      </c>
      <c r="B245" s="12" t="s">
        <v>4250</v>
      </c>
      <c r="C245" s="12" t="s">
        <v>4251</v>
      </c>
      <c r="D245" s="12" t="s">
        <v>4252</v>
      </c>
      <c r="E245" s="12" t="s">
        <v>578</v>
      </c>
      <c r="F245" s="12" t="s">
        <v>578</v>
      </c>
      <c r="G245" s="12" t="s">
        <v>578</v>
      </c>
      <c r="H245" s="12" t="s">
        <v>578</v>
      </c>
      <c r="I245" s="12" t="s">
        <v>578</v>
      </c>
      <c r="J245" s="12" t="s">
        <v>578</v>
      </c>
      <c r="K245" s="12" t="s">
        <v>578</v>
      </c>
      <c r="L245" s="12" t="s">
        <v>578</v>
      </c>
      <c r="M245" s="12" t="s">
        <v>578</v>
      </c>
      <c r="N245" s="12" t="s">
        <v>578</v>
      </c>
      <c r="O245" s="12" t="s">
        <v>578</v>
      </c>
      <c r="P245" s="12" t="s">
        <v>578</v>
      </c>
      <c r="Q245" s="12" t="s">
        <v>578</v>
      </c>
      <c r="R245" s="12" t="s">
        <v>578</v>
      </c>
      <c r="S245" s="12" t="s">
        <v>578</v>
      </c>
      <c r="T245" s="12" t="s">
        <v>578</v>
      </c>
      <c r="U245" s="12" t="s">
        <v>578</v>
      </c>
      <c r="V245" s="12" t="s">
        <v>578</v>
      </c>
      <c r="W245" s="12" t="s">
        <v>578</v>
      </c>
      <c r="X245" s="12" t="s">
        <v>578</v>
      </c>
      <c r="Y245" s="12" t="s">
        <v>578</v>
      </c>
      <c r="Z245" s="12" t="s">
        <v>578</v>
      </c>
      <c r="AA245" s="12" t="s">
        <v>578</v>
      </c>
      <c r="AB245" s="12" t="s">
        <v>578</v>
      </c>
      <c r="AC245" s="12" t="s">
        <v>578</v>
      </c>
      <c r="AD245" s="12" t="s">
        <v>578</v>
      </c>
      <c r="AE245" s="12" t="s">
        <v>578</v>
      </c>
      <c r="AF245" s="12" t="s">
        <v>578</v>
      </c>
      <c r="AG245" s="12" t="s">
        <v>578</v>
      </c>
      <c r="AH245" s="12" t="s">
        <v>578</v>
      </c>
      <c r="AI245" s="12" t="s">
        <v>578</v>
      </c>
      <c r="AJ245" s="12" t="s">
        <v>578</v>
      </c>
      <c r="AK245" s="12" t="s">
        <v>578</v>
      </c>
      <c r="AL245" s="12" t="s">
        <v>578</v>
      </c>
      <c r="AM245" s="12" t="s">
        <v>578</v>
      </c>
      <c r="AN245" s="12" t="s">
        <v>578</v>
      </c>
      <c r="AO245" s="12" t="s">
        <v>578</v>
      </c>
      <c r="AP245" s="12" t="s">
        <v>578</v>
      </c>
      <c r="AQ245" s="12" t="s">
        <v>578</v>
      </c>
      <c r="AR245" s="12" t="s">
        <v>578</v>
      </c>
      <c r="AS245" s="12" t="s">
        <v>578</v>
      </c>
      <c r="AT245" s="12" t="s">
        <v>578</v>
      </c>
      <c r="AU245" s="12" t="s">
        <v>578</v>
      </c>
      <c r="AV245" s="12" t="s">
        <v>578</v>
      </c>
      <c r="AW245" s="12" t="s">
        <v>578</v>
      </c>
      <c r="AX245" s="12" t="s">
        <v>578</v>
      </c>
      <c r="AY245" s="12" t="s">
        <v>578</v>
      </c>
      <c r="AZ245" s="12" t="s">
        <v>578</v>
      </c>
      <c r="BA245" s="12" t="s">
        <v>578</v>
      </c>
      <c r="BB245" s="12" t="s">
        <v>578</v>
      </c>
      <c r="BC245" s="12" t="s">
        <v>578</v>
      </c>
      <c r="BD245" s="12" t="s">
        <v>578</v>
      </c>
      <c r="BE245" s="12" t="s">
        <v>578</v>
      </c>
      <c r="BF245" s="12" t="s">
        <v>578</v>
      </c>
      <c r="BG245" s="12" t="s">
        <v>578</v>
      </c>
      <c r="BH245" s="12" t="s">
        <v>578</v>
      </c>
      <c r="BI245" s="12" t="s">
        <v>578</v>
      </c>
      <c r="BJ245" s="12" t="s">
        <v>578</v>
      </c>
      <c r="BK245" s="12" t="s">
        <v>578</v>
      </c>
      <c r="BL245" s="12" t="s">
        <v>578</v>
      </c>
      <c r="BM245" s="12" t="s">
        <v>578</v>
      </c>
      <c r="BN245" s="12" t="s">
        <v>578</v>
      </c>
      <c r="BO245" s="12" t="s">
        <v>578</v>
      </c>
      <c r="BP245" s="12" t="s">
        <v>623</v>
      </c>
      <c r="BQ245" s="12" t="s">
        <v>623</v>
      </c>
      <c r="BR245" s="12" t="s">
        <v>623</v>
      </c>
      <c r="BS245" s="12" t="s">
        <v>623</v>
      </c>
      <c r="BT245" s="12" t="s">
        <v>623</v>
      </c>
      <c r="BU245" s="12" t="s">
        <v>755</v>
      </c>
      <c r="BV245" s="12" t="s">
        <v>755</v>
      </c>
      <c r="BW245" s="12" t="s">
        <v>761</v>
      </c>
      <c r="BX245" s="12" t="s">
        <v>761</v>
      </c>
      <c r="BY245" s="12" t="s">
        <v>762</v>
      </c>
      <c r="BZ245" s="12" t="s">
        <v>808</v>
      </c>
      <c r="CA245" s="12" t="s">
        <v>808</v>
      </c>
      <c r="CB245" s="12" t="s">
        <v>808</v>
      </c>
      <c r="CC245" s="12" t="s">
        <v>627</v>
      </c>
      <c r="CD245" s="12" t="s">
        <v>627</v>
      </c>
      <c r="CE245" s="12" t="s">
        <v>971</v>
      </c>
      <c r="CF245" s="12" t="s">
        <v>971</v>
      </c>
      <c r="CG245" s="12" t="s">
        <v>628</v>
      </c>
      <c r="CH245" s="12" t="s">
        <v>628</v>
      </c>
      <c r="CI245" s="12" t="s">
        <v>628</v>
      </c>
      <c r="CJ245" s="12" t="s">
        <v>628</v>
      </c>
      <c r="CK245" s="12" t="s">
        <v>1259</v>
      </c>
      <c r="CL245" s="12" t="s">
        <v>1259</v>
      </c>
      <c r="CM245" s="12" t="s">
        <v>1259</v>
      </c>
      <c r="CN245" s="12" t="s">
        <v>918</v>
      </c>
      <c r="CO245" s="12" t="s">
        <v>954</v>
      </c>
      <c r="CP245" s="12" t="s">
        <v>954</v>
      </c>
      <c r="CQ245" s="12" t="s">
        <v>954</v>
      </c>
      <c r="CR245" s="12" t="s">
        <v>954</v>
      </c>
      <c r="CS245" s="12" t="s">
        <v>954</v>
      </c>
      <c r="CT245" s="12" t="s">
        <v>809</v>
      </c>
    </row>
    <row r="246" spans="1:98" hidden="1" x14ac:dyDescent="0.3">
      <c r="A246" s="12" t="s">
        <v>25</v>
      </c>
      <c r="B246" s="12" t="s">
        <v>4253</v>
      </c>
      <c r="C246" s="12" t="s">
        <v>4254</v>
      </c>
      <c r="D246" s="12" t="s">
        <v>4255</v>
      </c>
      <c r="E246" s="12" t="s">
        <v>578</v>
      </c>
      <c r="F246" s="12" t="s">
        <v>578</v>
      </c>
      <c r="G246" s="12" t="s">
        <v>578</v>
      </c>
      <c r="H246" s="12" t="s">
        <v>578</v>
      </c>
      <c r="I246" s="12" t="s">
        <v>578</v>
      </c>
      <c r="J246" s="12" t="s">
        <v>578</v>
      </c>
      <c r="K246" s="12" t="s">
        <v>578</v>
      </c>
      <c r="L246" s="12" t="s">
        <v>578</v>
      </c>
      <c r="M246" s="12" t="s">
        <v>578</v>
      </c>
      <c r="N246" s="12" t="s">
        <v>578</v>
      </c>
      <c r="O246" s="12" t="s">
        <v>578</v>
      </c>
      <c r="P246" s="12" t="s">
        <v>578</v>
      </c>
      <c r="Q246" s="12" t="s">
        <v>578</v>
      </c>
      <c r="R246" s="12" t="s">
        <v>578</v>
      </c>
      <c r="S246" s="12" t="s">
        <v>578</v>
      </c>
      <c r="T246" s="12" t="s">
        <v>578</v>
      </c>
      <c r="U246" s="12" t="s">
        <v>578</v>
      </c>
      <c r="V246" s="12" t="s">
        <v>578</v>
      </c>
      <c r="W246" s="12" t="s">
        <v>578</v>
      </c>
      <c r="X246" s="12" t="s">
        <v>578</v>
      </c>
      <c r="Y246" s="12" t="s">
        <v>578</v>
      </c>
      <c r="Z246" s="12" t="s">
        <v>578</v>
      </c>
      <c r="AA246" s="12" t="s">
        <v>578</v>
      </c>
      <c r="AB246" s="12" t="s">
        <v>578</v>
      </c>
      <c r="AC246" s="12" t="s">
        <v>578</v>
      </c>
      <c r="AD246" s="12" t="s">
        <v>578</v>
      </c>
      <c r="AE246" s="12" t="s">
        <v>578</v>
      </c>
      <c r="AF246" s="12" t="s">
        <v>578</v>
      </c>
      <c r="AG246" s="12" t="s">
        <v>578</v>
      </c>
      <c r="AH246" s="12" t="s">
        <v>578</v>
      </c>
      <c r="AI246" s="12" t="s">
        <v>578</v>
      </c>
      <c r="AJ246" s="12" t="s">
        <v>578</v>
      </c>
      <c r="AK246" s="12" t="s">
        <v>578</v>
      </c>
      <c r="AL246" s="12" t="s">
        <v>578</v>
      </c>
      <c r="AM246" s="12" t="s">
        <v>578</v>
      </c>
      <c r="AN246" s="12" t="s">
        <v>578</v>
      </c>
      <c r="AO246" s="12" t="s">
        <v>578</v>
      </c>
      <c r="AP246" s="12" t="s">
        <v>578</v>
      </c>
      <c r="AQ246" s="12" t="s">
        <v>578</v>
      </c>
      <c r="AR246" s="12" t="s">
        <v>578</v>
      </c>
      <c r="AS246" s="12" t="s">
        <v>578</v>
      </c>
      <c r="AT246" s="12" t="s">
        <v>578</v>
      </c>
      <c r="AU246" s="12" t="s">
        <v>578</v>
      </c>
      <c r="AV246" s="12" t="s">
        <v>578</v>
      </c>
      <c r="AW246" s="12" t="s">
        <v>578</v>
      </c>
      <c r="AX246" s="12" t="s">
        <v>578</v>
      </c>
      <c r="AY246" s="12" t="s">
        <v>578</v>
      </c>
      <c r="AZ246" s="12" t="s">
        <v>578</v>
      </c>
      <c r="BA246" s="12" t="s">
        <v>578</v>
      </c>
      <c r="BB246" s="12" t="s">
        <v>578</v>
      </c>
      <c r="BC246" s="12" t="s">
        <v>578</v>
      </c>
      <c r="BD246" s="12" t="s">
        <v>578</v>
      </c>
      <c r="BE246" s="12" t="s">
        <v>578</v>
      </c>
      <c r="BF246" s="12" t="s">
        <v>578</v>
      </c>
      <c r="BG246" s="12" t="s">
        <v>578</v>
      </c>
      <c r="BH246" s="12" t="s">
        <v>578</v>
      </c>
      <c r="BI246" s="12" t="s">
        <v>578</v>
      </c>
      <c r="BJ246" s="12" t="s">
        <v>578</v>
      </c>
      <c r="BK246" s="12" t="s">
        <v>578</v>
      </c>
      <c r="BL246" s="12" t="s">
        <v>578</v>
      </c>
      <c r="BM246" s="12" t="s">
        <v>578</v>
      </c>
      <c r="BN246" s="12" t="s">
        <v>578</v>
      </c>
      <c r="BO246" s="12" t="s">
        <v>578</v>
      </c>
      <c r="BP246" s="12" t="s">
        <v>623</v>
      </c>
      <c r="BQ246" s="12" t="s">
        <v>580</v>
      </c>
      <c r="BR246" s="12" t="s">
        <v>583</v>
      </c>
      <c r="BS246" s="12" t="s">
        <v>808</v>
      </c>
      <c r="BT246" s="12" t="s">
        <v>808</v>
      </c>
      <c r="BU246" s="12" t="s">
        <v>757</v>
      </c>
      <c r="BV246" s="12" t="s">
        <v>869</v>
      </c>
      <c r="BW246" s="12" t="s">
        <v>766</v>
      </c>
      <c r="BX246" s="12" t="s">
        <v>971</v>
      </c>
      <c r="BY246" s="12" t="s">
        <v>718</v>
      </c>
      <c r="BZ246" s="12" t="s">
        <v>1046</v>
      </c>
      <c r="CA246" s="12" t="s">
        <v>768</v>
      </c>
      <c r="CB246" s="12" t="s">
        <v>972</v>
      </c>
      <c r="CC246" s="12" t="s">
        <v>769</v>
      </c>
      <c r="CD246" s="12" t="s">
        <v>632</v>
      </c>
      <c r="CE246" s="12" t="s">
        <v>589</v>
      </c>
      <c r="CF246" s="12" t="s">
        <v>681</v>
      </c>
      <c r="CG246" s="12" t="s">
        <v>681</v>
      </c>
      <c r="CH246" s="12" t="s">
        <v>864</v>
      </c>
      <c r="CI246" s="12" t="s">
        <v>638</v>
      </c>
      <c r="CJ246" s="12" t="s">
        <v>920</v>
      </c>
      <c r="CK246" s="12" t="s">
        <v>1505</v>
      </c>
      <c r="CL246" s="12" t="s">
        <v>874</v>
      </c>
      <c r="CM246" s="12" t="s">
        <v>874</v>
      </c>
      <c r="CN246" s="12" t="s">
        <v>3043</v>
      </c>
      <c r="CO246" s="12" t="s">
        <v>726</v>
      </c>
      <c r="CP246" s="12" t="s">
        <v>1049</v>
      </c>
      <c r="CQ246" s="12" t="s">
        <v>1280</v>
      </c>
      <c r="CR246" s="12" t="s">
        <v>1364</v>
      </c>
      <c r="CS246" s="12" t="s">
        <v>1830</v>
      </c>
      <c r="CT246" s="12" t="s">
        <v>1833</v>
      </c>
    </row>
    <row r="247" spans="1:98" hidden="1" x14ac:dyDescent="0.3">
      <c r="A247" s="12" t="s">
        <v>25</v>
      </c>
      <c r="B247" s="12" t="s">
        <v>4256</v>
      </c>
      <c r="C247" s="12" t="s">
        <v>4257</v>
      </c>
      <c r="D247" s="12" t="s">
        <v>4258</v>
      </c>
      <c r="E247" s="12" t="s">
        <v>578</v>
      </c>
      <c r="F247" s="12" t="s">
        <v>578</v>
      </c>
      <c r="G247" s="12" t="s">
        <v>578</v>
      </c>
      <c r="H247" s="12" t="s">
        <v>578</v>
      </c>
      <c r="I247" s="12" t="s">
        <v>578</v>
      </c>
      <c r="J247" s="12" t="s">
        <v>578</v>
      </c>
      <c r="K247" s="12" t="s">
        <v>578</v>
      </c>
      <c r="L247" s="12" t="s">
        <v>578</v>
      </c>
      <c r="M247" s="12" t="s">
        <v>578</v>
      </c>
      <c r="N247" s="12" t="s">
        <v>578</v>
      </c>
      <c r="O247" s="12" t="s">
        <v>578</v>
      </c>
      <c r="P247" s="12" t="s">
        <v>578</v>
      </c>
      <c r="Q247" s="12" t="s">
        <v>578</v>
      </c>
      <c r="R247" s="12" t="s">
        <v>578</v>
      </c>
      <c r="S247" s="12" t="s">
        <v>578</v>
      </c>
      <c r="T247" s="12" t="s">
        <v>578</v>
      </c>
      <c r="U247" s="12" t="s">
        <v>578</v>
      </c>
      <c r="V247" s="12" t="s">
        <v>578</v>
      </c>
      <c r="W247" s="12" t="s">
        <v>578</v>
      </c>
      <c r="X247" s="12" t="s">
        <v>578</v>
      </c>
      <c r="Y247" s="12" t="s">
        <v>578</v>
      </c>
      <c r="Z247" s="12" t="s">
        <v>578</v>
      </c>
      <c r="AA247" s="12" t="s">
        <v>578</v>
      </c>
      <c r="AB247" s="12" t="s">
        <v>578</v>
      </c>
      <c r="AC247" s="12" t="s">
        <v>578</v>
      </c>
      <c r="AD247" s="12" t="s">
        <v>578</v>
      </c>
      <c r="AE247" s="12" t="s">
        <v>578</v>
      </c>
      <c r="AF247" s="12" t="s">
        <v>578</v>
      </c>
      <c r="AG247" s="12" t="s">
        <v>578</v>
      </c>
      <c r="AH247" s="12" t="s">
        <v>578</v>
      </c>
      <c r="AI247" s="12" t="s">
        <v>578</v>
      </c>
      <c r="AJ247" s="12" t="s">
        <v>578</v>
      </c>
      <c r="AK247" s="12" t="s">
        <v>578</v>
      </c>
      <c r="AL247" s="12" t="s">
        <v>578</v>
      </c>
      <c r="AM247" s="12" t="s">
        <v>578</v>
      </c>
      <c r="AN247" s="12" t="s">
        <v>578</v>
      </c>
      <c r="AO247" s="12" t="s">
        <v>578</v>
      </c>
      <c r="AP247" s="12" t="s">
        <v>578</v>
      </c>
      <c r="AQ247" s="12" t="s">
        <v>578</v>
      </c>
      <c r="AR247" s="12" t="s">
        <v>578</v>
      </c>
      <c r="AS247" s="12" t="s">
        <v>578</v>
      </c>
      <c r="AT247" s="12" t="s">
        <v>578</v>
      </c>
      <c r="AU247" s="12" t="s">
        <v>578</v>
      </c>
      <c r="AV247" s="12" t="s">
        <v>578</v>
      </c>
      <c r="AW247" s="12" t="s">
        <v>578</v>
      </c>
      <c r="AX247" s="12" t="s">
        <v>578</v>
      </c>
      <c r="AY247" s="12" t="s">
        <v>578</v>
      </c>
      <c r="AZ247" s="12" t="s">
        <v>578</v>
      </c>
      <c r="BA247" s="12" t="s">
        <v>578</v>
      </c>
      <c r="BB247" s="12" t="s">
        <v>578</v>
      </c>
      <c r="BC247" s="12" t="s">
        <v>578</v>
      </c>
      <c r="BD247" s="12" t="s">
        <v>578</v>
      </c>
      <c r="BE247" s="12" t="s">
        <v>578</v>
      </c>
      <c r="BF247" s="12" t="s">
        <v>578</v>
      </c>
      <c r="BG247" s="12" t="s">
        <v>578</v>
      </c>
      <c r="BH247" s="12" t="s">
        <v>578</v>
      </c>
      <c r="BI247" s="12" t="s">
        <v>578</v>
      </c>
      <c r="BJ247" s="12" t="s">
        <v>578</v>
      </c>
      <c r="BK247" s="12" t="s">
        <v>578</v>
      </c>
      <c r="BL247" s="12" t="s">
        <v>578</v>
      </c>
      <c r="BM247" s="12" t="s">
        <v>578</v>
      </c>
      <c r="BN247" s="12" t="s">
        <v>578</v>
      </c>
      <c r="BO247" s="12" t="s">
        <v>578</v>
      </c>
      <c r="BP247" s="12" t="s">
        <v>623</v>
      </c>
      <c r="BQ247" s="12" t="s">
        <v>623</v>
      </c>
      <c r="BR247" s="12" t="s">
        <v>623</v>
      </c>
      <c r="BS247" s="12" t="s">
        <v>623</v>
      </c>
      <c r="BT247" s="12" t="s">
        <v>623</v>
      </c>
      <c r="BU247" s="12" t="s">
        <v>582</v>
      </c>
      <c r="BV247" s="12" t="s">
        <v>755</v>
      </c>
      <c r="BW247" s="12" t="s">
        <v>755</v>
      </c>
      <c r="BX247" s="12" t="s">
        <v>761</v>
      </c>
      <c r="BY247" s="12" t="s">
        <v>761</v>
      </c>
      <c r="BZ247" s="12" t="s">
        <v>761</v>
      </c>
      <c r="CA247" s="12" t="s">
        <v>624</v>
      </c>
      <c r="CB247" s="12" t="s">
        <v>624</v>
      </c>
      <c r="CC247" s="12" t="s">
        <v>583</v>
      </c>
      <c r="CD247" s="12" t="s">
        <v>583</v>
      </c>
      <c r="CE247" s="12" t="s">
        <v>583</v>
      </c>
      <c r="CF247" s="12" t="s">
        <v>625</v>
      </c>
      <c r="CG247" s="12" t="s">
        <v>625</v>
      </c>
      <c r="CH247" s="12" t="s">
        <v>625</v>
      </c>
      <c r="CI247" s="12" t="s">
        <v>625</v>
      </c>
      <c r="CJ247" s="12" t="s">
        <v>756</v>
      </c>
      <c r="CK247" s="12" t="s">
        <v>756</v>
      </c>
      <c r="CL247" s="12" t="s">
        <v>756</v>
      </c>
      <c r="CM247" s="12" t="s">
        <v>756</v>
      </c>
      <c r="CN247" s="12" t="s">
        <v>756</v>
      </c>
      <c r="CO247" s="12" t="s">
        <v>756</v>
      </c>
      <c r="CP247" s="12" t="s">
        <v>762</v>
      </c>
      <c r="CQ247" s="12" t="s">
        <v>762</v>
      </c>
      <c r="CR247" s="12" t="s">
        <v>762</v>
      </c>
      <c r="CS247" s="12" t="s">
        <v>762</v>
      </c>
      <c r="CT247" s="12" t="s">
        <v>762</v>
      </c>
    </row>
    <row r="248" spans="1:98" hidden="1" x14ac:dyDescent="0.3">
      <c r="A248" s="12" t="s">
        <v>4259</v>
      </c>
      <c r="B248" s="12" t="s">
        <v>1435</v>
      </c>
      <c r="C248" s="12" t="s">
        <v>4260</v>
      </c>
      <c r="D248" s="12" t="s">
        <v>4261</v>
      </c>
      <c r="E248" s="12" t="s">
        <v>578</v>
      </c>
      <c r="F248" s="12" t="s">
        <v>578</v>
      </c>
      <c r="G248" s="12" t="s">
        <v>578</v>
      </c>
      <c r="H248" s="12" t="s">
        <v>578</v>
      </c>
      <c r="I248" s="12" t="s">
        <v>578</v>
      </c>
      <c r="J248" s="12" t="s">
        <v>578</v>
      </c>
      <c r="K248" s="12" t="s">
        <v>578</v>
      </c>
      <c r="L248" s="12" t="s">
        <v>578</v>
      </c>
      <c r="M248" s="12" t="s">
        <v>578</v>
      </c>
      <c r="N248" s="12" t="s">
        <v>578</v>
      </c>
      <c r="O248" s="12" t="s">
        <v>578</v>
      </c>
      <c r="P248" s="12" t="s">
        <v>578</v>
      </c>
      <c r="Q248" s="12" t="s">
        <v>578</v>
      </c>
      <c r="R248" s="12" t="s">
        <v>578</v>
      </c>
      <c r="S248" s="12" t="s">
        <v>578</v>
      </c>
      <c r="T248" s="12" t="s">
        <v>578</v>
      </c>
      <c r="U248" s="12" t="s">
        <v>578</v>
      </c>
      <c r="V248" s="12" t="s">
        <v>578</v>
      </c>
      <c r="W248" s="12" t="s">
        <v>578</v>
      </c>
      <c r="X248" s="12" t="s">
        <v>578</v>
      </c>
      <c r="Y248" s="12" t="s">
        <v>578</v>
      </c>
      <c r="Z248" s="12" t="s">
        <v>578</v>
      </c>
      <c r="AA248" s="12" t="s">
        <v>578</v>
      </c>
      <c r="AB248" s="12" t="s">
        <v>578</v>
      </c>
      <c r="AC248" s="12" t="s">
        <v>578</v>
      </c>
      <c r="AD248" s="12" t="s">
        <v>578</v>
      </c>
      <c r="AE248" s="12" t="s">
        <v>578</v>
      </c>
      <c r="AF248" s="12" t="s">
        <v>578</v>
      </c>
      <c r="AG248" s="12" t="s">
        <v>578</v>
      </c>
      <c r="AH248" s="12" t="s">
        <v>578</v>
      </c>
      <c r="AI248" s="12" t="s">
        <v>578</v>
      </c>
      <c r="AJ248" s="12" t="s">
        <v>578</v>
      </c>
      <c r="AK248" s="12" t="s">
        <v>578</v>
      </c>
      <c r="AL248" s="12" t="s">
        <v>578</v>
      </c>
      <c r="AM248" s="12" t="s">
        <v>578</v>
      </c>
      <c r="AN248" s="12" t="s">
        <v>578</v>
      </c>
      <c r="AO248" s="12" t="s">
        <v>578</v>
      </c>
      <c r="AP248" s="12" t="s">
        <v>578</v>
      </c>
      <c r="AQ248" s="12" t="s">
        <v>578</v>
      </c>
      <c r="AR248" s="12" t="s">
        <v>578</v>
      </c>
      <c r="AS248" s="12" t="s">
        <v>578</v>
      </c>
      <c r="AT248" s="12" t="s">
        <v>578</v>
      </c>
      <c r="AU248" s="12" t="s">
        <v>578</v>
      </c>
      <c r="AV248" s="12" t="s">
        <v>578</v>
      </c>
      <c r="AW248" s="12" t="s">
        <v>578</v>
      </c>
      <c r="AX248" s="12" t="s">
        <v>578</v>
      </c>
      <c r="AY248" s="12" t="s">
        <v>578</v>
      </c>
      <c r="AZ248" s="12" t="s">
        <v>578</v>
      </c>
      <c r="BA248" s="12" t="s">
        <v>578</v>
      </c>
      <c r="BB248" s="12" t="s">
        <v>578</v>
      </c>
      <c r="BC248" s="12" t="s">
        <v>578</v>
      </c>
      <c r="BD248" s="12" t="s">
        <v>578</v>
      </c>
      <c r="BE248" s="12" t="s">
        <v>578</v>
      </c>
      <c r="BF248" s="12" t="s">
        <v>578</v>
      </c>
      <c r="BG248" s="12" t="s">
        <v>578</v>
      </c>
      <c r="BH248" s="12" t="s">
        <v>578</v>
      </c>
      <c r="BI248" s="12" t="s">
        <v>578</v>
      </c>
      <c r="BJ248" s="12" t="s">
        <v>578</v>
      </c>
      <c r="BK248" s="12" t="s">
        <v>578</v>
      </c>
      <c r="BL248" s="12" t="s">
        <v>578</v>
      </c>
      <c r="BM248" s="12" t="s">
        <v>578</v>
      </c>
      <c r="BN248" s="12" t="s">
        <v>578</v>
      </c>
      <c r="BO248" s="12" t="s">
        <v>578</v>
      </c>
      <c r="BP248" s="12" t="s">
        <v>578</v>
      </c>
      <c r="BQ248" s="12" t="s">
        <v>579</v>
      </c>
      <c r="BR248" s="12" t="s">
        <v>579</v>
      </c>
      <c r="BS248" s="12" t="s">
        <v>579</v>
      </c>
      <c r="BT248" s="12" t="s">
        <v>579</v>
      </c>
      <c r="BU248" s="12" t="s">
        <v>579</v>
      </c>
      <c r="BV248" s="12" t="s">
        <v>579</v>
      </c>
      <c r="BW248" s="12" t="s">
        <v>623</v>
      </c>
      <c r="BX248" s="12" t="s">
        <v>623</v>
      </c>
      <c r="BY248" s="12" t="s">
        <v>623</v>
      </c>
      <c r="BZ248" s="12" t="s">
        <v>580</v>
      </c>
      <c r="CA248" s="12" t="s">
        <v>580</v>
      </c>
      <c r="CB248" s="12" t="s">
        <v>581</v>
      </c>
      <c r="CC248" s="12" t="s">
        <v>581</v>
      </c>
      <c r="CD248" s="12" t="s">
        <v>581</v>
      </c>
      <c r="CE248" s="12" t="s">
        <v>581</v>
      </c>
      <c r="CF248" s="12" t="s">
        <v>581</v>
      </c>
      <c r="CG248" s="12" t="s">
        <v>581</v>
      </c>
      <c r="CH248" s="12" t="s">
        <v>581</v>
      </c>
      <c r="CI248" s="12" t="s">
        <v>581</v>
      </c>
      <c r="CJ248" s="12" t="s">
        <v>581</v>
      </c>
      <c r="CK248" s="12" t="s">
        <v>581</v>
      </c>
      <c r="CL248" s="12" t="s">
        <v>581</v>
      </c>
      <c r="CM248" s="12" t="s">
        <v>581</v>
      </c>
      <c r="CN248" s="12" t="s">
        <v>581</v>
      </c>
      <c r="CO248" s="12" t="s">
        <v>581</v>
      </c>
      <c r="CP248" s="12" t="s">
        <v>581</v>
      </c>
      <c r="CQ248" s="12" t="s">
        <v>581</v>
      </c>
      <c r="CR248" s="12" t="s">
        <v>581</v>
      </c>
      <c r="CS248" s="12" t="s">
        <v>581</v>
      </c>
      <c r="CT248" s="12" t="s">
        <v>581</v>
      </c>
    </row>
    <row r="249" spans="1:98" hidden="1" x14ac:dyDescent="0.3">
      <c r="A249" s="12" t="s">
        <v>4262</v>
      </c>
      <c r="B249" s="12" t="s">
        <v>1435</v>
      </c>
      <c r="C249" s="12" t="s">
        <v>4263</v>
      </c>
      <c r="D249" s="12" t="s">
        <v>4264</v>
      </c>
      <c r="E249" s="12" t="s">
        <v>578</v>
      </c>
      <c r="F249" s="12" t="s">
        <v>578</v>
      </c>
      <c r="G249" s="12" t="s">
        <v>578</v>
      </c>
      <c r="H249" s="12" t="s">
        <v>578</v>
      </c>
      <c r="I249" s="12" t="s">
        <v>578</v>
      </c>
      <c r="J249" s="12" t="s">
        <v>578</v>
      </c>
      <c r="K249" s="12" t="s">
        <v>578</v>
      </c>
      <c r="L249" s="12" t="s">
        <v>578</v>
      </c>
      <c r="M249" s="12" t="s">
        <v>578</v>
      </c>
      <c r="N249" s="12" t="s">
        <v>578</v>
      </c>
      <c r="O249" s="12" t="s">
        <v>578</v>
      </c>
      <c r="P249" s="12" t="s">
        <v>578</v>
      </c>
      <c r="Q249" s="12" t="s">
        <v>578</v>
      </c>
      <c r="R249" s="12" t="s">
        <v>578</v>
      </c>
      <c r="S249" s="12" t="s">
        <v>578</v>
      </c>
      <c r="T249" s="12" t="s">
        <v>578</v>
      </c>
      <c r="U249" s="12" t="s">
        <v>578</v>
      </c>
      <c r="V249" s="12" t="s">
        <v>578</v>
      </c>
      <c r="W249" s="12" t="s">
        <v>578</v>
      </c>
      <c r="X249" s="12" t="s">
        <v>578</v>
      </c>
      <c r="Y249" s="12" t="s">
        <v>578</v>
      </c>
      <c r="Z249" s="12" t="s">
        <v>578</v>
      </c>
      <c r="AA249" s="12" t="s">
        <v>578</v>
      </c>
      <c r="AB249" s="12" t="s">
        <v>578</v>
      </c>
      <c r="AC249" s="12" t="s">
        <v>578</v>
      </c>
      <c r="AD249" s="12" t="s">
        <v>578</v>
      </c>
      <c r="AE249" s="12" t="s">
        <v>578</v>
      </c>
      <c r="AF249" s="12" t="s">
        <v>578</v>
      </c>
      <c r="AG249" s="12" t="s">
        <v>578</v>
      </c>
      <c r="AH249" s="12" t="s">
        <v>578</v>
      </c>
      <c r="AI249" s="12" t="s">
        <v>578</v>
      </c>
      <c r="AJ249" s="12" t="s">
        <v>578</v>
      </c>
      <c r="AK249" s="12" t="s">
        <v>578</v>
      </c>
      <c r="AL249" s="12" t="s">
        <v>578</v>
      </c>
      <c r="AM249" s="12" t="s">
        <v>578</v>
      </c>
      <c r="AN249" s="12" t="s">
        <v>578</v>
      </c>
      <c r="AO249" s="12" t="s">
        <v>578</v>
      </c>
      <c r="AP249" s="12" t="s">
        <v>578</v>
      </c>
      <c r="AQ249" s="12" t="s">
        <v>578</v>
      </c>
      <c r="AR249" s="12" t="s">
        <v>578</v>
      </c>
      <c r="AS249" s="12" t="s">
        <v>578</v>
      </c>
      <c r="AT249" s="12" t="s">
        <v>578</v>
      </c>
      <c r="AU249" s="12" t="s">
        <v>578</v>
      </c>
      <c r="AV249" s="12" t="s">
        <v>578</v>
      </c>
      <c r="AW249" s="12" t="s">
        <v>578</v>
      </c>
      <c r="AX249" s="12" t="s">
        <v>578</v>
      </c>
      <c r="AY249" s="12" t="s">
        <v>578</v>
      </c>
      <c r="AZ249" s="12" t="s">
        <v>578</v>
      </c>
      <c r="BA249" s="12" t="s">
        <v>578</v>
      </c>
      <c r="BB249" s="12" t="s">
        <v>578</v>
      </c>
      <c r="BC249" s="12" t="s">
        <v>578</v>
      </c>
      <c r="BD249" s="12" t="s">
        <v>578</v>
      </c>
      <c r="BE249" s="12" t="s">
        <v>578</v>
      </c>
      <c r="BF249" s="12" t="s">
        <v>578</v>
      </c>
      <c r="BG249" s="12" t="s">
        <v>578</v>
      </c>
      <c r="BH249" s="12" t="s">
        <v>578</v>
      </c>
      <c r="BI249" s="12" t="s">
        <v>578</v>
      </c>
      <c r="BJ249" s="12" t="s">
        <v>578</v>
      </c>
      <c r="BK249" s="12" t="s">
        <v>578</v>
      </c>
      <c r="BL249" s="12" t="s">
        <v>578</v>
      </c>
      <c r="BM249" s="12" t="s">
        <v>578</v>
      </c>
      <c r="BN249" s="12" t="s">
        <v>578</v>
      </c>
      <c r="BO249" s="12" t="s">
        <v>578</v>
      </c>
      <c r="BP249" s="12" t="s">
        <v>578</v>
      </c>
      <c r="BQ249" s="12" t="s">
        <v>672</v>
      </c>
      <c r="BR249" s="12" t="s">
        <v>672</v>
      </c>
      <c r="BS249" s="12" t="s">
        <v>580</v>
      </c>
      <c r="BT249" s="12" t="s">
        <v>580</v>
      </c>
      <c r="BU249" s="12" t="s">
        <v>580</v>
      </c>
      <c r="BV249" s="12" t="s">
        <v>581</v>
      </c>
      <c r="BW249" s="12" t="s">
        <v>581</v>
      </c>
      <c r="BX249" s="12" t="s">
        <v>851</v>
      </c>
      <c r="BY249" s="12" t="s">
        <v>851</v>
      </c>
      <c r="BZ249" s="12" t="s">
        <v>851</v>
      </c>
      <c r="CA249" s="12" t="s">
        <v>851</v>
      </c>
      <c r="CB249" s="12" t="s">
        <v>851</v>
      </c>
      <c r="CC249" s="12" t="s">
        <v>582</v>
      </c>
      <c r="CD249" s="12" t="s">
        <v>582</v>
      </c>
      <c r="CE249" s="12" t="s">
        <v>582</v>
      </c>
      <c r="CF249" s="12" t="s">
        <v>755</v>
      </c>
      <c r="CG249" s="12" t="s">
        <v>755</v>
      </c>
      <c r="CH249" s="12" t="s">
        <v>755</v>
      </c>
      <c r="CI249" s="12" t="s">
        <v>755</v>
      </c>
      <c r="CJ249" s="12" t="s">
        <v>755</v>
      </c>
      <c r="CK249" s="12" t="s">
        <v>755</v>
      </c>
      <c r="CL249" s="12" t="s">
        <v>755</v>
      </c>
      <c r="CM249" s="12" t="s">
        <v>755</v>
      </c>
      <c r="CN249" s="12" t="s">
        <v>761</v>
      </c>
      <c r="CO249" s="12" t="s">
        <v>761</v>
      </c>
      <c r="CP249" s="12" t="s">
        <v>583</v>
      </c>
      <c r="CQ249" s="12" t="s">
        <v>583</v>
      </c>
      <c r="CR249" s="12" t="s">
        <v>583</v>
      </c>
      <c r="CS249" s="12" t="s">
        <v>583</v>
      </c>
      <c r="CT249" s="12" t="s">
        <v>583</v>
      </c>
    </row>
    <row r="250" spans="1:98" hidden="1" x14ac:dyDescent="0.3">
      <c r="A250" s="12" t="s">
        <v>25</v>
      </c>
      <c r="B250" s="12" t="s">
        <v>4265</v>
      </c>
      <c r="C250" s="12" t="s">
        <v>4266</v>
      </c>
      <c r="D250" s="12" t="s">
        <v>4267</v>
      </c>
      <c r="E250" s="12" t="s">
        <v>578</v>
      </c>
      <c r="F250" s="12" t="s">
        <v>578</v>
      </c>
      <c r="G250" s="12" t="s">
        <v>578</v>
      </c>
      <c r="H250" s="12" t="s">
        <v>578</v>
      </c>
      <c r="I250" s="12" t="s">
        <v>578</v>
      </c>
      <c r="J250" s="12" t="s">
        <v>578</v>
      </c>
      <c r="K250" s="12" t="s">
        <v>578</v>
      </c>
      <c r="L250" s="12" t="s">
        <v>578</v>
      </c>
      <c r="M250" s="12" t="s">
        <v>578</v>
      </c>
      <c r="N250" s="12" t="s">
        <v>578</v>
      </c>
      <c r="O250" s="12" t="s">
        <v>578</v>
      </c>
      <c r="P250" s="12" t="s">
        <v>578</v>
      </c>
      <c r="Q250" s="12" t="s">
        <v>578</v>
      </c>
      <c r="R250" s="12" t="s">
        <v>578</v>
      </c>
      <c r="S250" s="12" t="s">
        <v>578</v>
      </c>
      <c r="T250" s="12" t="s">
        <v>578</v>
      </c>
      <c r="U250" s="12" t="s">
        <v>578</v>
      </c>
      <c r="V250" s="12" t="s">
        <v>578</v>
      </c>
      <c r="W250" s="12" t="s">
        <v>578</v>
      </c>
      <c r="X250" s="12" t="s">
        <v>578</v>
      </c>
      <c r="Y250" s="12" t="s">
        <v>578</v>
      </c>
      <c r="Z250" s="12" t="s">
        <v>578</v>
      </c>
      <c r="AA250" s="12" t="s">
        <v>578</v>
      </c>
      <c r="AB250" s="12" t="s">
        <v>578</v>
      </c>
      <c r="AC250" s="12" t="s">
        <v>578</v>
      </c>
      <c r="AD250" s="12" t="s">
        <v>578</v>
      </c>
      <c r="AE250" s="12" t="s">
        <v>578</v>
      </c>
      <c r="AF250" s="12" t="s">
        <v>578</v>
      </c>
      <c r="AG250" s="12" t="s">
        <v>578</v>
      </c>
      <c r="AH250" s="12" t="s">
        <v>578</v>
      </c>
      <c r="AI250" s="12" t="s">
        <v>578</v>
      </c>
      <c r="AJ250" s="12" t="s">
        <v>578</v>
      </c>
      <c r="AK250" s="12" t="s">
        <v>578</v>
      </c>
      <c r="AL250" s="12" t="s">
        <v>578</v>
      </c>
      <c r="AM250" s="12" t="s">
        <v>578</v>
      </c>
      <c r="AN250" s="12" t="s">
        <v>578</v>
      </c>
      <c r="AO250" s="12" t="s">
        <v>578</v>
      </c>
      <c r="AP250" s="12" t="s">
        <v>578</v>
      </c>
      <c r="AQ250" s="12" t="s">
        <v>578</v>
      </c>
      <c r="AR250" s="12" t="s">
        <v>578</v>
      </c>
      <c r="AS250" s="12" t="s">
        <v>578</v>
      </c>
      <c r="AT250" s="12" t="s">
        <v>578</v>
      </c>
      <c r="AU250" s="12" t="s">
        <v>578</v>
      </c>
      <c r="AV250" s="12" t="s">
        <v>578</v>
      </c>
      <c r="AW250" s="12" t="s">
        <v>578</v>
      </c>
      <c r="AX250" s="12" t="s">
        <v>578</v>
      </c>
      <c r="AY250" s="12" t="s">
        <v>578</v>
      </c>
      <c r="AZ250" s="12" t="s">
        <v>578</v>
      </c>
      <c r="BA250" s="12" t="s">
        <v>578</v>
      </c>
      <c r="BB250" s="12" t="s">
        <v>578</v>
      </c>
      <c r="BC250" s="12" t="s">
        <v>578</v>
      </c>
      <c r="BD250" s="12" t="s">
        <v>578</v>
      </c>
      <c r="BE250" s="12" t="s">
        <v>578</v>
      </c>
      <c r="BF250" s="12" t="s">
        <v>578</v>
      </c>
      <c r="BG250" s="12" t="s">
        <v>578</v>
      </c>
      <c r="BH250" s="12" t="s">
        <v>578</v>
      </c>
      <c r="BI250" s="12" t="s">
        <v>578</v>
      </c>
      <c r="BJ250" s="12" t="s">
        <v>578</v>
      </c>
      <c r="BK250" s="12" t="s">
        <v>578</v>
      </c>
      <c r="BL250" s="12" t="s">
        <v>578</v>
      </c>
      <c r="BM250" s="12" t="s">
        <v>578</v>
      </c>
      <c r="BN250" s="12" t="s">
        <v>578</v>
      </c>
      <c r="BO250" s="12" t="s">
        <v>578</v>
      </c>
      <c r="BP250" s="12" t="s">
        <v>578</v>
      </c>
      <c r="BQ250" s="12" t="s">
        <v>854</v>
      </c>
      <c r="BR250" s="12" t="s">
        <v>977</v>
      </c>
      <c r="BS250" s="12" t="s">
        <v>857</v>
      </c>
      <c r="BT250" s="12" t="s">
        <v>591</v>
      </c>
      <c r="BU250" s="12" t="s">
        <v>591</v>
      </c>
      <c r="BV250" s="12" t="s">
        <v>872</v>
      </c>
      <c r="BW250" s="12" t="s">
        <v>1751</v>
      </c>
      <c r="BX250" s="12" t="s">
        <v>1751</v>
      </c>
      <c r="BY250" s="12" t="s">
        <v>1276</v>
      </c>
      <c r="BZ250" s="12" t="s">
        <v>1356</v>
      </c>
      <c r="CA250" s="12" t="s">
        <v>1886</v>
      </c>
      <c r="CB250" s="12" t="s">
        <v>1886</v>
      </c>
      <c r="CC250" s="12" t="s">
        <v>594</v>
      </c>
      <c r="CD250" s="12" t="s">
        <v>921</v>
      </c>
      <c r="CE250" s="12" t="s">
        <v>921</v>
      </c>
      <c r="CF250" s="12" t="s">
        <v>1490</v>
      </c>
      <c r="CG250" s="12" t="s">
        <v>1828</v>
      </c>
      <c r="CH250" s="12" t="s">
        <v>1828</v>
      </c>
      <c r="CI250" s="12" t="s">
        <v>1828</v>
      </c>
      <c r="CJ250" s="12" t="s">
        <v>777</v>
      </c>
      <c r="CK250" s="12" t="s">
        <v>777</v>
      </c>
      <c r="CL250" s="12" t="s">
        <v>3122</v>
      </c>
      <c r="CM250" s="12" t="s">
        <v>1668</v>
      </c>
      <c r="CN250" s="12" t="s">
        <v>2675</v>
      </c>
      <c r="CO250" s="12" t="s">
        <v>2675</v>
      </c>
      <c r="CP250" s="12" t="s">
        <v>2675</v>
      </c>
      <c r="CQ250" s="12" t="s">
        <v>2675</v>
      </c>
      <c r="CR250" s="12" t="s">
        <v>2675</v>
      </c>
      <c r="CS250" s="12" t="s">
        <v>2675</v>
      </c>
      <c r="CT250" s="12" t="s">
        <v>2675</v>
      </c>
    </row>
    <row r="251" spans="1:98" hidden="1" x14ac:dyDescent="0.3">
      <c r="A251" s="12" t="s">
        <v>25</v>
      </c>
      <c r="B251" s="12" t="s">
        <v>4268</v>
      </c>
      <c r="C251" s="12" t="s">
        <v>4269</v>
      </c>
      <c r="D251" s="12" t="s">
        <v>4270</v>
      </c>
      <c r="E251" s="12" t="s">
        <v>578</v>
      </c>
      <c r="F251" s="12" t="s">
        <v>578</v>
      </c>
      <c r="G251" s="12" t="s">
        <v>578</v>
      </c>
      <c r="H251" s="12" t="s">
        <v>578</v>
      </c>
      <c r="I251" s="12" t="s">
        <v>578</v>
      </c>
      <c r="J251" s="12" t="s">
        <v>578</v>
      </c>
      <c r="K251" s="12" t="s">
        <v>578</v>
      </c>
      <c r="L251" s="12" t="s">
        <v>578</v>
      </c>
      <c r="M251" s="12" t="s">
        <v>578</v>
      </c>
      <c r="N251" s="12" t="s">
        <v>578</v>
      </c>
      <c r="O251" s="12" t="s">
        <v>578</v>
      </c>
      <c r="P251" s="12" t="s">
        <v>578</v>
      </c>
      <c r="Q251" s="12" t="s">
        <v>578</v>
      </c>
      <c r="R251" s="12" t="s">
        <v>578</v>
      </c>
      <c r="S251" s="12" t="s">
        <v>578</v>
      </c>
      <c r="T251" s="12" t="s">
        <v>578</v>
      </c>
      <c r="U251" s="12" t="s">
        <v>578</v>
      </c>
      <c r="V251" s="12" t="s">
        <v>578</v>
      </c>
      <c r="W251" s="12" t="s">
        <v>578</v>
      </c>
      <c r="X251" s="12" t="s">
        <v>578</v>
      </c>
      <c r="Y251" s="12" t="s">
        <v>578</v>
      </c>
      <c r="Z251" s="12" t="s">
        <v>578</v>
      </c>
      <c r="AA251" s="12" t="s">
        <v>578</v>
      </c>
      <c r="AB251" s="12" t="s">
        <v>578</v>
      </c>
      <c r="AC251" s="12" t="s">
        <v>578</v>
      </c>
      <c r="AD251" s="12" t="s">
        <v>578</v>
      </c>
      <c r="AE251" s="12" t="s">
        <v>578</v>
      </c>
      <c r="AF251" s="12" t="s">
        <v>578</v>
      </c>
      <c r="AG251" s="12" t="s">
        <v>578</v>
      </c>
      <c r="AH251" s="12" t="s">
        <v>578</v>
      </c>
      <c r="AI251" s="12" t="s">
        <v>578</v>
      </c>
      <c r="AJ251" s="12" t="s">
        <v>578</v>
      </c>
      <c r="AK251" s="12" t="s">
        <v>578</v>
      </c>
      <c r="AL251" s="12" t="s">
        <v>578</v>
      </c>
      <c r="AM251" s="12" t="s">
        <v>578</v>
      </c>
      <c r="AN251" s="12" t="s">
        <v>578</v>
      </c>
      <c r="AO251" s="12" t="s">
        <v>578</v>
      </c>
      <c r="AP251" s="12" t="s">
        <v>578</v>
      </c>
      <c r="AQ251" s="12" t="s">
        <v>578</v>
      </c>
      <c r="AR251" s="12" t="s">
        <v>578</v>
      </c>
      <c r="AS251" s="12" t="s">
        <v>578</v>
      </c>
      <c r="AT251" s="12" t="s">
        <v>578</v>
      </c>
      <c r="AU251" s="12" t="s">
        <v>578</v>
      </c>
      <c r="AV251" s="12" t="s">
        <v>578</v>
      </c>
      <c r="AW251" s="12" t="s">
        <v>578</v>
      </c>
      <c r="AX251" s="12" t="s">
        <v>578</v>
      </c>
      <c r="AY251" s="12" t="s">
        <v>578</v>
      </c>
      <c r="AZ251" s="12" t="s">
        <v>578</v>
      </c>
      <c r="BA251" s="12" t="s">
        <v>578</v>
      </c>
      <c r="BB251" s="12" t="s">
        <v>578</v>
      </c>
      <c r="BC251" s="12" t="s">
        <v>578</v>
      </c>
      <c r="BD251" s="12" t="s">
        <v>578</v>
      </c>
      <c r="BE251" s="12" t="s">
        <v>578</v>
      </c>
      <c r="BF251" s="12" t="s">
        <v>578</v>
      </c>
      <c r="BG251" s="12" t="s">
        <v>578</v>
      </c>
      <c r="BH251" s="12" t="s">
        <v>578</v>
      </c>
      <c r="BI251" s="12" t="s">
        <v>578</v>
      </c>
      <c r="BJ251" s="12" t="s">
        <v>578</v>
      </c>
      <c r="BK251" s="12" t="s">
        <v>578</v>
      </c>
      <c r="BL251" s="12" t="s">
        <v>578</v>
      </c>
      <c r="BM251" s="12" t="s">
        <v>578</v>
      </c>
      <c r="BN251" s="12" t="s">
        <v>578</v>
      </c>
      <c r="BO251" s="12" t="s">
        <v>578</v>
      </c>
      <c r="BP251" s="12" t="s">
        <v>578</v>
      </c>
      <c r="BQ251" s="12" t="s">
        <v>578</v>
      </c>
      <c r="BR251" s="12" t="s">
        <v>755</v>
      </c>
      <c r="BS251" s="12" t="s">
        <v>755</v>
      </c>
      <c r="BT251" s="12" t="s">
        <v>624</v>
      </c>
      <c r="BU251" s="12" t="s">
        <v>756</v>
      </c>
      <c r="BV251" s="12" t="s">
        <v>762</v>
      </c>
      <c r="BW251" s="12" t="s">
        <v>762</v>
      </c>
      <c r="BX251" s="12" t="s">
        <v>675</v>
      </c>
      <c r="BY251" s="12" t="s">
        <v>675</v>
      </c>
      <c r="BZ251" s="12" t="s">
        <v>585</v>
      </c>
      <c r="CA251" s="12" t="s">
        <v>585</v>
      </c>
      <c r="CB251" s="12" t="s">
        <v>586</v>
      </c>
      <c r="CC251" s="12" t="s">
        <v>586</v>
      </c>
      <c r="CD251" s="12" t="s">
        <v>586</v>
      </c>
      <c r="CE251" s="12" t="s">
        <v>626</v>
      </c>
      <c r="CF251" s="12" t="s">
        <v>913</v>
      </c>
      <c r="CG251" s="12" t="s">
        <v>628</v>
      </c>
      <c r="CH251" s="12" t="s">
        <v>1046</v>
      </c>
      <c r="CI251" s="12" t="s">
        <v>853</v>
      </c>
      <c r="CJ251" s="12" t="s">
        <v>1180</v>
      </c>
      <c r="CK251" s="12" t="s">
        <v>589</v>
      </c>
      <c r="CL251" s="12" t="s">
        <v>1124</v>
      </c>
      <c r="CM251" s="12" t="s">
        <v>721</v>
      </c>
      <c r="CN251" s="12" t="s">
        <v>978</v>
      </c>
      <c r="CO251" s="12" t="s">
        <v>979</v>
      </c>
      <c r="CP251" s="12" t="s">
        <v>1418</v>
      </c>
      <c r="CQ251" s="12" t="s">
        <v>993</v>
      </c>
      <c r="CR251" s="12" t="s">
        <v>638</v>
      </c>
      <c r="CS251" s="12" t="s">
        <v>683</v>
      </c>
      <c r="CT251" s="12" t="s">
        <v>920</v>
      </c>
    </row>
    <row r="252" spans="1:98" hidden="1" x14ac:dyDescent="0.3">
      <c r="A252" s="12" t="s">
        <v>4271</v>
      </c>
      <c r="B252" s="12" t="s">
        <v>4094</v>
      </c>
      <c r="C252" s="12" t="s">
        <v>4272</v>
      </c>
      <c r="D252" s="12" t="s">
        <v>4273</v>
      </c>
      <c r="E252" s="12" t="s">
        <v>578</v>
      </c>
      <c r="F252" s="12" t="s">
        <v>578</v>
      </c>
      <c r="G252" s="12" t="s">
        <v>578</v>
      </c>
      <c r="H252" s="12" t="s">
        <v>578</v>
      </c>
      <c r="I252" s="12" t="s">
        <v>578</v>
      </c>
      <c r="J252" s="12" t="s">
        <v>578</v>
      </c>
      <c r="K252" s="12" t="s">
        <v>578</v>
      </c>
      <c r="L252" s="12" t="s">
        <v>578</v>
      </c>
      <c r="M252" s="12" t="s">
        <v>578</v>
      </c>
      <c r="N252" s="12" t="s">
        <v>578</v>
      </c>
      <c r="O252" s="12" t="s">
        <v>578</v>
      </c>
      <c r="P252" s="12" t="s">
        <v>578</v>
      </c>
      <c r="Q252" s="12" t="s">
        <v>578</v>
      </c>
      <c r="R252" s="12" t="s">
        <v>578</v>
      </c>
      <c r="S252" s="12" t="s">
        <v>578</v>
      </c>
      <c r="T252" s="12" t="s">
        <v>578</v>
      </c>
      <c r="U252" s="12" t="s">
        <v>578</v>
      </c>
      <c r="V252" s="12" t="s">
        <v>578</v>
      </c>
      <c r="W252" s="12" t="s">
        <v>578</v>
      </c>
      <c r="X252" s="12" t="s">
        <v>578</v>
      </c>
      <c r="Y252" s="12" t="s">
        <v>578</v>
      </c>
      <c r="Z252" s="12" t="s">
        <v>578</v>
      </c>
      <c r="AA252" s="12" t="s">
        <v>578</v>
      </c>
      <c r="AB252" s="12" t="s">
        <v>578</v>
      </c>
      <c r="AC252" s="12" t="s">
        <v>578</v>
      </c>
      <c r="AD252" s="12" t="s">
        <v>578</v>
      </c>
      <c r="AE252" s="12" t="s">
        <v>578</v>
      </c>
      <c r="AF252" s="12" t="s">
        <v>578</v>
      </c>
      <c r="AG252" s="12" t="s">
        <v>578</v>
      </c>
      <c r="AH252" s="12" t="s">
        <v>578</v>
      </c>
      <c r="AI252" s="12" t="s">
        <v>578</v>
      </c>
      <c r="AJ252" s="12" t="s">
        <v>578</v>
      </c>
      <c r="AK252" s="12" t="s">
        <v>578</v>
      </c>
      <c r="AL252" s="12" t="s">
        <v>578</v>
      </c>
      <c r="AM252" s="12" t="s">
        <v>578</v>
      </c>
      <c r="AN252" s="12" t="s">
        <v>578</v>
      </c>
      <c r="AO252" s="12" t="s">
        <v>578</v>
      </c>
      <c r="AP252" s="12" t="s">
        <v>578</v>
      </c>
      <c r="AQ252" s="12" t="s">
        <v>578</v>
      </c>
      <c r="AR252" s="12" t="s">
        <v>578</v>
      </c>
      <c r="AS252" s="12" t="s">
        <v>578</v>
      </c>
      <c r="AT252" s="12" t="s">
        <v>578</v>
      </c>
      <c r="AU252" s="12" t="s">
        <v>578</v>
      </c>
      <c r="AV252" s="12" t="s">
        <v>578</v>
      </c>
      <c r="AW252" s="12" t="s">
        <v>578</v>
      </c>
      <c r="AX252" s="12" t="s">
        <v>578</v>
      </c>
      <c r="AY252" s="12" t="s">
        <v>578</v>
      </c>
      <c r="AZ252" s="12" t="s">
        <v>578</v>
      </c>
      <c r="BA252" s="12" t="s">
        <v>578</v>
      </c>
      <c r="BB252" s="12" t="s">
        <v>578</v>
      </c>
      <c r="BC252" s="12" t="s">
        <v>578</v>
      </c>
      <c r="BD252" s="12" t="s">
        <v>578</v>
      </c>
      <c r="BE252" s="12" t="s">
        <v>578</v>
      </c>
      <c r="BF252" s="12" t="s">
        <v>578</v>
      </c>
      <c r="BG252" s="12" t="s">
        <v>578</v>
      </c>
      <c r="BH252" s="12" t="s">
        <v>578</v>
      </c>
      <c r="BI252" s="12" t="s">
        <v>578</v>
      </c>
      <c r="BJ252" s="12" t="s">
        <v>578</v>
      </c>
      <c r="BK252" s="12" t="s">
        <v>578</v>
      </c>
      <c r="BL252" s="12" t="s">
        <v>578</v>
      </c>
      <c r="BM252" s="12" t="s">
        <v>578</v>
      </c>
      <c r="BN252" s="12" t="s">
        <v>578</v>
      </c>
      <c r="BO252" s="12" t="s">
        <v>578</v>
      </c>
      <c r="BP252" s="12" t="s">
        <v>578</v>
      </c>
      <c r="BQ252" s="12" t="s">
        <v>578</v>
      </c>
      <c r="BR252" s="12" t="s">
        <v>578</v>
      </c>
      <c r="BS252" s="12" t="s">
        <v>623</v>
      </c>
      <c r="BT252" s="12" t="s">
        <v>623</v>
      </c>
      <c r="BU252" s="12" t="s">
        <v>623</v>
      </c>
      <c r="BV252" s="12" t="s">
        <v>623</v>
      </c>
      <c r="BW252" s="12" t="s">
        <v>623</v>
      </c>
      <c r="BX252" s="12" t="s">
        <v>672</v>
      </c>
      <c r="BY252" s="12" t="s">
        <v>672</v>
      </c>
      <c r="BZ252" s="12" t="s">
        <v>672</v>
      </c>
      <c r="CA252" s="12" t="s">
        <v>672</v>
      </c>
      <c r="CB252" s="12" t="s">
        <v>672</v>
      </c>
      <c r="CC252" s="12" t="s">
        <v>672</v>
      </c>
      <c r="CD252" s="12" t="s">
        <v>672</v>
      </c>
      <c r="CE252" s="12" t="s">
        <v>672</v>
      </c>
      <c r="CF252" s="12" t="s">
        <v>672</v>
      </c>
      <c r="CG252" s="12" t="s">
        <v>672</v>
      </c>
      <c r="CH252" s="12" t="s">
        <v>672</v>
      </c>
      <c r="CI252" s="12" t="s">
        <v>672</v>
      </c>
      <c r="CJ252" s="12" t="s">
        <v>672</v>
      </c>
      <c r="CK252" s="12" t="s">
        <v>672</v>
      </c>
      <c r="CL252" s="12" t="s">
        <v>672</v>
      </c>
      <c r="CM252" s="12" t="s">
        <v>672</v>
      </c>
      <c r="CN252" s="12" t="s">
        <v>672</v>
      </c>
      <c r="CO252" s="12" t="s">
        <v>672</v>
      </c>
      <c r="CP252" s="12" t="s">
        <v>672</v>
      </c>
      <c r="CQ252" s="12" t="s">
        <v>672</v>
      </c>
      <c r="CR252" s="12" t="s">
        <v>672</v>
      </c>
      <c r="CS252" s="12" t="s">
        <v>672</v>
      </c>
      <c r="CT252" s="12" t="s">
        <v>672</v>
      </c>
    </row>
    <row r="253" spans="1:98" hidden="1" x14ac:dyDescent="0.3">
      <c r="A253" s="12" t="s">
        <v>4274</v>
      </c>
      <c r="B253" s="12" t="s">
        <v>4094</v>
      </c>
      <c r="C253" s="12" t="s">
        <v>4275</v>
      </c>
      <c r="D253" s="12" t="s">
        <v>4276</v>
      </c>
      <c r="E253" s="12" t="s">
        <v>578</v>
      </c>
      <c r="F253" s="12" t="s">
        <v>578</v>
      </c>
      <c r="G253" s="12" t="s">
        <v>578</v>
      </c>
      <c r="H253" s="12" t="s">
        <v>578</v>
      </c>
      <c r="I253" s="12" t="s">
        <v>578</v>
      </c>
      <c r="J253" s="12" t="s">
        <v>578</v>
      </c>
      <c r="K253" s="12" t="s">
        <v>578</v>
      </c>
      <c r="L253" s="12" t="s">
        <v>578</v>
      </c>
      <c r="M253" s="12" t="s">
        <v>578</v>
      </c>
      <c r="N253" s="12" t="s">
        <v>578</v>
      </c>
      <c r="O253" s="12" t="s">
        <v>578</v>
      </c>
      <c r="P253" s="12" t="s">
        <v>578</v>
      </c>
      <c r="Q253" s="12" t="s">
        <v>578</v>
      </c>
      <c r="R253" s="12" t="s">
        <v>578</v>
      </c>
      <c r="S253" s="12" t="s">
        <v>578</v>
      </c>
      <c r="T253" s="12" t="s">
        <v>578</v>
      </c>
      <c r="U253" s="12" t="s">
        <v>578</v>
      </c>
      <c r="V253" s="12" t="s">
        <v>578</v>
      </c>
      <c r="W253" s="12" t="s">
        <v>578</v>
      </c>
      <c r="X253" s="12" t="s">
        <v>578</v>
      </c>
      <c r="Y253" s="12" t="s">
        <v>578</v>
      </c>
      <c r="Z253" s="12" t="s">
        <v>578</v>
      </c>
      <c r="AA253" s="12" t="s">
        <v>578</v>
      </c>
      <c r="AB253" s="12" t="s">
        <v>578</v>
      </c>
      <c r="AC253" s="12" t="s">
        <v>578</v>
      </c>
      <c r="AD253" s="12" t="s">
        <v>578</v>
      </c>
      <c r="AE253" s="12" t="s">
        <v>578</v>
      </c>
      <c r="AF253" s="12" t="s">
        <v>578</v>
      </c>
      <c r="AG253" s="12" t="s">
        <v>578</v>
      </c>
      <c r="AH253" s="12" t="s">
        <v>578</v>
      </c>
      <c r="AI253" s="12" t="s">
        <v>578</v>
      </c>
      <c r="AJ253" s="12" t="s">
        <v>578</v>
      </c>
      <c r="AK253" s="12" t="s">
        <v>578</v>
      </c>
      <c r="AL253" s="12" t="s">
        <v>578</v>
      </c>
      <c r="AM253" s="12" t="s">
        <v>578</v>
      </c>
      <c r="AN253" s="12" t="s">
        <v>578</v>
      </c>
      <c r="AO253" s="12" t="s">
        <v>578</v>
      </c>
      <c r="AP253" s="12" t="s">
        <v>578</v>
      </c>
      <c r="AQ253" s="12" t="s">
        <v>578</v>
      </c>
      <c r="AR253" s="12" t="s">
        <v>578</v>
      </c>
      <c r="AS253" s="12" t="s">
        <v>578</v>
      </c>
      <c r="AT253" s="12" t="s">
        <v>578</v>
      </c>
      <c r="AU253" s="12" t="s">
        <v>578</v>
      </c>
      <c r="AV253" s="12" t="s">
        <v>578</v>
      </c>
      <c r="AW253" s="12" t="s">
        <v>578</v>
      </c>
      <c r="AX253" s="12" t="s">
        <v>578</v>
      </c>
      <c r="AY253" s="12" t="s">
        <v>578</v>
      </c>
      <c r="AZ253" s="12" t="s">
        <v>578</v>
      </c>
      <c r="BA253" s="12" t="s">
        <v>578</v>
      </c>
      <c r="BB253" s="12" t="s">
        <v>578</v>
      </c>
      <c r="BC253" s="12" t="s">
        <v>578</v>
      </c>
      <c r="BD253" s="12" t="s">
        <v>578</v>
      </c>
      <c r="BE253" s="12" t="s">
        <v>578</v>
      </c>
      <c r="BF253" s="12" t="s">
        <v>578</v>
      </c>
      <c r="BG253" s="12" t="s">
        <v>578</v>
      </c>
      <c r="BH253" s="12" t="s">
        <v>578</v>
      </c>
      <c r="BI253" s="12" t="s">
        <v>578</v>
      </c>
      <c r="BJ253" s="12" t="s">
        <v>578</v>
      </c>
      <c r="BK253" s="12" t="s">
        <v>578</v>
      </c>
      <c r="BL253" s="12" t="s">
        <v>578</v>
      </c>
      <c r="BM253" s="12" t="s">
        <v>578</v>
      </c>
      <c r="BN253" s="12" t="s">
        <v>578</v>
      </c>
      <c r="BO253" s="12" t="s">
        <v>578</v>
      </c>
      <c r="BP253" s="12" t="s">
        <v>578</v>
      </c>
      <c r="BQ253" s="12" t="s">
        <v>578</v>
      </c>
      <c r="BR253" s="12" t="s">
        <v>578</v>
      </c>
      <c r="BS253" s="12" t="s">
        <v>623</v>
      </c>
      <c r="BT253" s="12" t="s">
        <v>623</v>
      </c>
      <c r="BU253" s="12" t="s">
        <v>623</v>
      </c>
      <c r="BV253" s="12" t="s">
        <v>672</v>
      </c>
      <c r="BW253" s="12" t="s">
        <v>672</v>
      </c>
      <c r="BX253" s="12" t="s">
        <v>672</v>
      </c>
      <c r="BY253" s="12" t="s">
        <v>672</v>
      </c>
      <c r="BZ253" s="12" t="s">
        <v>672</v>
      </c>
      <c r="CA253" s="12" t="s">
        <v>672</v>
      </c>
      <c r="CB253" s="12" t="s">
        <v>672</v>
      </c>
      <c r="CC253" s="12" t="s">
        <v>672</v>
      </c>
      <c r="CD253" s="12" t="s">
        <v>672</v>
      </c>
      <c r="CE253" s="12" t="s">
        <v>672</v>
      </c>
      <c r="CF253" s="12" t="s">
        <v>672</v>
      </c>
      <c r="CG253" s="12" t="s">
        <v>672</v>
      </c>
      <c r="CH253" s="12" t="s">
        <v>672</v>
      </c>
      <c r="CI253" s="12" t="s">
        <v>672</v>
      </c>
      <c r="CJ253" s="12" t="s">
        <v>672</v>
      </c>
      <c r="CK253" s="12" t="s">
        <v>672</v>
      </c>
      <c r="CL253" s="12" t="s">
        <v>672</v>
      </c>
      <c r="CM253" s="12" t="s">
        <v>580</v>
      </c>
      <c r="CN253" s="12" t="s">
        <v>580</v>
      </c>
      <c r="CO253" s="12" t="s">
        <v>580</v>
      </c>
      <c r="CP253" s="12" t="s">
        <v>581</v>
      </c>
      <c r="CQ253" s="12" t="s">
        <v>581</v>
      </c>
      <c r="CR253" s="12" t="s">
        <v>581</v>
      </c>
      <c r="CS253" s="12" t="s">
        <v>581</v>
      </c>
      <c r="CT253" s="12" t="s">
        <v>581</v>
      </c>
    </row>
    <row r="254" spans="1:98" hidden="1" x14ac:dyDescent="0.3">
      <c r="A254" s="12" t="s">
        <v>4277</v>
      </c>
      <c r="B254" s="12" t="s">
        <v>4094</v>
      </c>
      <c r="C254" s="12" t="s">
        <v>4278</v>
      </c>
      <c r="D254" s="12" t="s">
        <v>4279</v>
      </c>
      <c r="E254" s="12" t="s">
        <v>578</v>
      </c>
      <c r="F254" s="12" t="s">
        <v>578</v>
      </c>
      <c r="G254" s="12" t="s">
        <v>578</v>
      </c>
      <c r="H254" s="12" t="s">
        <v>578</v>
      </c>
      <c r="I254" s="12" t="s">
        <v>578</v>
      </c>
      <c r="J254" s="12" t="s">
        <v>578</v>
      </c>
      <c r="K254" s="12" t="s">
        <v>578</v>
      </c>
      <c r="L254" s="12" t="s">
        <v>578</v>
      </c>
      <c r="M254" s="12" t="s">
        <v>578</v>
      </c>
      <c r="N254" s="12" t="s">
        <v>578</v>
      </c>
      <c r="O254" s="12" t="s">
        <v>578</v>
      </c>
      <c r="P254" s="12" t="s">
        <v>578</v>
      </c>
      <c r="Q254" s="12" t="s">
        <v>578</v>
      </c>
      <c r="R254" s="12" t="s">
        <v>578</v>
      </c>
      <c r="S254" s="12" t="s">
        <v>578</v>
      </c>
      <c r="T254" s="12" t="s">
        <v>578</v>
      </c>
      <c r="U254" s="12" t="s">
        <v>578</v>
      </c>
      <c r="V254" s="12" t="s">
        <v>578</v>
      </c>
      <c r="W254" s="12" t="s">
        <v>578</v>
      </c>
      <c r="X254" s="12" t="s">
        <v>578</v>
      </c>
      <c r="Y254" s="12" t="s">
        <v>578</v>
      </c>
      <c r="Z254" s="12" t="s">
        <v>578</v>
      </c>
      <c r="AA254" s="12" t="s">
        <v>578</v>
      </c>
      <c r="AB254" s="12" t="s">
        <v>578</v>
      </c>
      <c r="AC254" s="12" t="s">
        <v>578</v>
      </c>
      <c r="AD254" s="12" t="s">
        <v>578</v>
      </c>
      <c r="AE254" s="12" t="s">
        <v>578</v>
      </c>
      <c r="AF254" s="12" t="s">
        <v>578</v>
      </c>
      <c r="AG254" s="12" t="s">
        <v>578</v>
      </c>
      <c r="AH254" s="12" t="s">
        <v>578</v>
      </c>
      <c r="AI254" s="12" t="s">
        <v>578</v>
      </c>
      <c r="AJ254" s="12" t="s">
        <v>578</v>
      </c>
      <c r="AK254" s="12" t="s">
        <v>578</v>
      </c>
      <c r="AL254" s="12" t="s">
        <v>578</v>
      </c>
      <c r="AM254" s="12" t="s">
        <v>578</v>
      </c>
      <c r="AN254" s="12" t="s">
        <v>578</v>
      </c>
      <c r="AO254" s="12" t="s">
        <v>578</v>
      </c>
      <c r="AP254" s="12" t="s">
        <v>578</v>
      </c>
      <c r="AQ254" s="12" t="s">
        <v>578</v>
      </c>
      <c r="AR254" s="12" t="s">
        <v>578</v>
      </c>
      <c r="AS254" s="12" t="s">
        <v>578</v>
      </c>
      <c r="AT254" s="12" t="s">
        <v>578</v>
      </c>
      <c r="AU254" s="12" t="s">
        <v>578</v>
      </c>
      <c r="AV254" s="12" t="s">
        <v>578</v>
      </c>
      <c r="AW254" s="12" t="s">
        <v>578</v>
      </c>
      <c r="AX254" s="12" t="s">
        <v>578</v>
      </c>
      <c r="AY254" s="12" t="s">
        <v>578</v>
      </c>
      <c r="AZ254" s="12" t="s">
        <v>578</v>
      </c>
      <c r="BA254" s="12" t="s">
        <v>578</v>
      </c>
      <c r="BB254" s="12" t="s">
        <v>578</v>
      </c>
      <c r="BC254" s="12" t="s">
        <v>578</v>
      </c>
      <c r="BD254" s="12" t="s">
        <v>578</v>
      </c>
      <c r="BE254" s="12" t="s">
        <v>578</v>
      </c>
      <c r="BF254" s="12" t="s">
        <v>578</v>
      </c>
      <c r="BG254" s="12" t="s">
        <v>578</v>
      </c>
      <c r="BH254" s="12" t="s">
        <v>578</v>
      </c>
      <c r="BI254" s="12" t="s">
        <v>578</v>
      </c>
      <c r="BJ254" s="12" t="s">
        <v>578</v>
      </c>
      <c r="BK254" s="12" t="s">
        <v>578</v>
      </c>
      <c r="BL254" s="12" t="s">
        <v>578</v>
      </c>
      <c r="BM254" s="12" t="s">
        <v>578</v>
      </c>
      <c r="BN254" s="12" t="s">
        <v>578</v>
      </c>
      <c r="BO254" s="12" t="s">
        <v>578</v>
      </c>
      <c r="BP254" s="12" t="s">
        <v>578</v>
      </c>
      <c r="BQ254" s="12" t="s">
        <v>578</v>
      </c>
      <c r="BR254" s="12" t="s">
        <v>578</v>
      </c>
      <c r="BS254" s="12" t="s">
        <v>580</v>
      </c>
      <c r="BT254" s="12" t="s">
        <v>580</v>
      </c>
      <c r="BU254" s="12" t="s">
        <v>581</v>
      </c>
      <c r="BV254" s="12" t="s">
        <v>581</v>
      </c>
      <c r="BW254" s="12" t="s">
        <v>851</v>
      </c>
      <c r="BX254" s="12" t="s">
        <v>581</v>
      </c>
      <c r="BY254" s="12" t="s">
        <v>581</v>
      </c>
      <c r="BZ254" s="12" t="s">
        <v>581</v>
      </c>
      <c r="CA254" s="12" t="s">
        <v>581</v>
      </c>
      <c r="CB254" s="12" t="s">
        <v>755</v>
      </c>
      <c r="CC254" s="12" t="s">
        <v>755</v>
      </c>
      <c r="CD254" s="12" t="s">
        <v>755</v>
      </c>
      <c r="CE254" s="12" t="s">
        <v>755</v>
      </c>
      <c r="CF254" s="12" t="s">
        <v>755</v>
      </c>
      <c r="CG254" s="12" t="s">
        <v>755</v>
      </c>
      <c r="CH254" s="12" t="s">
        <v>761</v>
      </c>
      <c r="CI254" s="12" t="s">
        <v>624</v>
      </c>
      <c r="CJ254" s="12" t="s">
        <v>624</v>
      </c>
      <c r="CK254" s="12" t="s">
        <v>624</v>
      </c>
      <c r="CL254" s="12" t="s">
        <v>583</v>
      </c>
      <c r="CM254" s="12" t="s">
        <v>583</v>
      </c>
      <c r="CN254" s="12" t="s">
        <v>583</v>
      </c>
      <c r="CO254" s="12" t="s">
        <v>583</v>
      </c>
      <c r="CP254" s="12" t="s">
        <v>583</v>
      </c>
      <c r="CQ254" s="12" t="s">
        <v>583</v>
      </c>
      <c r="CR254" s="12" t="s">
        <v>583</v>
      </c>
      <c r="CS254" s="12" t="s">
        <v>583</v>
      </c>
      <c r="CT254" s="12" t="s">
        <v>583</v>
      </c>
    </row>
    <row r="255" spans="1:98" hidden="1" x14ac:dyDescent="0.3">
      <c r="A255" s="12" t="s">
        <v>25</v>
      </c>
      <c r="B255" s="12" t="s">
        <v>4280</v>
      </c>
      <c r="C255" s="12" t="s">
        <v>2213</v>
      </c>
      <c r="D255" s="12" t="s">
        <v>2213</v>
      </c>
      <c r="E255" s="12" t="s">
        <v>578</v>
      </c>
      <c r="F255" s="12" t="s">
        <v>578</v>
      </c>
      <c r="G255" s="12" t="s">
        <v>578</v>
      </c>
      <c r="H255" s="12" t="s">
        <v>578</v>
      </c>
      <c r="I255" s="12" t="s">
        <v>578</v>
      </c>
      <c r="J255" s="12" t="s">
        <v>578</v>
      </c>
      <c r="K255" s="12" t="s">
        <v>578</v>
      </c>
      <c r="L255" s="12" t="s">
        <v>578</v>
      </c>
      <c r="M255" s="12" t="s">
        <v>578</v>
      </c>
      <c r="N255" s="12" t="s">
        <v>578</v>
      </c>
      <c r="O255" s="12" t="s">
        <v>578</v>
      </c>
      <c r="P255" s="12" t="s">
        <v>578</v>
      </c>
      <c r="Q255" s="12" t="s">
        <v>578</v>
      </c>
      <c r="R255" s="12" t="s">
        <v>578</v>
      </c>
      <c r="S255" s="12" t="s">
        <v>578</v>
      </c>
      <c r="T255" s="12" t="s">
        <v>578</v>
      </c>
      <c r="U255" s="12" t="s">
        <v>578</v>
      </c>
      <c r="V255" s="12" t="s">
        <v>578</v>
      </c>
      <c r="W255" s="12" t="s">
        <v>578</v>
      </c>
      <c r="X255" s="12" t="s">
        <v>578</v>
      </c>
      <c r="Y255" s="12" t="s">
        <v>578</v>
      </c>
      <c r="Z255" s="12" t="s">
        <v>578</v>
      </c>
      <c r="AA255" s="12" t="s">
        <v>578</v>
      </c>
      <c r="AB255" s="12" t="s">
        <v>578</v>
      </c>
      <c r="AC255" s="12" t="s">
        <v>578</v>
      </c>
      <c r="AD255" s="12" t="s">
        <v>578</v>
      </c>
      <c r="AE255" s="12" t="s">
        <v>578</v>
      </c>
      <c r="AF255" s="12" t="s">
        <v>578</v>
      </c>
      <c r="AG255" s="12" t="s">
        <v>578</v>
      </c>
      <c r="AH255" s="12" t="s">
        <v>578</v>
      </c>
      <c r="AI255" s="12" t="s">
        <v>578</v>
      </c>
      <c r="AJ255" s="12" t="s">
        <v>578</v>
      </c>
      <c r="AK255" s="12" t="s">
        <v>578</v>
      </c>
      <c r="AL255" s="12" t="s">
        <v>578</v>
      </c>
      <c r="AM255" s="12" t="s">
        <v>578</v>
      </c>
      <c r="AN255" s="12" t="s">
        <v>578</v>
      </c>
      <c r="AO255" s="12" t="s">
        <v>578</v>
      </c>
      <c r="AP255" s="12" t="s">
        <v>578</v>
      </c>
      <c r="AQ255" s="12" t="s">
        <v>578</v>
      </c>
      <c r="AR255" s="12" t="s">
        <v>578</v>
      </c>
      <c r="AS255" s="12" t="s">
        <v>578</v>
      </c>
      <c r="AT255" s="12" t="s">
        <v>578</v>
      </c>
      <c r="AU255" s="12" t="s">
        <v>578</v>
      </c>
      <c r="AV255" s="12" t="s">
        <v>578</v>
      </c>
      <c r="AW255" s="12" t="s">
        <v>578</v>
      </c>
      <c r="AX255" s="12" t="s">
        <v>578</v>
      </c>
      <c r="AY255" s="12" t="s">
        <v>578</v>
      </c>
      <c r="AZ255" s="12" t="s">
        <v>578</v>
      </c>
      <c r="BA255" s="12" t="s">
        <v>578</v>
      </c>
      <c r="BB255" s="12" t="s">
        <v>578</v>
      </c>
      <c r="BC255" s="12" t="s">
        <v>578</v>
      </c>
      <c r="BD255" s="12" t="s">
        <v>578</v>
      </c>
      <c r="BE255" s="12" t="s">
        <v>578</v>
      </c>
      <c r="BF255" s="12" t="s">
        <v>578</v>
      </c>
      <c r="BG255" s="12" t="s">
        <v>578</v>
      </c>
      <c r="BH255" s="12" t="s">
        <v>578</v>
      </c>
      <c r="BI255" s="12" t="s">
        <v>578</v>
      </c>
      <c r="BJ255" s="12" t="s">
        <v>578</v>
      </c>
      <c r="BK255" s="12" t="s">
        <v>578</v>
      </c>
      <c r="BL255" s="12" t="s">
        <v>578</v>
      </c>
      <c r="BM255" s="12" t="s">
        <v>578</v>
      </c>
      <c r="BN255" s="12" t="s">
        <v>578</v>
      </c>
      <c r="BO255" s="12" t="s">
        <v>578</v>
      </c>
      <c r="BP255" s="12" t="s">
        <v>578</v>
      </c>
      <c r="BQ255" s="12" t="s">
        <v>578</v>
      </c>
      <c r="BR255" s="12" t="s">
        <v>578</v>
      </c>
      <c r="BS255" s="12" t="s">
        <v>623</v>
      </c>
      <c r="BT255" s="12" t="s">
        <v>623</v>
      </c>
      <c r="BU255" s="12" t="s">
        <v>623</v>
      </c>
      <c r="BV255" s="12" t="s">
        <v>623</v>
      </c>
      <c r="BW255" s="12" t="s">
        <v>761</v>
      </c>
      <c r="BX255" s="12" t="s">
        <v>761</v>
      </c>
      <c r="BY255" s="12" t="s">
        <v>761</v>
      </c>
      <c r="BZ255" s="12" t="s">
        <v>761</v>
      </c>
      <c r="CA255" s="12" t="s">
        <v>761</v>
      </c>
      <c r="CB255" s="12" t="s">
        <v>761</v>
      </c>
      <c r="CC255" s="12" t="s">
        <v>761</v>
      </c>
      <c r="CD255" s="12" t="s">
        <v>761</v>
      </c>
      <c r="CE255" s="12" t="s">
        <v>761</v>
      </c>
      <c r="CF255" s="12" t="s">
        <v>761</v>
      </c>
      <c r="CG255" s="12" t="s">
        <v>761</v>
      </c>
      <c r="CH255" s="12" t="s">
        <v>761</v>
      </c>
      <c r="CI255" s="12" t="s">
        <v>761</v>
      </c>
      <c r="CJ255" s="12" t="s">
        <v>761</v>
      </c>
      <c r="CK255" s="12" t="s">
        <v>761</v>
      </c>
      <c r="CL255" s="12" t="s">
        <v>761</v>
      </c>
      <c r="CM255" s="12" t="s">
        <v>761</v>
      </c>
      <c r="CN255" s="12" t="s">
        <v>761</v>
      </c>
      <c r="CO255" s="12" t="s">
        <v>761</v>
      </c>
      <c r="CP255" s="12" t="s">
        <v>761</v>
      </c>
      <c r="CQ255" s="12" t="s">
        <v>761</v>
      </c>
      <c r="CR255" s="12" t="s">
        <v>761</v>
      </c>
      <c r="CS255" s="12" t="s">
        <v>761</v>
      </c>
      <c r="CT255" s="12" t="s">
        <v>761</v>
      </c>
    </row>
    <row r="256" spans="1:98" hidden="1" x14ac:dyDescent="0.3">
      <c r="A256" s="12" t="s">
        <v>25</v>
      </c>
      <c r="B256" s="12" t="s">
        <v>4281</v>
      </c>
      <c r="C256" s="12" t="s">
        <v>4282</v>
      </c>
      <c r="D256" s="12" t="s">
        <v>4283</v>
      </c>
      <c r="E256" s="12" t="s">
        <v>578</v>
      </c>
      <c r="F256" s="12" t="s">
        <v>578</v>
      </c>
      <c r="G256" s="12" t="s">
        <v>578</v>
      </c>
      <c r="H256" s="12" t="s">
        <v>578</v>
      </c>
      <c r="I256" s="12" t="s">
        <v>578</v>
      </c>
      <c r="J256" s="12" t="s">
        <v>578</v>
      </c>
      <c r="K256" s="12" t="s">
        <v>578</v>
      </c>
      <c r="L256" s="12" t="s">
        <v>578</v>
      </c>
      <c r="M256" s="12" t="s">
        <v>578</v>
      </c>
      <c r="N256" s="12" t="s">
        <v>578</v>
      </c>
      <c r="O256" s="12" t="s">
        <v>578</v>
      </c>
      <c r="P256" s="12" t="s">
        <v>578</v>
      </c>
      <c r="Q256" s="12" t="s">
        <v>578</v>
      </c>
      <c r="R256" s="12" t="s">
        <v>578</v>
      </c>
      <c r="S256" s="12" t="s">
        <v>578</v>
      </c>
      <c r="T256" s="12" t="s">
        <v>578</v>
      </c>
      <c r="U256" s="12" t="s">
        <v>578</v>
      </c>
      <c r="V256" s="12" t="s">
        <v>578</v>
      </c>
      <c r="W256" s="12" t="s">
        <v>578</v>
      </c>
      <c r="X256" s="12" t="s">
        <v>578</v>
      </c>
      <c r="Y256" s="12" t="s">
        <v>578</v>
      </c>
      <c r="Z256" s="12" t="s">
        <v>578</v>
      </c>
      <c r="AA256" s="12" t="s">
        <v>578</v>
      </c>
      <c r="AB256" s="12" t="s">
        <v>578</v>
      </c>
      <c r="AC256" s="12" t="s">
        <v>578</v>
      </c>
      <c r="AD256" s="12" t="s">
        <v>578</v>
      </c>
      <c r="AE256" s="12" t="s">
        <v>578</v>
      </c>
      <c r="AF256" s="12" t="s">
        <v>578</v>
      </c>
      <c r="AG256" s="12" t="s">
        <v>578</v>
      </c>
      <c r="AH256" s="12" t="s">
        <v>578</v>
      </c>
      <c r="AI256" s="12" t="s">
        <v>578</v>
      </c>
      <c r="AJ256" s="12" t="s">
        <v>578</v>
      </c>
      <c r="AK256" s="12" t="s">
        <v>578</v>
      </c>
      <c r="AL256" s="12" t="s">
        <v>578</v>
      </c>
      <c r="AM256" s="12" t="s">
        <v>578</v>
      </c>
      <c r="AN256" s="12" t="s">
        <v>578</v>
      </c>
      <c r="AO256" s="12" t="s">
        <v>578</v>
      </c>
      <c r="AP256" s="12" t="s">
        <v>578</v>
      </c>
      <c r="AQ256" s="12" t="s">
        <v>578</v>
      </c>
      <c r="AR256" s="12" t="s">
        <v>578</v>
      </c>
      <c r="AS256" s="12" t="s">
        <v>578</v>
      </c>
      <c r="AT256" s="12" t="s">
        <v>578</v>
      </c>
      <c r="AU256" s="12" t="s">
        <v>578</v>
      </c>
      <c r="AV256" s="12" t="s">
        <v>578</v>
      </c>
      <c r="AW256" s="12" t="s">
        <v>578</v>
      </c>
      <c r="AX256" s="12" t="s">
        <v>578</v>
      </c>
      <c r="AY256" s="12" t="s">
        <v>578</v>
      </c>
      <c r="AZ256" s="12" t="s">
        <v>578</v>
      </c>
      <c r="BA256" s="12" t="s">
        <v>578</v>
      </c>
      <c r="BB256" s="12" t="s">
        <v>578</v>
      </c>
      <c r="BC256" s="12" t="s">
        <v>578</v>
      </c>
      <c r="BD256" s="12" t="s">
        <v>578</v>
      </c>
      <c r="BE256" s="12" t="s">
        <v>578</v>
      </c>
      <c r="BF256" s="12" t="s">
        <v>578</v>
      </c>
      <c r="BG256" s="12" t="s">
        <v>578</v>
      </c>
      <c r="BH256" s="12" t="s">
        <v>578</v>
      </c>
      <c r="BI256" s="12" t="s">
        <v>578</v>
      </c>
      <c r="BJ256" s="12" t="s">
        <v>578</v>
      </c>
      <c r="BK256" s="12" t="s">
        <v>578</v>
      </c>
      <c r="BL256" s="12" t="s">
        <v>578</v>
      </c>
      <c r="BM256" s="12" t="s">
        <v>578</v>
      </c>
      <c r="BN256" s="12" t="s">
        <v>578</v>
      </c>
      <c r="BO256" s="12" t="s">
        <v>578</v>
      </c>
      <c r="BP256" s="12" t="s">
        <v>578</v>
      </c>
      <c r="BQ256" s="12" t="s">
        <v>578</v>
      </c>
      <c r="BR256" s="12" t="s">
        <v>578</v>
      </c>
      <c r="BS256" s="12" t="s">
        <v>578</v>
      </c>
      <c r="BT256" s="12" t="s">
        <v>578</v>
      </c>
      <c r="BU256" s="12" t="s">
        <v>672</v>
      </c>
      <c r="BV256" s="12" t="s">
        <v>580</v>
      </c>
      <c r="BW256" s="12" t="s">
        <v>580</v>
      </c>
      <c r="BX256" s="12" t="s">
        <v>580</v>
      </c>
      <c r="BY256" s="12" t="s">
        <v>580</v>
      </c>
      <c r="BZ256" s="12" t="s">
        <v>580</v>
      </c>
      <c r="CA256" s="12" t="s">
        <v>851</v>
      </c>
      <c r="CB256" s="12" t="s">
        <v>851</v>
      </c>
      <c r="CC256" s="12" t="s">
        <v>851</v>
      </c>
      <c r="CD256" s="12" t="s">
        <v>851</v>
      </c>
      <c r="CE256" s="12" t="s">
        <v>868</v>
      </c>
      <c r="CF256" s="12" t="s">
        <v>868</v>
      </c>
      <c r="CG256" s="12" t="s">
        <v>868</v>
      </c>
      <c r="CH256" s="12" t="s">
        <v>868</v>
      </c>
      <c r="CI256" s="12" t="s">
        <v>868</v>
      </c>
      <c r="CJ256" s="12" t="s">
        <v>868</v>
      </c>
      <c r="CK256" s="12" t="s">
        <v>868</v>
      </c>
      <c r="CL256" s="12" t="s">
        <v>762</v>
      </c>
      <c r="CM256" s="12" t="s">
        <v>762</v>
      </c>
      <c r="CN256" s="12" t="s">
        <v>762</v>
      </c>
      <c r="CO256" s="12" t="s">
        <v>675</v>
      </c>
      <c r="CP256" s="12" t="s">
        <v>675</v>
      </c>
      <c r="CQ256" s="12" t="s">
        <v>675</v>
      </c>
      <c r="CR256" s="12" t="s">
        <v>586</v>
      </c>
      <c r="CS256" s="12" t="s">
        <v>586</v>
      </c>
      <c r="CT256" s="12" t="s">
        <v>586</v>
      </c>
    </row>
    <row r="257" spans="1:98" hidden="1" x14ac:dyDescent="0.3">
      <c r="A257" s="12" t="s">
        <v>25</v>
      </c>
      <c r="B257" s="12" t="s">
        <v>4284</v>
      </c>
      <c r="C257" s="12" t="s">
        <v>4285</v>
      </c>
      <c r="D257" s="12" t="s">
        <v>4286</v>
      </c>
      <c r="E257" s="12" t="s">
        <v>578</v>
      </c>
      <c r="F257" s="12" t="s">
        <v>578</v>
      </c>
      <c r="G257" s="12" t="s">
        <v>578</v>
      </c>
      <c r="H257" s="12" t="s">
        <v>578</v>
      </c>
      <c r="I257" s="12" t="s">
        <v>578</v>
      </c>
      <c r="J257" s="12" t="s">
        <v>578</v>
      </c>
      <c r="K257" s="12" t="s">
        <v>578</v>
      </c>
      <c r="L257" s="12" t="s">
        <v>578</v>
      </c>
      <c r="M257" s="12" t="s">
        <v>578</v>
      </c>
      <c r="N257" s="12" t="s">
        <v>578</v>
      </c>
      <c r="O257" s="12" t="s">
        <v>578</v>
      </c>
      <c r="P257" s="12" t="s">
        <v>578</v>
      </c>
      <c r="Q257" s="12" t="s">
        <v>578</v>
      </c>
      <c r="R257" s="12" t="s">
        <v>578</v>
      </c>
      <c r="S257" s="12" t="s">
        <v>578</v>
      </c>
      <c r="T257" s="12" t="s">
        <v>578</v>
      </c>
      <c r="U257" s="12" t="s">
        <v>578</v>
      </c>
      <c r="V257" s="12" t="s">
        <v>578</v>
      </c>
      <c r="W257" s="12" t="s">
        <v>578</v>
      </c>
      <c r="X257" s="12" t="s">
        <v>578</v>
      </c>
      <c r="Y257" s="12" t="s">
        <v>578</v>
      </c>
      <c r="Z257" s="12" t="s">
        <v>578</v>
      </c>
      <c r="AA257" s="12" t="s">
        <v>578</v>
      </c>
      <c r="AB257" s="12" t="s">
        <v>578</v>
      </c>
      <c r="AC257" s="12" t="s">
        <v>578</v>
      </c>
      <c r="AD257" s="12" t="s">
        <v>578</v>
      </c>
      <c r="AE257" s="12" t="s">
        <v>578</v>
      </c>
      <c r="AF257" s="12" t="s">
        <v>578</v>
      </c>
      <c r="AG257" s="12" t="s">
        <v>578</v>
      </c>
      <c r="AH257" s="12" t="s">
        <v>578</v>
      </c>
      <c r="AI257" s="12" t="s">
        <v>578</v>
      </c>
      <c r="AJ257" s="12" t="s">
        <v>578</v>
      </c>
      <c r="AK257" s="12" t="s">
        <v>578</v>
      </c>
      <c r="AL257" s="12" t="s">
        <v>578</v>
      </c>
      <c r="AM257" s="12" t="s">
        <v>578</v>
      </c>
      <c r="AN257" s="12" t="s">
        <v>578</v>
      </c>
      <c r="AO257" s="12" t="s">
        <v>578</v>
      </c>
      <c r="AP257" s="12" t="s">
        <v>578</v>
      </c>
      <c r="AQ257" s="12" t="s">
        <v>578</v>
      </c>
      <c r="AR257" s="12" t="s">
        <v>578</v>
      </c>
      <c r="AS257" s="12" t="s">
        <v>578</v>
      </c>
      <c r="AT257" s="12" t="s">
        <v>578</v>
      </c>
      <c r="AU257" s="12" t="s">
        <v>578</v>
      </c>
      <c r="AV257" s="12" t="s">
        <v>578</v>
      </c>
      <c r="AW257" s="12" t="s">
        <v>578</v>
      </c>
      <c r="AX257" s="12" t="s">
        <v>578</v>
      </c>
      <c r="AY257" s="12" t="s">
        <v>578</v>
      </c>
      <c r="AZ257" s="12" t="s">
        <v>578</v>
      </c>
      <c r="BA257" s="12" t="s">
        <v>578</v>
      </c>
      <c r="BB257" s="12" t="s">
        <v>578</v>
      </c>
      <c r="BC257" s="12" t="s">
        <v>578</v>
      </c>
      <c r="BD257" s="12" t="s">
        <v>578</v>
      </c>
      <c r="BE257" s="12" t="s">
        <v>578</v>
      </c>
      <c r="BF257" s="12" t="s">
        <v>578</v>
      </c>
      <c r="BG257" s="12" t="s">
        <v>578</v>
      </c>
      <c r="BH257" s="12" t="s">
        <v>578</v>
      </c>
      <c r="BI257" s="12" t="s">
        <v>578</v>
      </c>
      <c r="BJ257" s="12" t="s">
        <v>578</v>
      </c>
      <c r="BK257" s="12" t="s">
        <v>578</v>
      </c>
      <c r="BL257" s="12" t="s">
        <v>578</v>
      </c>
      <c r="BM257" s="12" t="s">
        <v>578</v>
      </c>
      <c r="BN257" s="12" t="s">
        <v>578</v>
      </c>
      <c r="BO257" s="12" t="s">
        <v>578</v>
      </c>
      <c r="BP257" s="12" t="s">
        <v>578</v>
      </c>
      <c r="BQ257" s="12" t="s">
        <v>578</v>
      </c>
      <c r="BR257" s="12" t="s">
        <v>578</v>
      </c>
      <c r="BS257" s="12" t="s">
        <v>578</v>
      </c>
      <c r="BT257" s="12" t="s">
        <v>578</v>
      </c>
      <c r="BU257" s="12" t="s">
        <v>578</v>
      </c>
      <c r="BV257" s="12" t="s">
        <v>623</v>
      </c>
      <c r="BW257" s="12" t="s">
        <v>623</v>
      </c>
      <c r="BX257" s="12" t="s">
        <v>672</v>
      </c>
      <c r="BY257" s="12" t="s">
        <v>672</v>
      </c>
      <c r="BZ257" s="12" t="s">
        <v>672</v>
      </c>
      <c r="CA257" s="12" t="s">
        <v>672</v>
      </c>
      <c r="CB257" s="12" t="s">
        <v>672</v>
      </c>
      <c r="CC257" s="12" t="s">
        <v>672</v>
      </c>
      <c r="CD257" s="12" t="s">
        <v>672</v>
      </c>
      <c r="CE257" s="12" t="s">
        <v>672</v>
      </c>
      <c r="CF257" s="12" t="s">
        <v>672</v>
      </c>
      <c r="CG257" s="12" t="s">
        <v>581</v>
      </c>
      <c r="CH257" s="12" t="s">
        <v>581</v>
      </c>
      <c r="CI257" s="12" t="s">
        <v>581</v>
      </c>
      <c r="CJ257" s="12" t="s">
        <v>581</v>
      </c>
      <c r="CK257" s="12" t="s">
        <v>581</v>
      </c>
      <c r="CL257" s="12" t="s">
        <v>581</v>
      </c>
      <c r="CM257" s="12" t="s">
        <v>581</v>
      </c>
      <c r="CN257" s="12" t="s">
        <v>581</v>
      </c>
      <c r="CO257" s="12" t="s">
        <v>581</v>
      </c>
      <c r="CP257" s="12" t="s">
        <v>581</v>
      </c>
      <c r="CQ257" s="12" t="s">
        <v>581</v>
      </c>
      <c r="CR257" s="12" t="s">
        <v>583</v>
      </c>
      <c r="CS257" s="12" t="s">
        <v>583</v>
      </c>
      <c r="CT257" s="12" t="s">
        <v>583</v>
      </c>
    </row>
    <row r="258" spans="1:98" hidden="1" x14ac:dyDescent="0.3">
      <c r="A258" s="12" t="s">
        <v>25</v>
      </c>
      <c r="B258" s="12" t="s">
        <v>4287</v>
      </c>
      <c r="C258" s="12" t="s">
        <v>4288</v>
      </c>
      <c r="D258" s="12" t="s">
        <v>4289</v>
      </c>
      <c r="E258" s="12" t="s">
        <v>578</v>
      </c>
      <c r="F258" s="12" t="s">
        <v>578</v>
      </c>
      <c r="G258" s="12" t="s">
        <v>578</v>
      </c>
      <c r="H258" s="12" t="s">
        <v>578</v>
      </c>
      <c r="I258" s="12" t="s">
        <v>578</v>
      </c>
      <c r="J258" s="12" t="s">
        <v>578</v>
      </c>
      <c r="K258" s="12" t="s">
        <v>578</v>
      </c>
      <c r="L258" s="12" t="s">
        <v>578</v>
      </c>
      <c r="M258" s="12" t="s">
        <v>578</v>
      </c>
      <c r="N258" s="12" t="s">
        <v>578</v>
      </c>
      <c r="O258" s="12" t="s">
        <v>578</v>
      </c>
      <c r="P258" s="12" t="s">
        <v>578</v>
      </c>
      <c r="Q258" s="12" t="s">
        <v>578</v>
      </c>
      <c r="R258" s="12" t="s">
        <v>578</v>
      </c>
      <c r="S258" s="12" t="s">
        <v>578</v>
      </c>
      <c r="T258" s="12" t="s">
        <v>578</v>
      </c>
      <c r="U258" s="12" t="s">
        <v>578</v>
      </c>
      <c r="V258" s="12" t="s">
        <v>578</v>
      </c>
      <c r="W258" s="12" t="s">
        <v>578</v>
      </c>
      <c r="X258" s="12" t="s">
        <v>578</v>
      </c>
      <c r="Y258" s="12" t="s">
        <v>578</v>
      </c>
      <c r="Z258" s="12" t="s">
        <v>578</v>
      </c>
      <c r="AA258" s="12" t="s">
        <v>578</v>
      </c>
      <c r="AB258" s="12" t="s">
        <v>578</v>
      </c>
      <c r="AC258" s="12" t="s">
        <v>578</v>
      </c>
      <c r="AD258" s="12" t="s">
        <v>578</v>
      </c>
      <c r="AE258" s="12" t="s">
        <v>578</v>
      </c>
      <c r="AF258" s="12" t="s">
        <v>578</v>
      </c>
      <c r="AG258" s="12" t="s">
        <v>578</v>
      </c>
      <c r="AH258" s="12" t="s">
        <v>578</v>
      </c>
      <c r="AI258" s="12" t="s">
        <v>578</v>
      </c>
      <c r="AJ258" s="12" t="s">
        <v>578</v>
      </c>
      <c r="AK258" s="12" t="s">
        <v>578</v>
      </c>
      <c r="AL258" s="12" t="s">
        <v>578</v>
      </c>
      <c r="AM258" s="12" t="s">
        <v>578</v>
      </c>
      <c r="AN258" s="12" t="s">
        <v>578</v>
      </c>
      <c r="AO258" s="12" t="s">
        <v>578</v>
      </c>
      <c r="AP258" s="12" t="s">
        <v>578</v>
      </c>
      <c r="AQ258" s="12" t="s">
        <v>578</v>
      </c>
      <c r="AR258" s="12" t="s">
        <v>578</v>
      </c>
      <c r="AS258" s="12" t="s">
        <v>578</v>
      </c>
      <c r="AT258" s="12" t="s">
        <v>578</v>
      </c>
      <c r="AU258" s="12" t="s">
        <v>578</v>
      </c>
      <c r="AV258" s="12" t="s">
        <v>578</v>
      </c>
      <c r="AW258" s="12" t="s">
        <v>578</v>
      </c>
      <c r="AX258" s="12" t="s">
        <v>578</v>
      </c>
      <c r="AY258" s="12" t="s">
        <v>578</v>
      </c>
      <c r="AZ258" s="12" t="s">
        <v>578</v>
      </c>
      <c r="BA258" s="12" t="s">
        <v>578</v>
      </c>
      <c r="BB258" s="12" t="s">
        <v>578</v>
      </c>
      <c r="BC258" s="12" t="s">
        <v>578</v>
      </c>
      <c r="BD258" s="12" t="s">
        <v>578</v>
      </c>
      <c r="BE258" s="12" t="s">
        <v>578</v>
      </c>
      <c r="BF258" s="12" t="s">
        <v>578</v>
      </c>
      <c r="BG258" s="12" t="s">
        <v>578</v>
      </c>
      <c r="BH258" s="12" t="s">
        <v>578</v>
      </c>
      <c r="BI258" s="12" t="s">
        <v>578</v>
      </c>
      <c r="BJ258" s="12" t="s">
        <v>578</v>
      </c>
      <c r="BK258" s="12" t="s">
        <v>578</v>
      </c>
      <c r="BL258" s="12" t="s">
        <v>578</v>
      </c>
      <c r="BM258" s="12" t="s">
        <v>578</v>
      </c>
      <c r="BN258" s="12" t="s">
        <v>578</v>
      </c>
      <c r="BO258" s="12" t="s">
        <v>578</v>
      </c>
      <c r="BP258" s="12" t="s">
        <v>578</v>
      </c>
      <c r="BQ258" s="12" t="s">
        <v>578</v>
      </c>
      <c r="BR258" s="12" t="s">
        <v>578</v>
      </c>
      <c r="BS258" s="12" t="s">
        <v>578</v>
      </c>
      <c r="BT258" s="12" t="s">
        <v>578</v>
      </c>
      <c r="BU258" s="12" t="s">
        <v>578</v>
      </c>
      <c r="BV258" s="12" t="s">
        <v>579</v>
      </c>
      <c r="BW258" s="12" t="s">
        <v>623</v>
      </c>
      <c r="BX258" s="12" t="s">
        <v>623</v>
      </c>
      <c r="BY258" s="12" t="s">
        <v>623</v>
      </c>
      <c r="BZ258" s="12" t="s">
        <v>580</v>
      </c>
      <c r="CA258" s="12" t="s">
        <v>851</v>
      </c>
      <c r="CB258" s="12" t="s">
        <v>851</v>
      </c>
      <c r="CC258" s="12" t="s">
        <v>851</v>
      </c>
      <c r="CD258" s="12" t="s">
        <v>582</v>
      </c>
      <c r="CE258" s="12" t="s">
        <v>582</v>
      </c>
      <c r="CF258" s="12" t="s">
        <v>755</v>
      </c>
      <c r="CG258" s="12" t="s">
        <v>755</v>
      </c>
      <c r="CH258" s="12" t="s">
        <v>624</v>
      </c>
      <c r="CI258" s="12" t="s">
        <v>624</v>
      </c>
      <c r="CJ258" s="12" t="s">
        <v>583</v>
      </c>
      <c r="CK258" s="12" t="s">
        <v>868</v>
      </c>
      <c r="CL258" s="12" t="s">
        <v>762</v>
      </c>
      <c r="CM258" s="12" t="s">
        <v>676</v>
      </c>
      <c r="CN258" s="12" t="s">
        <v>2018</v>
      </c>
      <c r="CO258" s="12" t="s">
        <v>917</v>
      </c>
      <c r="CP258" s="12" t="s">
        <v>1259</v>
      </c>
      <c r="CQ258" s="12" t="s">
        <v>954</v>
      </c>
      <c r="CR258" s="12" t="s">
        <v>919</v>
      </c>
      <c r="CS258" s="12" t="s">
        <v>633</v>
      </c>
      <c r="CT258" s="12" t="s">
        <v>976</v>
      </c>
    </row>
    <row r="259" spans="1:98" hidden="1" x14ac:dyDescent="0.3">
      <c r="A259" s="12" t="s">
        <v>4290</v>
      </c>
      <c r="B259" s="12" t="s">
        <v>3310</v>
      </c>
      <c r="C259" s="12" t="s">
        <v>4291</v>
      </c>
      <c r="D259" s="12" t="s">
        <v>4292</v>
      </c>
      <c r="E259" s="12" t="s">
        <v>578</v>
      </c>
      <c r="F259" s="12" t="s">
        <v>578</v>
      </c>
      <c r="G259" s="12" t="s">
        <v>578</v>
      </c>
      <c r="H259" s="12" t="s">
        <v>578</v>
      </c>
      <c r="I259" s="12" t="s">
        <v>578</v>
      </c>
      <c r="J259" s="12" t="s">
        <v>578</v>
      </c>
      <c r="K259" s="12" t="s">
        <v>578</v>
      </c>
      <c r="L259" s="12" t="s">
        <v>578</v>
      </c>
      <c r="M259" s="12" t="s">
        <v>578</v>
      </c>
      <c r="N259" s="12" t="s">
        <v>578</v>
      </c>
      <c r="O259" s="12" t="s">
        <v>578</v>
      </c>
      <c r="P259" s="12" t="s">
        <v>578</v>
      </c>
      <c r="Q259" s="12" t="s">
        <v>578</v>
      </c>
      <c r="R259" s="12" t="s">
        <v>578</v>
      </c>
      <c r="S259" s="12" t="s">
        <v>578</v>
      </c>
      <c r="T259" s="12" t="s">
        <v>578</v>
      </c>
      <c r="U259" s="12" t="s">
        <v>578</v>
      </c>
      <c r="V259" s="12" t="s">
        <v>578</v>
      </c>
      <c r="W259" s="12" t="s">
        <v>578</v>
      </c>
      <c r="X259" s="12" t="s">
        <v>578</v>
      </c>
      <c r="Y259" s="12" t="s">
        <v>578</v>
      </c>
      <c r="Z259" s="12" t="s">
        <v>578</v>
      </c>
      <c r="AA259" s="12" t="s">
        <v>578</v>
      </c>
      <c r="AB259" s="12" t="s">
        <v>578</v>
      </c>
      <c r="AC259" s="12" t="s">
        <v>578</v>
      </c>
      <c r="AD259" s="12" t="s">
        <v>578</v>
      </c>
      <c r="AE259" s="12" t="s">
        <v>578</v>
      </c>
      <c r="AF259" s="12" t="s">
        <v>578</v>
      </c>
      <c r="AG259" s="12" t="s">
        <v>578</v>
      </c>
      <c r="AH259" s="12" t="s">
        <v>578</v>
      </c>
      <c r="AI259" s="12" t="s">
        <v>578</v>
      </c>
      <c r="AJ259" s="12" t="s">
        <v>578</v>
      </c>
      <c r="AK259" s="12" t="s">
        <v>578</v>
      </c>
      <c r="AL259" s="12" t="s">
        <v>578</v>
      </c>
      <c r="AM259" s="12" t="s">
        <v>578</v>
      </c>
      <c r="AN259" s="12" t="s">
        <v>578</v>
      </c>
      <c r="AO259" s="12" t="s">
        <v>578</v>
      </c>
      <c r="AP259" s="12" t="s">
        <v>578</v>
      </c>
      <c r="AQ259" s="12" t="s">
        <v>578</v>
      </c>
      <c r="AR259" s="12" t="s">
        <v>578</v>
      </c>
      <c r="AS259" s="12" t="s">
        <v>578</v>
      </c>
      <c r="AT259" s="12" t="s">
        <v>578</v>
      </c>
      <c r="AU259" s="12" t="s">
        <v>578</v>
      </c>
      <c r="AV259" s="12" t="s">
        <v>578</v>
      </c>
      <c r="AW259" s="12" t="s">
        <v>578</v>
      </c>
      <c r="AX259" s="12" t="s">
        <v>578</v>
      </c>
      <c r="AY259" s="12" t="s">
        <v>578</v>
      </c>
      <c r="AZ259" s="12" t="s">
        <v>578</v>
      </c>
      <c r="BA259" s="12" t="s">
        <v>578</v>
      </c>
      <c r="BB259" s="12" t="s">
        <v>578</v>
      </c>
      <c r="BC259" s="12" t="s">
        <v>578</v>
      </c>
      <c r="BD259" s="12" t="s">
        <v>578</v>
      </c>
      <c r="BE259" s="12" t="s">
        <v>578</v>
      </c>
      <c r="BF259" s="12" t="s">
        <v>578</v>
      </c>
      <c r="BG259" s="12" t="s">
        <v>578</v>
      </c>
      <c r="BH259" s="12" t="s">
        <v>578</v>
      </c>
      <c r="BI259" s="12" t="s">
        <v>578</v>
      </c>
      <c r="BJ259" s="12" t="s">
        <v>578</v>
      </c>
      <c r="BK259" s="12" t="s">
        <v>578</v>
      </c>
      <c r="BL259" s="12" t="s">
        <v>578</v>
      </c>
      <c r="BM259" s="12" t="s">
        <v>578</v>
      </c>
      <c r="BN259" s="12" t="s">
        <v>578</v>
      </c>
      <c r="BO259" s="12" t="s">
        <v>578</v>
      </c>
      <c r="BP259" s="12" t="s">
        <v>578</v>
      </c>
      <c r="BQ259" s="12" t="s">
        <v>578</v>
      </c>
      <c r="BR259" s="12" t="s">
        <v>578</v>
      </c>
      <c r="BS259" s="12" t="s">
        <v>578</v>
      </c>
      <c r="BT259" s="12" t="s">
        <v>578</v>
      </c>
      <c r="BU259" s="12" t="s">
        <v>578</v>
      </c>
      <c r="BV259" s="12" t="s">
        <v>578</v>
      </c>
      <c r="BW259" s="12" t="s">
        <v>578</v>
      </c>
      <c r="BX259" s="12" t="s">
        <v>623</v>
      </c>
      <c r="BY259" s="12" t="s">
        <v>623</v>
      </c>
      <c r="BZ259" s="12" t="s">
        <v>623</v>
      </c>
      <c r="CA259" s="12" t="s">
        <v>623</v>
      </c>
      <c r="CB259" s="12" t="s">
        <v>623</v>
      </c>
      <c r="CC259" s="12" t="s">
        <v>623</v>
      </c>
      <c r="CD259" s="12" t="s">
        <v>623</v>
      </c>
      <c r="CE259" s="12" t="s">
        <v>623</v>
      </c>
      <c r="CF259" s="12" t="s">
        <v>623</v>
      </c>
      <c r="CG259" s="12" t="s">
        <v>623</v>
      </c>
      <c r="CH259" s="12" t="s">
        <v>672</v>
      </c>
      <c r="CI259" s="12" t="s">
        <v>672</v>
      </c>
      <c r="CJ259" s="12" t="s">
        <v>672</v>
      </c>
      <c r="CK259" s="12" t="s">
        <v>672</v>
      </c>
      <c r="CL259" s="12" t="s">
        <v>672</v>
      </c>
      <c r="CM259" s="12" t="s">
        <v>672</v>
      </c>
      <c r="CN259" s="12" t="s">
        <v>672</v>
      </c>
      <c r="CO259" s="12" t="s">
        <v>581</v>
      </c>
      <c r="CP259" s="12" t="s">
        <v>581</v>
      </c>
      <c r="CQ259" s="12" t="s">
        <v>581</v>
      </c>
      <c r="CR259" s="12" t="s">
        <v>581</v>
      </c>
      <c r="CS259" s="12" t="s">
        <v>581</v>
      </c>
      <c r="CT259" s="12" t="s">
        <v>581</v>
      </c>
    </row>
    <row r="260" spans="1:98" hidden="1" x14ac:dyDescent="0.3">
      <c r="A260" s="12" t="s">
        <v>25</v>
      </c>
      <c r="B260" s="12" t="s">
        <v>4293</v>
      </c>
      <c r="C260" s="12" t="s">
        <v>4294</v>
      </c>
      <c r="D260" s="12" t="s">
        <v>4295</v>
      </c>
      <c r="E260" s="12" t="s">
        <v>578</v>
      </c>
      <c r="F260" s="12" t="s">
        <v>578</v>
      </c>
      <c r="G260" s="12" t="s">
        <v>578</v>
      </c>
      <c r="H260" s="12" t="s">
        <v>578</v>
      </c>
      <c r="I260" s="12" t="s">
        <v>578</v>
      </c>
      <c r="J260" s="12" t="s">
        <v>578</v>
      </c>
      <c r="K260" s="12" t="s">
        <v>578</v>
      </c>
      <c r="L260" s="12" t="s">
        <v>578</v>
      </c>
      <c r="M260" s="12" t="s">
        <v>578</v>
      </c>
      <c r="N260" s="12" t="s">
        <v>578</v>
      </c>
      <c r="O260" s="12" t="s">
        <v>578</v>
      </c>
      <c r="P260" s="12" t="s">
        <v>578</v>
      </c>
      <c r="Q260" s="12" t="s">
        <v>578</v>
      </c>
      <c r="R260" s="12" t="s">
        <v>578</v>
      </c>
      <c r="S260" s="12" t="s">
        <v>578</v>
      </c>
      <c r="T260" s="12" t="s">
        <v>578</v>
      </c>
      <c r="U260" s="12" t="s">
        <v>578</v>
      </c>
      <c r="V260" s="12" t="s">
        <v>578</v>
      </c>
      <c r="W260" s="12" t="s">
        <v>578</v>
      </c>
      <c r="X260" s="12" t="s">
        <v>578</v>
      </c>
      <c r="Y260" s="12" t="s">
        <v>578</v>
      </c>
      <c r="Z260" s="12" t="s">
        <v>578</v>
      </c>
      <c r="AA260" s="12" t="s">
        <v>578</v>
      </c>
      <c r="AB260" s="12" t="s">
        <v>578</v>
      </c>
      <c r="AC260" s="12" t="s">
        <v>578</v>
      </c>
      <c r="AD260" s="12" t="s">
        <v>578</v>
      </c>
      <c r="AE260" s="12" t="s">
        <v>578</v>
      </c>
      <c r="AF260" s="12" t="s">
        <v>578</v>
      </c>
      <c r="AG260" s="12" t="s">
        <v>578</v>
      </c>
      <c r="AH260" s="12" t="s">
        <v>578</v>
      </c>
      <c r="AI260" s="12" t="s">
        <v>578</v>
      </c>
      <c r="AJ260" s="12" t="s">
        <v>578</v>
      </c>
      <c r="AK260" s="12" t="s">
        <v>578</v>
      </c>
      <c r="AL260" s="12" t="s">
        <v>578</v>
      </c>
      <c r="AM260" s="12" t="s">
        <v>578</v>
      </c>
      <c r="AN260" s="12" t="s">
        <v>578</v>
      </c>
      <c r="AO260" s="12" t="s">
        <v>578</v>
      </c>
      <c r="AP260" s="12" t="s">
        <v>578</v>
      </c>
      <c r="AQ260" s="12" t="s">
        <v>578</v>
      </c>
      <c r="AR260" s="12" t="s">
        <v>578</v>
      </c>
      <c r="AS260" s="12" t="s">
        <v>578</v>
      </c>
      <c r="AT260" s="12" t="s">
        <v>578</v>
      </c>
      <c r="AU260" s="12" t="s">
        <v>578</v>
      </c>
      <c r="AV260" s="12" t="s">
        <v>578</v>
      </c>
      <c r="AW260" s="12" t="s">
        <v>578</v>
      </c>
      <c r="AX260" s="12" t="s">
        <v>578</v>
      </c>
      <c r="AY260" s="12" t="s">
        <v>578</v>
      </c>
      <c r="AZ260" s="12" t="s">
        <v>578</v>
      </c>
      <c r="BA260" s="12" t="s">
        <v>578</v>
      </c>
      <c r="BB260" s="12" t="s">
        <v>578</v>
      </c>
      <c r="BC260" s="12" t="s">
        <v>578</v>
      </c>
      <c r="BD260" s="12" t="s">
        <v>578</v>
      </c>
      <c r="BE260" s="12" t="s">
        <v>578</v>
      </c>
      <c r="BF260" s="12" t="s">
        <v>578</v>
      </c>
      <c r="BG260" s="12" t="s">
        <v>578</v>
      </c>
      <c r="BH260" s="12" t="s">
        <v>578</v>
      </c>
      <c r="BI260" s="12" t="s">
        <v>578</v>
      </c>
      <c r="BJ260" s="12" t="s">
        <v>578</v>
      </c>
      <c r="BK260" s="12" t="s">
        <v>578</v>
      </c>
      <c r="BL260" s="12" t="s">
        <v>578</v>
      </c>
      <c r="BM260" s="12" t="s">
        <v>578</v>
      </c>
      <c r="BN260" s="12" t="s">
        <v>578</v>
      </c>
      <c r="BO260" s="12" t="s">
        <v>578</v>
      </c>
      <c r="BP260" s="12" t="s">
        <v>578</v>
      </c>
      <c r="BQ260" s="12" t="s">
        <v>578</v>
      </c>
      <c r="BR260" s="12" t="s">
        <v>578</v>
      </c>
      <c r="BS260" s="12" t="s">
        <v>578</v>
      </c>
      <c r="BT260" s="12" t="s">
        <v>578</v>
      </c>
      <c r="BU260" s="12" t="s">
        <v>578</v>
      </c>
      <c r="BV260" s="12" t="s">
        <v>578</v>
      </c>
      <c r="BW260" s="12" t="s">
        <v>578</v>
      </c>
      <c r="BX260" s="12" t="s">
        <v>672</v>
      </c>
      <c r="BY260" s="12" t="s">
        <v>672</v>
      </c>
      <c r="BZ260" s="12" t="s">
        <v>580</v>
      </c>
      <c r="CA260" s="12" t="s">
        <v>580</v>
      </c>
      <c r="CB260" s="12" t="s">
        <v>581</v>
      </c>
      <c r="CC260" s="12" t="s">
        <v>755</v>
      </c>
      <c r="CD260" s="12" t="s">
        <v>755</v>
      </c>
      <c r="CE260" s="12" t="s">
        <v>755</v>
      </c>
      <c r="CF260" s="12" t="s">
        <v>761</v>
      </c>
      <c r="CG260" s="12" t="s">
        <v>625</v>
      </c>
      <c r="CH260" s="12" t="s">
        <v>868</v>
      </c>
      <c r="CI260" s="12" t="s">
        <v>584</v>
      </c>
      <c r="CJ260" s="12" t="s">
        <v>584</v>
      </c>
      <c r="CK260" s="12" t="s">
        <v>584</v>
      </c>
      <c r="CL260" s="12" t="s">
        <v>584</v>
      </c>
      <c r="CM260" s="12" t="s">
        <v>673</v>
      </c>
      <c r="CN260" s="12" t="s">
        <v>673</v>
      </c>
      <c r="CO260" s="12" t="s">
        <v>673</v>
      </c>
      <c r="CP260" s="12" t="s">
        <v>673</v>
      </c>
      <c r="CQ260" s="12" t="s">
        <v>808</v>
      </c>
      <c r="CR260" s="12" t="s">
        <v>626</v>
      </c>
      <c r="CS260" s="12" t="s">
        <v>627</v>
      </c>
      <c r="CT260" s="12" t="s">
        <v>627</v>
      </c>
    </row>
    <row r="261" spans="1:98" hidden="1" x14ac:dyDescent="0.3">
      <c r="A261" s="12" t="s">
        <v>4296</v>
      </c>
      <c r="B261" s="12" t="s">
        <v>4094</v>
      </c>
      <c r="C261" s="12" t="s">
        <v>4297</v>
      </c>
      <c r="D261" s="12" t="s">
        <v>4298</v>
      </c>
      <c r="E261" s="12" t="s">
        <v>578</v>
      </c>
      <c r="F261" s="12" t="s">
        <v>578</v>
      </c>
      <c r="G261" s="12" t="s">
        <v>578</v>
      </c>
      <c r="H261" s="12" t="s">
        <v>578</v>
      </c>
      <c r="I261" s="12" t="s">
        <v>578</v>
      </c>
      <c r="J261" s="12" t="s">
        <v>578</v>
      </c>
      <c r="K261" s="12" t="s">
        <v>578</v>
      </c>
      <c r="L261" s="12" t="s">
        <v>578</v>
      </c>
      <c r="M261" s="12" t="s">
        <v>578</v>
      </c>
      <c r="N261" s="12" t="s">
        <v>578</v>
      </c>
      <c r="O261" s="12" t="s">
        <v>578</v>
      </c>
      <c r="P261" s="12" t="s">
        <v>578</v>
      </c>
      <c r="Q261" s="12" t="s">
        <v>578</v>
      </c>
      <c r="R261" s="12" t="s">
        <v>578</v>
      </c>
      <c r="S261" s="12" t="s">
        <v>578</v>
      </c>
      <c r="T261" s="12" t="s">
        <v>578</v>
      </c>
      <c r="U261" s="12" t="s">
        <v>578</v>
      </c>
      <c r="V261" s="12" t="s">
        <v>578</v>
      </c>
      <c r="W261" s="12" t="s">
        <v>578</v>
      </c>
      <c r="X261" s="12" t="s">
        <v>578</v>
      </c>
      <c r="Y261" s="12" t="s">
        <v>578</v>
      </c>
      <c r="Z261" s="12" t="s">
        <v>578</v>
      </c>
      <c r="AA261" s="12" t="s">
        <v>578</v>
      </c>
      <c r="AB261" s="12" t="s">
        <v>578</v>
      </c>
      <c r="AC261" s="12" t="s">
        <v>578</v>
      </c>
      <c r="AD261" s="12" t="s">
        <v>578</v>
      </c>
      <c r="AE261" s="12" t="s">
        <v>578</v>
      </c>
      <c r="AF261" s="12" t="s">
        <v>578</v>
      </c>
      <c r="AG261" s="12" t="s">
        <v>578</v>
      </c>
      <c r="AH261" s="12" t="s">
        <v>578</v>
      </c>
      <c r="AI261" s="12" t="s">
        <v>578</v>
      </c>
      <c r="AJ261" s="12" t="s">
        <v>578</v>
      </c>
      <c r="AK261" s="12" t="s">
        <v>578</v>
      </c>
      <c r="AL261" s="12" t="s">
        <v>578</v>
      </c>
      <c r="AM261" s="12" t="s">
        <v>578</v>
      </c>
      <c r="AN261" s="12" t="s">
        <v>578</v>
      </c>
      <c r="AO261" s="12" t="s">
        <v>578</v>
      </c>
      <c r="AP261" s="12" t="s">
        <v>578</v>
      </c>
      <c r="AQ261" s="12" t="s">
        <v>578</v>
      </c>
      <c r="AR261" s="12" t="s">
        <v>578</v>
      </c>
      <c r="AS261" s="12" t="s">
        <v>578</v>
      </c>
      <c r="AT261" s="12" t="s">
        <v>578</v>
      </c>
      <c r="AU261" s="12" t="s">
        <v>578</v>
      </c>
      <c r="AV261" s="12" t="s">
        <v>578</v>
      </c>
      <c r="AW261" s="12" t="s">
        <v>578</v>
      </c>
      <c r="AX261" s="12" t="s">
        <v>578</v>
      </c>
      <c r="AY261" s="12" t="s">
        <v>578</v>
      </c>
      <c r="AZ261" s="12" t="s">
        <v>578</v>
      </c>
      <c r="BA261" s="12" t="s">
        <v>578</v>
      </c>
      <c r="BB261" s="12" t="s">
        <v>578</v>
      </c>
      <c r="BC261" s="12" t="s">
        <v>578</v>
      </c>
      <c r="BD261" s="12" t="s">
        <v>578</v>
      </c>
      <c r="BE261" s="12" t="s">
        <v>578</v>
      </c>
      <c r="BF261" s="12" t="s">
        <v>578</v>
      </c>
      <c r="BG261" s="12" t="s">
        <v>578</v>
      </c>
      <c r="BH261" s="12" t="s">
        <v>578</v>
      </c>
      <c r="BI261" s="12" t="s">
        <v>578</v>
      </c>
      <c r="BJ261" s="12" t="s">
        <v>578</v>
      </c>
      <c r="BK261" s="12" t="s">
        <v>578</v>
      </c>
      <c r="BL261" s="12" t="s">
        <v>578</v>
      </c>
      <c r="BM261" s="12" t="s">
        <v>578</v>
      </c>
      <c r="BN261" s="12" t="s">
        <v>578</v>
      </c>
      <c r="BO261" s="12" t="s">
        <v>578</v>
      </c>
      <c r="BP261" s="12" t="s">
        <v>578</v>
      </c>
      <c r="BQ261" s="12" t="s">
        <v>578</v>
      </c>
      <c r="BR261" s="12" t="s">
        <v>578</v>
      </c>
      <c r="BS261" s="12" t="s">
        <v>578</v>
      </c>
      <c r="BT261" s="12" t="s">
        <v>578</v>
      </c>
      <c r="BU261" s="12" t="s">
        <v>578</v>
      </c>
      <c r="BV261" s="12" t="s">
        <v>578</v>
      </c>
      <c r="BW261" s="12" t="s">
        <v>578</v>
      </c>
      <c r="BX261" s="12" t="s">
        <v>578</v>
      </c>
      <c r="BY261" s="12" t="s">
        <v>578</v>
      </c>
      <c r="BZ261" s="12" t="s">
        <v>579</v>
      </c>
      <c r="CA261" s="12" t="s">
        <v>623</v>
      </c>
      <c r="CB261" s="12" t="s">
        <v>623</v>
      </c>
      <c r="CC261" s="12" t="s">
        <v>623</v>
      </c>
      <c r="CD261" s="12" t="s">
        <v>581</v>
      </c>
      <c r="CE261" s="12" t="s">
        <v>581</v>
      </c>
      <c r="CF261" s="12" t="s">
        <v>581</v>
      </c>
      <c r="CG261" s="12" t="s">
        <v>581</v>
      </c>
      <c r="CH261" s="12" t="s">
        <v>581</v>
      </c>
      <c r="CI261" s="12" t="s">
        <v>581</v>
      </c>
      <c r="CJ261" s="12" t="s">
        <v>583</v>
      </c>
      <c r="CK261" s="12" t="s">
        <v>583</v>
      </c>
      <c r="CL261" s="12" t="s">
        <v>583</v>
      </c>
      <c r="CM261" s="12" t="s">
        <v>583</v>
      </c>
      <c r="CN261" s="12" t="s">
        <v>583</v>
      </c>
      <c r="CO261" s="12" t="s">
        <v>583</v>
      </c>
      <c r="CP261" s="12" t="s">
        <v>583</v>
      </c>
      <c r="CQ261" s="12" t="s">
        <v>583</v>
      </c>
      <c r="CR261" s="12" t="s">
        <v>583</v>
      </c>
      <c r="CS261" s="12" t="s">
        <v>625</v>
      </c>
      <c r="CT261" s="12" t="s">
        <v>868</v>
      </c>
    </row>
    <row r="262" spans="1:98" hidden="1" x14ac:dyDescent="0.3">
      <c r="A262" s="12" t="s">
        <v>4299</v>
      </c>
      <c r="B262" s="12" t="s">
        <v>2483</v>
      </c>
      <c r="C262" s="12" t="s">
        <v>4300</v>
      </c>
      <c r="D262" s="12" t="s">
        <v>4301</v>
      </c>
      <c r="E262" s="12" t="s">
        <v>578</v>
      </c>
      <c r="F262" s="12" t="s">
        <v>578</v>
      </c>
      <c r="G262" s="12" t="s">
        <v>578</v>
      </c>
      <c r="H262" s="12" t="s">
        <v>578</v>
      </c>
      <c r="I262" s="12" t="s">
        <v>578</v>
      </c>
      <c r="J262" s="12" t="s">
        <v>578</v>
      </c>
      <c r="K262" s="12" t="s">
        <v>578</v>
      </c>
      <c r="L262" s="12" t="s">
        <v>578</v>
      </c>
      <c r="M262" s="12" t="s">
        <v>578</v>
      </c>
      <c r="N262" s="12" t="s">
        <v>578</v>
      </c>
      <c r="O262" s="12" t="s">
        <v>578</v>
      </c>
      <c r="P262" s="12" t="s">
        <v>578</v>
      </c>
      <c r="Q262" s="12" t="s">
        <v>578</v>
      </c>
      <c r="R262" s="12" t="s">
        <v>578</v>
      </c>
      <c r="S262" s="12" t="s">
        <v>578</v>
      </c>
      <c r="T262" s="12" t="s">
        <v>578</v>
      </c>
      <c r="U262" s="12" t="s">
        <v>578</v>
      </c>
      <c r="V262" s="12" t="s">
        <v>578</v>
      </c>
      <c r="W262" s="12" t="s">
        <v>578</v>
      </c>
      <c r="X262" s="12" t="s">
        <v>578</v>
      </c>
      <c r="Y262" s="12" t="s">
        <v>578</v>
      </c>
      <c r="Z262" s="12" t="s">
        <v>578</v>
      </c>
      <c r="AA262" s="12" t="s">
        <v>578</v>
      </c>
      <c r="AB262" s="12" t="s">
        <v>578</v>
      </c>
      <c r="AC262" s="12" t="s">
        <v>578</v>
      </c>
      <c r="AD262" s="12" t="s">
        <v>578</v>
      </c>
      <c r="AE262" s="12" t="s">
        <v>578</v>
      </c>
      <c r="AF262" s="12" t="s">
        <v>578</v>
      </c>
      <c r="AG262" s="12" t="s">
        <v>578</v>
      </c>
      <c r="AH262" s="12" t="s">
        <v>578</v>
      </c>
      <c r="AI262" s="12" t="s">
        <v>578</v>
      </c>
      <c r="AJ262" s="12" t="s">
        <v>578</v>
      </c>
      <c r="AK262" s="12" t="s">
        <v>578</v>
      </c>
      <c r="AL262" s="12" t="s">
        <v>578</v>
      </c>
      <c r="AM262" s="12" t="s">
        <v>578</v>
      </c>
      <c r="AN262" s="12" t="s">
        <v>578</v>
      </c>
      <c r="AO262" s="12" t="s">
        <v>578</v>
      </c>
      <c r="AP262" s="12" t="s">
        <v>578</v>
      </c>
      <c r="AQ262" s="12" t="s">
        <v>578</v>
      </c>
      <c r="AR262" s="12" t="s">
        <v>578</v>
      </c>
      <c r="AS262" s="12" t="s">
        <v>578</v>
      </c>
      <c r="AT262" s="12" t="s">
        <v>578</v>
      </c>
      <c r="AU262" s="12" t="s">
        <v>578</v>
      </c>
      <c r="AV262" s="12" t="s">
        <v>578</v>
      </c>
      <c r="AW262" s="12" t="s">
        <v>578</v>
      </c>
      <c r="AX262" s="12" t="s">
        <v>578</v>
      </c>
      <c r="AY262" s="12" t="s">
        <v>578</v>
      </c>
      <c r="AZ262" s="12" t="s">
        <v>578</v>
      </c>
      <c r="BA262" s="12" t="s">
        <v>578</v>
      </c>
      <c r="BB262" s="12" t="s">
        <v>578</v>
      </c>
      <c r="BC262" s="12" t="s">
        <v>578</v>
      </c>
      <c r="BD262" s="12" t="s">
        <v>578</v>
      </c>
      <c r="BE262" s="12" t="s">
        <v>578</v>
      </c>
      <c r="BF262" s="12" t="s">
        <v>578</v>
      </c>
      <c r="BG262" s="12" t="s">
        <v>578</v>
      </c>
      <c r="BH262" s="12" t="s">
        <v>578</v>
      </c>
      <c r="BI262" s="12" t="s">
        <v>578</v>
      </c>
      <c r="BJ262" s="12" t="s">
        <v>578</v>
      </c>
      <c r="BK262" s="12" t="s">
        <v>578</v>
      </c>
      <c r="BL262" s="12" t="s">
        <v>578</v>
      </c>
      <c r="BM262" s="12" t="s">
        <v>578</v>
      </c>
      <c r="BN262" s="12" t="s">
        <v>578</v>
      </c>
      <c r="BO262" s="12" t="s">
        <v>578</v>
      </c>
      <c r="BP262" s="12" t="s">
        <v>578</v>
      </c>
      <c r="BQ262" s="12" t="s">
        <v>578</v>
      </c>
      <c r="BR262" s="12" t="s">
        <v>578</v>
      </c>
      <c r="BS262" s="12" t="s">
        <v>578</v>
      </c>
      <c r="BT262" s="12" t="s">
        <v>578</v>
      </c>
      <c r="BU262" s="12" t="s">
        <v>578</v>
      </c>
      <c r="BV262" s="12" t="s">
        <v>578</v>
      </c>
      <c r="BW262" s="12" t="s">
        <v>578</v>
      </c>
      <c r="BX262" s="12" t="s">
        <v>578</v>
      </c>
      <c r="BY262" s="12" t="s">
        <v>578</v>
      </c>
      <c r="BZ262" s="12" t="s">
        <v>578</v>
      </c>
      <c r="CA262" s="12" t="s">
        <v>579</v>
      </c>
      <c r="CB262" s="12" t="s">
        <v>579</v>
      </c>
      <c r="CC262" s="12" t="s">
        <v>579</v>
      </c>
      <c r="CD262" s="12" t="s">
        <v>579</v>
      </c>
      <c r="CE262" s="12" t="s">
        <v>579</v>
      </c>
      <c r="CF262" s="12" t="s">
        <v>579</v>
      </c>
      <c r="CG262" s="12" t="s">
        <v>579</v>
      </c>
      <c r="CH262" s="12" t="s">
        <v>579</v>
      </c>
      <c r="CI262" s="12" t="s">
        <v>579</v>
      </c>
      <c r="CJ262" s="12" t="s">
        <v>579</v>
      </c>
      <c r="CK262" s="12" t="s">
        <v>579</v>
      </c>
      <c r="CL262" s="12" t="s">
        <v>579</v>
      </c>
      <c r="CM262" s="12" t="s">
        <v>579</v>
      </c>
      <c r="CN262" s="12" t="s">
        <v>579</v>
      </c>
      <c r="CO262" s="12" t="s">
        <v>579</v>
      </c>
      <c r="CP262" s="12" t="s">
        <v>579</v>
      </c>
      <c r="CQ262" s="12" t="s">
        <v>579</v>
      </c>
      <c r="CR262" s="12" t="s">
        <v>579</v>
      </c>
      <c r="CS262" s="12" t="s">
        <v>579</v>
      </c>
      <c r="CT262" s="12" t="s">
        <v>579</v>
      </c>
    </row>
    <row r="263" spans="1:98" hidden="1" x14ac:dyDescent="0.3">
      <c r="A263" s="12" t="s">
        <v>25</v>
      </c>
      <c r="B263" s="12" t="s">
        <v>4302</v>
      </c>
      <c r="C263" s="12" t="s">
        <v>4303</v>
      </c>
      <c r="D263" s="12" t="s">
        <v>4304</v>
      </c>
      <c r="E263" s="12" t="s">
        <v>578</v>
      </c>
      <c r="F263" s="12" t="s">
        <v>578</v>
      </c>
      <c r="G263" s="12" t="s">
        <v>578</v>
      </c>
      <c r="H263" s="12" t="s">
        <v>578</v>
      </c>
      <c r="I263" s="12" t="s">
        <v>578</v>
      </c>
      <c r="J263" s="12" t="s">
        <v>578</v>
      </c>
      <c r="K263" s="12" t="s">
        <v>578</v>
      </c>
      <c r="L263" s="12" t="s">
        <v>578</v>
      </c>
      <c r="M263" s="12" t="s">
        <v>578</v>
      </c>
      <c r="N263" s="12" t="s">
        <v>578</v>
      </c>
      <c r="O263" s="12" t="s">
        <v>578</v>
      </c>
      <c r="P263" s="12" t="s">
        <v>578</v>
      </c>
      <c r="Q263" s="12" t="s">
        <v>578</v>
      </c>
      <c r="R263" s="12" t="s">
        <v>578</v>
      </c>
      <c r="S263" s="12" t="s">
        <v>578</v>
      </c>
      <c r="T263" s="12" t="s">
        <v>578</v>
      </c>
      <c r="U263" s="12" t="s">
        <v>578</v>
      </c>
      <c r="V263" s="12" t="s">
        <v>578</v>
      </c>
      <c r="W263" s="12" t="s">
        <v>578</v>
      </c>
      <c r="X263" s="12" t="s">
        <v>578</v>
      </c>
      <c r="Y263" s="12" t="s">
        <v>578</v>
      </c>
      <c r="Z263" s="12" t="s">
        <v>578</v>
      </c>
      <c r="AA263" s="12" t="s">
        <v>578</v>
      </c>
      <c r="AB263" s="12" t="s">
        <v>578</v>
      </c>
      <c r="AC263" s="12" t="s">
        <v>578</v>
      </c>
      <c r="AD263" s="12" t="s">
        <v>578</v>
      </c>
      <c r="AE263" s="12" t="s">
        <v>578</v>
      </c>
      <c r="AF263" s="12" t="s">
        <v>578</v>
      </c>
      <c r="AG263" s="12" t="s">
        <v>578</v>
      </c>
      <c r="AH263" s="12" t="s">
        <v>578</v>
      </c>
      <c r="AI263" s="12" t="s">
        <v>578</v>
      </c>
      <c r="AJ263" s="12" t="s">
        <v>578</v>
      </c>
      <c r="AK263" s="12" t="s">
        <v>578</v>
      </c>
      <c r="AL263" s="12" t="s">
        <v>578</v>
      </c>
      <c r="AM263" s="12" t="s">
        <v>578</v>
      </c>
      <c r="AN263" s="12" t="s">
        <v>578</v>
      </c>
      <c r="AO263" s="12" t="s">
        <v>578</v>
      </c>
      <c r="AP263" s="12" t="s">
        <v>578</v>
      </c>
      <c r="AQ263" s="12" t="s">
        <v>578</v>
      </c>
      <c r="AR263" s="12" t="s">
        <v>578</v>
      </c>
      <c r="AS263" s="12" t="s">
        <v>578</v>
      </c>
      <c r="AT263" s="12" t="s">
        <v>578</v>
      </c>
      <c r="AU263" s="12" t="s">
        <v>578</v>
      </c>
      <c r="AV263" s="12" t="s">
        <v>578</v>
      </c>
      <c r="AW263" s="12" t="s">
        <v>578</v>
      </c>
      <c r="AX263" s="12" t="s">
        <v>578</v>
      </c>
      <c r="AY263" s="12" t="s">
        <v>578</v>
      </c>
      <c r="AZ263" s="12" t="s">
        <v>578</v>
      </c>
      <c r="BA263" s="12" t="s">
        <v>578</v>
      </c>
      <c r="BB263" s="12" t="s">
        <v>578</v>
      </c>
      <c r="BC263" s="12" t="s">
        <v>578</v>
      </c>
      <c r="BD263" s="12" t="s">
        <v>578</v>
      </c>
      <c r="BE263" s="12" t="s">
        <v>578</v>
      </c>
      <c r="BF263" s="12" t="s">
        <v>578</v>
      </c>
      <c r="BG263" s="12" t="s">
        <v>578</v>
      </c>
      <c r="BH263" s="12" t="s">
        <v>578</v>
      </c>
      <c r="BI263" s="12" t="s">
        <v>578</v>
      </c>
      <c r="BJ263" s="12" t="s">
        <v>578</v>
      </c>
      <c r="BK263" s="12" t="s">
        <v>578</v>
      </c>
      <c r="BL263" s="12" t="s">
        <v>578</v>
      </c>
      <c r="BM263" s="12" t="s">
        <v>578</v>
      </c>
      <c r="BN263" s="12" t="s">
        <v>578</v>
      </c>
      <c r="BO263" s="12" t="s">
        <v>578</v>
      </c>
      <c r="BP263" s="12" t="s">
        <v>578</v>
      </c>
      <c r="BQ263" s="12" t="s">
        <v>578</v>
      </c>
      <c r="BR263" s="12" t="s">
        <v>578</v>
      </c>
      <c r="BS263" s="12" t="s">
        <v>578</v>
      </c>
      <c r="BT263" s="12" t="s">
        <v>578</v>
      </c>
      <c r="BU263" s="12" t="s">
        <v>578</v>
      </c>
      <c r="BV263" s="12" t="s">
        <v>578</v>
      </c>
      <c r="BW263" s="12" t="s">
        <v>578</v>
      </c>
      <c r="BX263" s="12" t="s">
        <v>578</v>
      </c>
      <c r="BY263" s="12" t="s">
        <v>578</v>
      </c>
      <c r="BZ263" s="12" t="s">
        <v>578</v>
      </c>
      <c r="CA263" s="12" t="s">
        <v>579</v>
      </c>
      <c r="CB263" s="12" t="s">
        <v>579</v>
      </c>
      <c r="CC263" s="12" t="s">
        <v>623</v>
      </c>
      <c r="CD263" s="12" t="s">
        <v>623</v>
      </c>
      <c r="CE263" s="12" t="s">
        <v>672</v>
      </c>
      <c r="CF263" s="12" t="s">
        <v>580</v>
      </c>
      <c r="CG263" s="12" t="s">
        <v>580</v>
      </c>
      <c r="CH263" s="12" t="s">
        <v>580</v>
      </c>
      <c r="CI263" s="12" t="s">
        <v>580</v>
      </c>
      <c r="CJ263" s="12" t="s">
        <v>580</v>
      </c>
      <c r="CK263" s="12" t="s">
        <v>580</v>
      </c>
      <c r="CL263" s="12" t="s">
        <v>580</v>
      </c>
      <c r="CM263" s="12" t="s">
        <v>580</v>
      </c>
      <c r="CN263" s="12" t="s">
        <v>580</v>
      </c>
      <c r="CO263" s="12" t="s">
        <v>580</v>
      </c>
      <c r="CP263" s="12" t="s">
        <v>580</v>
      </c>
      <c r="CQ263" s="12" t="s">
        <v>580</v>
      </c>
      <c r="CR263" s="12" t="s">
        <v>580</v>
      </c>
      <c r="CS263" s="12" t="s">
        <v>581</v>
      </c>
      <c r="CT263" s="12" t="s">
        <v>581</v>
      </c>
    </row>
    <row r="264" spans="1:98" hidden="1" x14ac:dyDescent="0.3">
      <c r="A264" s="12" t="s">
        <v>25</v>
      </c>
      <c r="B264" s="12" t="s">
        <v>4305</v>
      </c>
      <c r="C264" s="12" t="s">
        <v>4306</v>
      </c>
      <c r="D264" s="12" t="s">
        <v>4307</v>
      </c>
      <c r="E264" s="12" t="s">
        <v>578</v>
      </c>
      <c r="F264" s="12" t="s">
        <v>578</v>
      </c>
      <c r="G264" s="12" t="s">
        <v>578</v>
      </c>
      <c r="H264" s="12" t="s">
        <v>578</v>
      </c>
      <c r="I264" s="12" t="s">
        <v>578</v>
      </c>
      <c r="J264" s="12" t="s">
        <v>578</v>
      </c>
      <c r="K264" s="12" t="s">
        <v>578</v>
      </c>
      <c r="L264" s="12" t="s">
        <v>578</v>
      </c>
      <c r="M264" s="12" t="s">
        <v>578</v>
      </c>
      <c r="N264" s="12" t="s">
        <v>578</v>
      </c>
      <c r="O264" s="12" t="s">
        <v>578</v>
      </c>
      <c r="P264" s="12" t="s">
        <v>578</v>
      </c>
      <c r="Q264" s="12" t="s">
        <v>578</v>
      </c>
      <c r="R264" s="12" t="s">
        <v>578</v>
      </c>
      <c r="S264" s="12" t="s">
        <v>578</v>
      </c>
      <c r="T264" s="12" t="s">
        <v>578</v>
      </c>
      <c r="U264" s="12" t="s">
        <v>578</v>
      </c>
      <c r="V264" s="12" t="s">
        <v>578</v>
      </c>
      <c r="W264" s="12" t="s">
        <v>578</v>
      </c>
      <c r="X264" s="12" t="s">
        <v>578</v>
      </c>
      <c r="Y264" s="12" t="s">
        <v>578</v>
      </c>
      <c r="Z264" s="12" t="s">
        <v>578</v>
      </c>
      <c r="AA264" s="12" t="s">
        <v>578</v>
      </c>
      <c r="AB264" s="12" t="s">
        <v>578</v>
      </c>
      <c r="AC264" s="12" t="s">
        <v>578</v>
      </c>
      <c r="AD264" s="12" t="s">
        <v>578</v>
      </c>
      <c r="AE264" s="12" t="s">
        <v>578</v>
      </c>
      <c r="AF264" s="12" t="s">
        <v>578</v>
      </c>
      <c r="AG264" s="12" t="s">
        <v>578</v>
      </c>
      <c r="AH264" s="12" t="s">
        <v>578</v>
      </c>
      <c r="AI264" s="12" t="s">
        <v>578</v>
      </c>
      <c r="AJ264" s="12" t="s">
        <v>578</v>
      </c>
      <c r="AK264" s="12" t="s">
        <v>578</v>
      </c>
      <c r="AL264" s="12" t="s">
        <v>578</v>
      </c>
      <c r="AM264" s="12" t="s">
        <v>578</v>
      </c>
      <c r="AN264" s="12" t="s">
        <v>578</v>
      </c>
      <c r="AO264" s="12" t="s">
        <v>578</v>
      </c>
      <c r="AP264" s="12" t="s">
        <v>578</v>
      </c>
      <c r="AQ264" s="12" t="s">
        <v>578</v>
      </c>
      <c r="AR264" s="12" t="s">
        <v>578</v>
      </c>
      <c r="AS264" s="12" t="s">
        <v>578</v>
      </c>
      <c r="AT264" s="12" t="s">
        <v>578</v>
      </c>
      <c r="AU264" s="12" t="s">
        <v>578</v>
      </c>
      <c r="AV264" s="12" t="s">
        <v>578</v>
      </c>
      <c r="AW264" s="12" t="s">
        <v>578</v>
      </c>
      <c r="AX264" s="12" t="s">
        <v>578</v>
      </c>
      <c r="AY264" s="12" t="s">
        <v>578</v>
      </c>
      <c r="AZ264" s="12" t="s">
        <v>578</v>
      </c>
      <c r="BA264" s="12" t="s">
        <v>578</v>
      </c>
      <c r="BB264" s="12" t="s">
        <v>578</v>
      </c>
      <c r="BC264" s="12" t="s">
        <v>578</v>
      </c>
      <c r="BD264" s="12" t="s">
        <v>578</v>
      </c>
      <c r="BE264" s="12" t="s">
        <v>578</v>
      </c>
      <c r="BF264" s="12" t="s">
        <v>578</v>
      </c>
      <c r="BG264" s="12" t="s">
        <v>578</v>
      </c>
      <c r="BH264" s="12" t="s">
        <v>578</v>
      </c>
      <c r="BI264" s="12" t="s">
        <v>578</v>
      </c>
      <c r="BJ264" s="12" t="s">
        <v>578</v>
      </c>
      <c r="BK264" s="12" t="s">
        <v>578</v>
      </c>
      <c r="BL264" s="12" t="s">
        <v>578</v>
      </c>
      <c r="BM264" s="12" t="s">
        <v>578</v>
      </c>
      <c r="BN264" s="12" t="s">
        <v>578</v>
      </c>
      <c r="BO264" s="12" t="s">
        <v>578</v>
      </c>
      <c r="BP264" s="12" t="s">
        <v>578</v>
      </c>
      <c r="BQ264" s="12" t="s">
        <v>578</v>
      </c>
      <c r="BR264" s="12" t="s">
        <v>578</v>
      </c>
      <c r="BS264" s="12" t="s">
        <v>578</v>
      </c>
      <c r="BT264" s="12" t="s">
        <v>578</v>
      </c>
      <c r="BU264" s="12" t="s">
        <v>578</v>
      </c>
      <c r="BV264" s="12" t="s">
        <v>578</v>
      </c>
      <c r="BW264" s="12" t="s">
        <v>578</v>
      </c>
      <c r="BX264" s="12" t="s">
        <v>578</v>
      </c>
      <c r="BY264" s="12" t="s">
        <v>578</v>
      </c>
      <c r="BZ264" s="12" t="s">
        <v>578</v>
      </c>
      <c r="CA264" s="12" t="s">
        <v>580</v>
      </c>
      <c r="CB264" s="12" t="s">
        <v>580</v>
      </c>
      <c r="CC264" s="12" t="s">
        <v>580</v>
      </c>
      <c r="CD264" s="12" t="s">
        <v>580</v>
      </c>
      <c r="CE264" s="12" t="s">
        <v>580</v>
      </c>
      <c r="CF264" s="12" t="s">
        <v>580</v>
      </c>
      <c r="CG264" s="12" t="s">
        <v>580</v>
      </c>
      <c r="CH264" s="12" t="s">
        <v>851</v>
      </c>
      <c r="CI264" s="12" t="s">
        <v>851</v>
      </c>
      <c r="CJ264" s="12" t="s">
        <v>851</v>
      </c>
      <c r="CK264" s="12" t="s">
        <v>851</v>
      </c>
      <c r="CL264" s="12" t="s">
        <v>851</v>
      </c>
      <c r="CM264" s="12" t="s">
        <v>851</v>
      </c>
      <c r="CN264" s="12" t="s">
        <v>851</v>
      </c>
      <c r="CO264" s="12" t="s">
        <v>851</v>
      </c>
      <c r="CP264" s="12" t="s">
        <v>851</v>
      </c>
      <c r="CQ264" s="12" t="s">
        <v>851</v>
      </c>
      <c r="CR264" s="12" t="s">
        <v>851</v>
      </c>
      <c r="CS264" s="12" t="s">
        <v>851</v>
      </c>
      <c r="CT264" s="12" t="s">
        <v>851</v>
      </c>
    </row>
    <row r="265" spans="1:98" hidden="1" x14ac:dyDescent="0.3">
      <c r="A265" s="12" t="s">
        <v>25</v>
      </c>
      <c r="B265" s="12" t="s">
        <v>4308</v>
      </c>
      <c r="C265" s="12" t="s">
        <v>4309</v>
      </c>
      <c r="D265" s="12" t="s">
        <v>4310</v>
      </c>
      <c r="E265" s="12" t="s">
        <v>578</v>
      </c>
      <c r="F265" s="12" t="s">
        <v>578</v>
      </c>
      <c r="G265" s="12" t="s">
        <v>578</v>
      </c>
      <c r="H265" s="12" t="s">
        <v>578</v>
      </c>
      <c r="I265" s="12" t="s">
        <v>578</v>
      </c>
      <c r="J265" s="12" t="s">
        <v>578</v>
      </c>
      <c r="K265" s="12" t="s">
        <v>578</v>
      </c>
      <c r="L265" s="12" t="s">
        <v>578</v>
      </c>
      <c r="M265" s="12" t="s">
        <v>578</v>
      </c>
      <c r="N265" s="12" t="s">
        <v>578</v>
      </c>
      <c r="O265" s="12" t="s">
        <v>578</v>
      </c>
      <c r="P265" s="12" t="s">
        <v>578</v>
      </c>
      <c r="Q265" s="12" t="s">
        <v>578</v>
      </c>
      <c r="R265" s="12" t="s">
        <v>578</v>
      </c>
      <c r="S265" s="12" t="s">
        <v>578</v>
      </c>
      <c r="T265" s="12" t="s">
        <v>578</v>
      </c>
      <c r="U265" s="12" t="s">
        <v>578</v>
      </c>
      <c r="V265" s="12" t="s">
        <v>578</v>
      </c>
      <c r="W265" s="12" t="s">
        <v>578</v>
      </c>
      <c r="X265" s="12" t="s">
        <v>578</v>
      </c>
      <c r="Y265" s="12" t="s">
        <v>578</v>
      </c>
      <c r="Z265" s="12" t="s">
        <v>578</v>
      </c>
      <c r="AA265" s="12" t="s">
        <v>578</v>
      </c>
      <c r="AB265" s="12" t="s">
        <v>578</v>
      </c>
      <c r="AC265" s="12" t="s">
        <v>578</v>
      </c>
      <c r="AD265" s="12" t="s">
        <v>578</v>
      </c>
      <c r="AE265" s="12" t="s">
        <v>578</v>
      </c>
      <c r="AF265" s="12" t="s">
        <v>578</v>
      </c>
      <c r="AG265" s="12" t="s">
        <v>578</v>
      </c>
      <c r="AH265" s="12" t="s">
        <v>578</v>
      </c>
      <c r="AI265" s="12" t="s">
        <v>578</v>
      </c>
      <c r="AJ265" s="12" t="s">
        <v>578</v>
      </c>
      <c r="AK265" s="12" t="s">
        <v>578</v>
      </c>
      <c r="AL265" s="12" t="s">
        <v>578</v>
      </c>
      <c r="AM265" s="12" t="s">
        <v>578</v>
      </c>
      <c r="AN265" s="12" t="s">
        <v>578</v>
      </c>
      <c r="AO265" s="12" t="s">
        <v>578</v>
      </c>
      <c r="AP265" s="12" t="s">
        <v>578</v>
      </c>
      <c r="AQ265" s="12" t="s">
        <v>578</v>
      </c>
      <c r="AR265" s="12" t="s">
        <v>578</v>
      </c>
      <c r="AS265" s="12" t="s">
        <v>578</v>
      </c>
      <c r="AT265" s="12" t="s">
        <v>578</v>
      </c>
      <c r="AU265" s="12" t="s">
        <v>578</v>
      </c>
      <c r="AV265" s="12" t="s">
        <v>578</v>
      </c>
      <c r="AW265" s="12" t="s">
        <v>578</v>
      </c>
      <c r="AX265" s="12" t="s">
        <v>578</v>
      </c>
      <c r="AY265" s="12" t="s">
        <v>578</v>
      </c>
      <c r="AZ265" s="12" t="s">
        <v>578</v>
      </c>
      <c r="BA265" s="12" t="s">
        <v>578</v>
      </c>
      <c r="BB265" s="12" t="s">
        <v>578</v>
      </c>
      <c r="BC265" s="12" t="s">
        <v>578</v>
      </c>
      <c r="BD265" s="12" t="s">
        <v>578</v>
      </c>
      <c r="BE265" s="12" t="s">
        <v>578</v>
      </c>
      <c r="BF265" s="12" t="s">
        <v>578</v>
      </c>
      <c r="BG265" s="12" t="s">
        <v>578</v>
      </c>
      <c r="BH265" s="12" t="s">
        <v>578</v>
      </c>
      <c r="BI265" s="12" t="s">
        <v>578</v>
      </c>
      <c r="BJ265" s="12" t="s">
        <v>578</v>
      </c>
      <c r="BK265" s="12" t="s">
        <v>578</v>
      </c>
      <c r="BL265" s="12" t="s">
        <v>578</v>
      </c>
      <c r="BM265" s="12" t="s">
        <v>578</v>
      </c>
      <c r="BN265" s="12" t="s">
        <v>578</v>
      </c>
      <c r="BO265" s="12" t="s">
        <v>578</v>
      </c>
      <c r="BP265" s="12" t="s">
        <v>578</v>
      </c>
      <c r="BQ265" s="12" t="s">
        <v>578</v>
      </c>
      <c r="BR265" s="12" t="s">
        <v>578</v>
      </c>
      <c r="BS265" s="12" t="s">
        <v>578</v>
      </c>
      <c r="BT265" s="12" t="s">
        <v>578</v>
      </c>
      <c r="BU265" s="12" t="s">
        <v>578</v>
      </c>
      <c r="BV265" s="12" t="s">
        <v>578</v>
      </c>
      <c r="BW265" s="12" t="s">
        <v>578</v>
      </c>
      <c r="BX265" s="12" t="s">
        <v>578</v>
      </c>
      <c r="BY265" s="12" t="s">
        <v>578</v>
      </c>
      <c r="BZ265" s="12" t="s">
        <v>578</v>
      </c>
      <c r="CA265" s="12" t="s">
        <v>578</v>
      </c>
      <c r="CB265" s="12" t="s">
        <v>580</v>
      </c>
      <c r="CC265" s="12" t="s">
        <v>580</v>
      </c>
      <c r="CD265" s="12" t="s">
        <v>580</v>
      </c>
      <c r="CE265" s="12" t="s">
        <v>580</v>
      </c>
      <c r="CF265" s="12" t="s">
        <v>580</v>
      </c>
      <c r="CG265" s="12" t="s">
        <v>580</v>
      </c>
      <c r="CH265" s="12" t="s">
        <v>580</v>
      </c>
      <c r="CI265" s="12" t="s">
        <v>580</v>
      </c>
      <c r="CJ265" s="12" t="s">
        <v>580</v>
      </c>
      <c r="CK265" s="12" t="s">
        <v>580</v>
      </c>
      <c r="CL265" s="12" t="s">
        <v>580</v>
      </c>
      <c r="CM265" s="12" t="s">
        <v>580</v>
      </c>
      <c r="CN265" s="12" t="s">
        <v>580</v>
      </c>
      <c r="CO265" s="12" t="s">
        <v>580</v>
      </c>
      <c r="CP265" s="12" t="s">
        <v>580</v>
      </c>
      <c r="CQ265" s="12" t="s">
        <v>580</v>
      </c>
      <c r="CR265" s="12" t="s">
        <v>580</v>
      </c>
      <c r="CS265" s="12" t="s">
        <v>580</v>
      </c>
      <c r="CT265" s="12" t="s">
        <v>580</v>
      </c>
    </row>
    <row r="266" spans="1:98" hidden="1" x14ac:dyDescent="0.3">
      <c r="A266" s="12" t="s">
        <v>25</v>
      </c>
      <c r="B266" s="12" t="s">
        <v>4311</v>
      </c>
      <c r="C266" s="12" t="s">
        <v>4312</v>
      </c>
      <c r="D266" s="12" t="s">
        <v>4313</v>
      </c>
      <c r="E266" s="12" t="s">
        <v>578</v>
      </c>
      <c r="F266" s="12" t="s">
        <v>578</v>
      </c>
      <c r="G266" s="12" t="s">
        <v>578</v>
      </c>
      <c r="H266" s="12" t="s">
        <v>578</v>
      </c>
      <c r="I266" s="12" t="s">
        <v>578</v>
      </c>
      <c r="J266" s="12" t="s">
        <v>578</v>
      </c>
      <c r="K266" s="12" t="s">
        <v>578</v>
      </c>
      <c r="L266" s="12" t="s">
        <v>578</v>
      </c>
      <c r="M266" s="12" t="s">
        <v>578</v>
      </c>
      <c r="N266" s="12" t="s">
        <v>578</v>
      </c>
      <c r="O266" s="12" t="s">
        <v>578</v>
      </c>
      <c r="P266" s="12" t="s">
        <v>578</v>
      </c>
      <c r="Q266" s="12" t="s">
        <v>578</v>
      </c>
      <c r="R266" s="12" t="s">
        <v>578</v>
      </c>
      <c r="S266" s="12" t="s">
        <v>578</v>
      </c>
      <c r="T266" s="12" t="s">
        <v>578</v>
      </c>
      <c r="U266" s="12" t="s">
        <v>578</v>
      </c>
      <c r="V266" s="12" t="s">
        <v>578</v>
      </c>
      <c r="W266" s="12" t="s">
        <v>578</v>
      </c>
      <c r="X266" s="12" t="s">
        <v>578</v>
      </c>
      <c r="Y266" s="12" t="s">
        <v>578</v>
      </c>
      <c r="Z266" s="12" t="s">
        <v>578</v>
      </c>
      <c r="AA266" s="12" t="s">
        <v>578</v>
      </c>
      <c r="AB266" s="12" t="s">
        <v>578</v>
      </c>
      <c r="AC266" s="12" t="s">
        <v>578</v>
      </c>
      <c r="AD266" s="12" t="s">
        <v>578</v>
      </c>
      <c r="AE266" s="12" t="s">
        <v>578</v>
      </c>
      <c r="AF266" s="12" t="s">
        <v>578</v>
      </c>
      <c r="AG266" s="12" t="s">
        <v>578</v>
      </c>
      <c r="AH266" s="12" t="s">
        <v>578</v>
      </c>
      <c r="AI266" s="12" t="s">
        <v>578</v>
      </c>
      <c r="AJ266" s="12" t="s">
        <v>578</v>
      </c>
      <c r="AK266" s="12" t="s">
        <v>578</v>
      </c>
      <c r="AL266" s="12" t="s">
        <v>578</v>
      </c>
      <c r="AM266" s="12" t="s">
        <v>578</v>
      </c>
      <c r="AN266" s="12" t="s">
        <v>578</v>
      </c>
      <c r="AO266" s="12" t="s">
        <v>578</v>
      </c>
      <c r="AP266" s="12" t="s">
        <v>578</v>
      </c>
      <c r="AQ266" s="12" t="s">
        <v>578</v>
      </c>
      <c r="AR266" s="12" t="s">
        <v>578</v>
      </c>
      <c r="AS266" s="12" t="s">
        <v>578</v>
      </c>
      <c r="AT266" s="12" t="s">
        <v>578</v>
      </c>
      <c r="AU266" s="12" t="s">
        <v>578</v>
      </c>
      <c r="AV266" s="12" t="s">
        <v>578</v>
      </c>
      <c r="AW266" s="12" t="s">
        <v>578</v>
      </c>
      <c r="AX266" s="12" t="s">
        <v>578</v>
      </c>
      <c r="AY266" s="12" t="s">
        <v>578</v>
      </c>
      <c r="AZ266" s="12" t="s">
        <v>578</v>
      </c>
      <c r="BA266" s="12" t="s">
        <v>578</v>
      </c>
      <c r="BB266" s="12" t="s">
        <v>578</v>
      </c>
      <c r="BC266" s="12" t="s">
        <v>578</v>
      </c>
      <c r="BD266" s="12" t="s">
        <v>578</v>
      </c>
      <c r="BE266" s="12" t="s">
        <v>578</v>
      </c>
      <c r="BF266" s="12" t="s">
        <v>578</v>
      </c>
      <c r="BG266" s="12" t="s">
        <v>578</v>
      </c>
      <c r="BH266" s="12" t="s">
        <v>578</v>
      </c>
      <c r="BI266" s="12" t="s">
        <v>578</v>
      </c>
      <c r="BJ266" s="12" t="s">
        <v>578</v>
      </c>
      <c r="BK266" s="12" t="s">
        <v>578</v>
      </c>
      <c r="BL266" s="12" t="s">
        <v>578</v>
      </c>
      <c r="BM266" s="12" t="s">
        <v>578</v>
      </c>
      <c r="BN266" s="12" t="s">
        <v>578</v>
      </c>
      <c r="BO266" s="12" t="s">
        <v>578</v>
      </c>
      <c r="BP266" s="12" t="s">
        <v>578</v>
      </c>
      <c r="BQ266" s="12" t="s">
        <v>578</v>
      </c>
      <c r="BR266" s="12" t="s">
        <v>578</v>
      </c>
      <c r="BS266" s="12" t="s">
        <v>578</v>
      </c>
      <c r="BT266" s="12" t="s">
        <v>578</v>
      </c>
      <c r="BU266" s="12" t="s">
        <v>578</v>
      </c>
      <c r="BV266" s="12" t="s">
        <v>578</v>
      </c>
      <c r="BW266" s="12" t="s">
        <v>578</v>
      </c>
      <c r="BX266" s="12" t="s">
        <v>578</v>
      </c>
      <c r="BY266" s="12" t="s">
        <v>578</v>
      </c>
      <c r="BZ266" s="12" t="s">
        <v>578</v>
      </c>
      <c r="CA266" s="12" t="s">
        <v>578</v>
      </c>
      <c r="CB266" s="12" t="s">
        <v>578</v>
      </c>
      <c r="CC266" s="12" t="s">
        <v>578</v>
      </c>
      <c r="CD266" s="12" t="s">
        <v>578</v>
      </c>
      <c r="CE266" s="12" t="s">
        <v>578</v>
      </c>
      <c r="CF266" s="12" t="s">
        <v>579</v>
      </c>
      <c r="CG266" s="12" t="s">
        <v>579</v>
      </c>
      <c r="CH266" s="12" t="s">
        <v>579</v>
      </c>
      <c r="CI266" s="12" t="s">
        <v>579</v>
      </c>
      <c r="CJ266" s="12" t="s">
        <v>579</v>
      </c>
      <c r="CK266" s="12" t="s">
        <v>579</v>
      </c>
      <c r="CL266" s="12" t="s">
        <v>579</v>
      </c>
      <c r="CM266" s="12" t="s">
        <v>579</v>
      </c>
      <c r="CN266" s="12" t="s">
        <v>579</v>
      </c>
      <c r="CO266" s="12" t="s">
        <v>579</v>
      </c>
      <c r="CP266" s="12" t="s">
        <v>579</v>
      </c>
      <c r="CQ266" s="12" t="s">
        <v>579</v>
      </c>
      <c r="CR266" s="12" t="s">
        <v>579</v>
      </c>
      <c r="CS266" s="12" t="s">
        <v>579</v>
      </c>
      <c r="CT266" s="12" t="s">
        <v>579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103"/>
  <sheetViews>
    <sheetView topLeftCell="G88" zoomScale="130" zoomScaleNormal="130" workbookViewId="0">
      <selection activeCell="J89" sqref="J89:K89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90</v>
      </c>
      <c r="H1" t="s">
        <v>91</v>
      </c>
      <c r="I1" t="s">
        <v>92</v>
      </c>
      <c r="J1" t="s">
        <v>18</v>
      </c>
      <c r="K1" t="s">
        <v>19</v>
      </c>
      <c r="L1" t="s">
        <v>20</v>
      </c>
      <c r="M1" t="s">
        <v>21</v>
      </c>
      <c r="N1" t="s">
        <v>194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82">
        <v>101</v>
      </c>
      <c r="D2" s="82">
        <v>26</v>
      </c>
      <c r="E2" s="82">
        <v>127</v>
      </c>
      <c r="F2" s="82">
        <v>94</v>
      </c>
      <c r="G2" s="82">
        <v>221</v>
      </c>
      <c r="H2" s="82">
        <v>0</v>
      </c>
      <c r="I2" s="82">
        <v>221</v>
      </c>
      <c r="J2" s="82">
        <v>1</v>
      </c>
      <c r="K2" s="82">
        <v>7</v>
      </c>
      <c r="L2" s="82">
        <v>229</v>
      </c>
      <c r="M2" s="82">
        <v>4324</v>
      </c>
      <c r="N2" s="82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82">
        <v>114</v>
      </c>
      <c r="D3" s="82">
        <v>35</v>
      </c>
      <c r="E3" s="82">
        <v>150</v>
      </c>
      <c r="F3" s="82">
        <v>162</v>
      </c>
      <c r="G3" s="82">
        <v>311</v>
      </c>
      <c r="H3" s="82">
        <v>90</v>
      </c>
      <c r="I3" s="82">
        <v>93</v>
      </c>
      <c r="J3" s="82">
        <v>1</v>
      </c>
      <c r="K3" s="82">
        <v>10</v>
      </c>
      <c r="L3" s="82">
        <v>322</v>
      </c>
      <c r="M3" s="82">
        <v>8623</v>
      </c>
      <c r="N3" s="82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82">
        <v>128</v>
      </c>
      <c r="D4" s="82">
        <v>36</v>
      </c>
      <c r="E4" s="82">
        <v>164</v>
      </c>
      <c r="F4" s="82">
        <v>221</v>
      </c>
      <c r="G4" s="82">
        <v>385</v>
      </c>
      <c r="H4" s="82">
        <v>74</v>
      </c>
      <c r="I4" s="82">
        <v>78</v>
      </c>
      <c r="J4" s="82">
        <v>3</v>
      </c>
      <c r="K4" s="82">
        <v>12</v>
      </c>
      <c r="L4" s="82">
        <v>400</v>
      </c>
      <c r="M4" s="82">
        <v>9587</v>
      </c>
      <c r="N4" s="82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82">
        <v>248</v>
      </c>
      <c r="D5" s="82">
        <v>56</v>
      </c>
      <c r="E5" s="82">
        <v>304</v>
      </c>
      <c r="F5" s="82">
        <v>284</v>
      </c>
      <c r="G5" s="82">
        <v>588</v>
      </c>
      <c r="H5" s="82">
        <v>203</v>
      </c>
      <c r="I5" s="82">
        <v>250</v>
      </c>
      <c r="J5" s="82">
        <v>45</v>
      </c>
      <c r="K5" s="82">
        <v>17</v>
      </c>
      <c r="L5" s="82">
        <v>650</v>
      </c>
      <c r="M5" s="82">
        <v>12014</v>
      </c>
      <c r="N5" s="82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82">
        <v>345</v>
      </c>
      <c r="D6" s="82">
        <v>64</v>
      </c>
      <c r="E6" s="82">
        <v>409</v>
      </c>
      <c r="F6" s="82">
        <v>412</v>
      </c>
      <c r="G6" s="82">
        <v>821</v>
      </c>
      <c r="H6" s="82">
        <v>233</v>
      </c>
      <c r="I6" s="82">
        <v>238</v>
      </c>
      <c r="J6" s="82">
        <v>46</v>
      </c>
      <c r="K6" s="82">
        <v>21</v>
      </c>
      <c r="L6" s="82">
        <v>888</v>
      </c>
      <c r="M6" s="82">
        <v>15695</v>
      </c>
      <c r="N6" s="82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82">
        <v>401</v>
      </c>
      <c r="D7" s="82">
        <v>105</v>
      </c>
      <c r="E7" s="82">
        <v>506</v>
      </c>
      <c r="F7" s="82">
        <v>543</v>
      </c>
      <c r="G7" s="82">
        <v>1049</v>
      </c>
      <c r="H7" s="82">
        <v>228</v>
      </c>
      <c r="I7" s="82">
        <v>240</v>
      </c>
      <c r="J7" s="82">
        <v>50</v>
      </c>
      <c r="K7" s="82">
        <v>29</v>
      </c>
      <c r="L7" s="82">
        <v>1128</v>
      </c>
      <c r="M7" s="82">
        <v>18661</v>
      </c>
      <c r="N7" s="82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82">
        <v>639</v>
      </c>
      <c r="D8" s="82">
        <v>140</v>
      </c>
      <c r="E8" s="82">
        <v>779</v>
      </c>
      <c r="F8" s="82">
        <v>798</v>
      </c>
      <c r="G8" s="82">
        <v>1577</v>
      </c>
      <c r="H8" s="82">
        <v>528</v>
      </c>
      <c r="I8" s="82">
        <v>566</v>
      </c>
      <c r="J8" s="82">
        <v>83</v>
      </c>
      <c r="K8" s="82">
        <v>34</v>
      </c>
      <c r="L8" s="82">
        <v>1694</v>
      </c>
      <c r="M8" s="82">
        <v>21127</v>
      </c>
      <c r="N8" s="82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82">
        <v>742</v>
      </c>
      <c r="D9" s="82">
        <v>166</v>
      </c>
      <c r="E9" s="82">
        <v>908</v>
      </c>
      <c r="F9" s="82">
        <v>927</v>
      </c>
      <c r="G9" s="82">
        <v>1835</v>
      </c>
      <c r="H9" s="82">
        <v>258</v>
      </c>
      <c r="I9" s="82">
        <v>342</v>
      </c>
      <c r="J9" s="82">
        <v>149</v>
      </c>
      <c r="K9" s="82">
        <v>52</v>
      </c>
      <c r="L9" s="82">
        <v>2036</v>
      </c>
      <c r="M9" s="82">
        <v>23345</v>
      </c>
      <c r="N9" s="82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82">
        <v>1034</v>
      </c>
      <c r="D10" s="82">
        <v>229</v>
      </c>
      <c r="E10" s="82">
        <v>1263</v>
      </c>
      <c r="F10" s="82">
        <v>1000</v>
      </c>
      <c r="G10" s="82">
        <v>2263</v>
      </c>
      <c r="H10" s="82">
        <v>428</v>
      </c>
      <c r="I10" s="82">
        <v>466</v>
      </c>
      <c r="J10" s="82">
        <v>160</v>
      </c>
      <c r="K10" s="82">
        <v>79</v>
      </c>
      <c r="L10" s="82">
        <v>2502</v>
      </c>
      <c r="M10" s="82">
        <v>25856</v>
      </c>
      <c r="N10" s="82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82">
        <v>1346</v>
      </c>
      <c r="D11" s="82">
        <v>295</v>
      </c>
      <c r="E11" s="82">
        <v>1641</v>
      </c>
      <c r="F11" s="82">
        <v>1065</v>
      </c>
      <c r="G11" s="82">
        <v>2706</v>
      </c>
      <c r="H11" s="82">
        <v>443</v>
      </c>
      <c r="I11" s="82">
        <v>587</v>
      </c>
      <c r="J11" s="82">
        <v>276</v>
      </c>
      <c r="K11" s="82">
        <v>107</v>
      </c>
      <c r="L11" s="82">
        <v>3089</v>
      </c>
      <c r="M11" s="82">
        <v>29837</v>
      </c>
      <c r="N11" s="82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82">
        <v>1790</v>
      </c>
      <c r="D12" s="82">
        <v>351</v>
      </c>
      <c r="E12" s="82">
        <v>2141</v>
      </c>
      <c r="F12" s="82">
        <v>1155</v>
      </c>
      <c r="G12" s="82">
        <v>3296</v>
      </c>
      <c r="H12" s="82">
        <v>590</v>
      </c>
      <c r="I12" s="82">
        <v>769</v>
      </c>
      <c r="J12" s="82">
        <v>414</v>
      </c>
      <c r="K12" s="82">
        <v>148</v>
      </c>
      <c r="L12" s="82">
        <v>3858</v>
      </c>
      <c r="M12" s="82">
        <v>32362</v>
      </c>
      <c r="N12" s="82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82">
        <v>2394</v>
      </c>
      <c r="D13" s="82">
        <v>462</v>
      </c>
      <c r="E13" s="82">
        <v>2856</v>
      </c>
      <c r="F13" s="82">
        <v>1060</v>
      </c>
      <c r="G13" s="82">
        <v>3916</v>
      </c>
      <c r="H13" s="82">
        <v>620</v>
      </c>
      <c r="I13" s="82">
        <v>778</v>
      </c>
      <c r="J13" s="82">
        <v>523</v>
      </c>
      <c r="K13" s="82">
        <v>197</v>
      </c>
      <c r="L13" s="82">
        <v>4636</v>
      </c>
      <c r="M13" s="82">
        <v>36359</v>
      </c>
      <c r="N13" s="82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82">
        <v>2651</v>
      </c>
      <c r="D14" s="82">
        <v>567</v>
      </c>
      <c r="E14" s="82">
        <v>3218</v>
      </c>
      <c r="F14" s="82">
        <v>1843</v>
      </c>
      <c r="G14" s="82">
        <v>5061</v>
      </c>
      <c r="H14" s="82">
        <v>1145</v>
      </c>
      <c r="I14" s="82">
        <v>1247</v>
      </c>
      <c r="J14" s="82">
        <v>589</v>
      </c>
      <c r="K14" s="82">
        <v>233</v>
      </c>
      <c r="L14" s="82">
        <v>5883</v>
      </c>
      <c r="M14" s="82">
        <v>42062</v>
      </c>
      <c r="N14" s="82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82">
        <v>3557</v>
      </c>
      <c r="D15" s="82">
        <v>650</v>
      </c>
      <c r="E15" s="82">
        <v>4207</v>
      </c>
      <c r="F15" s="82">
        <v>2180</v>
      </c>
      <c r="G15" s="82">
        <v>6387</v>
      </c>
      <c r="H15" s="82">
        <v>1326</v>
      </c>
      <c r="I15" s="82">
        <v>1492</v>
      </c>
      <c r="J15" s="82">
        <v>622</v>
      </c>
      <c r="K15" s="82">
        <v>366</v>
      </c>
      <c r="L15" s="82">
        <v>7375</v>
      </c>
      <c r="M15" s="82">
        <v>49937</v>
      </c>
      <c r="N15" s="82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82">
        <v>4316</v>
      </c>
      <c r="D16" s="82">
        <v>733</v>
      </c>
      <c r="E16" s="82">
        <v>5049</v>
      </c>
      <c r="F16" s="82">
        <v>2936</v>
      </c>
      <c r="G16" s="82">
        <v>7985</v>
      </c>
      <c r="H16" s="82">
        <v>1598</v>
      </c>
      <c r="I16" s="82">
        <v>1797</v>
      </c>
      <c r="J16" s="82">
        <v>724</v>
      </c>
      <c r="K16" s="82">
        <v>463</v>
      </c>
      <c r="L16" s="82">
        <v>9172</v>
      </c>
      <c r="M16" s="82">
        <v>53826</v>
      </c>
      <c r="N16" s="82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82">
        <v>5038</v>
      </c>
      <c r="D17" s="82">
        <v>877</v>
      </c>
      <c r="E17" s="82">
        <v>5915</v>
      </c>
      <c r="F17" s="82">
        <v>2599</v>
      </c>
      <c r="G17" s="82">
        <v>8514</v>
      </c>
      <c r="H17" s="82">
        <v>529</v>
      </c>
      <c r="I17" s="82">
        <v>977</v>
      </c>
      <c r="J17" s="82">
        <v>1004</v>
      </c>
      <c r="K17" s="82">
        <v>631</v>
      </c>
      <c r="L17" s="82">
        <v>10149</v>
      </c>
      <c r="M17" s="82">
        <v>60761</v>
      </c>
      <c r="N17" s="82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82">
        <v>5838</v>
      </c>
      <c r="D18" s="82">
        <v>1028</v>
      </c>
      <c r="E18" s="82">
        <v>6866</v>
      </c>
      <c r="F18" s="82">
        <v>3724</v>
      </c>
      <c r="G18" s="82">
        <v>10590</v>
      </c>
      <c r="H18" s="82">
        <v>2076</v>
      </c>
      <c r="I18" s="82">
        <v>2313</v>
      </c>
      <c r="J18" s="82">
        <v>1045</v>
      </c>
      <c r="K18" s="82">
        <v>827</v>
      </c>
      <c r="L18" s="82">
        <v>12462</v>
      </c>
      <c r="M18" s="82">
        <v>73154</v>
      </c>
      <c r="N18" s="82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82">
        <v>6650</v>
      </c>
      <c r="D19" s="82">
        <v>1153</v>
      </c>
      <c r="E19" s="82">
        <v>7803</v>
      </c>
      <c r="F19" s="82">
        <v>5036</v>
      </c>
      <c r="G19" s="82">
        <v>12839</v>
      </c>
      <c r="H19" s="82">
        <v>2249</v>
      </c>
      <c r="I19" s="82">
        <v>2651</v>
      </c>
      <c r="J19" s="82">
        <v>1258</v>
      </c>
      <c r="K19" s="82">
        <v>1016</v>
      </c>
      <c r="L19" s="82">
        <v>15113</v>
      </c>
      <c r="M19" s="82">
        <v>86011</v>
      </c>
      <c r="N19" s="82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82">
        <v>7426</v>
      </c>
      <c r="D20" s="82">
        <v>1328</v>
      </c>
      <c r="E20" s="82">
        <v>8754</v>
      </c>
      <c r="F20" s="82">
        <v>6201</v>
      </c>
      <c r="G20" s="82">
        <v>14955</v>
      </c>
      <c r="H20" s="82">
        <v>2116</v>
      </c>
      <c r="I20" s="82">
        <v>2547</v>
      </c>
      <c r="J20" s="82">
        <v>1439</v>
      </c>
      <c r="K20" s="82">
        <v>1266</v>
      </c>
      <c r="L20" s="82">
        <v>17660</v>
      </c>
      <c r="M20" s="82">
        <v>97488</v>
      </c>
      <c r="N20" s="82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82">
        <v>8372</v>
      </c>
      <c r="D21" s="82">
        <v>1518</v>
      </c>
      <c r="E21" s="82">
        <v>9890</v>
      </c>
      <c r="F21" s="82">
        <v>7860</v>
      </c>
      <c r="G21" s="82">
        <v>17750</v>
      </c>
      <c r="H21" s="82">
        <v>2795</v>
      </c>
      <c r="I21" s="82">
        <v>3497</v>
      </c>
      <c r="J21" s="82">
        <v>1966</v>
      </c>
      <c r="K21" s="82">
        <v>1441</v>
      </c>
      <c r="L21" s="82">
        <v>21157</v>
      </c>
      <c r="M21" s="82">
        <v>109170</v>
      </c>
      <c r="N21" s="82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82">
        <v>9663</v>
      </c>
      <c r="D22" s="82">
        <v>1672</v>
      </c>
      <c r="E22" s="82">
        <v>11335</v>
      </c>
      <c r="F22" s="82">
        <v>9268</v>
      </c>
      <c r="G22" s="82">
        <v>20603</v>
      </c>
      <c r="H22" s="82">
        <v>2853</v>
      </c>
      <c r="I22" s="82">
        <v>3590</v>
      </c>
      <c r="J22" s="82">
        <v>2335</v>
      </c>
      <c r="K22" s="82">
        <v>1809</v>
      </c>
      <c r="L22" s="82">
        <v>24747</v>
      </c>
      <c r="M22" s="82">
        <v>124899</v>
      </c>
      <c r="N22" s="82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82">
        <v>11025</v>
      </c>
      <c r="D23" s="82">
        <v>1851</v>
      </c>
      <c r="E23" s="82">
        <v>12876</v>
      </c>
      <c r="F23" s="82">
        <v>10197</v>
      </c>
      <c r="G23" s="82">
        <v>23073</v>
      </c>
      <c r="H23" s="82">
        <v>2470</v>
      </c>
      <c r="I23" s="82">
        <v>3233</v>
      </c>
      <c r="J23" s="82">
        <v>2749</v>
      </c>
      <c r="K23" s="82">
        <v>2158</v>
      </c>
      <c r="L23" s="82">
        <v>27980</v>
      </c>
      <c r="M23" s="82">
        <v>137962</v>
      </c>
      <c r="N23" s="82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82">
        <v>12894</v>
      </c>
      <c r="D24" s="82">
        <v>2060</v>
      </c>
      <c r="E24" s="82">
        <v>14954</v>
      </c>
      <c r="F24" s="82">
        <v>11108</v>
      </c>
      <c r="G24" s="82">
        <v>26062</v>
      </c>
      <c r="H24" s="82">
        <v>2989</v>
      </c>
      <c r="I24" s="82">
        <v>3526</v>
      </c>
      <c r="J24" s="82">
        <v>2941</v>
      </c>
      <c r="K24" s="82">
        <v>2503</v>
      </c>
      <c r="L24" s="82">
        <v>31506</v>
      </c>
      <c r="M24" s="82">
        <v>148657</v>
      </c>
      <c r="N24" s="82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82">
        <v>14363</v>
      </c>
      <c r="D25" s="82">
        <v>2257</v>
      </c>
      <c r="E25" s="82">
        <v>16620</v>
      </c>
      <c r="F25" s="82">
        <v>12090</v>
      </c>
      <c r="G25" s="82">
        <v>28710</v>
      </c>
      <c r="H25" s="82">
        <v>2648</v>
      </c>
      <c r="I25" s="82">
        <v>4207</v>
      </c>
      <c r="J25" s="82">
        <v>4025</v>
      </c>
      <c r="K25" s="82">
        <v>2978</v>
      </c>
      <c r="L25" s="82">
        <v>35713</v>
      </c>
      <c r="M25" s="82">
        <v>165541</v>
      </c>
      <c r="N25" s="82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82">
        <v>15757</v>
      </c>
      <c r="D26" s="82">
        <v>2498</v>
      </c>
      <c r="E26" s="82">
        <v>18255</v>
      </c>
      <c r="F26" s="82">
        <v>14935</v>
      </c>
      <c r="G26" s="82">
        <v>33190</v>
      </c>
      <c r="H26" s="82">
        <v>4480</v>
      </c>
      <c r="I26" s="82">
        <v>5322</v>
      </c>
      <c r="J26" s="82">
        <v>4440</v>
      </c>
      <c r="K26" s="82">
        <v>3405</v>
      </c>
      <c r="L26" s="82">
        <v>41035</v>
      </c>
      <c r="M26" s="82">
        <v>182777</v>
      </c>
      <c r="N26" s="82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82">
        <v>16020</v>
      </c>
      <c r="D27" s="82">
        <v>2655</v>
      </c>
      <c r="E27" s="82">
        <v>18675</v>
      </c>
      <c r="F27" s="82">
        <v>19185</v>
      </c>
      <c r="G27" s="82">
        <v>37860</v>
      </c>
      <c r="H27" s="82">
        <v>4670</v>
      </c>
      <c r="I27" s="82">
        <v>5986</v>
      </c>
      <c r="J27" s="82">
        <v>5129</v>
      </c>
      <c r="K27" s="82">
        <v>4032</v>
      </c>
      <c r="L27" s="82">
        <v>47021</v>
      </c>
      <c r="M27" s="82">
        <v>206886</v>
      </c>
      <c r="N27" s="82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82">
        <v>17708</v>
      </c>
      <c r="D28" s="82">
        <v>2857</v>
      </c>
      <c r="E28" s="82">
        <v>20565</v>
      </c>
      <c r="F28" s="82">
        <v>22116</v>
      </c>
      <c r="G28" s="82">
        <v>42681</v>
      </c>
      <c r="H28" s="82">
        <v>4821</v>
      </c>
      <c r="I28" s="82">
        <v>6557</v>
      </c>
      <c r="J28" s="82">
        <v>6072</v>
      </c>
      <c r="K28" s="82">
        <v>4825</v>
      </c>
      <c r="L28" s="82">
        <v>53578</v>
      </c>
      <c r="M28" s="82">
        <v>233222</v>
      </c>
      <c r="N28" s="82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82">
        <v>19846</v>
      </c>
      <c r="D29" s="82">
        <v>3009</v>
      </c>
      <c r="E29" s="82">
        <v>22855</v>
      </c>
      <c r="F29" s="82">
        <v>23783</v>
      </c>
      <c r="G29" s="82">
        <v>46638</v>
      </c>
      <c r="H29" s="82">
        <v>3957</v>
      </c>
      <c r="I29" s="82">
        <v>5560</v>
      </c>
      <c r="J29" s="82">
        <v>7024</v>
      </c>
      <c r="K29" s="82">
        <v>5476</v>
      </c>
      <c r="L29" s="82">
        <v>59138</v>
      </c>
      <c r="M29" s="82">
        <v>258402</v>
      </c>
      <c r="N29" s="82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82">
        <v>20692</v>
      </c>
      <c r="D30" s="82">
        <v>3204</v>
      </c>
      <c r="E30" s="82">
        <v>23896</v>
      </c>
      <c r="F30" s="82">
        <v>26522</v>
      </c>
      <c r="G30" s="82">
        <v>50418</v>
      </c>
      <c r="H30" s="82">
        <v>3780</v>
      </c>
      <c r="I30" s="82">
        <v>4789</v>
      </c>
      <c r="J30" s="82">
        <v>7432</v>
      </c>
      <c r="K30" s="82">
        <v>6077</v>
      </c>
      <c r="L30" s="82">
        <v>63927</v>
      </c>
      <c r="M30" s="82">
        <v>275468</v>
      </c>
      <c r="N30" s="82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82">
        <v>21937</v>
      </c>
      <c r="D31" s="82">
        <v>3396</v>
      </c>
      <c r="E31" s="82">
        <v>25333</v>
      </c>
      <c r="F31" s="82">
        <v>28697</v>
      </c>
      <c r="G31" s="82">
        <v>54030</v>
      </c>
      <c r="H31" s="82">
        <v>3612</v>
      </c>
      <c r="I31" s="82">
        <v>5249</v>
      </c>
      <c r="J31" s="82">
        <v>8326</v>
      </c>
      <c r="K31" s="82">
        <v>6820</v>
      </c>
      <c r="L31" s="82">
        <v>69176</v>
      </c>
      <c r="M31" s="82">
        <v>296964</v>
      </c>
      <c r="N31" s="82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82">
        <v>23112</v>
      </c>
      <c r="D32" s="82">
        <v>3489</v>
      </c>
      <c r="E32" s="82">
        <v>26601</v>
      </c>
      <c r="F32" s="82">
        <v>30920</v>
      </c>
      <c r="G32" s="82">
        <v>57521</v>
      </c>
      <c r="H32" s="82">
        <v>3491</v>
      </c>
      <c r="I32" s="82">
        <v>5210</v>
      </c>
      <c r="J32" s="82">
        <v>9362</v>
      </c>
      <c r="K32" s="82">
        <v>7503</v>
      </c>
      <c r="L32" s="82">
        <v>74386</v>
      </c>
      <c r="M32" s="82">
        <v>324445</v>
      </c>
      <c r="N32" s="82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82">
        <v>24753</v>
      </c>
      <c r="D33" s="82">
        <v>3612</v>
      </c>
      <c r="E33" s="82">
        <v>28365</v>
      </c>
      <c r="F33" s="82">
        <v>33648</v>
      </c>
      <c r="G33" s="82">
        <v>62013</v>
      </c>
      <c r="H33" s="82">
        <v>4492</v>
      </c>
      <c r="I33" s="82">
        <v>6153</v>
      </c>
      <c r="J33" s="82">
        <v>10361</v>
      </c>
      <c r="K33" s="82">
        <v>8165</v>
      </c>
      <c r="L33" s="82">
        <v>80539</v>
      </c>
      <c r="M33" s="82">
        <v>361060</v>
      </c>
      <c r="N33" s="82"/>
      <c r="O33" s="12" t="s">
        <v>86</v>
      </c>
      <c r="P33" s="12" t="s">
        <v>87</v>
      </c>
    </row>
    <row r="34" spans="1:16" x14ac:dyDescent="0.3">
      <c r="A34" s="13">
        <v>43917.708333333336</v>
      </c>
      <c r="B34" s="12" t="s">
        <v>22</v>
      </c>
      <c r="C34" s="82">
        <v>26029</v>
      </c>
      <c r="D34" s="82">
        <v>3732</v>
      </c>
      <c r="E34" s="82">
        <v>29761</v>
      </c>
      <c r="F34" s="82">
        <v>36653</v>
      </c>
      <c r="G34" s="82">
        <v>66414</v>
      </c>
      <c r="H34" s="82">
        <v>4401</v>
      </c>
      <c r="I34" s="82">
        <v>5959</v>
      </c>
      <c r="J34" s="82">
        <v>10950</v>
      </c>
      <c r="K34" s="82">
        <v>9134</v>
      </c>
      <c r="L34" s="82">
        <v>86498</v>
      </c>
      <c r="M34" s="82">
        <v>394079</v>
      </c>
      <c r="N34" s="82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82">
        <v>26676</v>
      </c>
      <c r="D35" s="82">
        <v>3856</v>
      </c>
      <c r="E35" s="82">
        <v>30532</v>
      </c>
      <c r="F35" s="82">
        <v>39533</v>
      </c>
      <c r="G35" s="82">
        <v>70065</v>
      </c>
      <c r="H35" s="82">
        <v>3651</v>
      </c>
      <c r="I35" s="82">
        <v>5974</v>
      </c>
      <c r="J35" s="82">
        <v>12384</v>
      </c>
      <c r="K35" s="82">
        <v>10023</v>
      </c>
      <c r="L35" s="82">
        <v>92472</v>
      </c>
      <c r="M35" s="82">
        <v>429526</v>
      </c>
      <c r="N35" s="82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82">
        <v>27386</v>
      </c>
      <c r="D36" s="82">
        <v>3906</v>
      </c>
      <c r="E36" s="82">
        <v>31292</v>
      </c>
      <c r="F36" s="82">
        <v>42588</v>
      </c>
      <c r="G36" s="82">
        <v>73880</v>
      </c>
      <c r="H36" s="82">
        <v>3815</v>
      </c>
      <c r="I36" s="82">
        <v>5217</v>
      </c>
      <c r="J36" s="82">
        <v>13030</v>
      </c>
      <c r="K36" s="82">
        <v>10779</v>
      </c>
      <c r="L36" s="82">
        <v>97689</v>
      </c>
      <c r="M36" s="82">
        <v>454030</v>
      </c>
      <c r="N36" s="82"/>
      <c r="O36" s="12" t="s">
        <v>93</v>
      </c>
      <c r="P36" s="12" t="s">
        <v>94</v>
      </c>
    </row>
    <row r="37" spans="1:16" x14ac:dyDescent="0.3">
      <c r="A37" s="13">
        <v>43920.708333333336</v>
      </c>
      <c r="B37" s="12" t="s">
        <v>22</v>
      </c>
      <c r="C37" s="82">
        <v>27795</v>
      </c>
      <c r="D37" s="82">
        <v>3981</v>
      </c>
      <c r="E37" s="82">
        <v>31776</v>
      </c>
      <c r="F37" s="82">
        <v>43752</v>
      </c>
      <c r="G37" s="82">
        <v>75528</v>
      </c>
      <c r="H37" s="82">
        <v>1648</v>
      </c>
      <c r="I37" s="82">
        <v>4050</v>
      </c>
      <c r="J37" s="82">
        <v>14620</v>
      </c>
      <c r="K37" s="82">
        <v>11591</v>
      </c>
      <c r="L37" s="82">
        <v>101739</v>
      </c>
      <c r="M37" s="82">
        <v>477359</v>
      </c>
      <c r="N37" s="82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82">
        <v>28192</v>
      </c>
      <c r="D38" s="82">
        <v>4023</v>
      </c>
      <c r="E38" s="82">
        <v>32215</v>
      </c>
      <c r="F38" s="82">
        <v>45420</v>
      </c>
      <c r="G38" s="82">
        <v>77635</v>
      </c>
      <c r="H38" s="82">
        <v>2107</v>
      </c>
      <c r="I38" s="82">
        <v>4053</v>
      </c>
      <c r="J38" s="82">
        <v>15729</v>
      </c>
      <c r="K38" s="82">
        <v>12428</v>
      </c>
      <c r="L38" s="82">
        <v>105792</v>
      </c>
      <c r="M38" s="82">
        <v>506968</v>
      </c>
      <c r="N38" s="82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82">
        <v>28403</v>
      </c>
      <c r="D39" s="82">
        <v>4035</v>
      </c>
      <c r="E39" s="82">
        <v>32438</v>
      </c>
      <c r="F39" s="82">
        <v>48134</v>
      </c>
      <c r="G39" s="82">
        <v>80572</v>
      </c>
      <c r="H39" s="82">
        <v>2937</v>
      </c>
      <c r="I39" s="82">
        <v>4782</v>
      </c>
      <c r="J39" s="82">
        <v>16847</v>
      </c>
      <c r="K39" s="82">
        <v>13155</v>
      </c>
      <c r="L39" s="82">
        <v>110574</v>
      </c>
      <c r="M39" s="82">
        <v>541423</v>
      </c>
      <c r="N39" s="82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82">
        <v>28540</v>
      </c>
      <c r="D40" s="82">
        <v>4053</v>
      </c>
      <c r="E40" s="82">
        <v>32593</v>
      </c>
      <c r="F40" s="82">
        <v>50456</v>
      </c>
      <c r="G40" s="82">
        <v>83049</v>
      </c>
      <c r="H40" s="82">
        <v>2477</v>
      </c>
      <c r="I40" s="82">
        <v>4668</v>
      </c>
      <c r="J40" s="82">
        <v>18278</v>
      </c>
      <c r="K40" s="82">
        <v>13915</v>
      </c>
      <c r="L40" s="82">
        <v>115242</v>
      </c>
      <c r="M40" s="82">
        <v>581232</v>
      </c>
      <c r="N40" s="82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82">
        <v>28741</v>
      </c>
      <c r="D41" s="82">
        <v>4068</v>
      </c>
      <c r="E41" s="82">
        <v>32809</v>
      </c>
      <c r="F41" s="82">
        <v>52579</v>
      </c>
      <c r="G41" s="82">
        <v>85388</v>
      </c>
      <c r="H41" s="82">
        <v>2339</v>
      </c>
      <c r="I41" s="82">
        <v>4585</v>
      </c>
      <c r="J41" s="82">
        <v>19758</v>
      </c>
      <c r="K41" s="82">
        <v>14681</v>
      </c>
      <c r="L41" s="82">
        <v>119827</v>
      </c>
      <c r="M41" s="82">
        <v>619849</v>
      </c>
      <c r="N41" s="82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82">
        <v>29010</v>
      </c>
      <c r="D42" s="82">
        <v>3994</v>
      </c>
      <c r="E42" s="82">
        <v>33004</v>
      </c>
      <c r="F42" s="82">
        <v>55270</v>
      </c>
      <c r="G42" s="82">
        <v>88274</v>
      </c>
      <c r="H42" s="82">
        <v>2886</v>
      </c>
      <c r="I42" s="82">
        <v>4805</v>
      </c>
      <c r="J42" s="82">
        <v>20996</v>
      </c>
      <c r="K42" s="82">
        <v>15362</v>
      </c>
      <c r="L42" s="82">
        <v>124632</v>
      </c>
      <c r="M42" s="82">
        <v>657224</v>
      </c>
      <c r="N42" s="82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82">
        <v>28949</v>
      </c>
      <c r="D43" s="82">
        <v>3977</v>
      </c>
      <c r="E43" s="82">
        <v>32926</v>
      </c>
      <c r="F43" s="82">
        <v>58320</v>
      </c>
      <c r="G43" s="82">
        <v>91246</v>
      </c>
      <c r="H43" s="82">
        <v>2972</v>
      </c>
      <c r="I43" s="82">
        <v>4316</v>
      </c>
      <c r="J43" s="82">
        <v>21815</v>
      </c>
      <c r="K43" s="82">
        <v>15887</v>
      </c>
      <c r="L43" s="82">
        <v>128948</v>
      </c>
      <c r="M43" s="82">
        <v>691461</v>
      </c>
      <c r="N43" s="82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82">
        <v>28976</v>
      </c>
      <c r="D44" s="82">
        <v>3898</v>
      </c>
      <c r="E44" s="82">
        <v>32874</v>
      </c>
      <c r="F44" s="82">
        <v>60313</v>
      </c>
      <c r="G44" s="82">
        <v>93187</v>
      </c>
      <c r="H44" s="82">
        <v>1941</v>
      </c>
      <c r="I44" s="82">
        <v>3599</v>
      </c>
      <c r="J44" s="82">
        <v>22837</v>
      </c>
      <c r="K44" s="82">
        <v>16523</v>
      </c>
      <c r="L44" s="82">
        <v>132547</v>
      </c>
      <c r="M44" s="82">
        <v>721732</v>
      </c>
      <c r="N44" s="82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82">
        <v>28718</v>
      </c>
      <c r="D45" s="82">
        <v>3792</v>
      </c>
      <c r="E45" s="82">
        <v>32510</v>
      </c>
      <c r="F45" s="82">
        <v>61557</v>
      </c>
      <c r="G45" s="82">
        <v>94067</v>
      </c>
      <c r="H45" s="82">
        <v>880</v>
      </c>
      <c r="I45" s="82">
        <v>3039</v>
      </c>
      <c r="J45" s="82">
        <v>24392</v>
      </c>
      <c r="K45" s="82">
        <v>17127</v>
      </c>
      <c r="L45" s="82">
        <v>135586</v>
      </c>
      <c r="M45" s="82">
        <v>755445</v>
      </c>
      <c r="N45" s="82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82">
        <v>28485</v>
      </c>
      <c r="D46" s="82">
        <v>3693</v>
      </c>
      <c r="E46" s="82">
        <v>32178</v>
      </c>
      <c r="F46" s="82">
        <v>63084</v>
      </c>
      <c r="G46" s="82">
        <v>95262</v>
      </c>
      <c r="H46" s="82">
        <v>1195</v>
      </c>
      <c r="I46" s="82">
        <v>3836</v>
      </c>
      <c r="J46" s="82">
        <v>26491</v>
      </c>
      <c r="K46" s="82">
        <v>17669</v>
      </c>
      <c r="L46" s="82">
        <v>139422</v>
      </c>
      <c r="M46" s="82">
        <v>807125</v>
      </c>
      <c r="N46" s="82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82">
        <v>28399</v>
      </c>
      <c r="D47" s="82">
        <v>3605</v>
      </c>
      <c r="E47" s="82">
        <v>32004</v>
      </c>
      <c r="F47" s="82">
        <v>64873</v>
      </c>
      <c r="G47" s="82">
        <v>96877</v>
      </c>
      <c r="H47" s="82">
        <v>1615</v>
      </c>
      <c r="I47" s="82">
        <v>4204</v>
      </c>
      <c r="J47" s="82">
        <v>28470</v>
      </c>
      <c r="K47" s="82">
        <v>18279</v>
      </c>
      <c r="L47" s="82">
        <v>143626</v>
      </c>
      <c r="M47" s="82">
        <v>853369</v>
      </c>
      <c r="N47" s="82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82">
        <v>28242</v>
      </c>
      <c r="D48" s="82">
        <v>3497</v>
      </c>
      <c r="E48" s="82">
        <v>31739</v>
      </c>
      <c r="F48" s="82">
        <v>66534</v>
      </c>
      <c r="G48" s="82">
        <v>98273</v>
      </c>
      <c r="H48" s="82">
        <v>1396</v>
      </c>
      <c r="I48" s="82">
        <v>3951</v>
      </c>
      <c r="J48" s="82">
        <v>30455</v>
      </c>
      <c r="K48" s="82">
        <v>18849</v>
      </c>
      <c r="L48" s="82">
        <v>147577</v>
      </c>
      <c r="M48" s="82">
        <v>906864</v>
      </c>
      <c r="N48" s="82"/>
      <c r="O48" s="12" t="s">
        <v>107</v>
      </c>
      <c r="P48" s="12" t="s">
        <v>108</v>
      </c>
    </row>
    <row r="49" spans="1:16" x14ac:dyDescent="0.3">
      <c r="A49" s="13">
        <v>43932.708333333336</v>
      </c>
      <c r="B49" s="12" t="s">
        <v>22</v>
      </c>
      <c r="C49" s="82">
        <v>28144</v>
      </c>
      <c r="D49" s="82">
        <v>3381</v>
      </c>
      <c r="E49" s="82">
        <v>31525</v>
      </c>
      <c r="F49" s="82">
        <v>68744</v>
      </c>
      <c r="G49" s="82">
        <v>100269</v>
      </c>
      <c r="H49" s="82">
        <v>1996</v>
      </c>
      <c r="I49" s="82">
        <v>4694</v>
      </c>
      <c r="J49" s="82">
        <v>32534</v>
      </c>
      <c r="K49" s="82">
        <v>19468</v>
      </c>
      <c r="L49" s="82">
        <v>152271</v>
      </c>
      <c r="M49" s="82">
        <v>963473</v>
      </c>
      <c r="N49" s="82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82">
        <v>27847</v>
      </c>
      <c r="D50" s="82">
        <v>3343</v>
      </c>
      <c r="E50" s="82">
        <v>31190</v>
      </c>
      <c r="F50" s="82">
        <v>71063</v>
      </c>
      <c r="G50" s="82">
        <v>102253</v>
      </c>
      <c r="H50" s="82">
        <v>1984</v>
      </c>
      <c r="I50" s="82">
        <v>4092</v>
      </c>
      <c r="J50" s="82">
        <v>34211</v>
      </c>
      <c r="K50" s="82">
        <v>19899</v>
      </c>
      <c r="L50" s="82">
        <v>156363</v>
      </c>
      <c r="M50" s="82">
        <v>1010193</v>
      </c>
      <c r="N50" s="82"/>
      <c r="O50" s="12" t="s">
        <v>109</v>
      </c>
      <c r="P50" s="12" t="s">
        <v>110</v>
      </c>
    </row>
    <row r="51" spans="1:16" x14ac:dyDescent="0.3">
      <c r="A51" s="13">
        <v>43934.708333333336</v>
      </c>
      <c r="B51" s="12" t="s">
        <v>22</v>
      </c>
      <c r="C51" s="82">
        <v>28023</v>
      </c>
      <c r="D51" s="82">
        <v>3260</v>
      </c>
      <c r="E51" s="82">
        <v>31283</v>
      </c>
      <c r="F51" s="82">
        <v>72333</v>
      </c>
      <c r="G51" s="82">
        <v>103616</v>
      </c>
      <c r="H51" s="82">
        <v>1363</v>
      </c>
      <c r="I51" s="82">
        <v>3153</v>
      </c>
      <c r="J51" s="82">
        <v>35435</v>
      </c>
      <c r="K51" s="82">
        <v>20465</v>
      </c>
      <c r="L51" s="82">
        <v>159516</v>
      </c>
      <c r="M51" s="82">
        <v>1046910</v>
      </c>
      <c r="N51" s="82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82">
        <v>28011</v>
      </c>
      <c r="D52" s="82">
        <v>3186</v>
      </c>
      <c r="E52" s="82">
        <v>31197</v>
      </c>
      <c r="F52" s="82">
        <v>73094</v>
      </c>
      <c r="G52" s="82">
        <v>104291</v>
      </c>
      <c r="H52" s="82">
        <v>675</v>
      </c>
      <c r="I52" s="82">
        <v>2972</v>
      </c>
      <c r="J52" s="82">
        <v>37130</v>
      </c>
      <c r="K52" s="82">
        <v>21067</v>
      </c>
      <c r="L52" s="82">
        <v>162488</v>
      </c>
      <c r="M52" s="82">
        <v>1073689</v>
      </c>
      <c r="N52" s="82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82">
        <v>27643</v>
      </c>
      <c r="D53" s="82">
        <v>3079</v>
      </c>
      <c r="E53" s="82">
        <v>30722</v>
      </c>
      <c r="F53" s="82">
        <v>74696</v>
      </c>
      <c r="G53" s="82">
        <v>105418</v>
      </c>
      <c r="H53" s="82">
        <v>1127</v>
      </c>
      <c r="I53" s="82">
        <v>2667</v>
      </c>
      <c r="J53" s="82">
        <v>38092</v>
      </c>
      <c r="K53" s="82">
        <v>21645</v>
      </c>
      <c r="L53" s="82">
        <v>165155</v>
      </c>
      <c r="M53" s="82">
        <v>1117404</v>
      </c>
      <c r="N53" s="82"/>
      <c r="O53" s="12" t="s">
        <v>186</v>
      </c>
      <c r="P53" s="12" t="s">
        <v>187</v>
      </c>
    </row>
    <row r="54" spans="1:16" x14ac:dyDescent="0.3">
      <c r="A54" s="13">
        <v>43937.708333333336</v>
      </c>
      <c r="B54" s="12" t="s">
        <v>22</v>
      </c>
      <c r="C54" s="82">
        <v>26893</v>
      </c>
      <c r="D54" s="82">
        <v>2936</v>
      </c>
      <c r="E54" s="82">
        <v>29829</v>
      </c>
      <c r="F54" s="82">
        <v>76778</v>
      </c>
      <c r="G54" s="82">
        <v>106607</v>
      </c>
      <c r="H54" s="82">
        <v>1189</v>
      </c>
      <c r="I54" s="82">
        <v>3786</v>
      </c>
      <c r="J54" s="82">
        <v>40164</v>
      </c>
      <c r="K54" s="82">
        <v>22170</v>
      </c>
      <c r="L54" s="82">
        <v>168941</v>
      </c>
      <c r="M54" s="82">
        <v>1178403</v>
      </c>
      <c r="N54" s="82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82">
        <v>25786</v>
      </c>
      <c r="D55" s="82">
        <v>2812</v>
      </c>
      <c r="E55" s="82">
        <v>28598</v>
      </c>
      <c r="F55" s="82">
        <v>78364</v>
      </c>
      <c r="G55" s="82">
        <v>106962</v>
      </c>
      <c r="H55" s="82">
        <v>355</v>
      </c>
      <c r="I55" s="82">
        <v>3493</v>
      </c>
      <c r="J55" s="82">
        <v>42727</v>
      </c>
      <c r="K55" s="82">
        <v>22745</v>
      </c>
      <c r="L55" s="82">
        <v>172434</v>
      </c>
      <c r="M55" s="82">
        <v>1244108</v>
      </c>
      <c r="N55" s="82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82">
        <v>25007</v>
      </c>
      <c r="D56" s="82">
        <v>2733</v>
      </c>
      <c r="E56" s="82">
        <v>27740</v>
      </c>
      <c r="F56" s="82">
        <v>80031</v>
      </c>
      <c r="G56" s="82">
        <v>107771</v>
      </c>
      <c r="H56" s="82">
        <v>809</v>
      </c>
      <c r="I56" s="82">
        <v>3491</v>
      </c>
      <c r="J56" s="82">
        <v>44927</v>
      </c>
      <c r="K56" s="82">
        <v>23227</v>
      </c>
      <c r="L56" s="82">
        <v>175925</v>
      </c>
      <c r="M56" s="82">
        <v>1305833</v>
      </c>
      <c r="N56" s="82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82">
        <v>25033</v>
      </c>
      <c r="D57" s="82">
        <v>2635</v>
      </c>
      <c r="E57" s="82">
        <v>27668</v>
      </c>
      <c r="F57" s="82">
        <v>80589</v>
      </c>
      <c r="G57" s="82">
        <v>108257</v>
      </c>
      <c r="H57" s="82">
        <v>486</v>
      </c>
      <c r="I57" s="82">
        <v>3047</v>
      </c>
      <c r="J57" s="82">
        <v>47055</v>
      </c>
      <c r="K57" s="82">
        <v>23660</v>
      </c>
      <c r="L57" s="82">
        <v>178972</v>
      </c>
      <c r="M57" s="82">
        <v>1356541</v>
      </c>
      <c r="N57" s="82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82">
        <v>24906</v>
      </c>
      <c r="D58" s="82">
        <v>2573</v>
      </c>
      <c r="E58" s="82">
        <v>27479</v>
      </c>
      <c r="F58" s="82">
        <v>80758</v>
      </c>
      <c r="G58" s="82">
        <v>108237</v>
      </c>
      <c r="H58" s="82">
        <v>-20</v>
      </c>
      <c r="I58" s="82">
        <v>2256</v>
      </c>
      <c r="J58" s="82">
        <v>48877</v>
      </c>
      <c r="K58" s="82">
        <v>24114</v>
      </c>
      <c r="L58" s="82">
        <v>181228</v>
      </c>
      <c r="M58" s="82">
        <v>1398024</v>
      </c>
      <c r="N58" s="82">
        <v>943151</v>
      </c>
      <c r="O58" s="12" t="s">
        <v>195</v>
      </c>
      <c r="P58" s="12" t="s">
        <v>196</v>
      </c>
    </row>
    <row r="59" spans="1:16" x14ac:dyDescent="0.3">
      <c r="A59" s="13">
        <v>43942.708333333336</v>
      </c>
      <c r="B59" s="12" t="s">
        <v>22</v>
      </c>
      <c r="C59" s="83">
        <v>24134</v>
      </c>
      <c r="D59" s="83">
        <v>2471</v>
      </c>
      <c r="E59" s="83">
        <v>26605</v>
      </c>
      <c r="F59" s="83">
        <v>81104</v>
      </c>
      <c r="G59" s="83">
        <v>107709</v>
      </c>
      <c r="H59" s="83">
        <v>-528</v>
      </c>
      <c r="I59" s="83">
        <v>2729</v>
      </c>
      <c r="J59" s="83">
        <v>51600</v>
      </c>
      <c r="K59" s="83">
        <v>24648</v>
      </c>
      <c r="L59" s="83">
        <v>183957</v>
      </c>
      <c r="M59" s="83">
        <v>1450150</v>
      </c>
      <c r="N59" s="83">
        <v>971246</v>
      </c>
      <c r="O59" s="12" t="s">
        <v>197</v>
      </c>
      <c r="P59" s="12" t="s">
        <v>198</v>
      </c>
    </row>
    <row r="60" spans="1:16" x14ac:dyDescent="0.3">
      <c r="A60" s="13">
        <v>43943.708333333336</v>
      </c>
      <c r="B60" s="12" t="s">
        <v>22</v>
      </c>
      <c r="C60" s="86">
        <v>23805</v>
      </c>
      <c r="D60" s="86">
        <v>2384</v>
      </c>
      <c r="E60" s="86">
        <v>26189</v>
      </c>
      <c r="F60" s="86">
        <v>81510</v>
      </c>
      <c r="G60" s="86">
        <v>107699</v>
      </c>
      <c r="H60" s="86">
        <v>-10</v>
      </c>
      <c r="I60" s="86">
        <v>3370</v>
      </c>
      <c r="J60" s="86">
        <v>54543</v>
      </c>
      <c r="K60" s="86">
        <v>25085</v>
      </c>
      <c r="L60" s="86">
        <v>187327</v>
      </c>
      <c r="M60" s="86">
        <v>1513251</v>
      </c>
      <c r="N60" s="86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04">
        <v>22871</v>
      </c>
      <c r="D61" s="104">
        <v>2267</v>
      </c>
      <c r="E61" s="104">
        <v>25138</v>
      </c>
      <c r="F61" s="104">
        <v>81710</v>
      </c>
      <c r="G61" s="104">
        <v>106848</v>
      </c>
      <c r="H61" s="104">
        <v>-851</v>
      </c>
      <c r="I61" s="104">
        <v>2646</v>
      </c>
      <c r="J61" s="104">
        <v>57576</v>
      </c>
      <c r="K61" s="104">
        <v>25549</v>
      </c>
      <c r="L61" s="104">
        <v>189973</v>
      </c>
      <c r="M61" s="104">
        <v>1579909</v>
      </c>
      <c r="N61" s="104">
        <v>1052577</v>
      </c>
      <c r="O61" s="12" t="s">
        <v>331</v>
      </c>
      <c r="P61" s="12" t="s">
        <v>332</v>
      </c>
    </row>
    <row r="62" spans="1:16" x14ac:dyDescent="0.3">
      <c r="A62" s="13">
        <v>43945.708333333336</v>
      </c>
      <c r="B62" s="12" t="s">
        <v>22</v>
      </c>
      <c r="C62" s="130">
        <v>22068</v>
      </c>
      <c r="D62" s="130">
        <v>2173</v>
      </c>
      <c r="E62" s="130">
        <v>24241</v>
      </c>
      <c r="F62" s="130">
        <v>82286</v>
      </c>
      <c r="G62" s="130">
        <v>106527</v>
      </c>
      <c r="H62" s="130">
        <v>-321</v>
      </c>
      <c r="I62" s="130">
        <v>3021</v>
      </c>
      <c r="J62" s="130">
        <v>60498</v>
      </c>
      <c r="K62" s="130">
        <v>25969</v>
      </c>
      <c r="L62" s="130">
        <v>192994</v>
      </c>
      <c r="M62" s="130">
        <v>1642356</v>
      </c>
      <c r="N62" s="130">
        <v>1147850</v>
      </c>
      <c r="O62" s="12" t="s">
        <v>4314</v>
      </c>
      <c r="P62" s="12" t="s">
        <v>4315</v>
      </c>
    </row>
    <row r="63" spans="1:16" x14ac:dyDescent="0.3">
      <c r="A63" s="13">
        <v>43946.708333333336</v>
      </c>
      <c r="B63" s="12" t="s">
        <v>22</v>
      </c>
      <c r="C63" s="131">
        <v>21533</v>
      </c>
      <c r="D63" s="131">
        <v>2102</v>
      </c>
      <c r="E63" s="131">
        <v>23635</v>
      </c>
      <c r="F63" s="131">
        <v>82212</v>
      </c>
      <c r="G63" s="131">
        <v>105847</v>
      </c>
      <c r="H63" s="131">
        <v>-680</v>
      </c>
      <c r="I63" s="131">
        <v>2357</v>
      </c>
      <c r="J63" s="131">
        <v>63120</v>
      </c>
      <c r="K63" s="131">
        <v>26384</v>
      </c>
      <c r="L63" s="131">
        <v>195351</v>
      </c>
      <c r="M63" s="131">
        <v>1707743</v>
      </c>
      <c r="N63" s="131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57">
        <v>21372</v>
      </c>
      <c r="D64" s="157">
        <v>2009</v>
      </c>
      <c r="E64" s="157">
        <v>23381</v>
      </c>
      <c r="F64" s="157">
        <v>82722</v>
      </c>
      <c r="G64" s="157">
        <v>106103</v>
      </c>
      <c r="H64" s="157">
        <v>256</v>
      </c>
      <c r="I64" s="157">
        <v>2324</v>
      </c>
      <c r="J64" s="157">
        <v>64928</v>
      </c>
      <c r="K64" s="157">
        <v>26644</v>
      </c>
      <c r="L64" s="157">
        <v>197675</v>
      </c>
      <c r="M64" s="157">
        <v>1757659</v>
      </c>
      <c r="N64" s="157">
        <v>1210639</v>
      </c>
      <c r="O64" s="12" t="s">
        <v>4316</v>
      </c>
      <c r="P64" s="12" t="s">
        <v>4317</v>
      </c>
    </row>
    <row r="65" spans="1:16" x14ac:dyDescent="0.3">
      <c r="A65" s="13">
        <v>43948.708333333336</v>
      </c>
      <c r="B65" s="12" t="s">
        <v>22</v>
      </c>
      <c r="C65" s="235">
        <v>20353</v>
      </c>
      <c r="D65" s="235">
        <v>1956</v>
      </c>
      <c r="E65" s="235">
        <v>22309</v>
      </c>
      <c r="F65" s="235">
        <v>83504</v>
      </c>
      <c r="G65" s="235">
        <v>105813</v>
      </c>
      <c r="H65" s="235">
        <v>-290</v>
      </c>
      <c r="I65" s="235">
        <v>1739</v>
      </c>
      <c r="J65" s="235">
        <v>66624</v>
      </c>
      <c r="K65" s="235">
        <v>26977</v>
      </c>
      <c r="L65" s="235">
        <v>199414</v>
      </c>
      <c r="M65" s="235">
        <v>1789662</v>
      </c>
      <c r="N65" s="235">
        <v>1237317</v>
      </c>
      <c r="O65" s="12" t="s">
        <v>25</v>
      </c>
      <c r="P65" s="12" t="s">
        <v>25</v>
      </c>
    </row>
    <row r="66" spans="1:16" x14ac:dyDescent="0.3">
      <c r="A66" s="13">
        <v>43949.708333333336</v>
      </c>
      <c r="B66" s="12" t="s">
        <v>22</v>
      </c>
      <c r="C66" s="265">
        <v>19723</v>
      </c>
      <c r="D66" s="265">
        <v>1863</v>
      </c>
      <c r="E66" s="265">
        <v>21586</v>
      </c>
      <c r="F66" s="265">
        <v>83619</v>
      </c>
      <c r="G66" s="265">
        <v>105205</v>
      </c>
      <c r="H66" s="265">
        <v>-608</v>
      </c>
      <c r="I66" s="265">
        <v>2091</v>
      </c>
      <c r="J66" s="265">
        <v>68941</v>
      </c>
      <c r="K66" s="265">
        <v>27359</v>
      </c>
      <c r="L66" s="265">
        <v>201505</v>
      </c>
      <c r="M66" s="265">
        <v>1846934</v>
      </c>
      <c r="N66" s="265">
        <v>1274871</v>
      </c>
      <c r="O66" s="12" t="s">
        <v>25</v>
      </c>
      <c r="P66" s="12" t="s">
        <v>25</v>
      </c>
    </row>
    <row r="67" spans="1:16" x14ac:dyDescent="0.3">
      <c r="A67" s="13">
        <v>43950.708333333336</v>
      </c>
      <c r="B67" s="12" t="s">
        <v>22</v>
      </c>
      <c r="C67" s="265">
        <v>19210</v>
      </c>
      <c r="D67" s="265">
        <v>1795</v>
      </c>
      <c r="E67" s="265">
        <v>21005</v>
      </c>
      <c r="F67" s="265">
        <v>83652</v>
      </c>
      <c r="G67" s="265">
        <v>104657</v>
      </c>
      <c r="H67" s="265">
        <v>-548</v>
      </c>
      <c r="I67" s="265">
        <v>2086</v>
      </c>
      <c r="J67" s="265">
        <v>71252</v>
      </c>
      <c r="K67" s="265">
        <v>27682</v>
      </c>
      <c r="L67" s="265">
        <v>203591</v>
      </c>
      <c r="M67" s="265">
        <v>1910761</v>
      </c>
      <c r="N67" s="265">
        <v>1313460</v>
      </c>
      <c r="O67" s="12" t="s">
        <v>25</v>
      </c>
      <c r="P67" s="12" t="s">
        <v>25</v>
      </c>
    </row>
    <row r="68" spans="1:16" x14ac:dyDescent="0.3">
      <c r="A68" s="13">
        <v>43951.708333333336</v>
      </c>
      <c r="B68" s="12" t="s">
        <v>22</v>
      </c>
      <c r="C68" s="265">
        <v>18149</v>
      </c>
      <c r="D68" s="265">
        <v>1694</v>
      </c>
      <c r="E68" s="265">
        <v>19843</v>
      </c>
      <c r="F68" s="265">
        <v>81708</v>
      </c>
      <c r="G68" s="265">
        <v>101551</v>
      </c>
      <c r="H68" s="265">
        <v>-3106</v>
      </c>
      <c r="I68" s="265">
        <v>1872</v>
      </c>
      <c r="J68" s="265">
        <v>75945</v>
      </c>
      <c r="K68" s="265">
        <v>27967</v>
      </c>
      <c r="L68" s="265">
        <v>205463</v>
      </c>
      <c r="M68" s="265">
        <v>1979217</v>
      </c>
      <c r="N68" s="265">
        <v>1354901</v>
      </c>
      <c r="O68" s="12" t="s">
        <v>25</v>
      </c>
      <c r="P68" s="12" t="s">
        <v>25</v>
      </c>
    </row>
    <row r="69" spans="1:16" x14ac:dyDescent="0.3">
      <c r="A69" s="13">
        <v>43952.708333333336</v>
      </c>
      <c r="B69" s="12" t="s">
        <v>22</v>
      </c>
      <c r="C69" s="265">
        <v>17569</v>
      </c>
      <c r="D69" s="265">
        <v>1578</v>
      </c>
      <c r="E69" s="265">
        <v>19147</v>
      </c>
      <c r="F69" s="265">
        <v>81796</v>
      </c>
      <c r="G69" s="265">
        <v>100943</v>
      </c>
      <c r="H69" s="265">
        <v>-608</v>
      </c>
      <c r="I69" s="265">
        <v>1965</v>
      </c>
      <c r="J69" s="265">
        <v>78249</v>
      </c>
      <c r="K69" s="265">
        <v>28236</v>
      </c>
      <c r="L69" s="265">
        <v>207428</v>
      </c>
      <c r="M69" s="265">
        <v>2053425</v>
      </c>
      <c r="N69" s="265">
        <v>1398633</v>
      </c>
      <c r="O69" s="12" t="s">
        <v>4427</v>
      </c>
      <c r="P69" s="12" t="s">
        <v>4428</v>
      </c>
    </row>
    <row r="70" spans="1:16" x14ac:dyDescent="0.3">
      <c r="A70" s="13">
        <v>43953.708333333336</v>
      </c>
      <c r="B70" s="12" t="s">
        <v>22</v>
      </c>
      <c r="C70" s="265">
        <v>17357</v>
      </c>
      <c r="D70" s="265">
        <v>1539</v>
      </c>
      <c r="E70" s="265">
        <v>18896</v>
      </c>
      <c r="F70" s="265">
        <v>81808</v>
      </c>
      <c r="G70" s="265">
        <v>100704</v>
      </c>
      <c r="H70" s="265">
        <v>-239</v>
      </c>
      <c r="I70" s="265">
        <v>1900</v>
      </c>
      <c r="J70" s="265">
        <v>79914</v>
      </c>
      <c r="K70" s="265">
        <v>28710</v>
      </c>
      <c r="L70" s="265">
        <v>209328</v>
      </c>
      <c r="M70" s="265">
        <v>2108837</v>
      </c>
      <c r="N70" s="265">
        <v>1429864</v>
      </c>
      <c r="O70" s="12" t="s">
        <v>4429</v>
      </c>
      <c r="P70" s="12" t="s">
        <v>4430</v>
      </c>
    </row>
    <row r="71" spans="1:16" x14ac:dyDescent="0.3">
      <c r="A71" s="13">
        <v>43954.708333333336</v>
      </c>
      <c r="B71" s="12" t="s">
        <v>22</v>
      </c>
      <c r="C71" s="265">
        <v>17242</v>
      </c>
      <c r="D71" s="265">
        <v>1501</v>
      </c>
      <c r="E71" s="265">
        <v>18743</v>
      </c>
      <c r="F71" s="265">
        <v>81436</v>
      </c>
      <c r="G71" s="265">
        <v>100179</v>
      </c>
      <c r="H71" s="265">
        <v>-525</v>
      </c>
      <c r="I71" s="265">
        <v>1389</v>
      </c>
      <c r="J71" s="265">
        <v>81654</v>
      </c>
      <c r="K71" s="265">
        <v>28884</v>
      </c>
      <c r="L71" s="265">
        <v>210717</v>
      </c>
      <c r="M71" s="265">
        <v>2153772</v>
      </c>
      <c r="N71" s="265">
        <v>1456911</v>
      </c>
      <c r="O71" s="12" t="s">
        <v>25</v>
      </c>
      <c r="P71" s="12" t="s">
        <v>25</v>
      </c>
    </row>
    <row r="72" spans="1:16" x14ac:dyDescent="0.3">
      <c r="A72" s="13">
        <v>43955.708333333336</v>
      </c>
      <c r="B72" s="12" t="s">
        <v>22</v>
      </c>
      <c r="C72" s="265">
        <v>16823</v>
      </c>
      <c r="D72" s="265">
        <v>1479</v>
      </c>
      <c r="E72" s="265">
        <v>18302</v>
      </c>
      <c r="F72" s="265">
        <v>81678</v>
      </c>
      <c r="G72" s="265">
        <v>99980</v>
      </c>
      <c r="H72" s="265">
        <v>-199</v>
      </c>
      <c r="I72" s="265">
        <v>1221</v>
      </c>
      <c r="J72" s="265">
        <v>82879</v>
      </c>
      <c r="K72" s="265">
        <v>29079</v>
      </c>
      <c r="L72" s="265">
        <v>211938</v>
      </c>
      <c r="M72" s="265">
        <v>2191403</v>
      </c>
      <c r="N72" s="265">
        <v>1479910</v>
      </c>
      <c r="O72" s="12" t="s">
        <v>4431</v>
      </c>
      <c r="P72" s="12" t="s">
        <v>4432</v>
      </c>
    </row>
    <row r="73" spans="1:16" x14ac:dyDescent="0.3">
      <c r="A73" s="13">
        <v>43956.708333333336</v>
      </c>
      <c r="B73" s="12" t="s">
        <v>22</v>
      </c>
      <c r="C73" s="265">
        <v>16270</v>
      </c>
      <c r="D73" s="265">
        <v>1427</v>
      </c>
      <c r="E73" s="265">
        <v>17697</v>
      </c>
      <c r="F73" s="265">
        <v>80770</v>
      </c>
      <c r="G73" s="265">
        <v>98467</v>
      </c>
      <c r="H73" s="265">
        <v>-1513</v>
      </c>
      <c r="I73" s="265">
        <v>1075</v>
      </c>
      <c r="J73" s="265">
        <v>85231</v>
      </c>
      <c r="K73" s="265">
        <v>29315</v>
      </c>
      <c r="L73" s="265">
        <v>213013</v>
      </c>
      <c r="M73" s="265">
        <v>2246666</v>
      </c>
      <c r="N73" s="265">
        <v>1512121</v>
      </c>
      <c r="O73" s="12" t="s">
        <v>25</v>
      </c>
      <c r="P73" s="12" t="s">
        <v>25</v>
      </c>
    </row>
    <row r="74" spans="1:16" x14ac:dyDescent="0.3">
      <c r="A74" s="13">
        <v>43957.708333333336</v>
      </c>
      <c r="B74" s="12" t="s">
        <v>22</v>
      </c>
      <c r="C74" s="265">
        <v>15769</v>
      </c>
      <c r="D74" s="265">
        <v>1333</v>
      </c>
      <c r="E74" s="265">
        <v>17102</v>
      </c>
      <c r="F74" s="265">
        <v>74426</v>
      </c>
      <c r="G74" s="265">
        <v>91528</v>
      </c>
      <c r="H74" s="265">
        <v>-6939</v>
      </c>
      <c r="I74" s="265">
        <v>1444</v>
      </c>
      <c r="J74" s="265">
        <v>93245</v>
      </c>
      <c r="K74" s="265">
        <v>29684</v>
      </c>
      <c r="L74" s="265">
        <v>214457</v>
      </c>
      <c r="M74" s="265">
        <v>2310929</v>
      </c>
      <c r="N74" s="265">
        <v>1549892</v>
      </c>
      <c r="O74" s="12" t="s">
        <v>4433</v>
      </c>
      <c r="P74" s="12" t="s">
        <v>4434</v>
      </c>
    </row>
    <row r="75" spans="1:16" x14ac:dyDescent="0.3">
      <c r="A75" s="13">
        <v>43958.708333333336</v>
      </c>
      <c r="B75" s="12" t="s">
        <v>22</v>
      </c>
      <c r="C75" s="265">
        <v>15174</v>
      </c>
      <c r="D75" s="265">
        <v>1311</v>
      </c>
      <c r="E75" s="265">
        <v>16485</v>
      </c>
      <c r="F75" s="265">
        <v>73139</v>
      </c>
      <c r="G75" s="265">
        <v>89624</v>
      </c>
      <c r="H75" s="265">
        <v>-1904</v>
      </c>
      <c r="I75" s="265">
        <v>1401</v>
      </c>
      <c r="J75" s="265">
        <v>96276</v>
      </c>
      <c r="K75" s="265">
        <v>29958</v>
      </c>
      <c r="L75" s="265">
        <v>215858</v>
      </c>
      <c r="M75" s="265">
        <v>2381288</v>
      </c>
      <c r="N75" s="265">
        <v>1563557</v>
      </c>
      <c r="O75" s="12" t="s">
        <v>4435</v>
      </c>
      <c r="P75" s="12" t="s">
        <v>4436</v>
      </c>
    </row>
    <row r="76" spans="1:16" x14ac:dyDescent="0.3">
      <c r="A76" s="13">
        <v>43959.708333333336</v>
      </c>
      <c r="B76" s="12" t="s">
        <v>22</v>
      </c>
      <c r="C76" s="265">
        <v>14636</v>
      </c>
      <c r="D76" s="265">
        <v>1168</v>
      </c>
      <c r="E76" s="265">
        <v>15804</v>
      </c>
      <c r="F76" s="265">
        <v>72157</v>
      </c>
      <c r="G76" s="265">
        <v>87961</v>
      </c>
      <c r="H76" s="265">
        <v>-1663</v>
      </c>
      <c r="I76" s="265">
        <v>1327</v>
      </c>
      <c r="J76" s="265">
        <v>99023</v>
      </c>
      <c r="K76" s="265">
        <v>30201</v>
      </c>
      <c r="L76" s="265">
        <v>217185</v>
      </c>
      <c r="M76" s="265">
        <v>2445063</v>
      </c>
      <c r="N76" s="265">
        <v>1608985</v>
      </c>
      <c r="O76" s="12" t="s">
        <v>4437</v>
      </c>
      <c r="P76" s="12" t="s">
        <v>4438</v>
      </c>
    </row>
    <row r="77" spans="1:16" x14ac:dyDescent="0.3">
      <c r="A77" s="13">
        <v>43960.708333333336</v>
      </c>
      <c r="B77" s="12" t="s">
        <v>22</v>
      </c>
      <c r="C77" s="267">
        <v>13834</v>
      </c>
      <c r="D77" s="267">
        <v>1034</v>
      </c>
      <c r="E77" s="267">
        <v>14868</v>
      </c>
      <c r="F77" s="267">
        <v>69974</v>
      </c>
      <c r="G77" s="267">
        <v>84842</v>
      </c>
      <c r="H77" s="267">
        <v>-3119</v>
      </c>
      <c r="I77" s="267">
        <v>1083</v>
      </c>
      <c r="J77" s="267">
        <v>103031</v>
      </c>
      <c r="K77" s="267">
        <v>30395</v>
      </c>
      <c r="L77" s="267">
        <v>218268</v>
      </c>
      <c r="M77" s="267">
        <v>2514234</v>
      </c>
      <c r="N77" s="267">
        <v>1645076</v>
      </c>
      <c r="O77" s="12" t="s">
        <v>25</v>
      </c>
      <c r="P77" s="12" t="s">
        <v>25</v>
      </c>
    </row>
    <row r="78" spans="1:16" x14ac:dyDescent="0.3">
      <c r="A78" s="13">
        <v>43961.708333333336</v>
      </c>
      <c r="B78" s="12" t="s">
        <v>22</v>
      </c>
      <c r="C78" s="268">
        <v>13618</v>
      </c>
      <c r="D78" s="268">
        <v>1027</v>
      </c>
      <c r="E78" s="268">
        <v>14645</v>
      </c>
      <c r="F78" s="268">
        <v>68679</v>
      </c>
      <c r="G78" s="268">
        <v>83324</v>
      </c>
      <c r="H78" s="268">
        <v>-1518</v>
      </c>
      <c r="I78" s="268">
        <v>802</v>
      </c>
      <c r="J78" s="268">
        <v>105186</v>
      </c>
      <c r="K78" s="268">
        <v>30560</v>
      </c>
      <c r="L78" s="268">
        <v>219070</v>
      </c>
      <c r="M78" s="268">
        <v>2565912</v>
      </c>
      <c r="N78" s="268">
        <v>1676460</v>
      </c>
      <c r="O78" s="12" t="s">
        <v>25</v>
      </c>
      <c r="P78" s="12" t="s">
        <v>25</v>
      </c>
    </row>
    <row r="79" spans="1:16" x14ac:dyDescent="0.3">
      <c r="A79" s="13">
        <v>43962.708333333336</v>
      </c>
      <c r="B79" s="12" t="s">
        <v>22</v>
      </c>
      <c r="C79" s="284">
        <v>13539</v>
      </c>
      <c r="D79" s="284">
        <v>999</v>
      </c>
      <c r="E79" s="284">
        <v>14538</v>
      </c>
      <c r="F79" s="284">
        <v>67950</v>
      </c>
      <c r="G79" s="284">
        <v>82488</v>
      </c>
      <c r="H79" s="284">
        <v>-836</v>
      </c>
      <c r="I79" s="284">
        <v>744</v>
      </c>
      <c r="J79" s="284">
        <v>106587</v>
      </c>
      <c r="K79" s="284">
        <v>30739</v>
      </c>
      <c r="L79" s="284">
        <v>219814</v>
      </c>
      <c r="M79" s="284">
        <v>2606652</v>
      </c>
      <c r="N79" s="284">
        <v>1702283</v>
      </c>
      <c r="O79" s="12" t="s">
        <v>25</v>
      </c>
      <c r="P79" s="12" t="s">
        <v>25</v>
      </c>
    </row>
    <row r="80" spans="1:16" x14ac:dyDescent="0.3">
      <c r="A80" s="13">
        <v>43963.708333333336</v>
      </c>
      <c r="B80" s="12" t="s">
        <v>22</v>
      </c>
      <c r="C80" s="287">
        <v>12865</v>
      </c>
      <c r="D80" s="287">
        <v>952</v>
      </c>
      <c r="E80" s="287">
        <v>13817</v>
      </c>
      <c r="F80" s="287">
        <v>67449</v>
      </c>
      <c r="G80" s="287">
        <v>81266</v>
      </c>
      <c r="H80" s="287">
        <v>-1222</v>
      </c>
      <c r="I80" s="287">
        <v>1402</v>
      </c>
      <c r="J80" s="287">
        <v>109039</v>
      </c>
      <c r="K80" s="287">
        <v>30911</v>
      </c>
      <c r="L80" s="287">
        <v>221216</v>
      </c>
      <c r="M80" s="287">
        <v>2673655</v>
      </c>
      <c r="N80" s="287">
        <v>1741903</v>
      </c>
      <c r="O80" s="12" t="s">
        <v>4744</v>
      </c>
      <c r="P80" s="12" t="s">
        <v>4745</v>
      </c>
    </row>
    <row r="81" spans="1:16" x14ac:dyDescent="0.3">
      <c r="A81" s="13">
        <v>43964.708333333336</v>
      </c>
      <c r="B81" s="12" t="s">
        <v>22</v>
      </c>
      <c r="C81" s="290">
        <v>12172</v>
      </c>
      <c r="D81" s="290">
        <v>893</v>
      </c>
      <c r="E81" s="290">
        <v>13065</v>
      </c>
      <c r="F81" s="290">
        <v>65392</v>
      </c>
      <c r="G81" s="290">
        <v>78457</v>
      </c>
      <c r="H81" s="290">
        <v>-2809</v>
      </c>
      <c r="I81" s="290">
        <v>888</v>
      </c>
      <c r="J81" s="290">
        <v>112541</v>
      </c>
      <c r="K81" s="290">
        <v>31106</v>
      </c>
      <c r="L81" s="290">
        <v>222104</v>
      </c>
      <c r="M81" s="290">
        <v>2735628</v>
      </c>
      <c r="N81" s="290">
        <v>1778952</v>
      </c>
      <c r="O81" s="12" t="s">
        <v>25</v>
      </c>
      <c r="P81" s="12" t="s">
        <v>25</v>
      </c>
    </row>
    <row r="82" spans="1:16" x14ac:dyDescent="0.3">
      <c r="A82" s="13">
        <v>43965.708333333336</v>
      </c>
      <c r="B82" s="12" t="s">
        <v>22</v>
      </c>
      <c r="C82" s="290">
        <v>11453</v>
      </c>
      <c r="D82" s="290">
        <v>855</v>
      </c>
      <c r="E82" s="290">
        <v>12308</v>
      </c>
      <c r="F82" s="290">
        <v>64132</v>
      </c>
      <c r="G82" s="290">
        <v>76440</v>
      </c>
      <c r="H82" s="290">
        <v>-2017</v>
      </c>
      <c r="I82" s="290">
        <v>992</v>
      </c>
      <c r="J82" s="290">
        <v>115288</v>
      </c>
      <c r="K82" s="290">
        <v>31368</v>
      </c>
      <c r="L82" s="290">
        <v>223096</v>
      </c>
      <c r="M82" s="290">
        <v>2807504</v>
      </c>
      <c r="N82" s="290">
        <v>1820083</v>
      </c>
      <c r="O82" s="12" t="s">
        <v>4835</v>
      </c>
      <c r="P82" s="12" t="s">
        <v>4836</v>
      </c>
    </row>
    <row r="83" spans="1:16" x14ac:dyDescent="0.3">
      <c r="A83" s="13">
        <v>43966.708333333336</v>
      </c>
      <c r="B83" s="12" t="s">
        <v>22</v>
      </c>
      <c r="C83" s="302">
        <v>10792</v>
      </c>
      <c r="D83" s="302">
        <v>808</v>
      </c>
      <c r="E83" s="302">
        <v>11600</v>
      </c>
      <c r="F83" s="302">
        <v>60470</v>
      </c>
      <c r="G83" s="302">
        <v>72070</v>
      </c>
      <c r="H83" s="302">
        <v>-4370</v>
      </c>
      <c r="I83" s="302">
        <v>789</v>
      </c>
      <c r="J83" s="302">
        <v>120205</v>
      </c>
      <c r="K83" s="302">
        <v>31610</v>
      </c>
      <c r="L83" s="302">
        <v>223885</v>
      </c>
      <c r="M83" s="302">
        <v>2875680</v>
      </c>
      <c r="N83" s="302">
        <v>1859110</v>
      </c>
      <c r="O83" s="12" t="s">
        <v>4861</v>
      </c>
      <c r="P83" s="12" t="s">
        <v>4862</v>
      </c>
    </row>
    <row r="84" spans="1:16" x14ac:dyDescent="0.3">
      <c r="A84" s="13">
        <v>43967.708333333336</v>
      </c>
      <c r="B84" s="12" t="s">
        <v>22</v>
      </c>
      <c r="C84" s="302">
        <v>10400</v>
      </c>
      <c r="D84" s="302">
        <v>775</v>
      </c>
      <c r="E84" s="302">
        <v>11175</v>
      </c>
      <c r="F84" s="302">
        <v>59012</v>
      </c>
      <c r="G84" s="302">
        <v>70187</v>
      </c>
      <c r="H84" s="302">
        <v>-1883</v>
      </c>
      <c r="I84" s="302">
        <v>875</v>
      </c>
      <c r="J84" s="302">
        <v>122810</v>
      </c>
      <c r="K84" s="302">
        <v>31763</v>
      </c>
      <c r="L84" s="302">
        <v>224760</v>
      </c>
      <c r="M84" s="302">
        <v>2944859</v>
      </c>
      <c r="N84" s="302">
        <v>1899767</v>
      </c>
      <c r="O84" s="12" t="s">
        <v>25</v>
      </c>
      <c r="P84" s="12" t="s">
        <v>25</v>
      </c>
    </row>
    <row r="85" spans="1:16" x14ac:dyDescent="0.3">
      <c r="A85" s="13">
        <v>43968.708333333336</v>
      </c>
      <c r="B85" s="12" t="s">
        <v>22</v>
      </c>
      <c r="C85" s="302">
        <v>10311</v>
      </c>
      <c r="D85" s="302">
        <v>762</v>
      </c>
      <c r="E85" s="302">
        <v>11073</v>
      </c>
      <c r="F85" s="302">
        <v>57278</v>
      </c>
      <c r="G85" s="302">
        <v>68351</v>
      </c>
      <c r="H85" s="302">
        <v>-1836</v>
      </c>
      <c r="I85" s="302">
        <v>675</v>
      </c>
      <c r="J85" s="302">
        <v>125176</v>
      </c>
      <c r="K85" s="302">
        <v>31908</v>
      </c>
      <c r="L85" s="302">
        <v>225435</v>
      </c>
      <c r="M85" s="302">
        <v>3004960</v>
      </c>
      <c r="N85" s="302">
        <v>1933272</v>
      </c>
      <c r="O85" s="12" t="s">
        <v>25</v>
      </c>
      <c r="P85" s="12" t="s">
        <v>25</v>
      </c>
    </row>
    <row r="86" spans="1:16" x14ac:dyDescent="0.3">
      <c r="A86" s="13">
        <v>43969.708333333336</v>
      </c>
      <c r="B86" s="12" t="s">
        <v>22</v>
      </c>
      <c r="C86" s="302">
        <v>10207</v>
      </c>
      <c r="D86" s="302">
        <v>749</v>
      </c>
      <c r="E86" s="302">
        <v>10956</v>
      </c>
      <c r="F86" s="302">
        <v>55597</v>
      </c>
      <c r="G86" s="302">
        <v>66553</v>
      </c>
      <c r="H86" s="302">
        <v>-1798</v>
      </c>
      <c r="I86" s="302">
        <v>451</v>
      </c>
      <c r="J86" s="302">
        <v>127326</v>
      </c>
      <c r="K86" s="302">
        <v>32007</v>
      </c>
      <c r="L86" s="302">
        <v>225886</v>
      </c>
      <c r="M86" s="302">
        <v>3041366</v>
      </c>
      <c r="N86" s="302">
        <v>1959373</v>
      </c>
      <c r="O86" s="12" t="s">
        <v>4863</v>
      </c>
      <c r="P86" s="12" t="s">
        <v>4864</v>
      </c>
    </row>
    <row r="87" spans="1:16" x14ac:dyDescent="0.3">
      <c r="A87" s="13">
        <v>43970.708333333336</v>
      </c>
      <c r="B87" s="12" t="s">
        <v>22</v>
      </c>
      <c r="C87" s="302">
        <v>9991</v>
      </c>
      <c r="D87" s="302">
        <v>716</v>
      </c>
      <c r="E87" s="302">
        <v>10707</v>
      </c>
      <c r="F87" s="302">
        <v>54422</v>
      </c>
      <c r="G87" s="302">
        <v>65129</v>
      </c>
      <c r="H87" s="302">
        <v>-1424</v>
      </c>
      <c r="I87" s="302">
        <v>813</v>
      </c>
      <c r="J87" s="302">
        <v>129401</v>
      </c>
      <c r="K87" s="302">
        <v>32169</v>
      </c>
      <c r="L87" s="302">
        <v>226699</v>
      </c>
      <c r="M87" s="302">
        <v>3104524</v>
      </c>
      <c r="N87" s="302">
        <v>1999599</v>
      </c>
      <c r="O87" s="12" t="s">
        <v>4865</v>
      </c>
      <c r="P87" s="12" t="s">
        <v>4866</v>
      </c>
    </row>
    <row r="88" spans="1:16" x14ac:dyDescent="0.3">
      <c r="A88" s="13">
        <v>43971.708333333336</v>
      </c>
      <c r="B88" s="12" t="s">
        <v>22</v>
      </c>
      <c r="C88" s="302">
        <v>9624</v>
      </c>
      <c r="D88" s="302">
        <v>676</v>
      </c>
      <c r="E88" s="302">
        <v>10300</v>
      </c>
      <c r="F88" s="302">
        <v>52452</v>
      </c>
      <c r="G88" s="302">
        <v>62752</v>
      </c>
      <c r="H88" s="302">
        <v>-2377</v>
      </c>
      <c r="I88" s="302">
        <v>665</v>
      </c>
      <c r="J88" s="302">
        <v>132282</v>
      </c>
      <c r="K88" s="302">
        <v>32330</v>
      </c>
      <c r="L88" s="302">
        <v>227364</v>
      </c>
      <c r="M88" s="302">
        <v>3171719</v>
      </c>
      <c r="N88" s="302">
        <v>2038216</v>
      </c>
      <c r="O88" s="12" t="s">
        <v>25</v>
      </c>
      <c r="P88" s="12" t="s">
        <v>25</v>
      </c>
    </row>
    <row r="89" spans="1:16" x14ac:dyDescent="0.3">
      <c r="A89" s="13">
        <v>43972.708333333336</v>
      </c>
      <c r="B89" s="12" t="s">
        <v>22</v>
      </c>
      <c r="C89" s="302">
        <v>9269</v>
      </c>
      <c r="D89" s="302">
        <v>640</v>
      </c>
      <c r="E89" s="302">
        <v>9909</v>
      </c>
      <c r="F89" s="302">
        <v>51051</v>
      </c>
      <c r="G89" s="302">
        <v>60960</v>
      </c>
      <c r="H89" s="302">
        <v>-1792</v>
      </c>
      <c r="I89" s="302">
        <v>642</v>
      </c>
      <c r="J89" s="302">
        <v>134560</v>
      </c>
      <c r="K89" s="302">
        <v>32486</v>
      </c>
      <c r="L89" s="302">
        <v>228006</v>
      </c>
      <c r="M89" s="302">
        <v>3243398</v>
      </c>
      <c r="N89" s="302">
        <v>2078860</v>
      </c>
      <c r="O89" s="12" t="s">
        <v>25</v>
      </c>
      <c r="P89" s="12" t="s">
        <v>25</v>
      </c>
    </row>
    <row r="90" spans="1:16" x14ac:dyDescent="0.3">
      <c r="A90" s="13">
        <v>43973.708333333336</v>
      </c>
      <c r="B90" s="12" t="s">
        <v>22</v>
      </c>
      <c r="C90" s="303">
        <v>8957</v>
      </c>
      <c r="D90" s="303">
        <v>595</v>
      </c>
      <c r="E90" s="303">
        <v>9552</v>
      </c>
      <c r="F90" s="303">
        <v>49770</v>
      </c>
      <c r="G90" s="303">
        <v>59322</v>
      </c>
      <c r="H90" s="303">
        <v>-1638</v>
      </c>
      <c r="I90" s="303">
        <v>652</v>
      </c>
      <c r="J90" s="303">
        <v>136720</v>
      </c>
      <c r="K90" s="303">
        <v>32616</v>
      </c>
      <c r="L90" s="303">
        <v>228658</v>
      </c>
      <c r="M90" s="303">
        <v>3318778</v>
      </c>
      <c r="N90" s="303">
        <v>2121847</v>
      </c>
      <c r="O90" s="12" t="s">
        <v>25</v>
      </c>
      <c r="P90" s="12" t="s">
        <v>25</v>
      </c>
    </row>
    <row r="91" spans="1:16" x14ac:dyDescent="0.3">
      <c r="A91" s="13">
        <v>43974.708333333336</v>
      </c>
      <c r="B91" s="12" t="s">
        <v>22</v>
      </c>
      <c r="C91" s="303">
        <v>8695</v>
      </c>
      <c r="D91" s="303">
        <v>572</v>
      </c>
      <c r="E91" s="303">
        <v>9267</v>
      </c>
      <c r="F91" s="303">
        <v>48485</v>
      </c>
      <c r="G91" s="303">
        <v>57752</v>
      </c>
      <c r="H91" s="303">
        <v>-1570</v>
      </c>
      <c r="I91" s="303">
        <v>669</v>
      </c>
      <c r="J91" s="303">
        <v>138840</v>
      </c>
      <c r="K91" s="303">
        <v>32735</v>
      </c>
      <c r="L91" s="303">
        <v>229327</v>
      </c>
      <c r="M91" s="303">
        <v>3391188</v>
      </c>
      <c r="N91" s="303">
        <v>2164426</v>
      </c>
      <c r="O91" s="12" t="s">
        <v>25</v>
      </c>
      <c r="P91" s="12" t="s">
        <v>25</v>
      </c>
    </row>
    <row r="92" spans="1:16" x14ac:dyDescent="0.3">
      <c r="A92" s="13">
        <v>43975.708333333336</v>
      </c>
      <c r="B92" s="12" t="s">
        <v>22</v>
      </c>
      <c r="C92" s="303">
        <v>8613</v>
      </c>
      <c r="D92" s="303">
        <v>553</v>
      </c>
      <c r="E92" s="303">
        <v>9166</v>
      </c>
      <c r="F92" s="303">
        <v>47428</v>
      </c>
      <c r="G92" s="303">
        <v>56594</v>
      </c>
      <c r="H92" s="303">
        <v>-1158</v>
      </c>
      <c r="I92" s="303">
        <v>531</v>
      </c>
      <c r="J92" s="303">
        <v>140479</v>
      </c>
      <c r="K92" s="303">
        <v>32785</v>
      </c>
      <c r="L92" s="303">
        <v>229858</v>
      </c>
      <c r="M92" s="303">
        <v>3447012</v>
      </c>
      <c r="N92" s="303">
        <v>2198632</v>
      </c>
      <c r="O92" s="12" t="s">
        <v>5025</v>
      </c>
      <c r="P92" s="12" t="s">
        <v>5026</v>
      </c>
    </row>
    <row r="93" spans="1:16" x14ac:dyDescent="0.3">
      <c r="A93" s="13">
        <v>43976.708333333336</v>
      </c>
      <c r="B93" s="12" t="s">
        <v>22</v>
      </c>
      <c r="C93" s="303">
        <v>8185</v>
      </c>
      <c r="D93" s="303">
        <v>541</v>
      </c>
      <c r="E93" s="303">
        <v>8726</v>
      </c>
      <c r="F93" s="303">
        <v>46574</v>
      </c>
      <c r="G93" s="303">
        <v>55300</v>
      </c>
      <c r="H93" s="303">
        <v>-1294</v>
      </c>
      <c r="I93" s="303">
        <v>300</v>
      </c>
      <c r="J93" s="303">
        <v>141981</v>
      </c>
      <c r="K93" s="303">
        <v>32877</v>
      </c>
      <c r="L93" s="303">
        <v>230158</v>
      </c>
      <c r="M93" s="303">
        <v>3482253</v>
      </c>
      <c r="N93" s="303">
        <v>2219308</v>
      </c>
      <c r="O93" s="12" t="s">
        <v>5027</v>
      </c>
      <c r="P93" s="12" t="s">
        <v>5028</v>
      </c>
    </row>
    <row r="94" spans="1:16" x14ac:dyDescent="0.3">
      <c r="A94" s="13">
        <v>43977.708333333336</v>
      </c>
      <c r="B94" s="12" t="s">
        <v>22</v>
      </c>
      <c r="C94" s="303">
        <v>7917</v>
      </c>
      <c r="D94" s="303">
        <v>521</v>
      </c>
      <c r="E94" s="303">
        <v>8438</v>
      </c>
      <c r="F94" s="303">
        <v>44504</v>
      </c>
      <c r="G94" s="303">
        <v>52942</v>
      </c>
      <c r="H94" s="303">
        <v>-2358</v>
      </c>
      <c r="I94" s="303">
        <v>397</v>
      </c>
      <c r="J94" s="303">
        <v>144658</v>
      </c>
      <c r="K94" s="303">
        <v>32955</v>
      </c>
      <c r="L94" s="303">
        <v>230555</v>
      </c>
      <c r="M94" s="303">
        <v>3539927</v>
      </c>
      <c r="N94" s="303">
        <v>2253252</v>
      </c>
      <c r="O94" s="12" t="s">
        <v>25</v>
      </c>
      <c r="P94" s="12" t="s">
        <v>25</v>
      </c>
    </row>
    <row r="95" spans="1:16" x14ac:dyDescent="0.3">
      <c r="A95" s="13">
        <v>43978.708333333336</v>
      </c>
      <c r="B95" s="12" t="s">
        <v>22</v>
      </c>
      <c r="C95" s="303">
        <v>7729</v>
      </c>
      <c r="D95" s="303">
        <v>505</v>
      </c>
      <c r="E95" s="303">
        <v>8234</v>
      </c>
      <c r="F95" s="303">
        <v>42732</v>
      </c>
      <c r="G95" s="303">
        <v>50966</v>
      </c>
      <c r="H95" s="303">
        <v>-1976</v>
      </c>
      <c r="I95" s="303">
        <v>584</v>
      </c>
      <c r="J95" s="303">
        <v>147101</v>
      </c>
      <c r="K95" s="303">
        <v>33072</v>
      </c>
      <c r="L95" s="303">
        <v>231139</v>
      </c>
      <c r="M95" s="303">
        <v>3607251</v>
      </c>
      <c r="N95" s="303">
        <v>2290551</v>
      </c>
      <c r="O95" s="12" t="s">
        <v>25</v>
      </c>
      <c r="P95" s="12" t="s">
        <v>25</v>
      </c>
    </row>
    <row r="96" spans="1:16" x14ac:dyDescent="0.3">
      <c r="A96" s="13">
        <v>43979.708333333336</v>
      </c>
      <c r="B96" s="12" t="s">
        <v>22</v>
      </c>
      <c r="C96" s="303">
        <v>7379</v>
      </c>
      <c r="D96" s="303">
        <v>489</v>
      </c>
      <c r="E96" s="303">
        <v>7868</v>
      </c>
      <c r="F96" s="303">
        <v>40118</v>
      </c>
      <c r="G96" s="303">
        <v>47986</v>
      </c>
      <c r="H96" s="303">
        <v>-2980</v>
      </c>
      <c r="I96" s="303">
        <v>593</v>
      </c>
      <c r="J96" s="303">
        <v>150604</v>
      </c>
      <c r="K96" s="303">
        <v>33142</v>
      </c>
      <c r="L96" s="303">
        <v>231732</v>
      </c>
      <c r="M96" s="303">
        <v>3683144</v>
      </c>
      <c r="N96" s="303">
        <v>2330389</v>
      </c>
      <c r="O96" s="12" t="s">
        <v>25</v>
      </c>
      <c r="P96" s="12" t="s">
        <v>25</v>
      </c>
    </row>
    <row r="97" spans="1:16" x14ac:dyDescent="0.3">
      <c r="A97" s="13">
        <v>43980.708333333336</v>
      </c>
      <c r="B97" s="12" t="s">
        <v>22</v>
      </c>
      <c r="C97" s="303">
        <v>7094</v>
      </c>
      <c r="D97" s="303">
        <v>475</v>
      </c>
      <c r="E97" s="303">
        <v>7569</v>
      </c>
      <c r="F97" s="303">
        <v>38606</v>
      </c>
      <c r="G97" s="303">
        <v>46175</v>
      </c>
      <c r="H97" s="303">
        <v>-1811</v>
      </c>
      <c r="I97" s="303">
        <v>516</v>
      </c>
      <c r="J97" s="303">
        <v>152844</v>
      </c>
      <c r="K97" s="303">
        <v>33229</v>
      </c>
      <c r="L97" s="303">
        <v>232248</v>
      </c>
      <c r="M97" s="303">
        <v>3755279</v>
      </c>
      <c r="N97" s="303">
        <v>2368622</v>
      </c>
      <c r="O97" s="12" t="s">
        <v>5029</v>
      </c>
      <c r="P97" s="12" t="s">
        <v>5030</v>
      </c>
    </row>
    <row r="98" spans="1:16" x14ac:dyDescent="0.3">
      <c r="A98" s="13">
        <v>43981.708333333336</v>
      </c>
      <c r="B98" s="12" t="s">
        <v>22</v>
      </c>
      <c r="C98" s="303">
        <v>6680</v>
      </c>
      <c r="D98" s="303">
        <v>450</v>
      </c>
      <c r="E98" s="303">
        <v>7130</v>
      </c>
      <c r="F98" s="303">
        <v>36561</v>
      </c>
      <c r="G98" s="303">
        <v>43691</v>
      </c>
      <c r="H98" s="303">
        <v>-2484</v>
      </c>
      <c r="I98" s="303">
        <v>416</v>
      </c>
      <c r="J98" s="303">
        <v>155633</v>
      </c>
      <c r="K98" s="303">
        <v>33340</v>
      </c>
      <c r="L98" s="303">
        <v>232664</v>
      </c>
      <c r="M98" s="303">
        <v>3824621</v>
      </c>
      <c r="N98" s="303">
        <v>2404673</v>
      </c>
      <c r="O98" s="12" t="s">
        <v>5031</v>
      </c>
      <c r="P98" s="12" t="s">
        <v>5032</v>
      </c>
    </row>
    <row r="99" spans="1:16" x14ac:dyDescent="0.3">
      <c r="A99" s="13">
        <v>43982.708333333336</v>
      </c>
      <c r="B99" s="12" t="s">
        <v>22</v>
      </c>
      <c r="C99" s="303">
        <v>6387</v>
      </c>
      <c r="D99" s="303">
        <v>435</v>
      </c>
      <c r="E99" s="303">
        <v>6822</v>
      </c>
      <c r="F99" s="303">
        <v>35275</v>
      </c>
      <c r="G99" s="303">
        <v>42097</v>
      </c>
      <c r="H99" s="303">
        <v>-1594</v>
      </c>
      <c r="I99" s="303">
        <v>355</v>
      </c>
      <c r="J99" s="303">
        <v>157507</v>
      </c>
      <c r="K99" s="303">
        <v>33415</v>
      </c>
      <c r="L99" s="303">
        <v>233019</v>
      </c>
      <c r="M99" s="303">
        <v>3878739</v>
      </c>
      <c r="N99" s="303">
        <v>2433621</v>
      </c>
      <c r="O99" s="12" t="s">
        <v>5033</v>
      </c>
      <c r="P99" s="12" t="s">
        <v>5034</v>
      </c>
    </row>
    <row r="100" spans="1:16" x14ac:dyDescent="0.3">
      <c r="A100" s="13">
        <v>43983.708333333336</v>
      </c>
      <c r="B100" s="12" t="s">
        <v>22</v>
      </c>
      <c r="C100" s="304">
        <v>6099</v>
      </c>
      <c r="D100" s="304">
        <v>424</v>
      </c>
      <c r="E100" s="304">
        <v>6523</v>
      </c>
      <c r="F100" s="304">
        <v>34844</v>
      </c>
      <c r="G100" s="304">
        <v>41367</v>
      </c>
      <c r="H100" s="304">
        <v>-730</v>
      </c>
      <c r="I100" s="304">
        <v>178</v>
      </c>
      <c r="J100" s="304">
        <v>158355</v>
      </c>
      <c r="K100" s="304">
        <v>33475</v>
      </c>
      <c r="L100" s="304">
        <v>233197</v>
      </c>
      <c r="M100" s="304">
        <v>3910133</v>
      </c>
      <c r="N100" s="304">
        <v>2451674</v>
      </c>
      <c r="O100" s="12" t="s">
        <v>25</v>
      </c>
      <c r="P100" s="12" t="s">
        <v>25</v>
      </c>
    </row>
    <row r="101" spans="1:16" x14ac:dyDescent="0.3">
      <c r="A101" s="13">
        <v>43984.708333333336</v>
      </c>
      <c r="B101" s="12" t="s">
        <v>22</v>
      </c>
      <c r="C101" s="304">
        <v>5916</v>
      </c>
      <c r="D101" s="304">
        <v>408</v>
      </c>
      <c r="E101" s="304">
        <v>6324</v>
      </c>
      <c r="F101" s="304">
        <v>33569</v>
      </c>
      <c r="G101" s="304">
        <v>39893</v>
      </c>
      <c r="H101" s="304">
        <v>-1474</v>
      </c>
      <c r="I101" s="304">
        <v>318</v>
      </c>
      <c r="J101" s="304">
        <v>160092</v>
      </c>
      <c r="K101" s="304">
        <v>33530</v>
      </c>
      <c r="L101" s="304">
        <v>233515</v>
      </c>
      <c r="M101" s="304">
        <v>3962292</v>
      </c>
      <c r="N101" s="304">
        <v>2477302</v>
      </c>
      <c r="O101" s="12" t="s">
        <v>25</v>
      </c>
      <c r="P101" s="12" t="s">
        <v>25</v>
      </c>
    </row>
    <row r="102" spans="1:16" x14ac:dyDescent="0.3">
      <c r="A102" s="13">
        <v>43985.708333333336</v>
      </c>
      <c r="B102" s="12" t="s">
        <v>22</v>
      </c>
      <c r="C102" s="305">
        <v>5742</v>
      </c>
      <c r="D102" s="305">
        <v>353</v>
      </c>
      <c r="E102" s="305">
        <v>6095</v>
      </c>
      <c r="F102" s="305">
        <v>33202</v>
      </c>
      <c r="G102" s="305">
        <v>39297</v>
      </c>
      <c r="H102" s="305">
        <v>-596</v>
      </c>
      <c r="I102" s="305">
        <v>321</v>
      </c>
      <c r="J102" s="305">
        <v>160938</v>
      </c>
      <c r="K102" s="305">
        <v>33601</v>
      </c>
      <c r="L102" s="305">
        <v>233836</v>
      </c>
      <c r="M102" s="305">
        <v>3999591</v>
      </c>
      <c r="N102" s="305">
        <v>2497337</v>
      </c>
      <c r="O102" s="12" t="s">
        <v>25</v>
      </c>
      <c r="P102" s="12" t="s">
        <v>25</v>
      </c>
    </row>
    <row r="103" spans="1:16" x14ac:dyDescent="0.3">
      <c r="A103" s="13">
        <v>43986.708333333336</v>
      </c>
      <c r="B103" s="12" t="s">
        <v>22</v>
      </c>
      <c r="C103" s="305">
        <v>5503</v>
      </c>
      <c r="D103" s="305">
        <v>338</v>
      </c>
      <c r="E103" s="305">
        <v>5841</v>
      </c>
      <c r="F103" s="305">
        <v>32588</v>
      </c>
      <c r="G103" s="305">
        <v>38429</v>
      </c>
      <c r="H103" s="305">
        <v>-868</v>
      </c>
      <c r="I103" s="305">
        <v>177</v>
      </c>
      <c r="J103" s="305">
        <v>161895</v>
      </c>
      <c r="K103" s="305">
        <v>33689</v>
      </c>
      <c r="L103" s="305">
        <v>234013</v>
      </c>
      <c r="M103" s="305">
        <v>4049544</v>
      </c>
      <c r="N103" s="305">
        <v>2524788</v>
      </c>
      <c r="O103" s="12" t="s">
        <v>5326</v>
      </c>
      <c r="P103" s="12" t="s">
        <v>5326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2143"/>
  <sheetViews>
    <sheetView topLeftCell="A1690" workbookViewId="0">
      <selection activeCell="A2110" sqref="A2110:XFD2110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90</v>
      </c>
      <c r="L1" t="s">
        <v>91</v>
      </c>
      <c r="M1" t="s">
        <v>92</v>
      </c>
      <c r="N1" t="s">
        <v>18</v>
      </c>
      <c r="O1" t="s">
        <v>19</v>
      </c>
      <c r="P1" t="s">
        <v>20</v>
      </c>
      <c r="Q1" t="s">
        <v>21</v>
      </c>
      <c r="R1" t="s">
        <v>194</v>
      </c>
      <c r="S1" t="s">
        <v>23</v>
      </c>
      <c r="T1" t="s">
        <v>24</v>
      </c>
    </row>
    <row r="2" spans="1:20" hidden="1" x14ac:dyDescent="0.3">
      <c r="A2" s="13">
        <v>43885.75</v>
      </c>
      <c r="B2" s="12" t="s">
        <v>22</v>
      </c>
      <c r="C2" s="82">
        <v>13</v>
      </c>
      <c r="D2" s="12" t="s">
        <v>42</v>
      </c>
      <c r="E2" s="82">
        <v>4235122196</v>
      </c>
      <c r="F2" s="82">
        <v>1339843823</v>
      </c>
      <c r="G2" s="82">
        <v>0</v>
      </c>
      <c r="H2" s="82">
        <v>0</v>
      </c>
      <c r="I2" s="82">
        <v>0</v>
      </c>
      <c r="J2" s="82">
        <v>0</v>
      </c>
      <c r="K2" s="82">
        <v>0</v>
      </c>
      <c r="L2" s="82">
        <v>0</v>
      </c>
      <c r="M2" s="82">
        <v>0</v>
      </c>
      <c r="N2" s="82">
        <v>0</v>
      </c>
      <c r="O2" s="82">
        <v>0</v>
      </c>
      <c r="P2" s="82">
        <v>0</v>
      </c>
      <c r="Q2" s="82">
        <v>5</v>
      </c>
      <c r="R2" s="12" t="s">
        <v>25</v>
      </c>
      <c r="S2" s="12" t="s">
        <v>25</v>
      </c>
      <c r="T2" s="12" t="s">
        <v>25</v>
      </c>
    </row>
    <row r="3" spans="1:20" hidden="1" x14ac:dyDescent="0.3">
      <c r="A3" s="13">
        <v>43885.75</v>
      </c>
      <c r="B3" s="12" t="s">
        <v>22</v>
      </c>
      <c r="C3" s="82">
        <v>17</v>
      </c>
      <c r="D3" s="12" t="s">
        <v>43</v>
      </c>
      <c r="E3" s="82">
        <v>4063947052</v>
      </c>
      <c r="F3" s="82">
        <v>1580514834</v>
      </c>
      <c r="G3" s="82">
        <v>0</v>
      </c>
      <c r="H3" s="82">
        <v>0</v>
      </c>
      <c r="I3" s="82">
        <v>0</v>
      </c>
      <c r="J3" s="82">
        <v>0</v>
      </c>
      <c r="K3" s="82">
        <v>0</v>
      </c>
      <c r="L3" s="82">
        <v>0</v>
      </c>
      <c r="M3" s="82">
        <v>0</v>
      </c>
      <c r="N3" s="82">
        <v>0</v>
      </c>
      <c r="O3" s="82">
        <v>0</v>
      </c>
      <c r="P3" s="82">
        <v>0</v>
      </c>
      <c r="Q3" s="82">
        <v>0</v>
      </c>
      <c r="R3" s="12" t="s">
        <v>25</v>
      </c>
      <c r="S3" s="12" t="s">
        <v>25</v>
      </c>
      <c r="T3" s="12" t="s">
        <v>25</v>
      </c>
    </row>
    <row r="4" spans="1:20" hidden="1" x14ac:dyDescent="0.3">
      <c r="A4" s="13">
        <v>43885.75</v>
      </c>
      <c r="B4" s="12" t="s">
        <v>22</v>
      </c>
      <c r="C4" s="82">
        <v>21</v>
      </c>
      <c r="D4" s="12" t="s">
        <v>44</v>
      </c>
      <c r="E4" s="82">
        <v>4649933453</v>
      </c>
      <c r="F4" s="82">
        <v>1135662422</v>
      </c>
      <c r="G4" s="82">
        <v>0</v>
      </c>
      <c r="H4" s="82">
        <v>0</v>
      </c>
      <c r="I4" s="82">
        <v>0</v>
      </c>
      <c r="J4" s="82">
        <v>0</v>
      </c>
      <c r="K4" s="82">
        <v>0</v>
      </c>
      <c r="L4" s="82">
        <v>0</v>
      </c>
      <c r="M4" s="82">
        <v>0</v>
      </c>
      <c r="N4" s="82">
        <v>0</v>
      </c>
      <c r="O4" s="82">
        <v>0</v>
      </c>
      <c r="P4" s="82">
        <v>0</v>
      </c>
      <c r="Q4" s="82">
        <v>1</v>
      </c>
      <c r="R4" s="12" t="s">
        <v>25</v>
      </c>
      <c r="S4" s="12" t="s">
        <v>25</v>
      </c>
      <c r="T4" s="12" t="s">
        <v>25</v>
      </c>
    </row>
    <row r="5" spans="1:20" hidden="1" x14ac:dyDescent="0.3">
      <c r="A5" s="13">
        <v>43885.75</v>
      </c>
      <c r="B5" s="12" t="s">
        <v>22</v>
      </c>
      <c r="C5" s="82">
        <v>18</v>
      </c>
      <c r="D5" s="12" t="s">
        <v>45</v>
      </c>
      <c r="E5" s="82">
        <v>3890597598</v>
      </c>
      <c r="F5" s="82">
        <v>1659440194</v>
      </c>
      <c r="G5" s="82">
        <v>0</v>
      </c>
      <c r="H5" s="82">
        <v>0</v>
      </c>
      <c r="I5" s="82">
        <v>0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1</v>
      </c>
      <c r="R5" s="12" t="s">
        <v>25</v>
      </c>
      <c r="S5" s="12" t="s">
        <v>25</v>
      </c>
      <c r="T5" s="12" t="s">
        <v>25</v>
      </c>
    </row>
    <row r="6" spans="1:20" hidden="1" x14ac:dyDescent="0.3">
      <c r="A6" s="13">
        <v>43885.75</v>
      </c>
      <c r="B6" s="12" t="s">
        <v>22</v>
      </c>
      <c r="C6" s="82">
        <v>15</v>
      </c>
      <c r="D6" s="12" t="s">
        <v>46</v>
      </c>
      <c r="E6" s="82">
        <v>4083956555</v>
      </c>
      <c r="F6" s="82">
        <v>1425084984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82">
        <v>0</v>
      </c>
      <c r="P6" s="82">
        <v>0</v>
      </c>
      <c r="Q6" s="82">
        <v>10</v>
      </c>
      <c r="R6" s="12" t="s">
        <v>25</v>
      </c>
      <c r="S6" s="12" t="s">
        <v>25</v>
      </c>
      <c r="T6" s="12" t="s">
        <v>25</v>
      </c>
    </row>
    <row r="7" spans="1:20" hidden="1" x14ac:dyDescent="0.3">
      <c r="A7" s="13">
        <v>43885.75</v>
      </c>
      <c r="B7" s="12" t="s">
        <v>22</v>
      </c>
      <c r="C7" s="82">
        <v>8</v>
      </c>
      <c r="D7" s="12" t="s">
        <v>95</v>
      </c>
      <c r="E7" s="82">
        <v>4449436681</v>
      </c>
      <c r="F7" s="82">
        <v>113417208</v>
      </c>
      <c r="G7" s="82">
        <v>10</v>
      </c>
      <c r="H7" s="82">
        <v>2</v>
      </c>
      <c r="I7" s="82">
        <v>12</v>
      </c>
      <c r="J7" s="82">
        <v>6</v>
      </c>
      <c r="K7" s="82">
        <v>18</v>
      </c>
      <c r="L7" s="82">
        <v>0</v>
      </c>
      <c r="M7" s="82">
        <v>18</v>
      </c>
      <c r="N7" s="82">
        <v>0</v>
      </c>
      <c r="O7" s="82">
        <v>0</v>
      </c>
      <c r="P7" s="82">
        <v>18</v>
      </c>
      <c r="Q7" s="82">
        <v>148</v>
      </c>
      <c r="R7" s="12" t="s">
        <v>25</v>
      </c>
      <c r="S7" s="12" t="s">
        <v>25</v>
      </c>
      <c r="T7" s="12" t="s">
        <v>25</v>
      </c>
    </row>
    <row r="8" spans="1:20" hidden="1" x14ac:dyDescent="0.3">
      <c r="A8" s="13">
        <v>43885.75</v>
      </c>
      <c r="B8" s="12" t="s">
        <v>22</v>
      </c>
      <c r="C8" s="82">
        <v>6</v>
      </c>
      <c r="D8" s="12" t="s">
        <v>47</v>
      </c>
      <c r="E8" s="82">
        <v>456494354</v>
      </c>
      <c r="F8" s="82">
        <v>1376813649</v>
      </c>
      <c r="G8" s="82">
        <v>0</v>
      </c>
      <c r="H8" s="82">
        <v>0</v>
      </c>
      <c r="I8" s="82">
        <v>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58</v>
      </c>
      <c r="R8" s="12" t="s">
        <v>25</v>
      </c>
      <c r="S8" s="12" t="s">
        <v>25</v>
      </c>
      <c r="T8" s="12" t="s">
        <v>25</v>
      </c>
    </row>
    <row r="9" spans="1:20" hidden="1" x14ac:dyDescent="0.3">
      <c r="A9" s="13">
        <v>43885.75</v>
      </c>
      <c r="B9" s="12" t="s">
        <v>22</v>
      </c>
      <c r="C9" s="82">
        <v>12</v>
      </c>
      <c r="D9" s="12" t="s">
        <v>48</v>
      </c>
      <c r="E9" s="82">
        <v>4189277044</v>
      </c>
      <c r="F9" s="82">
        <v>1248366722</v>
      </c>
      <c r="G9" s="82">
        <v>1</v>
      </c>
      <c r="H9" s="82">
        <v>1</v>
      </c>
      <c r="I9" s="82">
        <v>2</v>
      </c>
      <c r="J9" s="82">
        <v>0</v>
      </c>
      <c r="K9" s="82">
        <v>2</v>
      </c>
      <c r="L9" s="82">
        <v>0</v>
      </c>
      <c r="M9" s="82">
        <v>2</v>
      </c>
      <c r="N9" s="82">
        <v>1</v>
      </c>
      <c r="O9" s="82">
        <v>0</v>
      </c>
      <c r="P9" s="82">
        <v>3</v>
      </c>
      <c r="Q9" s="82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82">
        <v>7</v>
      </c>
      <c r="D10" s="12" t="s">
        <v>49</v>
      </c>
      <c r="E10" s="82">
        <v>4441149315</v>
      </c>
      <c r="F10" s="82">
        <v>89326992</v>
      </c>
      <c r="G10" s="82">
        <v>0</v>
      </c>
      <c r="H10" s="82">
        <v>0</v>
      </c>
      <c r="I10" s="82">
        <v>0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82">
        <v>0</v>
      </c>
      <c r="P10" s="82">
        <v>0</v>
      </c>
      <c r="Q10" s="82">
        <v>1</v>
      </c>
      <c r="R10" s="12" t="s">
        <v>25</v>
      </c>
      <c r="S10" s="12" t="s">
        <v>25</v>
      </c>
      <c r="T10" s="12" t="s">
        <v>25</v>
      </c>
    </row>
    <row r="11" spans="1:20" hidden="1" x14ac:dyDescent="0.3">
      <c r="A11" s="13">
        <v>43885.75</v>
      </c>
      <c r="B11" s="12" t="s">
        <v>22</v>
      </c>
      <c r="C11" s="82">
        <v>3</v>
      </c>
      <c r="D11" s="12" t="s">
        <v>50</v>
      </c>
      <c r="E11" s="82">
        <v>4546679409</v>
      </c>
      <c r="F11" s="82">
        <v>9190347404</v>
      </c>
      <c r="G11" s="82">
        <v>76</v>
      </c>
      <c r="H11" s="82">
        <v>19</v>
      </c>
      <c r="I11" s="82">
        <v>95</v>
      </c>
      <c r="J11" s="82">
        <v>71</v>
      </c>
      <c r="K11" s="82">
        <v>166</v>
      </c>
      <c r="L11" s="82">
        <v>0</v>
      </c>
      <c r="M11" s="82">
        <v>166</v>
      </c>
      <c r="N11" s="82">
        <v>0</v>
      </c>
      <c r="O11" s="82">
        <v>6</v>
      </c>
      <c r="P11" s="82">
        <v>172</v>
      </c>
      <c r="Q11" s="82">
        <v>1463</v>
      </c>
      <c r="R11" s="12" t="s">
        <v>25</v>
      </c>
      <c r="S11" s="12" t="s">
        <v>25</v>
      </c>
      <c r="T11" s="12" t="s">
        <v>25</v>
      </c>
    </row>
    <row r="12" spans="1:20" hidden="1" x14ac:dyDescent="0.3">
      <c r="A12" s="13">
        <v>43885.75</v>
      </c>
      <c r="B12" s="12" t="s">
        <v>22</v>
      </c>
      <c r="C12" s="82">
        <v>11</v>
      </c>
      <c r="D12" s="12" t="s">
        <v>51</v>
      </c>
      <c r="E12" s="82">
        <v>4361675973</v>
      </c>
      <c r="F12" s="82">
        <v>135188753</v>
      </c>
      <c r="G12" s="82">
        <v>0</v>
      </c>
      <c r="H12" s="82">
        <v>0</v>
      </c>
      <c r="I12" s="82">
        <v>0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16</v>
      </c>
      <c r="R12" s="12" t="s">
        <v>25</v>
      </c>
      <c r="S12" s="12" t="s">
        <v>25</v>
      </c>
      <c r="T12" s="12" t="s">
        <v>25</v>
      </c>
    </row>
    <row r="13" spans="1:20" hidden="1" x14ac:dyDescent="0.3">
      <c r="A13" s="13">
        <v>43885.75</v>
      </c>
      <c r="B13" s="12" t="s">
        <v>22</v>
      </c>
      <c r="C13" s="82">
        <v>14</v>
      </c>
      <c r="D13" s="12" t="s">
        <v>52</v>
      </c>
      <c r="E13" s="82">
        <v>4155774754</v>
      </c>
      <c r="F13" s="82">
        <v>1465916051</v>
      </c>
      <c r="G13" s="82">
        <v>0</v>
      </c>
      <c r="H13" s="82">
        <v>0</v>
      </c>
      <c r="I13" s="82">
        <v>0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12" t="s">
        <v>25</v>
      </c>
      <c r="S13" s="12" t="s">
        <v>25</v>
      </c>
      <c r="T13" s="12" t="s">
        <v>25</v>
      </c>
    </row>
    <row r="14" spans="1:20" hidden="1" x14ac:dyDescent="0.3">
      <c r="A14" s="13">
        <v>43885.75</v>
      </c>
      <c r="B14" s="12" t="s">
        <v>22</v>
      </c>
      <c r="C14" s="82">
        <v>1</v>
      </c>
      <c r="D14" s="12" t="s">
        <v>53</v>
      </c>
      <c r="E14" s="82">
        <v>450732745</v>
      </c>
      <c r="F14" s="82">
        <v>7680687483</v>
      </c>
      <c r="G14" s="82">
        <v>2</v>
      </c>
      <c r="H14" s="82">
        <v>0</v>
      </c>
      <c r="I14" s="82">
        <v>2</v>
      </c>
      <c r="J14" s="82">
        <v>1</v>
      </c>
      <c r="K14" s="82">
        <v>3</v>
      </c>
      <c r="L14" s="82">
        <v>0</v>
      </c>
      <c r="M14" s="82">
        <v>3</v>
      </c>
      <c r="N14" s="82">
        <v>0</v>
      </c>
      <c r="O14" s="82">
        <v>0</v>
      </c>
      <c r="P14" s="82">
        <v>3</v>
      </c>
      <c r="Q14" s="82">
        <v>141</v>
      </c>
      <c r="R14" s="12" t="s">
        <v>25</v>
      </c>
      <c r="S14" s="12" t="s">
        <v>25</v>
      </c>
      <c r="T14" s="12" t="s">
        <v>25</v>
      </c>
    </row>
    <row r="15" spans="1:20" hidden="1" x14ac:dyDescent="0.3">
      <c r="A15" s="13">
        <v>43885.75</v>
      </c>
      <c r="B15" s="12" t="s">
        <v>22</v>
      </c>
      <c r="C15" s="82">
        <v>16</v>
      </c>
      <c r="D15" s="12" t="s">
        <v>54</v>
      </c>
      <c r="E15" s="82">
        <v>4112559576</v>
      </c>
      <c r="F15" s="82">
        <v>1686736689</v>
      </c>
      <c r="G15" s="82">
        <v>0</v>
      </c>
      <c r="H15" s="82">
        <v>0</v>
      </c>
      <c r="I15" s="82">
        <v>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12" t="s">
        <v>25</v>
      </c>
      <c r="S15" s="12" t="s">
        <v>25</v>
      </c>
      <c r="T15" s="12" t="s">
        <v>25</v>
      </c>
    </row>
    <row r="16" spans="1:20" hidden="1" x14ac:dyDescent="0.3">
      <c r="A16" s="13">
        <v>43885.75</v>
      </c>
      <c r="B16" s="12" t="s">
        <v>22</v>
      </c>
      <c r="C16" s="82">
        <v>20</v>
      </c>
      <c r="D16" s="12" t="s">
        <v>55</v>
      </c>
      <c r="E16" s="82">
        <v>3921531192</v>
      </c>
      <c r="F16" s="82">
        <v>9110616306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1</v>
      </c>
      <c r="R16" s="12" t="s">
        <v>25</v>
      </c>
      <c r="S16" s="12" t="s">
        <v>25</v>
      </c>
      <c r="T16" s="12" t="s">
        <v>25</v>
      </c>
    </row>
    <row r="17" spans="1:20" hidden="1" x14ac:dyDescent="0.3">
      <c r="A17" s="13">
        <v>43885.75</v>
      </c>
      <c r="B17" s="12" t="s">
        <v>22</v>
      </c>
      <c r="C17" s="82">
        <v>19</v>
      </c>
      <c r="D17" s="12" t="s">
        <v>56</v>
      </c>
      <c r="E17" s="82">
        <v>3811569725</v>
      </c>
      <c r="F17" s="82">
        <v>133623567</v>
      </c>
      <c r="G17" s="82">
        <v>0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5</v>
      </c>
      <c r="R17" s="12" t="s">
        <v>25</v>
      </c>
      <c r="S17" s="12" t="s">
        <v>25</v>
      </c>
      <c r="T17" s="12" t="s">
        <v>25</v>
      </c>
    </row>
    <row r="18" spans="1:20" hidden="1" x14ac:dyDescent="0.3">
      <c r="A18" s="13">
        <v>43885.75</v>
      </c>
      <c r="B18" s="12" t="s">
        <v>22</v>
      </c>
      <c r="C18" s="82">
        <v>9</v>
      </c>
      <c r="D18" s="12" t="s">
        <v>57</v>
      </c>
      <c r="E18" s="82">
        <v>4376923077</v>
      </c>
      <c r="F18" s="82">
        <v>1125588885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140</v>
      </c>
      <c r="R18" s="12" t="s">
        <v>25</v>
      </c>
      <c r="S18" s="12" t="s">
        <v>25</v>
      </c>
      <c r="T18" s="12" t="s">
        <v>25</v>
      </c>
    </row>
    <row r="19" spans="1:20" hidden="1" x14ac:dyDescent="0.3">
      <c r="A19" s="13">
        <v>43885.75</v>
      </c>
      <c r="B19" s="12" t="s">
        <v>22</v>
      </c>
      <c r="C19" s="82">
        <v>22</v>
      </c>
      <c r="D19" s="12" t="s">
        <v>58</v>
      </c>
      <c r="E19" s="82">
        <v>4606893511</v>
      </c>
      <c r="F19" s="82">
        <v>1112123097</v>
      </c>
      <c r="G19" s="82">
        <v>0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3</v>
      </c>
      <c r="R19" s="12" t="s">
        <v>25</v>
      </c>
      <c r="S19" s="12" t="s">
        <v>25</v>
      </c>
      <c r="T19" s="12" t="s">
        <v>25</v>
      </c>
    </row>
    <row r="20" spans="1:20" hidden="1" x14ac:dyDescent="0.3">
      <c r="A20" s="13">
        <v>43885.75</v>
      </c>
      <c r="B20" s="12" t="s">
        <v>22</v>
      </c>
      <c r="C20" s="82">
        <v>10</v>
      </c>
      <c r="D20" s="12" t="s">
        <v>59</v>
      </c>
      <c r="E20" s="82">
        <v>4310675841</v>
      </c>
      <c r="F20" s="82">
        <v>1238824698</v>
      </c>
      <c r="G20" s="82">
        <v>0</v>
      </c>
      <c r="H20" s="82">
        <v>0</v>
      </c>
      <c r="I20" s="82">
        <v>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  <c r="R20" s="12" t="s">
        <v>25</v>
      </c>
      <c r="S20" s="12" t="s">
        <v>25</v>
      </c>
      <c r="T20" s="12" t="s">
        <v>25</v>
      </c>
    </row>
    <row r="21" spans="1:20" hidden="1" x14ac:dyDescent="0.3">
      <c r="A21" s="13">
        <v>43885.75</v>
      </c>
      <c r="B21" s="12" t="s">
        <v>22</v>
      </c>
      <c r="C21" s="82">
        <v>2</v>
      </c>
      <c r="D21" s="12" t="s">
        <v>60</v>
      </c>
      <c r="E21" s="82">
        <v>4573750286</v>
      </c>
      <c r="F21" s="82">
        <v>7320149366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7</v>
      </c>
      <c r="R21" s="12" t="s">
        <v>25</v>
      </c>
      <c r="S21" s="12" t="s">
        <v>25</v>
      </c>
      <c r="T21" s="12" t="s">
        <v>25</v>
      </c>
    </row>
    <row r="22" spans="1:20" hidden="1" x14ac:dyDescent="0.3">
      <c r="A22" s="13">
        <v>43885.75</v>
      </c>
      <c r="B22" s="12" t="s">
        <v>22</v>
      </c>
      <c r="C22" s="82">
        <v>5</v>
      </c>
      <c r="D22" s="12" t="s">
        <v>61</v>
      </c>
      <c r="E22" s="82">
        <v>4543490485</v>
      </c>
      <c r="F22" s="82">
        <v>1233845213</v>
      </c>
      <c r="G22" s="82">
        <v>12</v>
      </c>
      <c r="H22" s="82">
        <v>4</v>
      </c>
      <c r="I22" s="82">
        <v>16</v>
      </c>
      <c r="J22" s="82">
        <v>16</v>
      </c>
      <c r="K22" s="82">
        <v>32</v>
      </c>
      <c r="L22" s="82">
        <v>0</v>
      </c>
      <c r="M22" s="82">
        <v>32</v>
      </c>
      <c r="N22" s="82">
        <v>0</v>
      </c>
      <c r="O22" s="82">
        <v>1</v>
      </c>
      <c r="P22" s="82">
        <v>33</v>
      </c>
      <c r="Q22" s="82">
        <v>2200</v>
      </c>
      <c r="R22" s="12" t="s">
        <v>25</v>
      </c>
      <c r="S22" s="12" t="s">
        <v>25</v>
      </c>
      <c r="T22" s="12" t="s">
        <v>25</v>
      </c>
    </row>
    <row r="23" spans="1:20" hidden="1" x14ac:dyDescent="0.3">
      <c r="A23" s="13">
        <v>43886.75</v>
      </c>
      <c r="B23" s="12" t="s">
        <v>22</v>
      </c>
      <c r="C23" s="82">
        <v>13</v>
      </c>
      <c r="D23" s="12" t="s">
        <v>42</v>
      </c>
      <c r="E23" s="82">
        <v>4235122196</v>
      </c>
      <c r="F23" s="82">
        <v>1339843823</v>
      </c>
      <c r="G23" s="82">
        <v>0</v>
      </c>
      <c r="H23" s="82">
        <v>0</v>
      </c>
      <c r="I23" s="82">
        <v>0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5</v>
      </c>
      <c r="R23" s="12" t="s">
        <v>25</v>
      </c>
      <c r="S23" s="12" t="s">
        <v>25</v>
      </c>
      <c r="T23" s="12" t="s">
        <v>25</v>
      </c>
    </row>
    <row r="24" spans="1:20" hidden="1" x14ac:dyDescent="0.3">
      <c r="A24" s="13">
        <v>43886.75</v>
      </c>
      <c r="B24" s="12" t="s">
        <v>22</v>
      </c>
      <c r="C24" s="82">
        <v>17</v>
      </c>
      <c r="D24" s="12" t="s">
        <v>43</v>
      </c>
      <c r="E24" s="82">
        <v>4063947052</v>
      </c>
      <c r="F24" s="82">
        <v>1580514834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12" t="s">
        <v>25</v>
      </c>
      <c r="S24" s="12" t="s">
        <v>25</v>
      </c>
      <c r="T24" s="12" t="s">
        <v>25</v>
      </c>
    </row>
    <row r="25" spans="1:20" hidden="1" x14ac:dyDescent="0.3">
      <c r="A25" s="13">
        <v>43886.75</v>
      </c>
      <c r="B25" s="12" t="s">
        <v>22</v>
      </c>
      <c r="C25" s="82">
        <v>21</v>
      </c>
      <c r="D25" s="12" t="s">
        <v>44</v>
      </c>
      <c r="E25" s="82">
        <v>4649933453</v>
      </c>
      <c r="F25" s="82">
        <v>1135662422</v>
      </c>
      <c r="G25" s="82">
        <v>1</v>
      </c>
      <c r="H25" s="82">
        <v>0</v>
      </c>
      <c r="I25" s="82">
        <v>1</v>
      </c>
      <c r="J25" s="82">
        <v>0</v>
      </c>
      <c r="K25" s="82">
        <v>1</v>
      </c>
      <c r="L25" s="82">
        <v>1</v>
      </c>
      <c r="M25" s="82">
        <v>1</v>
      </c>
      <c r="N25" s="82">
        <v>0</v>
      </c>
      <c r="O25" s="82">
        <v>0</v>
      </c>
      <c r="P25" s="82">
        <v>1</v>
      </c>
      <c r="Q25" s="82">
        <v>1</v>
      </c>
      <c r="R25" s="12" t="s">
        <v>25</v>
      </c>
      <c r="S25" s="12" t="s">
        <v>25</v>
      </c>
      <c r="T25" s="12" t="s">
        <v>25</v>
      </c>
    </row>
    <row r="26" spans="1:20" hidden="1" x14ac:dyDescent="0.3">
      <c r="A26" s="13">
        <v>43886.75</v>
      </c>
      <c r="B26" s="12" t="s">
        <v>22</v>
      </c>
      <c r="C26" s="82">
        <v>18</v>
      </c>
      <c r="D26" s="12" t="s">
        <v>45</v>
      </c>
      <c r="E26" s="82">
        <v>3890597598</v>
      </c>
      <c r="F26" s="82">
        <v>1659440194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2</v>
      </c>
      <c r="R26" s="12" t="s">
        <v>25</v>
      </c>
      <c r="S26" s="12" t="s">
        <v>25</v>
      </c>
      <c r="T26" s="12" t="s">
        <v>25</v>
      </c>
    </row>
    <row r="27" spans="1:20" hidden="1" x14ac:dyDescent="0.3">
      <c r="A27" s="13">
        <v>43886.75</v>
      </c>
      <c r="B27" s="12" t="s">
        <v>22</v>
      </c>
      <c r="C27" s="82">
        <v>15</v>
      </c>
      <c r="D27" s="12" t="s">
        <v>46</v>
      </c>
      <c r="E27" s="82">
        <v>4083956555</v>
      </c>
      <c r="F27" s="82">
        <v>1425084984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10</v>
      </c>
      <c r="R27" s="12" t="s">
        <v>25</v>
      </c>
      <c r="S27" s="12" t="s">
        <v>25</v>
      </c>
      <c r="T27" s="12" t="s">
        <v>25</v>
      </c>
    </row>
    <row r="28" spans="1:20" hidden="1" x14ac:dyDescent="0.3">
      <c r="A28" s="13">
        <v>43886.75</v>
      </c>
      <c r="B28" s="12" t="s">
        <v>22</v>
      </c>
      <c r="C28" s="82">
        <v>8</v>
      </c>
      <c r="D28" s="12" t="s">
        <v>95</v>
      </c>
      <c r="E28" s="82">
        <v>4449436681</v>
      </c>
      <c r="F28" s="82">
        <v>113417208</v>
      </c>
      <c r="G28" s="82">
        <v>15</v>
      </c>
      <c r="H28" s="82">
        <v>2</v>
      </c>
      <c r="I28" s="82">
        <v>17</v>
      </c>
      <c r="J28" s="82">
        <v>9</v>
      </c>
      <c r="K28" s="82">
        <v>26</v>
      </c>
      <c r="L28" s="82">
        <v>8</v>
      </c>
      <c r="M28" s="82">
        <v>8</v>
      </c>
      <c r="N28" s="82">
        <v>0</v>
      </c>
      <c r="O28" s="82">
        <v>0</v>
      </c>
      <c r="P28" s="82">
        <v>26</v>
      </c>
      <c r="Q28" s="82">
        <v>391</v>
      </c>
      <c r="R28" s="12" t="s">
        <v>25</v>
      </c>
      <c r="S28" s="12" t="s">
        <v>25</v>
      </c>
      <c r="T28" s="12" t="s">
        <v>25</v>
      </c>
    </row>
    <row r="29" spans="1:20" hidden="1" x14ac:dyDescent="0.3">
      <c r="A29" s="13">
        <v>43886.75</v>
      </c>
      <c r="B29" s="12" t="s">
        <v>22</v>
      </c>
      <c r="C29" s="82">
        <v>6</v>
      </c>
      <c r="D29" s="12" t="s">
        <v>47</v>
      </c>
      <c r="E29" s="82">
        <v>456494354</v>
      </c>
      <c r="F29" s="82">
        <v>1376813649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89</v>
      </c>
      <c r="R29" s="12" t="s">
        <v>25</v>
      </c>
      <c r="S29" s="12" t="s">
        <v>25</v>
      </c>
      <c r="T29" s="12" t="s">
        <v>25</v>
      </c>
    </row>
    <row r="30" spans="1:20" hidden="1" x14ac:dyDescent="0.3">
      <c r="A30" s="13">
        <v>43886.75</v>
      </c>
      <c r="B30" s="12" t="s">
        <v>22</v>
      </c>
      <c r="C30" s="82">
        <v>12</v>
      </c>
      <c r="D30" s="12" t="s">
        <v>48</v>
      </c>
      <c r="E30" s="82">
        <v>4189277044</v>
      </c>
      <c r="F30" s="82">
        <v>1248366722</v>
      </c>
      <c r="G30" s="82">
        <v>1</v>
      </c>
      <c r="H30" s="82">
        <v>1</v>
      </c>
      <c r="I30" s="82">
        <v>2</v>
      </c>
      <c r="J30" s="82">
        <v>0</v>
      </c>
      <c r="K30" s="82">
        <v>2</v>
      </c>
      <c r="L30" s="82">
        <v>0</v>
      </c>
      <c r="M30" s="82">
        <v>0</v>
      </c>
      <c r="N30" s="82">
        <v>1</v>
      </c>
      <c r="O30" s="82">
        <v>0</v>
      </c>
      <c r="P30" s="82">
        <v>3</v>
      </c>
      <c r="Q30" s="82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82">
        <v>7</v>
      </c>
      <c r="D31" s="12" t="s">
        <v>49</v>
      </c>
      <c r="E31" s="82">
        <v>4441149315</v>
      </c>
      <c r="F31" s="82">
        <v>89326992</v>
      </c>
      <c r="G31" s="82">
        <v>1</v>
      </c>
      <c r="H31" s="82">
        <v>0</v>
      </c>
      <c r="I31" s="82">
        <v>1</v>
      </c>
      <c r="J31" s="82">
        <v>0</v>
      </c>
      <c r="K31" s="82">
        <v>1</v>
      </c>
      <c r="L31" s="82">
        <v>1</v>
      </c>
      <c r="M31" s="82">
        <v>1</v>
      </c>
      <c r="N31" s="82">
        <v>0</v>
      </c>
      <c r="O31" s="82">
        <v>0</v>
      </c>
      <c r="P31" s="82">
        <v>1</v>
      </c>
      <c r="Q31" s="82">
        <v>39</v>
      </c>
      <c r="R31" s="12" t="s">
        <v>25</v>
      </c>
      <c r="S31" s="12" t="s">
        <v>25</v>
      </c>
      <c r="T31" s="12" t="s">
        <v>25</v>
      </c>
    </row>
    <row r="32" spans="1:20" hidden="1" x14ac:dyDescent="0.3">
      <c r="A32" s="13">
        <v>43886.75</v>
      </c>
      <c r="B32" s="12" t="s">
        <v>22</v>
      </c>
      <c r="C32" s="82">
        <v>3</v>
      </c>
      <c r="D32" s="12" t="s">
        <v>50</v>
      </c>
      <c r="E32" s="82">
        <v>4546679409</v>
      </c>
      <c r="F32" s="82">
        <v>9190347404</v>
      </c>
      <c r="G32" s="82">
        <v>79</v>
      </c>
      <c r="H32" s="82">
        <v>25</v>
      </c>
      <c r="I32" s="82">
        <v>104</v>
      </c>
      <c r="J32" s="82">
        <v>127</v>
      </c>
      <c r="K32" s="82">
        <v>231</v>
      </c>
      <c r="L32" s="82">
        <v>65</v>
      </c>
      <c r="M32" s="82">
        <v>68</v>
      </c>
      <c r="N32" s="82">
        <v>0</v>
      </c>
      <c r="O32" s="82">
        <v>9</v>
      </c>
      <c r="P32" s="82">
        <v>240</v>
      </c>
      <c r="Q32" s="82">
        <v>3700</v>
      </c>
      <c r="R32" s="12" t="s">
        <v>25</v>
      </c>
      <c r="S32" s="12" t="s">
        <v>25</v>
      </c>
      <c r="T32" s="12" t="s">
        <v>25</v>
      </c>
    </row>
    <row r="33" spans="1:20" hidden="1" x14ac:dyDescent="0.3">
      <c r="A33" s="13">
        <v>43886.75</v>
      </c>
      <c r="B33" s="12" t="s">
        <v>22</v>
      </c>
      <c r="C33" s="82">
        <v>11</v>
      </c>
      <c r="D33" s="12" t="s">
        <v>51</v>
      </c>
      <c r="E33" s="82">
        <v>4361675973</v>
      </c>
      <c r="F33" s="82">
        <v>135188753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21</v>
      </c>
      <c r="R33" s="12" t="s">
        <v>25</v>
      </c>
      <c r="S33" s="12" t="s">
        <v>25</v>
      </c>
      <c r="T33" s="12" t="s">
        <v>25</v>
      </c>
    </row>
    <row r="34" spans="1:20" hidden="1" x14ac:dyDescent="0.3">
      <c r="A34" s="13">
        <v>43886.75</v>
      </c>
      <c r="B34" s="12" t="s">
        <v>22</v>
      </c>
      <c r="C34" s="82">
        <v>14</v>
      </c>
      <c r="D34" s="12" t="s">
        <v>52</v>
      </c>
      <c r="E34" s="82">
        <v>4155774754</v>
      </c>
      <c r="F34" s="82">
        <v>1465916051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12" t="s">
        <v>25</v>
      </c>
      <c r="S34" s="12" t="s">
        <v>25</v>
      </c>
      <c r="T34" s="12" t="s">
        <v>25</v>
      </c>
    </row>
    <row r="35" spans="1:20" hidden="1" x14ac:dyDescent="0.3">
      <c r="A35" s="13">
        <v>43886.75</v>
      </c>
      <c r="B35" s="12" t="s">
        <v>22</v>
      </c>
      <c r="C35" s="82">
        <v>1</v>
      </c>
      <c r="D35" s="12" t="s">
        <v>53</v>
      </c>
      <c r="E35" s="82">
        <v>450732745</v>
      </c>
      <c r="F35" s="82">
        <v>7680687483</v>
      </c>
      <c r="G35" s="82">
        <v>2</v>
      </c>
      <c r="H35" s="82">
        <v>0</v>
      </c>
      <c r="I35" s="82">
        <v>2</v>
      </c>
      <c r="J35" s="82">
        <v>1</v>
      </c>
      <c r="K35" s="82">
        <v>3</v>
      </c>
      <c r="L35" s="82">
        <v>0</v>
      </c>
      <c r="M35" s="82">
        <v>0</v>
      </c>
      <c r="N35" s="82">
        <v>0</v>
      </c>
      <c r="O35" s="82">
        <v>0</v>
      </c>
      <c r="P35" s="82">
        <v>3</v>
      </c>
      <c r="Q35" s="82">
        <v>141</v>
      </c>
      <c r="R35" s="12" t="s">
        <v>25</v>
      </c>
      <c r="S35" s="12" t="s">
        <v>25</v>
      </c>
      <c r="T35" s="12" t="s">
        <v>25</v>
      </c>
    </row>
    <row r="36" spans="1:20" hidden="1" x14ac:dyDescent="0.3">
      <c r="A36" s="13">
        <v>43886.75</v>
      </c>
      <c r="B36" s="12" t="s">
        <v>22</v>
      </c>
      <c r="C36" s="82">
        <v>16</v>
      </c>
      <c r="D36" s="12" t="s">
        <v>54</v>
      </c>
      <c r="E36" s="82">
        <v>4112559576</v>
      </c>
      <c r="F36" s="82">
        <v>1686736689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12" t="s">
        <v>25</v>
      </c>
      <c r="S36" s="12" t="s">
        <v>25</v>
      </c>
      <c r="T36" s="12" t="s">
        <v>25</v>
      </c>
    </row>
    <row r="37" spans="1:20" hidden="1" x14ac:dyDescent="0.3">
      <c r="A37" s="13">
        <v>43886.75</v>
      </c>
      <c r="B37" s="12" t="s">
        <v>22</v>
      </c>
      <c r="C37" s="82">
        <v>20</v>
      </c>
      <c r="D37" s="12" t="s">
        <v>55</v>
      </c>
      <c r="E37" s="82">
        <v>3921531192</v>
      </c>
      <c r="F37" s="82">
        <v>9110616306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1</v>
      </c>
      <c r="R37" s="12" t="s">
        <v>25</v>
      </c>
      <c r="S37" s="12" t="s">
        <v>25</v>
      </c>
      <c r="T37" s="12" t="s">
        <v>25</v>
      </c>
    </row>
    <row r="38" spans="1:20" hidden="1" x14ac:dyDescent="0.3">
      <c r="A38" s="13">
        <v>43886.75</v>
      </c>
      <c r="B38" s="12" t="s">
        <v>22</v>
      </c>
      <c r="C38" s="82">
        <v>19</v>
      </c>
      <c r="D38" s="12" t="s">
        <v>56</v>
      </c>
      <c r="E38" s="82">
        <v>3811569725</v>
      </c>
      <c r="F38" s="82">
        <v>133623567</v>
      </c>
      <c r="G38" s="82">
        <v>1</v>
      </c>
      <c r="H38" s="82">
        <v>0</v>
      </c>
      <c r="I38" s="82">
        <v>1</v>
      </c>
      <c r="J38" s="82">
        <v>2</v>
      </c>
      <c r="K38" s="82">
        <v>3</v>
      </c>
      <c r="L38" s="82">
        <v>3</v>
      </c>
      <c r="M38" s="82">
        <v>3</v>
      </c>
      <c r="N38" s="82">
        <v>0</v>
      </c>
      <c r="O38" s="82">
        <v>0</v>
      </c>
      <c r="P38" s="82">
        <v>3</v>
      </c>
      <c r="Q38" s="82">
        <v>5</v>
      </c>
      <c r="R38" s="12" t="s">
        <v>25</v>
      </c>
      <c r="S38" s="12" t="s">
        <v>25</v>
      </c>
      <c r="T38" s="12" t="s">
        <v>25</v>
      </c>
    </row>
    <row r="39" spans="1:20" hidden="1" x14ac:dyDescent="0.3">
      <c r="A39" s="13">
        <v>43886.75</v>
      </c>
      <c r="B39" s="12" t="s">
        <v>22</v>
      </c>
      <c r="C39" s="82">
        <v>9</v>
      </c>
      <c r="D39" s="12" t="s">
        <v>57</v>
      </c>
      <c r="E39" s="82">
        <v>4376923077</v>
      </c>
      <c r="F39" s="82">
        <v>1125588885</v>
      </c>
      <c r="G39" s="82">
        <v>2</v>
      </c>
      <c r="H39" s="82">
        <v>0</v>
      </c>
      <c r="I39" s="82">
        <v>2</v>
      </c>
      <c r="J39" s="82">
        <v>0</v>
      </c>
      <c r="K39" s="82">
        <v>2</v>
      </c>
      <c r="L39" s="82">
        <v>2</v>
      </c>
      <c r="M39" s="82">
        <v>2</v>
      </c>
      <c r="N39" s="82">
        <v>0</v>
      </c>
      <c r="O39" s="82">
        <v>0</v>
      </c>
      <c r="P39" s="82">
        <v>2</v>
      </c>
      <c r="Q39" s="82">
        <v>296</v>
      </c>
      <c r="R39" s="12" t="s">
        <v>25</v>
      </c>
      <c r="S39" s="12" t="s">
        <v>25</v>
      </c>
      <c r="T39" s="12" t="s">
        <v>25</v>
      </c>
    </row>
    <row r="40" spans="1:20" hidden="1" x14ac:dyDescent="0.3">
      <c r="A40" s="13">
        <v>43886.75</v>
      </c>
      <c r="B40" s="12" t="s">
        <v>22</v>
      </c>
      <c r="C40" s="82">
        <v>22</v>
      </c>
      <c r="D40" s="12" t="s">
        <v>58</v>
      </c>
      <c r="E40" s="82">
        <v>4606893511</v>
      </c>
      <c r="F40" s="82">
        <v>1112123097</v>
      </c>
      <c r="G40" s="82">
        <v>0</v>
      </c>
      <c r="H40" s="82">
        <v>0</v>
      </c>
      <c r="I40" s="82">
        <v>0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3</v>
      </c>
      <c r="R40" s="12" t="s">
        <v>25</v>
      </c>
      <c r="S40" s="12" t="s">
        <v>25</v>
      </c>
      <c r="T40" s="12" t="s">
        <v>25</v>
      </c>
    </row>
    <row r="41" spans="1:20" hidden="1" x14ac:dyDescent="0.3">
      <c r="A41" s="13">
        <v>43886.75</v>
      </c>
      <c r="B41" s="12" t="s">
        <v>22</v>
      </c>
      <c r="C41" s="82">
        <v>10</v>
      </c>
      <c r="D41" s="12" t="s">
        <v>59</v>
      </c>
      <c r="E41" s="82">
        <v>4310675841</v>
      </c>
      <c r="F41" s="82">
        <v>1238824698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8</v>
      </c>
      <c r="R41" s="12" t="s">
        <v>25</v>
      </c>
      <c r="S41" s="12" t="s">
        <v>25</v>
      </c>
      <c r="T41" s="12" t="s">
        <v>25</v>
      </c>
    </row>
    <row r="42" spans="1:20" hidden="1" x14ac:dyDescent="0.3">
      <c r="A42" s="13">
        <v>43886.75</v>
      </c>
      <c r="B42" s="12" t="s">
        <v>22</v>
      </c>
      <c r="C42" s="82">
        <v>2</v>
      </c>
      <c r="D42" s="12" t="s">
        <v>60</v>
      </c>
      <c r="E42" s="82">
        <v>4573750286</v>
      </c>
      <c r="F42" s="82">
        <v>7320149366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7</v>
      </c>
      <c r="R42" s="12" t="s">
        <v>25</v>
      </c>
      <c r="S42" s="12" t="s">
        <v>25</v>
      </c>
      <c r="T42" s="12" t="s">
        <v>25</v>
      </c>
    </row>
    <row r="43" spans="1:20" hidden="1" x14ac:dyDescent="0.3">
      <c r="A43" s="13">
        <v>43886.75</v>
      </c>
      <c r="B43" s="12" t="s">
        <v>22</v>
      </c>
      <c r="C43" s="82">
        <v>5</v>
      </c>
      <c r="D43" s="12" t="s">
        <v>61</v>
      </c>
      <c r="E43" s="82">
        <v>4543490485</v>
      </c>
      <c r="F43" s="82">
        <v>1233845213</v>
      </c>
      <c r="G43" s="82">
        <v>12</v>
      </c>
      <c r="H43" s="82">
        <v>7</v>
      </c>
      <c r="I43" s="82">
        <v>19</v>
      </c>
      <c r="J43" s="82">
        <v>23</v>
      </c>
      <c r="K43" s="82">
        <v>42</v>
      </c>
      <c r="L43" s="82">
        <v>10</v>
      </c>
      <c r="M43" s="82">
        <v>10</v>
      </c>
      <c r="N43" s="82">
        <v>0</v>
      </c>
      <c r="O43" s="82">
        <v>1</v>
      </c>
      <c r="P43" s="82">
        <v>43</v>
      </c>
      <c r="Q43" s="82">
        <v>3780</v>
      </c>
      <c r="R43" s="12" t="s">
        <v>25</v>
      </c>
      <c r="S43" s="12" t="s">
        <v>25</v>
      </c>
      <c r="T43" s="12" t="s">
        <v>25</v>
      </c>
    </row>
    <row r="44" spans="1:20" hidden="1" x14ac:dyDescent="0.3">
      <c r="A44" s="13">
        <v>43887.75</v>
      </c>
      <c r="B44" s="12" t="s">
        <v>22</v>
      </c>
      <c r="C44" s="82">
        <v>13</v>
      </c>
      <c r="D44" s="12" t="s">
        <v>42</v>
      </c>
      <c r="E44" s="82">
        <v>4235122196</v>
      </c>
      <c r="F44" s="82">
        <v>1339843823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13</v>
      </c>
      <c r="R44" s="12" t="s">
        <v>25</v>
      </c>
      <c r="S44" s="12" t="s">
        <v>25</v>
      </c>
      <c r="T44" s="12" t="s">
        <v>25</v>
      </c>
    </row>
    <row r="45" spans="1:20" hidden="1" x14ac:dyDescent="0.3">
      <c r="A45" s="13">
        <v>43887.75</v>
      </c>
      <c r="B45" s="12" t="s">
        <v>22</v>
      </c>
      <c r="C45" s="82">
        <v>17</v>
      </c>
      <c r="D45" s="12" t="s">
        <v>43</v>
      </c>
      <c r="E45" s="82">
        <v>4063947052</v>
      </c>
      <c r="F45" s="82">
        <v>1580514834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12" t="s">
        <v>25</v>
      </c>
      <c r="S45" s="12" t="s">
        <v>25</v>
      </c>
      <c r="T45" s="12" t="s">
        <v>25</v>
      </c>
    </row>
    <row r="46" spans="1:20" hidden="1" x14ac:dyDescent="0.3">
      <c r="A46" s="13">
        <v>43887.75</v>
      </c>
      <c r="B46" s="12" t="s">
        <v>22</v>
      </c>
      <c r="C46" s="82">
        <v>21</v>
      </c>
      <c r="D46" s="12" t="s">
        <v>44</v>
      </c>
      <c r="E46" s="82">
        <v>4649933453</v>
      </c>
      <c r="F46" s="82">
        <v>1135662422</v>
      </c>
      <c r="G46" s="82">
        <v>1</v>
      </c>
      <c r="H46" s="82">
        <v>0</v>
      </c>
      <c r="I46" s="82">
        <v>1</v>
      </c>
      <c r="J46" s="82">
        <v>0</v>
      </c>
      <c r="K46" s="82">
        <v>1</v>
      </c>
      <c r="L46" s="82">
        <v>0</v>
      </c>
      <c r="M46" s="82">
        <v>0</v>
      </c>
      <c r="N46" s="82">
        <v>0</v>
      </c>
      <c r="O46" s="82">
        <v>0</v>
      </c>
      <c r="P46" s="82">
        <v>1</v>
      </c>
      <c r="Q46" s="82">
        <v>1</v>
      </c>
      <c r="R46" s="12" t="s">
        <v>25</v>
      </c>
      <c r="S46" s="12" t="s">
        <v>25</v>
      </c>
      <c r="T46" s="12" t="s">
        <v>25</v>
      </c>
    </row>
    <row r="47" spans="1:20" hidden="1" x14ac:dyDescent="0.3">
      <c r="A47" s="13">
        <v>43887.75</v>
      </c>
      <c r="B47" s="12" t="s">
        <v>22</v>
      </c>
      <c r="C47" s="82">
        <v>18</v>
      </c>
      <c r="D47" s="12" t="s">
        <v>45</v>
      </c>
      <c r="E47" s="82">
        <v>3890597598</v>
      </c>
      <c r="F47" s="82">
        <v>1659440194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3</v>
      </c>
      <c r="R47" s="12" t="s">
        <v>25</v>
      </c>
      <c r="S47" s="12" t="s">
        <v>25</v>
      </c>
      <c r="T47" s="12" t="s">
        <v>25</v>
      </c>
    </row>
    <row r="48" spans="1:20" hidden="1" x14ac:dyDescent="0.3">
      <c r="A48" s="13">
        <v>43887.75</v>
      </c>
      <c r="B48" s="12" t="s">
        <v>22</v>
      </c>
      <c r="C48" s="82">
        <v>15</v>
      </c>
      <c r="D48" s="12" t="s">
        <v>46</v>
      </c>
      <c r="E48" s="82">
        <v>4083956555</v>
      </c>
      <c r="F48" s="82">
        <v>1425084984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10</v>
      </c>
      <c r="R48" s="12" t="s">
        <v>25</v>
      </c>
      <c r="S48" s="12" t="s">
        <v>25</v>
      </c>
      <c r="T48" s="12" t="s">
        <v>25</v>
      </c>
    </row>
    <row r="49" spans="1:20" hidden="1" x14ac:dyDescent="0.3">
      <c r="A49" s="13">
        <v>43887.75</v>
      </c>
      <c r="B49" s="12" t="s">
        <v>22</v>
      </c>
      <c r="C49" s="82">
        <v>8</v>
      </c>
      <c r="D49" s="12" t="s">
        <v>95</v>
      </c>
      <c r="E49" s="82">
        <v>4449436681</v>
      </c>
      <c r="F49" s="82">
        <v>113417208</v>
      </c>
      <c r="G49" s="82">
        <v>20</v>
      </c>
      <c r="H49" s="82">
        <v>3</v>
      </c>
      <c r="I49" s="82">
        <v>23</v>
      </c>
      <c r="J49" s="82">
        <v>23</v>
      </c>
      <c r="K49" s="82">
        <v>46</v>
      </c>
      <c r="L49" s="82">
        <v>20</v>
      </c>
      <c r="M49" s="82">
        <v>21</v>
      </c>
      <c r="N49" s="82">
        <v>0</v>
      </c>
      <c r="O49" s="82">
        <v>1</v>
      </c>
      <c r="P49" s="82">
        <v>47</v>
      </c>
      <c r="Q49" s="82">
        <v>577</v>
      </c>
      <c r="R49" s="12" t="s">
        <v>25</v>
      </c>
      <c r="S49" s="12" t="s">
        <v>25</v>
      </c>
      <c r="T49" s="12" t="s">
        <v>25</v>
      </c>
    </row>
    <row r="50" spans="1:20" hidden="1" x14ac:dyDescent="0.3">
      <c r="A50" s="13">
        <v>43887.75</v>
      </c>
      <c r="B50" s="12" t="s">
        <v>22</v>
      </c>
      <c r="C50" s="82">
        <v>6</v>
      </c>
      <c r="D50" s="12" t="s">
        <v>47</v>
      </c>
      <c r="E50" s="82">
        <v>456494354</v>
      </c>
      <c r="F50" s="82">
        <v>1376813649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114</v>
      </c>
      <c r="R50" s="12" t="s">
        <v>25</v>
      </c>
      <c r="S50" s="12" t="s">
        <v>25</v>
      </c>
      <c r="T50" s="12" t="s">
        <v>25</v>
      </c>
    </row>
    <row r="51" spans="1:20" hidden="1" x14ac:dyDescent="0.3">
      <c r="A51" s="13">
        <v>43887.75</v>
      </c>
      <c r="B51" s="12" t="s">
        <v>22</v>
      </c>
      <c r="C51" s="82">
        <v>12</v>
      </c>
      <c r="D51" s="12" t="s">
        <v>48</v>
      </c>
      <c r="E51" s="82">
        <v>4189277044</v>
      </c>
      <c r="F51" s="82">
        <v>1248366722</v>
      </c>
      <c r="G51" s="82">
        <v>0</v>
      </c>
      <c r="H51" s="82">
        <v>0</v>
      </c>
      <c r="I51" s="82">
        <v>0</v>
      </c>
      <c r="J51" s="82">
        <v>0</v>
      </c>
      <c r="K51" s="82">
        <v>0</v>
      </c>
      <c r="L51" s="82">
        <v>-2</v>
      </c>
      <c r="M51" s="82">
        <v>0</v>
      </c>
      <c r="N51" s="82">
        <v>3</v>
      </c>
      <c r="O51" s="82">
        <v>0</v>
      </c>
      <c r="P51" s="82">
        <v>3</v>
      </c>
      <c r="Q51" s="82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82">
        <v>7</v>
      </c>
      <c r="D52" s="12" t="s">
        <v>49</v>
      </c>
      <c r="E52" s="82">
        <v>4441149315</v>
      </c>
      <c r="F52" s="82">
        <v>89326992</v>
      </c>
      <c r="G52" s="82">
        <v>6</v>
      </c>
      <c r="H52" s="82">
        <v>0</v>
      </c>
      <c r="I52" s="82">
        <v>6</v>
      </c>
      <c r="J52" s="82">
        <v>5</v>
      </c>
      <c r="K52" s="82">
        <v>11</v>
      </c>
      <c r="L52" s="82">
        <v>10</v>
      </c>
      <c r="M52" s="82">
        <v>10</v>
      </c>
      <c r="N52" s="82">
        <v>0</v>
      </c>
      <c r="O52" s="82">
        <v>0</v>
      </c>
      <c r="P52" s="82">
        <v>11</v>
      </c>
      <c r="Q52" s="82">
        <v>66</v>
      </c>
      <c r="R52" s="12" t="s">
        <v>25</v>
      </c>
      <c r="S52" s="12" t="s">
        <v>25</v>
      </c>
      <c r="T52" s="12" t="s">
        <v>25</v>
      </c>
    </row>
    <row r="53" spans="1:20" hidden="1" x14ac:dyDescent="0.3">
      <c r="A53" s="13">
        <v>43887.75</v>
      </c>
      <c r="B53" s="12" t="s">
        <v>22</v>
      </c>
      <c r="C53" s="82">
        <v>3</v>
      </c>
      <c r="D53" s="12" t="s">
        <v>50</v>
      </c>
      <c r="E53" s="82">
        <v>4546679409</v>
      </c>
      <c r="F53" s="82">
        <v>9190347404</v>
      </c>
      <c r="G53" s="82">
        <v>79</v>
      </c>
      <c r="H53" s="82">
        <v>25</v>
      </c>
      <c r="I53" s="82">
        <v>104</v>
      </c>
      <c r="J53" s="82">
        <v>145</v>
      </c>
      <c r="K53" s="82">
        <v>249</v>
      </c>
      <c r="L53" s="82">
        <v>18</v>
      </c>
      <c r="M53" s="82">
        <v>18</v>
      </c>
      <c r="N53" s="82">
        <v>0</v>
      </c>
      <c r="O53" s="82">
        <v>9</v>
      </c>
      <c r="P53" s="82">
        <v>258</v>
      </c>
      <c r="Q53" s="82">
        <v>3208</v>
      </c>
      <c r="R53" s="12" t="s">
        <v>25</v>
      </c>
      <c r="S53" s="12" t="s">
        <v>25</v>
      </c>
      <c r="T53" s="12" t="s">
        <v>25</v>
      </c>
    </row>
    <row r="54" spans="1:20" hidden="1" x14ac:dyDescent="0.3">
      <c r="A54" s="13">
        <v>43887.75</v>
      </c>
      <c r="B54" s="12" t="s">
        <v>22</v>
      </c>
      <c r="C54" s="82">
        <v>11</v>
      </c>
      <c r="D54" s="12" t="s">
        <v>51</v>
      </c>
      <c r="E54" s="82">
        <v>4361675973</v>
      </c>
      <c r="F54" s="82">
        <v>135188753</v>
      </c>
      <c r="G54" s="82">
        <v>1</v>
      </c>
      <c r="H54" s="82">
        <v>0</v>
      </c>
      <c r="I54" s="82">
        <v>1</v>
      </c>
      <c r="J54" s="82">
        <v>0</v>
      </c>
      <c r="K54" s="82">
        <v>1</v>
      </c>
      <c r="L54" s="82">
        <v>1</v>
      </c>
      <c r="M54" s="82">
        <v>1</v>
      </c>
      <c r="N54" s="82">
        <v>0</v>
      </c>
      <c r="O54" s="82">
        <v>0</v>
      </c>
      <c r="P54" s="82">
        <v>1</v>
      </c>
      <c r="Q54" s="82">
        <v>28</v>
      </c>
      <c r="R54" s="12" t="s">
        <v>25</v>
      </c>
      <c r="S54" s="12" t="s">
        <v>25</v>
      </c>
      <c r="T54" s="12" t="s">
        <v>25</v>
      </c>
    </row>
    <row r="55" spans="1:20" hidden="1" x14ac:dyDescent="0.3">
      <c r="A55" s="13">
        <v>43887.75</v>
      </c>
      <c r="B55" s="12" t="s">
        <v>22</v>
      </c>
      <c r="C55" s="82">
        <v>14</v>
      </c>
      <c r="D55" s="12" t="s">
        <v>52</v>
      </c>
      <c r="E55" s="82">
        <v>4155774754</v>
      </c>
      <c r="F55" s="82">
        <v>1465916051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12" t="s">
        <v>25</v>
      </c>
      <c r="S55" s="12" t="s">
        <v>25</v>
      </c>
      <c r="T55" s="12" t="s">
        <v>25</v>
      </c>
    </row>
    <row r="56" spans="1:20" hidden="1" x14ac:dyDescent="0.3">
      <c r="A56" s="13">
        <v>43887.75</v>
      </c>
      <c r="B56" s="12" t="s">
        <v>22</v>
      </c>
      <c r="C56" s="82">
        <v>1</v>
      </c>
      <c r="D56" s="12" t="s">
        <v>53</v>
      </c>
      <c r="E56" s="82">
        <v>450732745</v>
      </c>
      <c r="F56" s="82">
        <v>7680687483</v>
      </c>
      <c r="G56" s="82">
        <v>2</v>
      </c>
      <c r="H56" s="82">
        <v>0</v>
      </c>
      <c r="I56" s="82">
        <v>2</v>
      </c>
      <c r="J56" s="82">
        <v>1</v>
      </c>
      <c r="K56" s="82">
        <v>3</v>
      </c>
      <c r="L56" s="82">
        <v>0</v>
      </c>
      <c r="M56" s="82">
        <v>0</v>
      </c>
      <c r="N56" s="82">
        <v>0</v>
      </c>
      <c r="O56" s="82">
        <v>0</v>
      </c>
      <c r="P56" s="82">
        <v>3</v>
      </c>
      <c r="Q56" s="82">
        <v>156</v>
      </c>
      <c r="R56" s="12" t="s">
        <v>25</v>
      </c>
      <c r="S56" s="12" t="s">
        <v>25</v>
      </c>
      <c r="T56" s="12" t="s">
        <v>25</v>
      </c>
    </row>
    <row r="57" spans="1:20" hidden="1" x14ac:dyDescent="0.3">
      <c r="A57" s="13">
        <v>43887.75</v>
      </c>
      <c r="B57" s="12" t="s">
        <v>22</v>
      </c>
      <c r="C57" s="82">
        <v>16</v>
      </c>
      <c r="D57" s="12" t="s">
        <v>54</v>
      </c>
      <c r="E57" s="82">
        <v>4112559576</v>
      </c>
      <c r="F57" s="82">
        <v>1686736689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12" t="s">
        <v>25</v>
      </c>
      <c r="S57" s="12" t="s">
        <v>25</v>
      </c>
      <c r="T57" s="12" t="s">
        <v>25</v>
      </c>
    </row>
    <row r="58" spans="1:20" hidden="1" x14ac:dyDescent="0.3">
      <c r="A58" s="13">
        <v>43887.75</v>
      </c>
      <c r="B58" s="12" t="s">
        <v>22</v>
      </c>
      <c r="C58" s="82">
        <v>20</v>
      </c>
      <c r="D58" s="12" t="s">
        <v>55</v>
      </c>
      <c r="E58" s="82">
        <v>3921531192</v>
      </c>
      <c r="F58" s="82">
        <v>9110616306</v>
      </c>
      <c r="G58" s="82">
        <v>0</v>
      </c>
      <c r="H58" s="82">
        <v>0</v>
      </c>
      <c r="I58" s="82">
        <v>0</v>
      </c>
      <c r="J58" s="82">
        <v>0</v>
      </c>
      <c r="K58" s="82">
        <v>0</v>
      </c>
      <c r="L58" s="82">
        <v>0</v>
      </c>
      <c r="M58" s="82">
        <v>0</v>
      </c>
      <c r="N58" s="82">
        <v>0</v>
      </c>
      <c r="O58" s="82">
        <v>0</v>
      </c>
      <c r="P58" s="82">
        <v>0</v>
      </c>
      <c r="Q58" s="82">
        <v>1</v>
      </c>
      <c r="R58" s="12" t="s">
        <v>25</v>
      </c>
      <c r="S58" s="12" t="s">
        <v>25</v>
      </c>
      <c r="T58" s="12" t="s">
        <v>25</v>
      </c>
    </row>
    <row r="59" spans="1:20" hidden="1" x14ac:dyDescent="0.3">
      <c r="A59" s="13">
        <v>43887.75</v>
      </c>
      <c r="B59" s="12" t="s">
        <v>22</v>
      </c>
      <c r="C59" s="82">
        <v>19</v>
      </c>
      <c r="D59" s="12" t="s">
        <v>56</v>
      </c>
      <c r="E59" s="82">
        <v>3811569725</v>
      </c>
      <c r="F59" s="82">
        <v>133623567</v>
      </c>
      <c r="G59" s="82">
        <v>1</v>
      </c>
      <c r="H59" s="82">
        <v>0</v>
      </c>
      <c r="I59" s="82">
        <v>1</v>
      </c>
      <c r="J59" s="82">
        <v>2</v>
      </c>
      <c r="K59" s="82">
        <v>3</v>
      </c>
      <c r="L59" s="82">
        <v>0</v>
      </c>
      <c r="M59" s="82">
        <v>0</v>
      </c>
      <c r="N59" s="82">
        <v>0</v>
      </c>
      <c r="O59" s="82">
        <v>0</v>
      </c>
      <c r="P59" s="82">
        <v>3</v>
      </c>
      <c r="Q59" s="82">
        <v>5</v>
      </c>
      <c r="R59" s="12" t="s">
        <v>25</v>
      </c>
      <c r="S59" s="12" t="s">
        <v>25</v>
      </c>
      <c r="T59" s="12" t="s">
        <v>25</v>
      </c>
    </row>
    <row r="60" spans="1:20" hidden="1" x14ac:dyDescent="0.3">
      <c r="A60" s="13">
        <v>43887.75</v>
      </c>
      <c r="B60" s="12" t="s">
        <v>22</v>
      </c>
      <c r="C60" s="82">
        <v>9</v>
      </c>
      <c r="D60" s="12" t="s">
        <v>57</v>
      </c>
      <c r="E60" s="82">
        <v>4376923077</v>
      </c>
      <c r="F60" s="82">
        <v>1125588885</v>
      </c>
      <c r="G60" s="82">
        <v>2</v>
      </c>
      <c r="H60" s="82">
        <v>0</v>
      </c>
      <c r="I60" s="82">
        <v>2</v>
      </c>
      <c r="J60" s="82">
        <v>0</v>
      </c>
      <c r="K60" s="82">
        <v>2</v>
      </c>
      <c r="L60" s="82">
        <v>0</v>
      </c>
      <c r="M60" s="82">
        <v>0</v>
      </c>
      <c r="N60" s="82">
        <v>0</v>
      </c>
      <c r="O60" s="82">
        <v>0</v>
      </c>
      <c r="P60" s="82">
        <v>2</v>
      </c>
      <c r="Q60" s="82">
        <v>363</v>
      </c>
      <c r="R60" s="12" t="s">
        <v>25</v>
      </c>
      <c r="S60" s="12" t="s">
        <v>25</v>
      </c>
      <c r="T60" s="12" t="s">
        <v>25</v>
      </c>
    </row>
    <row r="61" spans="1:20" hidden="1" x14ac:dyDescent="0.3">
      <c r="A61" s="13">
        <v>43887.75</v>
      </c>
      <c r="B61" s="12" t="s">
        <v>22</v>
      </c>
      <c r="C61" s="82">
        <v>22</v>
      </c>
      <c r="D61" s="12" t="s">
        <v>58</v>
      </c>
      <c r="E61" s="82">
        <v>4606893511</v>
      </c>
      <c r="F61" s="82">
        <v>1112123097</v>
      </c>
      <c r="G61" s="82">
        <v>0</v>
      </c>
      <c r="H61" s="82">
        <v>0</v>
      </c>
      <c r="I61" s="82">
        <v>0</v>
      </c>
      <c r="J61" s="82">
        <v>0</v>
      </c>
      <c r="K61" s="82">
        <v>0</v>
      </c>
      <c r="L61" s="82">
        <v>0</v>
      </c>
      <c r="M61" s="82">
        <v>0</v>
      </c>
      <c r="N61" s="82">
        <v>0</v>
      </c>
      <c r="O61" s="82">
        <v>0</v>
      </c>
      <c r="P61" s="82">
        <v>0</v>
      </c>
      <c r="Q61" s="82">
        <v>3</v>
      </c>
      <c r="R61" s="12" t="s">
        <v>25</v>
      </c>
      <c r="S61" s="12" t="s">
        <v>25</v>
      </c>
      <c r="T61" s="12" t="s">
        <v>25</v>
      </c>
    </row>
    <row r="62" spans="1:20" hidden="1" x14ac:dyDescent="0.3">
      <c r="A62" s="13">
        <v>43887.75</v>
      </c>
      <c r="B62" s="12" t="s">
        <v>22</v>
      </c>
      <c r="C62" s="82">
        <v>10</v>
      </c>
      <c r="D62" s="12" t="s">
        <v>59</v>
      </c>
      <c r="E62" s="82">
        <v>4310675841</v>
      </c>
      <c r="F62" s="82">
        <v>1238824698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8</v>
      </c>
      <c r="R62" s="12" t="s">
        <v>25</v>
      </c>
      <c r="S62" s="12" t="s">
        <v>25</v>
      </c>
      <c r="T62" s="12" t="s">
        <v>25</v>
      </c>
    </row>
    <row r="63" spans="1:20" hidden="1" x14ac:dyDescent="0.3">
      <c r="A63" s="13">
        <v>43887.75</v>
      </c>
      <c r="B63" s="12" t="s">
        <v>22</v>
      </c>
      <c r="C63" s="82">
        <v>2</v>
      </c>
      <c r="D63" s="12" t="s">
        <v>60</v>
      </c>
      <c r="E63" s="82">
        <v>4573750286</v>
      </c>
      <c r="F63" s="82">
        <v>7320149366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7</v>
      </c>
      <c r="R63" s="12" t="s">
        <v>25</v>
      </c>
      <c r="S63" s="12" t="s">
        <v>25</v>
      </c>
      <c r="T63" s="12" t="s">
        <v>25</v>
      </c>
    </row>
    <row r="64" spans="1:20" hidden="1" x14ac:dyDescent="0.3">
      <c r="A64" s="13">
        <v>43887.75</v>
      </c>
      <c r="B64" s="12" t="s">
        <v>22</v>
      </c>
      <c r="C64" s="82">
        <v>5</v>
      </c>
      <c r="D64" s="12" t="s">
        <v>61</v>
      </c>
      <c r="E64" s="82">
        <v>4543490485</v>
      </c>
      <c r="F64" s="82">
        <v>1233845213</v>
      </c>
      <c r="G64" s="82">
        <v>16</v>
      </c>
      <c r="H64" s="82">
        <v>8</v>
      </c>
      <c r="I64" s="82">
        <v>24</v>
      </c>
      <c r="J64" s="82">
        <v>45</v>
      </c>
      <c r="K64" s="82">
        <v>69</v>
      </c>
      <c r="L64" s="82">
        <v>27</v>
      </c>
      <c r="M64" s="82">
        <v>28</v>
      </c>
      <c r="N64" s="82">
        <v>0</v>
      </c>
      <c r="O64" s="82">
        <v>2</v>
      </c>
      <c r="P64" s="82">
        <v>71</v>
      </c>
      <c r="Q64" s="82">
        <v>4900</v>
      </c>
      <c r="R64" s="12" t="s">
        <v>25</v>
      </c>
      <c r="S64" s="12" t="s">
        <v>25</v>
      </c>
      <c r="T64" s="12" t="s">
        <v>25</v>
      </c>
    </row>
    <row r="65" spans="1:20" hidden="1" x14ac:dyDescent="0.3">
      <c r="A65" s="13">
        <v>43888.75</v>
      </c>
      <c r="B65" s="12" t="s">
        <v>22</v>
      </c>
      <c r="C65" s="82">
        <v>13</v>
      </c>
      <c r="D65" s="12" t="s">
        <v>42</v>
      </c>
      <c r="E65" s="82">
        <v>4235122196</v>
      </c>
      <c r="F65" s="82">
        <v>1339843823</v>
      </c>
      <c r="G65" s="82">
        <v>1</v>
      </c>
      <c r="H65" s="82">
        <v>0</v>
      </c>
      <c r="I65" s="82">
        <v>1</v>
      </c>
      <c r="J65" s="82">
        <v>0</v>
      </c>
      <c r="K65" s="82">
        <v>1</v>
      </c>
      <c r="L65" s="82">
        <v>1</v>
      </c>
      <c r="M65" s="82">
        <v>1</v>
      </c>
      <c r="N65" s="82">
        <v>0</v>
      </c>
      <c r="O65" s="82">
        <v>0</v>
      </c>
      <c r="P65" s="82">
        <v>1</v>
      </c>
      <c r="Q65" s="82">
        <v>33</v>
      </c>
      <c r="R65" s="12" t="s">
        <v>25</v>
      </c>
      <c r="S65" s="12" t="s">
        <v>25</v>
      </c>
      <c r="T65" s="12" t="s">
        <v>25</v>
      </c>
    </row>
    <row r="66" spans="1:20" hidden="1" x14ac:dyDescent="0.3">
      <c r="A66" s="13">
        <v>43888.75</v>
      </c>
      <c r="B66" s="12" t="s">
        <v>22</v>
      </c>
      <c r="C66" s="82">
        <v>17</v>
      </c>
      <c r="D66" s="12" t="s">
        <v>43</v>
      </c>
      <c r="E66" s="82">
        <v>4063947052</v>
      </c>
      <c r="F66" s="82">
        <v>1580514834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12" t="s">
        <v>25</v>
      </c>
      <c r="S66" s="12" t="s">
        <v>25</v>
      </c>
      <c r="T66" s="12" t="s">
        <v>25</v>
      </c>
    </row>
    <row r="67" spans="1:20" hidden="1" x14ac:dyDescent="0.3">
      <c r="A67" s="13">
        <v>43888.75</v>
      </c>
      <c r="B67" s="12" t="s">
        <v>22</v>
      </c>
      <c r="C67" s="82">
        <v>21</v>
      </c>
      <c r="D67" s="12" t="s">
        <v>44</v>
      </c>
      <c r="E67" s="82">
        <v>4649933453</v>
      </c>
      <c r="F67" s="82">
        <v>1135662422</v>
      </c>
      <c r="G67" s="82">
        <v>1</v>
      </c>
      <c r="H67" s="82">
        <v>0</v>
      </c>
      <c r="I67" s="82">
        <v>1</v>
      </c>
      <c r="J67" s="82">
        <v>0</v>
      </c>
      <c r="K67" s="82">
        <v>1</v>
      </c>
      <c r="L67" s="82">
        <v>0</v>
      </c>
      <c r="M67" s="82">
        <v>0</v>
      </c>
      <c r="N67" s="82">
        <v>0</v>
      </c>
      <c r="O67" s="82">
        <v>0</v>
      </c>
      <c r="P67" s="82">
        <v>1</v>
      </c>
      <c r="Q67" s="82">
        <v>2</v>
      </c>
      <c r="R67" s="12" t="s">
        <v>25</v>
      </c>
      <c r="S67" s="12" t="s">
        <v>25</v>
      </c>
      <c r="T67" s="12" t="s">
        <v>25</v>
      </c>
    </row>
    <row r="68" spans="1:20" hidden="1" x14ac:dyDescent="0.3">
      <c r="A68" s="13">
        <v>43888.75</v>
      </c>
      <c r="B68" s="12" t="s">
        <v>22</v>
      </c>
      <c r="C68" s="82">
        <v>18</v>
      </c>
      <c r="D68" s="12" t="s">
        <v>45</v>
      </c>
      <c r="E68" s="82">
        <v>3890597598</v>
      </c>
      <c r="F68" s="82">
        <v>1659440194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14</v>
      </c>
      <c r="R68" s="12" t="s">
        <v>25</v>
      </c>
      <c r="S68" s="12" t="s">
        <v>25</v>
      </c>
      <c r="T68" s="12" t="s">
        <v>25</v>
      </c>
    </row>
    <row r="69" spans="1:20" hidden="1" x14ac:dyDescent="0.3">
      <c r="A69" s="13">
        <v>43888.75</v>
      </c>
      <c r="B69" s="12" t="s">
        <v>22</v>
      </c>
      <c r="C69" s="82">
        <v>15</v>
      </c>
      <c r="D69" s="12" t="s">
        <v>46</v>
      </c>
      <c r="E69" s="82">
        <v>4083956555</v>
      </c>
      <c r="F69" s="82">
        <v>1425084984</v>
      </c>
      <c r="G69" s="82">
        <v>2</v>
      </c>
      <c r="H69" s="82">
        <v>0</v>
      </c>
      <c r="I69" s="82">
        <v>2</v>
      </c>
      <c r="J69" s="82">
        <v>1</v>
      </c>
      <c r="K69" s="82">
        <v>3</v>
      </c>
      <c r="L69" s="82">
        <v>3</v>
      </c>
      <c r="M69" s="82">
        <v>3</v>
      </c>
      <c r="N69" s="82">
        <v>0</v>
      </c>
      <c r="O69" s="82">
        <v>0</v>
      </c>
      <c r="P69" s="82">
        <v>3</v>
      </c>
      <c r="Q69" s="82">
        <v>10</v>
      </c>
      <c r="R69" s="12" t="s">
        <v>25</v>
      </c>
      <c r="S69" s="12" t="s">
        <v>25</v>
      </c>
      <c r="T69" s="12" t="s">
        <v>25</v>
      </c>
    </row>
    <row r="70" spans="1:20" hidden="1" x14ac:dyDescent="0.3">
      <c r="A70" s="13">
        <v>43888.75</v>
      </c>
      <c r="B70" s="12" t="s">
        <v>22</v>
      </c>
      <c r="C70" s="82">
        <v>8</v>
      </c>
      <c r="D70" s="12" t="s">
        <v>95</v>
      </c>
      <c r="E70" s="82">
        <v>4449436681</v>
      </c>
      <c r="F70" s="82">
        <v>113417208</v>
      </c>
      <c r="G70" s="82">
        <v>36</v>
      </c>
      <c r="H70" s="82">
        <v>6</v>
      </c>
      <c r="I70" s="82">
        <v>42</v>
      </c>
      <c r="J70" s="82">
        <v>54</v>
      </c>
      <c r="K70" s="82">
        <v>96</v>
      </c>
      <c r="L70" s="82">
        <v>50</v>
      </c>
      <c r="M70" s="82">
        <v>50</v>
      </c>
      <c r="N70" s="82">
        <v>0</v>
      </c>
      <c r="O70" s="82">
        <v>1</v>
      </c>
      <c r="P70" s="82">
        <v>97</v>
      </c>
      <c r="Q70" s="82">
        <v>1033</v>
      </c>
      <c r="R70" s="12" t="s">
        <v>25</v>
      </c>
      <c r="S70" s="12" t="s">
        <v>25</v>
      </c>
      <c r="T70" s="12" t="s">
        <v>25</v>
      </c>
    </row>
    <row r="71" spans="1:20" hidden="1" x14ac:dyDescent="0.3">
      <c r="A71" s="13">
        <v>43888.75</v>
      </c>
      <c r="B71" s="12" t="s">
        <v>22</v>
      </c>
      <c r="C71" s="82">
        <v>6</v>
      </c>
      <c r="D71" s="12" t="s">
        <v>47</v>
      </c>
      <c r="E71" s="82">
        <v>456494354</v>
      </c>
      <c r="F71" s="82">
        <v>1376813649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141</v>
      </c>
      <c r="R71" s="12" t="s">
        <v>25</v>
      </c>
      <c r="S71" s="12" t="s">
        <v>25</v>
      </c>
      <c r="T71" s="12" t="s">
        <v>25</v>
      </c>
    </row>
    <row r="72" spans="1:20" hidden="1" x14ac:dyDescent="0.3">
      <c r="A72" s="13">
        <v>43888.75</v>
      </c>
      <c r="B72" s="12" t="s">
        <v>22</v>
      </c>
      <c r="C72" s="82">
        <v>12</v>
      </c>
      <c r="D72" s="12" t="s">
        <v>48</v>
      </c>
      <c r="E72" s="82">
        <v>4189277044</v>
      </c>
      <c r="F72" s="82">
        <v>1248366722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3</v>
      </c>
      <c r="O72" s="82">
        <v>0</v>
      </c>
      <c r="P72" s="82">
        <v>3</v>
      </c>
      <c r="Q72" s="82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82">
        <v>7</v>
      </c>
      <c r="D73" s="12" t="s">
        <v>49</v>
      </c>
      <c r="E73" s="82">
        <v>4441149315</v>
      </c>
      <c r="F73" s="82">
        <v>89326992</v>
      </c>
      <c r="G73" s="82">
        <v>9</v>
      </c>
      <c r="H73" s="82">
        <v>0</v>
      </c>
      <c r="I73" s="82">
        <v>9</v>
      </c>
      <c r="J73" s="82">
        <v>10</v>
      </c>
      <c r="K73" s="82">
        <v>19</v>
      </c>
      <c r="L73" s="82">
        <v>8</v>
      </c>
      <c r="M73" s="82">
        <v>8</v>
      </c>
      <c r="N73" s="82">
        <v>0</v>
      </c>
      <c r="O73" s="82">
        <v>0</v>
      </c>
      <c r="P73" s="82">
        <v>19</v>
      </c>
      <c r="Q73" s="82">
        <v>78</v>
      </c>
      <c r="R73" s="12" t="s">
        <v>25</v>
      </c>
      <c r="S73" s="12" t="s">
        <v>25</v>
      </c>
      <c r="T73" s="12" t="s">
        <v>25</v>
      </c>
    </row>
    <row r="74" spans="1:20" hidden="1" x14ac:dyDescent="0.3">
      <c r="A74" s="13">
        <v>43888.75</v>
      </c>
      <c r="B74" s="12" t="s">
        <v>22</v>
      </c>
      <c r="C74" s="82">
        <v>3</v>
      </c>
      <c r="D74" s="12" t="s">
        <v>50</v>
      </c>
      <c r="E74" s="82">
        <v>4546679409</v>
      </c>
      <c r="F74" s="82">
        <v>9190347404</v>
      </c>
      <c r="G74" s="82">
        <v>172</v>
      </c>
      <c r="H74" s="82">
        <v>41</v>
      </c>
      <c r="I74" s="82">
        <v>213</v>
      </c>
      <c r="J74" s="82">
        <v>136</v>
      </c>
      <c r="K74" s="82">
        <v>349</v>
      </c>
      <c r="L74" s="82">
        <v>100</v>
      </c>
      <c r="M74" s="82">
        <v>145</v>
      </c>
      <c r="N74" s="82">
        <v>40</v>
      </c>
      <c r="O74" s="82">
        <v>14</v>
      </c>
      <c r="P74" s="82">
        <v>403</v>
      </c>
      <c r="Q74" s="82">
        <v>3320</v>
      </c>
      <c r="R74" s="12" t="s">
        <v>25</v>
      </c>
      <c r="S74" s="12" t="s">
        <v>25</v>
      </c>
      <c r="T74" s="12" t="s">
        <v>25</v>
      </c>
    </row>
    <row r="75" spans="1:20" hidden="1" x14ac:dyDescent="0.3">
      <c r="A75" s="13">
        <v>43888.75</v>
      </c>
      <c r="B75" s="12" t="s">
        <v>22</v>
      </c>
      <c r="C75" s="82">
        <v>11</v>
      </c>
      <c r="D75" s="12" t="s">
        <v>51</v>
      </c>
      <c r="E75" s="82">
        <v>4361675973</v>
      </c>
      <c r="F75" s="82">
        <v>135188753</v>
      </c>
      <c r="G75" s="82">
        <v>2</v>
      </c>
      <c r="H75" s="82">
        <v>1</v>
      </c>
      <c r="I75" s="82">
        <v>3</v>
      </c>
      <c r="J75" s="82">
        <v>0</v>
      </c>
      <c r="K75" s="82">
        <v>3</v>
      </c>
      <c r="L75" s="82">
        <v>2</v>
      </c>
      <c r="M75" s="82">
        <v>2</v>
      </c>
      <c r="N75" s="82">
        <v>0</v>
      </c>
      <c r="O75" s="82">
        <v>0</v>
      </c>
      <c r="P75" s="82">
        <v>3</v>
      </c>
      <c r="Q75" s="82">
        <v>46</v>
      </c>
      <c r="R75" s="12" t="s">
        <v>25</v>
      </c>
      <c r="S75" s="12" t="s">
        <v>25</v>
      </c>
      <c r="T75" s="12" t="s">
        <v>25</v>
      </c>
    </row>
    <row r="76" spans="1:20" hidden="1" x14ac:dyDescent="0.3">
      <c r="A76" s="13">
        <v>43888.75</v>
      </c>
      <c r="B76" s="12" t="s">
        <v>22</v>
      </c>
      <c r="C76" s="82">
        <v>14</v>
      </c>
      <c r="D76" s="12" t="s">
        <v>52</v>
      </c>
      <c r="E76" s="82">
        <v>4155774754</v>
      </c>
      <c r="F76" s="82">
        <v>1465916051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12" t="s">
        <v>25</v>
      </c>
      <c r="S76" s="12" t="s">
        <v>25</v>
      </c>
      <c r="T76" s="12" t="s">
        <v>25</v>
      </c>
    </row>
    <row r="77" spans="1:20" hidden="1" x14ac:dyDescent="0.3">
      <c r="A77" s="13">
        <v>43888.75</v>
      </c>
      <c r="B77" s="12" t="s">
        <v>22</v>
      </c>
      <c r="C77" s="82">
        <v>1</v>
      </c>
      <c r="D77" s="12" t="s">
        <v>53</v>
      </c>
      <c r="E77" s="82">
        <v>450732745</v>
      </c>
      <c r="F77" s="82">
        <v>7680687483</v>
      </c>
      <c r="G77" s="82">
        <v>2</v>
      </c>
      <c r="H77" s="82">
        <v>0</v>
      </c>
      <c r="I77" s="82">
        <v>2</v>
      </c>
      <c r="J77" s="82">
        <v>0</v>
      </c>
      <c r="K77" s="82">
        <v>2</v>
      </c>
      <c r="L77" s="82">
        <v>-1</v>
      </c>
      <c r="M77" s="82">
        <v>-1</v>
      </c>
      <c r="N77" s="82">
        <v>0</v>
      </c>
      <c r="O77" s="82">
        <v>0</v>
      </c>
      <c r="P77" s="82">
        <v>2</v>
      </c>
      <c r="Q77" s="82">
        <v>156</v>
      </c>
      <c r="R77" s="12" t="s">
        <v>25</v>
      </c>
      <c r="S77" s="12" t="s">
        <v>25</v>
      </c>
      <c r="T77" s="12" t="s">
        <v>25</v>
      </c>
    </row>
    <row r="78" spans="1:20" hidden="1" x14ac:dyDescent="0.3">
      <c r="A78" s="13">
        <v>43888.75</v>
      </c>
      <c r="B78" s="12" t="s">
        <v>22</v>
      </c>
      <c r="C78" s="82">
        <v>16</v>
      </c>
      <c r="D78" s="12" t="s">
        <v>54</v>
      </c>
      <c r="E78" s="82">
        <v>4112559576</v>
      </c>
      <c r="F78" s="82">
        <v>1686736689</v>
      </c>
      <c r="G78" s="82">
        <v>1</v>
      </c>
      <c r="H78" s="82">
        <v>0</v>
      </c>
      <c r="I78" s="82">
        <v>1</v>
      </c>
      <c r="J78" s="82">
        <v>0</v>
      </c>
      <c r="K78" s="82">
        <v>1</v>
      </c>
      <c r="L78" s="82">
        <v>1</v>
      </c>
      <c r="M78" s="82">
        <v>1</v>
      </c>
      <c r="N78" s="82">
        <v>0</v>
      </c>
      <c r="O78" s="82">
        <v>0</v>
      </c>
      <c r="P78" s="82">
        <v>1</v>
      </c>
      <c r="Q78" s="82">
        <v>0</v>
      </c>
      <c r="R78" s="12" t="s">
        <v>25</v>
      </c>
      <c r="S78" s="12" t="s">
        <v>25</v>
      </c>
      <c r="T78" s="12" t="s">
        <v>25</v>
      </c>
    </row>
    <row r="79" spans="1:20" hidden="1" x14ac:dyDescent="0.3">
      <c r="A79" s="13">
        <v>43888.75</v>
      </c>
      <c r="B79" s="12" t="s">
        <v>22</v>
      </c>
      <c r="C79" s="82">
        <v>20</v>
      </c>
      <c r="D79" s="12" t="s">
        <v>55</v>
      </c>
      <c r="E79" s="82">
        <v>3921531192</v>
      </c>
      <c r="F79" s="82">
        <v>9110616306</v>
      </c>
      <c r="G79" s="82">
        <v>0</v>
      </c>
      <c r="H79" s="82">
        <v>0</v>
      </c>
      <c r="I79" s="82">
        <v>0</v>
      </c>
      <c r="J79" s="82">
        <v>0</v>
      </c>
      <c r="K79" s="82">
        <v>0</v>
      </c>
      <c r="L79" s="82">
        <v>0</v>
      </c>
      <c r="M79" s="82">
        <v>0</v>
      </c>
      <c r="N79" s="82">
        <v>0</v>
      </c>
      <c r="O79" s="82">
        <v>0</v>
      </c>
      <c r="P79" s="82">
        <v>0</v>
      </c>
      <c r="Q79" s="82">
        <v>1</v>
      </c>
      <c r="R79" s="12" t="s">
        <v>25</v>
      </c>
      <c r="S79" s="12" t="s">
        <v>25</v>
      </c>
      <c r="T79" s="12" t="s">
        <v>25</v>
      </c>
    </row>
    <row r="80" spans="1:20" hidden="1" x14ac:dyDescent="0.3">
      <c r="A80" s="13">
        <v>43888.75</v>
      </c>
      <c r="B80" s="12" t="s">
        <v>22</v>
      </c>
      <c r="C80" s="82">
        <v>19</v>
      </c>
      <c r="D80" s="12" t="s">
        <v>56</v>
      </c>
      <c r="E80" s="82">
        <v>3811569725</v>
      </c>
      <c r="F80" s="82">
        <v>133623567</v>
      </c>
      <c r="G80" s="82">
        <v>1</v>
      </c>
      <c r="H80" s="82">
        <v>0</v>
      </c>
      <c r="I80" s="82">
        <v>1</v>
      </c>
      <c r="J80" s="82">
        <v>1</v>
      </c>
      <c r="K80" s="82">
        <v>2</v>
      </c>
      <c r="L80" s="82">
        <v>-1</v>
      </c>
      <c r="M80" s="82">
        <v>1</v>
      </c>
      <c r="N80" s="82">
        <v>2</v>
      </c>
      <c r="O80" s="82">
        <v>0</v>
      </c>
      <c r="P80" s="82">
        <v>4</v>
      </c>
      <c r="Q80" s="82">
        <v>5</v>
      </c>
      <c r="R80" s="12" t="s">
        <v>25</v>
      </c>
      <c r="S80" s="12" t="s">
        <v>25</v>
      </c>
      <c r="T80" s="12" t="s">
        <v>25</v>
      </c>
    </row>
    <row r="81" spans="1:20" hidden="1" x14ac:dyDescent="0.3">
      <c r="A81" s="13">
        <v>43888.75</v>
      </c>
      <c r="B81" s="12" t="s">
        <v>22</v>
      </c>
      <c r="C81" s="82">
        <v>9</v>
      </c>
      <c r="D81" s="12" t="s">
        <v>57</v>
      </c>
      <c r="E81" s="82">
        <v>4376923077</v>
      </c>
      <c r="F81" s="82">
        <v>1125588885</v>
      </c>
      <c r="G81" s="82">
        <v>2</v>
      </c>
      <c r="H81" s="82">
        <v>0</v>
      </c>
      <c r="I81" s="82">
        <v>2</v>
      </c>
      <c r="J81" s="82">
        <v>0</v>
      </c>
      <c r="K81" s="82">
        <v>2</v>
      </c>
      <c r="L81" s="82">
        <v>0</v>
      </c>
      <c r="M81" s="82">
        <v>0</v>
      </c>
      <c r="N81" s="82">
        <v>0</v>
      </c>
      <c r="O81" s="82">
        <v>0</v>
      </c>
      <c r="P81" s="82">
        <v>2</v>
      </c>
      <c r="Q81" s="82">
        <v>410</v>
      </c>
      <c r="R81" s="12" t="s">
        <v>25</v>
      </c>
      <c r="S81" s="12" t="s">
        <v>25</v>
      </c>
      <c r="T81" s="12" t="s">
        <v>25</v>
      </c>
    </row>
    <row r="82" spans="1:20" hidden="1" x14ac:dyDescent="0.3">
      <c r="A82" s="13">
        <v>43888.75</v>
      </c>
      <c r="B82" s="12" t="s">
        <v>22</v>
      </c>
      <c r="C82" s="82">
        <v>22</v>
      </c>
      <c r="D82" s="12" t="s">
        <v>58</v>
      </c>
      <c r="E82" s="82">
        <v>4606893511</v>
      </c>
      <c r="F82" s="82">
        <v>1112123097</v>
      </c>
      <c r="G82" s="82">
        <v>0</v>
      </c>
      <c r="H82" s="82">
        <v>0</v>
      </c>
      <c r="I82" s="82">
        <v>0</v>
      </c>
      <c r="J82" s="82">
        <v>0</v>
      </c>
      <c r="K82" s="82">
        <v>0</v>
      </c>
      <c r="L82" s="82">
        <v>0</v>
      </c>
      <c r="M82" s="82">
        <v>0</v>
      </c>
      <c r="N82" s="82">
        <v>0</v>
      </c>
      <c r="O82" s="82">
        <v>0</v>
      </c>
      <c r="P82" s="82">
        <v>0</v>
      </c>
      <c r="Q82" s="82">
        <v>32</v>
      </c>
      <c r="R82" s="12" t="s">
        <v>25</v>
      </c>
      <c r="S82" s="12" t="s">
        <v>25</v>
      </c>
      <c r="T82" s="12" t="s">
        <v>25</v>
      </c>
    </row>
    <row r="83" spans="1:20" hidden="1" x14ac:dyDescent="0.3">
      <c r="A83" s="13">
        <v>43888.75</v>
      </c>
      <c r="B83" s="12" t="s">
        <v>22</v>
      </c>
      <c r="C83" s="82">
        <v>10</v>
      </c>
      <c r="D83" s="12" t="s">
        <v>59</v>
      </c>
      <c r="E83" s="82">
        <v>4310675841</v>
      </c>
      <c r="F83" s="82">
        <v>1238824698</v>
      </c>
      <c r="G83" s="82">
        <v>0</v>
      </c>
      <c r="H83" s="82">
        <v>0</v>
      </c>
      <c r="I83" s="82">
        <v>0</v>
      </c>
      <c r="J83" s="82">
        <v>0</v>
      </c>
      <c r="K83" s="82">
        <v>0</v>
      </c>
      <c r="L83" s="82">
        <v>0</v>
      </c>
      <c r="M83" s="82">
        <v>0</v>
      </c>
      <c r="N83" s="82">
        <v>0</v>
      </c>
      <c r="O83" s="82">
        <v>0</v>
      </c>
      <c r="P83" s="82">
        <v>0</v>
      </c>
      <c r="Q83" s="82">
        <v>8</v>
      </c>
      <c r="R83" s="12" t="s">
        <v>25</v>
      </c>
      <c r="S83" s="12" t="s">
        <v>25</v>
      </c>
      <c r="T83" s="12" t="s">
        <v>25</v>
      </c>
    </row>
    <row r="84" spans="1:20" hidden="1" x14ac:dyDescent="0.3">
      <c r="A84" s="13">
        <v>43888.75</v>
      </c>
      <c r="B84" s="12" t="s">
        <v>22</v>
      </c>
      <c r="C84" s="82">
        <v>2</v>
      </c>
      <c r="D84" s="12" t="s">
        <v>60</v>
      </c>
      <c r="E84" s="82">
        <v>4573750286</v>
      </c>
      <c r="F84" s="82">
        <v>7320149366</v>
      </c>
      <c r="G84" s="82">
        <v>0</v>
      </c>
      <c r="H84" s="82">
        <v>0</v>
      </c>
      <c r="I84" s="82">
        <v>0</v>
      </c>
      <c r="J84" s="82">
        <v>0</v>
      </c>
      <c r="K84" s="82">
        <v>0</v>
      </c>
      <c r="L84" s="82">
        <v>0</v>
      </c>
      <c r="M84" s="82">
        <v>0</v>
      </c>
      <c r="N84" s="82">
        <v>0</v>
      </c>
      <c r="O84" s="82">
        <v>0</v>
      </c>
      <c r="P84" s="82">
        <v>0</v>
      </c>
      <c r="Q84" s="82">
        <v>9</v>
      </c>
      <c r="R84" s="12" t="s">
        <v>25</v>
      </c>
      <c r="S84" s="12" t="s">
        <v>25</v>
      </c>
      <c r="T84" s="12" t="s">
        <v>25</v>
      </c>
    </row>
    <row r="85" spans="1:20" hidden="1" x14ac:dyDescent="0.3">
      <c r="A85" s="13">
        <v>43888.75</v>
      </c>
      <c r="B85" s="12" t="s">
        <v>22</v>
      </c>
      <c r="C85" s="82">
        <v>5</v>
      </c>
      <c r="D85" s="12" t="s">
        <v>61</v>
      </c>
      <c r="E85" s="82">
        <v>4543490485</v>
      </c>
      <c r="F85" s="82">
        <v>1233845213</v>
      </c>
      <c r="G85" s="82">
        <v>19</v>
      </c>
      <c r="H85" s="82">
        <v>8</v>
      </c>
      <c r="I85" s="82">
        <v>27</v>
      </c>
      <c r="J85" s="82">
        <v>82</v>
      </c>
      <c r="K85" s="82">
        <v>109</v>
      </c>
      <c r="L85" s="82">
        <v>40</v>
      </c>
      <c r="M85" s="82">
        <v>40</v>
      </c>
      <c r="N85" s="82">
        <v>0</v>
      </c>
      <c r="O85" s="82">
        <v>2</v>
      </c>
      <c r="P85" s="82">
        <v>111</v>
      </c>
      <c r="Q85" s="82">
        <v>6164</v>
      </c>
      <c r="R85" s="12" t="s">
        <v>25</v>
      </c>
      <c r="S85" s="12" t="s">
        <v>25</v>
      </c>
      <c r="T85" s="12" t="s">
        <v>25</v>
      </c>
    </row>
    <row r="86" spans="1:20" hidden="1" x14ac:dyDescent="0.3">
      <c r="A86" s="13">
        <v>43889.75</v>
      </c>
      <c r="B86" s="12" t="s">
        <v>22</v>
      </c>
      <c r="C86" s="82">
        <v>13</v>
      </c>
      <c r="D86" s="12" t="s">
        <v>42</v>
      </c>
      <c r="E86" s="82">
        <v>4235122196</v>
      </c>
      <c r="F86" s="82">
        <v>1339843823</v>
      </c>
      <c r="G86" s="82">
        <v>1</v>
      </c>
      <c r="H86" s="82">
        <v>0</v>
      </c>
      <c r="I86" s="82">
        <v>1</v>
      </c>
      <c r="J86" s="82">
        <v>0</v>
      </c>
      <c r="K86" s="82">
        <v>1</v>
      </c>
      <c r="L86" s="82">
        <v>0</v>
      </c>
      <c r="M86" s="82">
        <v>0</v>
      </c>
      <c r="N86" s="82">
        <v>0</v>
      </c>
      <c r="O86" s="82">
        <v>0</v>
      </c>
      <c r="P86" s="82">
        <v>1</v>
      </c>
      <c r="Q86" s="82">
        <v>33</v>
      </c>
      <c r="R86" s="12" t="s">
        <v>25</v>
      </c>
      <c r="S86" s="12" t="s">
        <v>25</v>
      </c>
      <c r="T86" s="12" t="s">
        <v>25</v>
      </c>
    </row>
    <row r="87" spans="1:20" hidden="1" x14ac:dyDescent="0.3">
      <c r="A87" s="13">
        <v>43889.75</v>
      </c>
      <c r="B87" s="12" t="s">
        <v>22</v>
      </c>
      <c r="C87" s="82">
        <v>17</v>
      </c>
      <c r="D87" s="12" t="s">
        <v>43</v>
      </c>
      <c r="E87" s="82">
        <v>4063947052</v>
      </c>
      <c r="F87" s="82">
        <v>1580514834</v>
      </c>
      <c r="G87" s="82">
        <v>0</v>
      </c>
      <c r="H87" s="82">
        <v>0</v>
      </c>
      <c r="I87" s="82">
        <v>0</v>
      </c>
      <c r="J87" s="82">
        <v>0</v>
      </c>
      <c r="K87" s="82">
        <v>0</v>
      </c>
      <c r="L87" s="82">
        <v>0</v>
      </c>
      <c r="M87" s="82">
        <v>0</v>
      </c>
      <c r="N87" s="82">
        <v>0</v>
      </c>
      <c r="O87" s="82">
        <v>0</v>
      </c>
      <c r="P87" s="82">
        <v>0</v>
      </c>
      <c r="Q87" s="82">
        <v>0</v>
      </c>
      <c r="R87" s="12" t="s">
        <v>25</v>
      </c>
      <c r="S87" s="12" t="s">
        <v>25</v>
      </c>
      <c r="T87" s="12" t="s">
        <v>25</v>
      </c>
    </row>
    <row r="88" spans="1:20" hidden="1" x14ac:dyDescent="0.3">
      <c r="A88" s="13">
        <v>43889.75</v>
      </c>
      <c r="B88" s="12" t="s">
        <v>22</v>
      </c>
      <c r="C88" s="82">
        <v>21</v>
      </c>
      <c r="D88" s="12" t="s">
        <v>44</v>
      </c>
      <c r="E88" s="82">
        <v>4649933453</v>
      </c>
      <c r="F88" s="82">
        <v>1135662422</v>
      </c>
      <c r="G88" s="82">
        <v>1</v>
      </c>
      <c r="H88" s="82">
        <v>0</v>
      </c>
      <c r="I88" s="82">
        <v>1</v>
      </c>
      <c r="J88" s="82">
        <v>0</v>
      </c>
      <c r="K88" s="82">
        <v>1</v>
      </c>
      <c r="L88" s="82">
        <v>0</v>
      </c>
      <c r="M88" s="82">
        <v>0</v>
      </c>
      <c r="N88" s="82">
        <v>0</v>
      </c>
      <c r="O88" s="82">
        <v>0</v>
      </c>
      <c r="P88" s="82">
        <v>1</v>
      </c>
      <c r="Q88" s="82">
        <v>2</v>
      </c>
      <c r="R88" s="12" t="s">
        <v>25</v>
      </c>
      <c r="S88" s="12" t="s">
        <v>25</v>
      </c>
      <c r="T88" s="12" t="s">
        <v>25</v>
      </c>
    </row>
    <row r="89" spans="1:20" hidden="1" x14ac:dyDescent="0.3">
      <c r="A89" s="13">
        <v>43889.75</v>
      </c>
      <c r="B89" s="12" t="s">
        <v>22</v>
      </c>
      <c r="C89" s="82">
        <v>18</v>
      </c>
      <c r="D89" s="12" t="s">
        <v>45</v>
      </c>
      <c r="E89" s="82">
        <v>3890597598</v>
      </c>
      <c r="F89" s="82">
        <v>1659440194</v>
      </c>
      <c r="G89" s="82">
        <v>0</v>
      </c>
      <c r="H89" s="82">
        <v>0</v>
      </c>
      <c r="I89" s="82">
        <v>0</v>
      </c>
      <c r="J89" s="82">
        <v>1</v>
      </c>
      <c r="K89" s="82">
        <v>1</v>
      </c>
      <c r="L89" s="82">
        <v>1</v>
      </c>
      <c r="M89" s="82">
        <v>1</v>
      </c>
      <c r="N89" s="82">
        <v>0</v>
      </c>
      <c r="O89" s="82">
        <v>0</v>
      </c>
      <c r="P89" s="82">
        <v>1</v>
      </c>
      <c r="Q89" s="82">
        <v>21</v>
      </c>
      <c r="R89" s="12" t="s">
        <v>25</v>
      </c>
      <c r="S89" s="12" t="s">
        <v>25</v>
      </c>
      <c r="T89" s="12" t="s">
        <v>25</v>
      </c>
    </row>
    <row r="90" spans="1:20" hidden="1" x14ac:dyDescent="0.3">
      <c r="A90" s="13">
        <v>43889.75</v>
      </c>
      <c r="B90" s="12" t="s">
        <v>22</v>
      </c>
      <c r="C90" s="82">
        <v>15</v>
      </c>
      <c r="D90" s="12" t="s">
        <v>46</v>
      </c>
      <c r="E90" s="82">
        <v>4083956555</v>
      </c>
      <c r="F90" s="82">
        <v>1425084984</v>
      </c>
      <c r="G90" s="82">
        <v>2</v>
      </c>
      <c r="H90" s="82">
        <v>0</v>
      </c>
      <c r="I90" s="82">
        <v>2</v>
      </c>
      <c r="J90" s="82">
        <v>2</v>
      </c>
      <c r="K90" s="82">
        <v>4</v>
      </c>
      <c r="L90" s="82">
        <v>1</v>
      </c>
      <c r="M90" s="82">
        <v>1</v>
      </c>
      <c r="N90" s="82">
        <v>0</v>
      </c>
      <c r="O90" s="82">
        <v>0</v>
      </c>
      <c r="P90" s="82">
        <v>4</v>
      </c>
      <c r="Q90" s="82">
        <v>213</v>
      </c>
      <c r="R90" s="12" t="s">
        <v>25</v>
      </c>
      <c r="S90" s="12" t="s">
        <v>25</v>
      </c>
      <c r="T90" s="12" t="s">
        <v>25</v>
      </c>
    </row>
    <row r="91" spans="1:20" hidden="1" x14ac:dyDescent="0.3">
      <c r="A91" s="13">
        <v>43889.75</v>
      </c>
      <c r="B91" s="12" t="s">
        <v>22</v>
      </c>
      <c r="C91" s="82">
        <v>8</v>
      </c>
      <c r="D91" s="12" t="s">
        <v>95</v>
      </c>
      <c r="E91" s="82">
        <v>4449436681</v>
      </c>
      <c r="F91" s="82">
        <v>113417208</v>
      </c>
      <c r="G91" s="82">
        <v>56</v>
      </c>
      <c r="H91" s="82">
        <v>6</v>
      </c>
      <c r="I91" s="82">
        <v>62</v>
      </c>
      <c r="J91" s="82">
        <v>81</v>
      </c>
      <c r="K91" s="82">
        <v>143</v>
      </c>
      <c r="L91" s="82">
        <v>47</v>
      </c>
      <c r="M91" s="82">
        <v>48</v>
      </c>
      <c r="N91" s="82">
        <v>0</v>
      </c>
      <c r="O91" s="82">
        <v>2</v>
      </c>
      <c r="P91" s="82">
        <v>145</v>
      </c>
      <c r="Q91" s="82">
        <v>1277</v>
      </c>
      <c r="R91" s="12" t="s">
        <v>25</v>
      </c>
      <c r="S91" s="12" t="s">
        <v>25</v>
      </c>
      <c r="T91" s="12" t="s">
        <v>25</v>
      </c>
    </row>
    <row r="92" spans="1:20" hidden="1" x14ac:dyDescent="0.3">
      <c r="A92" s="13">
        <v>43889.75</v>
      </c>
      <c r="B92" s="12" t="s">
        <v>22</v>
      </c>
      <c r="C92" s="82">
        <v>6</v>
      </c>
      <c r="D92" s="12" t="s">
        <v>47</v>
      </c>
      <c r="E92" s="82">
        <v>456494354</v>
      </c>
      <c r="F92" s="82">
        <v>1376813649</v>
      </c>
      <c r="G92" s="82">
        <v>0</v>
      </c>
      <c r="H92" s="82">
        <v>0</v>
      </c>
      <c r="I92" s="82">
        <v>0</v>
      </c>
      <c r="J92" s="82">
        <v>0</v>
      </c>
      <c r="K92" s="82">
        <v>0</v>
      </c>
      <c r="L92" s="82">
        <v>0</v>
      </c>
      <c r="M92" s="82">
        <v>0</v>
      </c>
      <c r="N92" s="82">
        <v>0</v>
      </c>
      <c r="O92" s="82">
        <v>0</v>
      </c>
      <c r="P92" s="82">
        <v>0</v>
      </c>
      <c r="Q92" s="82">
        <v>169</v>
      </c>
      <c r="R92" s="12" t="s">
        <v>25</v>
      </c>
      <c r="S92" s="12" t="s">
        <v>25</v>
      </c>
      <c r="T92" s="12" t="s">
        <v>25</v>
      </c>
    </row>
    <row r="93" spans="1:20" hidden="1" x14ac:dyDescent="0.3">
      <c r="A93" s="13">
        <v>43889.75</v>
      </c>
      <c r="B93" s="12" t="s">
        <v>22</v>
      </c>
      <c r="C93" s="82">
        <v>12</v>
      </c>
      <c r="D93" s="12" t="s">
        <v>48</v>
      </c>
      <c r="E93" s="82">
        <v>4189277044</v>
      </c>
      <c r="F93" s="82">
        <v>1248366722</v>
      </c>
      <c r="G93" s="82">
        <v>0</v>
      </c>
      <c r="H93" s="82">
        <v>0</v>
      </c>
      <c r="I93" s="82">
        <v>0</v>
      </c>
      <c r="J93" s="82">
        <v>0</v>
      </c>
      <c r="K93" s="82">
        <v>0</v>
      </c>
      <c r="L93" s="82">
        <v>0</v>
      </c>
      <c r="M93" s="82">
        <v>0</v>
      </c>
      <c r="N93" s="82">
        <v>3</v>
      </c>
      <c r="O93" s="82">
        <v>0</v>
      </c>
      <c r="P93" s="82">
        <v>3</v>
      </c>
      <c r="Q93" s="82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82">
        <v>7</v>
      </c>
      <c r="D94" s="12" t="s">
        <v>49</v>
      </c>
      <c r="E94" s="82">
        <v>4441149315</v>
      </c>
      <c r="F94" s="82">
        <v>89326992</v>
      </c>
      <c r="G94" s="82">
        <v>9</v>
      </c>
      <c r="H94" s="82">
        <v>0</v>
      </c>
      <c r="I94" s="82">
        <v>9</v>
      </c>
      <c r="J94" s="82">
        <v>10</v>
      </c>
      <c r="K94" s="82">
        <v>19</v>
      </c>
      <c r="L94" s="82">
        <v>0</v>
      </c>
      <c r="M94" s="82">
        <v>0</v>
      </c>
      <c r="N94" s="82">
        <v>0</v>
      </c>
      <c r="O94" s="82">
        <v>0</v>
      </c>
      <c r="P94" s="82">
        <v>19</v>
      </c>
      <c r="Q94" s="82">
        <v>112</v>
      </c>
      <c r="R94" s="12" t="s">
        <v>25</v>
      </c>
      <c r="S94" s="12" t="s">
        <v>25</v>
      </c>
      <c r="T94" s="12" t="s">
        <v>25</v>
      </c>
    </row>
    <row r="95" spans="1:20" hidden="1" x14ac:dyDescent="0.3">
      <c r="A95" s="13">
        <v>43889.75</v>
      </c>
      <c r="B95" s="12" t="s">
        <v>22</v>
      </c>
      <c r="C95" s="82">
        <v>3</v>
      </c>
      <c r="D95" s="12" t="s">
        <v>50</v>
      </c>
      <c r="E95" s="82">
        <v>4546679409</v>
      </c>
      <c r="F95" s="82">
        <v>9190347404</v>
      </c>
      <c r="G95" s="82">
        <v>235</v>
      </c>
      <c r="H95" s="82">
        <v>47</v>
      </c>
      <c r="I95" s="82">
        <v>282</v>
      </c>
      <c r="J95" s="82">
        <v>192</v>
      </c>
      <c r="K95" s="82">
        <v>474</v>
      </c>
      <c r="L95" s="82">
        <v>125</v>
      </c>
      <c r="M95" s="82">
        <v>128</v>
      </c>
      <c r="N95" s="82">
        <v>40</v>
      </c>
      <c r="O95" s="82">
        <v>17</v>
      </c>
      <c r="P95" s="82">
        <v>531</v>
      </c>
      <c r="Q95" s="82">
        <v>4835</v>
      </c>
      <c r="R95" s="12" t="s">
        <v>25</v>
      </c>
      <c r="S95" s="12" t="s">
        <v>25</v>
      </c>
      <c r="T95" s="12" t="s">
        <v>25</v>
      </c>
    </row>
    <row r="96" spans="1:20" hidden="1" x14ac:dyDescent="0.3">
      <c r="A96" s="13">
        <v>43889.75</v>
      </c>
      <c r="B96" s="12" t="s">
        <v>22</v>
      </c>
      <c r="C96" s="82">
        <v>11</v>
      </c>
      <c r="D96" s="12" t="s">
        <v>51</v>
      </c>
      <c r="E96" s="82">
        <v>4361675973</v>
      </c>
      <c r="F96" s="82">
        <v>135188753</v>
      </c>
      <c r="G96" s="82">
        <v>3</v>
      </c>
      <c r="H96" s="82">
        <v>2</v>
      </c>
      <c r="I96" s="82">
        <v>5</v>
      </c>
      <c r="J96" s="82">
        <v>1</v>
      </c>
      <c r="K96" s="82">
        <v>6</v>
      </c>
      <c r="L96" s="82">
        <v>3</v>
      </c>
      <c r="M96" s="82">
        <v>3</v>
      </c>
      <c r="N96" s="82">
        <v>0</v>
      </c>
      <c r="O96" s="82">
        <v>0</v>
      </c>
      <c r="P96" s="82">
        <v>6</v>
      </c>
      <c r="Q96" s="82">
        <v>47</v>
      </c>
      <c r="R96" s="12" t="s">
        <v>25</v>
      </c>
      <c r="S96" s="12" t="s">
        <v>25</v>
      </c>
      <c r="T96" s="12" t="s">
        <v>25</v>
      </c>
    </row>
    <row r="97" spans="1:20" hidden="1" x14ac:dyDescent="0.3">
      <c r="A97" s="13">
        <v>43889.75</v>
      </c>
      <c r="B97" s="12" t="s">
        <v>22</v>
      </c>
      <c r="C97" s="82">
        <v>14</v>
      </c>
      <c r="D97" s="12" t="s">
        <v>52</v>
      </c>
      <c r="E97" s="82">
        <v>4155774754</v>
      </c>
      <c r="F97" s="82">
        <v>1465916051</v>
      </c>
      <c r="G97" s="82">
        <v>0</v>
      </c>
      <c r="H97" s="82">
        <v>0</v>
      </c>
      <c r="I97" s="82">
        <v>0</v>
      </c>
      <c r="J97" s="82">
        <v>0</v>
      </c>
      <c r="K97" s="82">
        <v>0</v>
      </c>
      <c r="L97" s="82">
        <v>0</v>
      </c>
      <c r="M97" s="82">
        <v>0</v>
      </c>
      <c r="N97" s="82">
        <v>0</v>
      </c>
      <c r="O97" s="82">
        <v>0</v>
      </c>
      <c r="P97" s="82">
        <v>0</v>
      </c>
      <c r="Q97" s="82">
        <v>0</v>
      </c>
      <c r="R97" s="12" t="s">
        <v>25</v>
      </c>
      <c r="S97" s="12" t="s">
        <v>25</v>
      </c>
      <c r="T97" s="12" t="s">
        <v>25</v>
      </c>
    </row>
    <row r="98" spans="1:20" hidden="1" x14ac:dyDescent="0.3">
      <c r="A98" s="13">
        <v>43889.75</v>
      </c>
      <c r="B98" s="12" t="s">
        <v>22</v>
      </c>
      <c r="C98" s="82">
        <v>1</v>
      </c>
      <c r="D98" s="12" t="s">
        <v>53</v>
      </c>
      <c r="E98" s="82">
        <v>450732745</v>
      </c>
      <c r="F98" s="82">
        <v>7680687483</v>
      </c>
      <c r="G98" s="82">
        <v>7</v>
      </c>
      <c r="H98" s="82">
        <v>0</v>
      </c>
      <c r="I98" s="82">
        <v>7</v>
      </c>
      <c r="J98" s="82">
        <v>4</v>
      </c>
      <c r="K98" s="82">
        <v>11</v>
      </c>
      <c r="L98" s="82">
        <v>9</v>
      </c>
      <c r="M98" s="82">
        <v>9</v>
      </c>
      <c r="N98" s="82">
        <v>0</v>
      </c>
      <c r="O98" s="82">
        <v>0</v>
      </c>
      <c r="P98" s="82">
        <v>11</v>
      </c>
      <c r="Q98" s="82">
        <v>227</v>
      </c>
      <c r="R98" s="12" t="s">
        <v>25</v>
      </c>
      <c r="S98" s="12" t="s">
        <v>25</v>
      </c>
      <c r="T98" s="12" t="s">
        <v>25</v>
      </c>
    </row>
    <row r="99" spans="1:20" hidden="1" x14ac:dyDescent="0.3">
      <c r="A99" s="13">
        <v>43889.75</v>
      </c>
      <c r="B99" s="12" t="s">
        <v>22</v>
      </c>
      <c r="C99" s="82">
        <v>16</v>
      </c>
      <c r="D99" s="12" t="s">
        <v>54</v>
      </c>
      <c r="E99" s="82">
        <v>4112559576</v>
      </c>
      <c r="F99" s="82">
        <v>1686736689</v>
      </c>
      <c r="G99" s="82">
        <v>1</v>
      </c>
      <c r="H99" s="82">
        <v>0</v>
      </c>
      <c r="I99" s="82">
        <v>1</v>
      </c>
      <c r="J99" s="82">
        <v>2</v>
      </c>
      <c r="K99" s="82">
        <v>3</v>
      </c>
      <c r="L99" s="82">
        <v>2</v>
      </c>
      <c r="M99" s="82">
        <v>2</v>
      </c>
      <c r="N99" s="82">
        <v>0</v>
      </c>
      <c r="O99" s="82">
        <v>0</v>
      </c>
      <c r="P99" s="82">
        <v>3</v>
      </c>
      <c r="Q99" s="82">
        <v>242</v>
      </c>
      <c r="R99" s="12" t="s">
        <v>25</v>
      </c>
      <c r="S99" s="12" t="s">
        <v>25</v>
      </c>
      <c r="T99" s="12" t="s">
        <v>25</v>
      </c>
    </row>
    <row r="100" spans="1:20" hidden="1" x14ac:dyDescent="0.3">
      <c r="A100" s="13">
        <v>43889.75</v>
      </c>
      <c r="B100" s="12" t="s">
        <v>22</v>
      </c>
      <c r="C100" s="82">
        <v>20</v>
      </c>
      <c r="D100" s="12" t="s">
        <v>55</v>
      </c>
      <c r="E100" s="82">
        <v>3921531192</v>
      </c>
      <c r="F100" s="82">
        <v>9110616306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1</v>
      </c>
      <c r="R100" s="12" t="s">
        <v>25</v>
      </c>
      <c r="S100" s="12" t="s">
        <v>25</v>
      </c>
      <c r="T100" s="12" t="s">
        <v>25</v>
      </c>
    </row>
    <row r="101" spans="1:20" hidden="1" x14ac:dyDescent="0.3">
      <c r="A101" s="13">
        <v>43889.75</v>
      </c>
      <c r="B101" s="12" t="s">
        <v>22</v>
      </c>
      <c r="C101" s="82">
        <v>19</v>
      </c>
      <c r="D101" s="12" t="s">
        <v>56</v>
      </c>
      <c r="E101" s="82">
        <v>3811569725</v>
      </c>
      <c r="F101" s="82">
        <v>133623567</v>
      </c>
      <c r="G101" s="82">
        <v>1</v>
      </c>
      <c r="H101" s="82">
        <v>0</v>
      </c>
      <c r="I101" s="82">
        <v>1</v>
      </c>
      <c r="J101" s="82">
        <v>1</v>
      </c>
      <c r="K101" s="82">
        <v>2</v>
      </c>
      <c r="L101" s="82">
        <v>0</v>
      </c>
      <c r="M101" s="82">
        <v>0</v>
      </c>
      <c r="N101" s="82">
        <v>2</v>
      </c>
      <c r="O101" s="82">
        <v>0</v>
      </c>
      <c r="P101" s="82">
        <v>4</v>
      </c>
      <c r="Q101" s="82">
        <v>5</v>
      </c>
      <c r="R101" s="12" t="s">
        <v>25</v>
      </c>
      <c r="S101" s="12" t="s">
        <v>25</v>
      </c>
      <c r="T101" s="12" t="s">
        <v>25</v>
      </c>
    </row>
    <row r="102" spans="1:20" hidden="1" x14ac:dyDescent="0.3">
      <c r="A102" s="13">
        <v>43889.75</v>
      </c>
      <c r="B102" s="12" t="s">
        <v>22</v>
      </c>
      <c r="C102" s="82">
        <v>9</v>
      </c>
      <c r="D102" s="12" t="s">
        <v>57</v>
      </c>
      <c r="E102" s="82">
        <v>4376923077</v>
      </c>
      <c r="F102" s="82">
        <v>1125588885</v>
      </c>
      <c r="G102" s="82">
        <v>5</v>
      </c>
      <c r="H102" s="82">
        <v>0</v>
      </c>
      <c r="I102" s="82">
        <v>5</v>
      </c>
      <c r="J102" s="82">
        <v>2</v>
      </c>
      <c r="K102" s="82">
        <v>7</v>
      </c>
      <c r="L102" s="82">
        <v>5</v>
      </c>
      <c r="M102" s="82">
        <v>6</v>
      </c>
      <c r="N102" s="82">
        <v>1</v>
      </c>
      <c r="O102" s="82">
        <v>0</v>
      </c>
      <c r="P102" s="82">
        <v>8</v>
      </c>
      <c r="Q102" s="82">
        <v>437</v>
      </c>
      <c r="R102" s="12" t="s">
        <v>25</v>
      </c>
      <c r="S102" s="12" t="s">
        <v>25</v>
      </c>
      <c r="T102" s="12" t="s">
        <v>25</v>
      </c>
    </row>
    <row r="103" spans="1:20" hidden="1" x14ac:dyDescent="0.3">
      <c r="A103" s="13">
        <v>43889.75</v>
      </c>
      <c r="B103" s="12" t="s">
        <v>22</v>
      </c>
      <c r="C103" s="82">
        <v>22</v>
      </c>
      <c r="D103" s="12" t="s">
        <v>58</v>
      </c>
      <c r="E103" s="82">
        <v>4606893511</v>
      </c>
      <c r="F103" s="82">
        <v>1112123097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32</v>
      </c>
      <c r="R103" s="12" t="s">
        <v>25</v>
      </c>
      <c r="S103" s="12" t="s">
        <v>25</v>
      </c>
      <c r="T103" s="12" t="s">
        <v>25</v>
      </c>
    </row>
    <row r="104" spans="1:20" hidden="1" x14ac:dyDescent="0.3">
      <c r="A104" s="13">
        <v>43889.75</v>
      </c>
      <c r="B104" s="12" t="s">
        <v>22</v>
      </c>
      <c r="C104" s="82">
        <v>10</v>
      </c>
      <c r="D104" s="12" t="s">
        <v>59</v>
      </c>
      <c r="E104" s="82">
        <v>4310675841</v>
      </c>
      <c r="F104" s="82">
        <v>1238824698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8</v>
      </c>
      <c r="R104" s="12" t="s">
        <v>25</v>
      </c>
      <c r="S104" s="12" t="s">
        <v>25</v>
      </c>
      <c r="T104" s="12" t="s">
        <v>25</v>
      </c>
    </row>
    <row r="105" spans="1:20" hidden="1" x14ac:dyDescent="0.3">
      <c r="A105" s="13">
        <v>43889.75</v>
      </c>
      <c r="B105" s="12" t="s">
        <v>22</v>
      </c>
      <c r="C105" s="82">
        <v>2</v>
      </c>
      <c r="D105" s="12" t="s">
        <v>60</v>
      </c>
      <c r="E105" s="82">
        <v>4573750286</v>
      </c>
      <c r="F105" s="82">
        <v>7320149366</v>
      </c>
      <c r="G105" s="82">
        <v>0</v>
      </c>
      <c r="H105" s="82">
        <v>0</v>
      </c>
      <c r="I105" s="82">
        <v>0</v>
      </c>
      <c r="J105" s="82">
        <v>0</v>
      </c>
      <c r="K105" s="82">
        <v>0</v>
      </c>
      <c r="L105" s="82">
        <v>0</v>
      </c>
      <c r="M105" s="82">
        <v>0</v>
      </c>
      <c r="N105" s="82">
        <v>0</v>
      </c>
      <c r="O105" s="82">
        <v>0</v>
      </c>
      <c r="P105" s="82">
        <v>0</v>
      </c>
      <c r="Q105" s="82">
        <v>9</v>
      </c>
      <c r="R105" s="12" t="s">
        <v>25</v>
      </c>
      <c r="S105" s="12" t="s">
        <v>25</v>
      </c>
      <c r="T105" s="12" t="s">
        <v>25</v>
      </c>
    </row>
    <row r="106" spans="1:20" hidden="1" x14ac:dyDescent="0.3">
      <c r="A106" s="13">
        <v>43889.75</v>
      </c>
      <c r="B106" s="12" t="s">
        <v>22</v>
      </c>
      <c r="C106" s="82">
        <v>5</v>
      </c>
      <c r="D106" s="12" t="s">
        <v>61</v>
      </c>
      <c r="E106" s="82">
        <v>4543490485</v>
      </c>
      <c r="F106" s="82">
        <v>1233845213</v>
      </c>
      <c r="G106" s="82">
        <v>24</v>
      </c>
      <c r="H106" s="82">
        <v>9</v>
      </c>
      <c r="I106" s="82">
        <v>33</v>
      </c>
      <c r="J106" s="82">
        <v>116</v>
      </c>
      <c r="K106" s="82">
        <v>149</v>
      </c>
      <c r="L106" s="82">
        <v>40</v>
      </c>
      <c r="M106" s="82">
        <v>40</v>
      </c>
      <c r="N106" s="82">
        <v>0</v>
      </c>
      <c r="O106" s="82">
        <v>2</v>
      </c>
      <c r="P106" s="82">
        <v>151</v>
      </c>
      <c r="Q106" s="82">
        <v>7414</v>
      </c>
      <c r="R106" s="12" t="s">
        <v>25</v>
      </c>
      <c r="S106" s="12" t="s">
        <v>25</v>
      </c>
      <c r="T106" s="12" t="s">
        <v>25</v>
      </c>
    </row>
    <row r="107" spans="1:20" hidden="1" x14ac:dyDescent="0.3">
      <c r="A107" s="13">
        <v>43890.708333333336</v>
      </c>
      <c r="B107" s="12" t="s">
        <v>22</v>
      </c>
      <c r="C107" s="82">
        <v>13</v>
      </c>
      <c r="D107" s="12" t="s">
        <v>42</v>
      </c>
      <c r="E107" s="82">
        <v>4235122196</v>
      </c>
      <c r="F107" s="82">
        <v>1339843823</v>
      </c>
      <c r="G107" s="82">
        <v>2</v>
      </c>
      <c r="H107" s="82">
        <v>0</v>
      </c>
      <c r="I107" s="82">
        <v>2</v>
      </c>
      <c r="J107" s="82">
        <v>0</v>
      </c>
      <c r="K107" s="82">
        <v>2</v>
      </c>
      <c r="L107" s="82">
        <v>1</v>
      </c>
      <c r="M107" s="82">
        <v>1</v>
      </c>
      <c r="N107" s="82">
        <v>0</v>
      </c>
      <c r="O107" s="82">
        <v>0</v>
      </c>
      <c r="P107" s="82">
        <v>2</v>
      </c>
      <c r="Q107" s="82">
        <v>43</v>
      </c>
      <c r="R107" s="12" t="s">
        <v>25</v>
      </c>
      <c r="S107" s="12" t="s">
        <v>25</v>
      </c>
      <c r="T107" s="12" t="s">
        <v>25</v>
      </c>
    </row>
    <row r="108" spans="1:20" hidden="1" x14ac:dyDescent="0.3">
      <c r="A108" s="13">
        <v>43890.708333333336</v>
      </c>
      <c r="B108" s="12" t="s">
        <v>22</v>
      </c>
      <c r="C108" s="82">
        <v>17</v>
      </c>
      <c r="D108" s="12" t="s">
        <v>43</v>
      </c>
      <c r="E108" s="82">
        <v>4063947052</v>
      </c>
      <c r="F108" s="82">
        <v>1580514834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32</v>
      </c>
      <c r="R108" s="12" t="s">
        <v>25</v>
      </c>
      <c r="S108" s="12" t="s">
        <v>25</v>
      </c>
      <c r="T108" s="12" t="s">
        <v>25</v>
      </c>
    </row>
    <row r="109" spans="1:20" hidden="1" x14ac:dyDescent="0.3">
      <c r="A109" s="13">
        <v>43890.708333333336</v>
      </c>
      <c r="B109" s="12" t="s">
        <v>22</v>
      </c>
      <c r="C109" s="82">
        <v>21</v>
      </c>
      <c r="D109" s="12" t="s">
        <v>44</v>
      </c>
      <c r="E109" s="82">
        <v>4649933453</v>
      </c>
      <c r="F109" s="82">
        <v>1135662422</v>
      </c>
      <c r="G109" s="82">
        <v>1</v>
      </c>
      <c r="H109" s="82">
        <v>0</v>
      </c>
      <c r="I109" s="82">
        <v>1</v>
      </c>
      <c r="J109" s="82">
        <v>0</v>
      </c>
      <c r="K109" s="82">
        <v>1</v>
      </c>
      <c r="L109" s="82">
        <v>0</v>
      </c>
      <c r="M109" s="82">
        <v>0</v>
      </c>
      <c r="N109" s="82">
        <v>0</v>
      </c>
      <c r="O109" s="82">
        <v>0</v>
      </c>
      <c r="P109" s="82">
        <v>1</v>
      </c>
      <c r="Q109" s="82">
        <v>16</v>
      </c>
      <c r="R109" s="12" t="s">
        <v>25</v>
      </c>
      <c r="S109" s="12" t="s">
        <v>25</v>
      </c>
      <c r="T109" s="12" t="s">
        <v>25</v>
      </c>
    </row>
    <row r="110" spans="1:20" hidden="1" x14ac:dyDescent="0.3">
      <c r="A110" s="13">
        <v>43890.708333333336</v>
      </c>
      <c r="B110" s="12" t="s">
        <v>22</v>
      </c>
      <c r="C110" s="82">
        <v>18</v>
      </c>
      <c r="D110" s="12" t="s">
        <v>45</v>
      </c>
      <c r="E110" s="82">
        <v>3890597598</v>
      </c>
      <c r="F110" s="82">
        <v>1659440194</v>
      </c>
      <c r="G110" s="82">
        <v>0</v>
      </c>
      <c r="H110" s="82">
        <v>0</v>
      </c>
      <c r="I110" s="82">
        <v>0</v>
      </c>
      <c r="J110" s="82">
        <v>1</v>
      </c>
      <c r="K110" s="82">
        <v>1</v>
      </c>
      <c r="L110" s="82">
        <v>0</v>
      </c>
      <c r="M110" s="82">
        <v>0</v>
      </c>
      <c r="N110" s="82">
        <v>0</v>
      </c>
      <c r="O110" s="82">
        <v>0</v>
      </c>
      <c r="P110" s="82">
        <v>1</v>
      </c>
      <c r="Q110" s="82">
        <v>27</v>
      </c>
      <c r="R110" s="12" t="s">
        <v>25</v>
      </c>
      <c r="S110" s="12" t="s">
        <v>25</v>
      </c>
      <c r="T110" s="12" t="s">
        <v>25</v>
      </c>
    </row>
    <row r="111" spans="1:20" hidden="1" x14ac:dyDescent="0.3">
      <c r="A111" s="13">
        <v>43890.708333333336</v>
      </c>
      <c r="B111" s="12" t="s">
        <v>22</v>
      </c>
      <c r="C111" s="82">
        <v>15</v>
      </c>
      <c r="D111" s="12" t="s">
        <v>46</v>
      </c>
      <c r="E111" s="82">
        <v>4083956555</v>
      </c>
      <c r="F111" s="82">
        <v>1425084984</v>
      </c>
      <c r="G111" s="82">
        <v>3</v>
      </c>
      <c r="H111" s="82">
        <v>0</v>
      </c>
      <c r="I111" s="82">
        <v>3</v>
      </c>
      <c r="J111" s="82">
        <v>10</v>
      </c>
      <c r="K111" s="82">
        <v>13</v>
      </c>
      <c r="L111" s="82">
        <v>9</v>
      </c>
      <c r="M111" s="82">
        <v>9</v>
      </c>
      <c r="N111" s="82">
        <v>0</v>
      </c>
      <c r="O111" s="82">
        <v>0</v>
      </c>
      <c r="P111" s="82">
        <v>13</v>
      </c>
      <c r="Q111" s="82">
        <v>373</v>
      </c>
      <c r="R111" s="12" t="s">
        <v>25</v>
      </c>
      <c r="S111" s="12" t="s">
        <v>25</v>
      </c>
      <c r="T111" s="12" t="s">
        <v>25</v>
      </c>
    </row>
    <row r="112" spans="1:20" hidden="1" x14ac:dyDescent="0.3">
      <c r="A112" s="13">
        <v>43890.708333333336</v>
      </c>
      <c r="B112" s="12" t="s">
        <v>22</v>
      </c>
      <c r="C112" s="82">
        <v>8</v>
      </c>
      <c r="D112" s="12" t="s">
        <v>95</v>
      </c>
      <c r="E112" s="82">
        <v>4449436681</v>
      </c>
      <c r="F112" s="82">
        <v>113417208</v>
      </c>
      <c r="G112" s="82">
        <v>86</v>
      </c>
      <c r="H112" s="82">
        <v>11</v>
      </c>
      <c r="I112" s="82">
        <v>97</v>
      </c>
      <c r="J112" s="82">
        <v>116</v>
      </c>
      <c r="K112" s="82">
        <v>213</v>
      </c>
      <c r="L112" s="82">
        <v>70</v>
      </c>
      <c r="M112" s="82">
        <v>72</v>
      </c>
      <c r="N112" s="82">
        <v>0</v>
      </c>
      <c r="O112" s="82">
        <v>4</v>
      </c>
      <c r="P112" s="82">
        <v>217</v>
      </c>
      <c r="Q112" s="82">
        <v>1550</v>
      </c>
      <c r="R112" s="12" t="s">
        <v>25</v>
      </c>
      <c r="S112" s="12" t="s">
        <v>25</v>
      </c>
      <c r="T112" s="12" t="s">
        <v>25</v>
      </c>
    </row>
    <row r="113" spans="1:20" hidden="1" x14ac:dyDescent="0.3">
      <c r="A113" s="13">
        <v>43890.708333333336</v>
      </c>
      <c r="B113" s="12" t="s">
        <v>22</v>
      </c>
      <c r="C113" s="82">
        <v>6</v>
      </c>
      <c r="D113" s="12" t="s">
        <v>47</v>
      </c>
      <c r="E113" s="82">
        <v>456494354</v>
      </c>
      <c r="F113" s="82">
        <v>1376813649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189</v>
      </c>
      <c r="R113" s="12" t="s">
        <v>25</v>
      </c>
      <c r="S113" s="12" t="s">
        <v>25</v>
      </c>
      <c r="T113" s="12" t="s">
        <v>25</v>
      </c>
    </row>
    <row r="114" spans="1:20" hidden="1" x14ac:dyDescent="0.3">
      <c r="A114" s="13">
        <v>43890.708333333336</v>
      </c>
      <c r="B114" s="12" t="s">
        <v>22</v>
      </c>
      <c r="C114" s="82">
        <v>12</v>
      </c>
      <c r="D114" s="12" t="s">
        <v>48</v>
      </c>
      <c r="E114" s="82">
        <v>4189277044</v>
      </c>
      <c r="F114" s="82">
        <v>1248366722</v>
      </c>
      <c r="G114" s="82">
        <v>3</v>
      </c>
      <c r="H114" s="82">
        <v>0</v>
      </c>
      <c r="I114" s="82">
        <v>3</v>
      </c>
      <c r="J114" s="82">
        <v>0</v>
      </c>
      <c r="K114" s="82">
        <v>3</v>
      </c>
      <c r="L114" s="82">
        <v>3</v>
      </c>
      <c r="M114" s="82">
        <v>3</v>
      </c>
      <c r="N114" s="82">
        <v>3</v>
      </c>
      <c r="O114" s="82">
        <v>0</v>
      </c>
      <c r="P114" s="82">
        <v>6</v>
      </c>
      <c r="Q114" s="82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82">
        <v>7</v>
      </c>
      <c r="D115" s="12" t="s">
        <v>49</v>
      </c>
      <c r="E115" s="82">
        <v>4441149315</v>
      </c>
      <c r="F115" s="82">
        <v>89326992</v>
      </c>
      <c r="G115" s="82">
        <v>4</v>
      </c>
      <c r="H115" s="82">
        <v>1</v>
      </c>
      <c r="I115" s="82">
        <v>5</v>
      </c>
      <c r="J115" s="82">
        <v>33</v>
      </c>
      <c r="K115" s="82">
        <v>38</v>
      </c>
      <c r="L115" s="82">
        <v>19</v>
      </c>
      <c r="M115" s="82">
        <v>23</v>
      </c>
      <c r="N115" s="82">
        <v>4</v>
      </c>
      <c r="O115" s="82">
        <v>0</v>
      </c>
      <c r="P115" s="82">
        <v>42</v>
      </c>
      <c r="Q115" s="82">
        <v>121</v>
      </c>
      <c r="R115" s="12" t="s">
        <v>25</v>
      </c>
      <c r="S115" s="12" t="s">
        <v>25</v>
      </c>
      <c r="T115" s="12" t="s">
        <v>25</v>
      </c>
    </row>
    <row r="116" spans="1:20" hidden="1" x14ac:dyDescent="0.3">
      <c r="A116" s="13">
        <v>43890.708333333336</v>
      </c>
      <c r="B116" s="12" t="s">
        <v>22</v>
      </c>
      <c r="C116" s="82">
        <v>3</v>
      </c>
      <c r="D116" s="12" t="s">
        <v>50</v>
      </c>
      <c r="E116" s="82">
        <v>4546679409</v>
      </c>
      <c r="F116" s="82">
        <v>9190347404</v>
      </c>
      <c r="G116" s="82">
        <v>256</v>
      </c>
      <c r="H116" s="82">
        <v>80</v>
      </c>
      <c r="I116" s="82">
        <v>336</v>
      </c>
      <c r="J116" s="82">
        <v>216</v>
      </c>
      <c r="K116" s="82">
        <v>552</v>
      </c>
      <c r="L116" s="82">
        <v>78</v>
      </c>
      <c r="M116" s="82">
        <v>84</v>
      </c>
      <c r="N116" s="82">
        <v>40</v>
      </c>
      <c r="O116" s="82">
        <v>23</v>
      </c>
      <c r="P116" s="82">
        <v>615</v>
      </c>
      <c r="Q116" s="82">
        <v>5723</v>
      </c>
      <c r="R116" s="12" t="s">
        <v>25</v>
      </c>
      <c r="S116" s="12" t="s">
        <v>25</v>
      </c>
      <c r="T116" s="12" t="s">
        <v>25</v>
      </c>
    </row>
    <row r="117" spans="1:20" hidden="1" x14ac:dyDescent="0.3">
      <c r="A117" s="13">
        <v>43890.708333333336</v>
      </c>
      <c r="B117" s="12" t="s">
        <v>22</v>
      </c>
      <c r="C117" s="82">
        <v>11</v>
      </c>
      <c r="D117" s="12" t="s">
        <v>51</v>
      </c>
      <c r="E117" s="82">
        <v>4361675973</v>
      </c>
      <c r="F117" s="82">
        <v>135188753</v>
      </c>
      <c r="G117" s="82">
        <v>6</v>
      </c>
      <c r="H117" s="82">
        <v>2</v>
      </c>
      <c r="I117" s="82">
        <v>8</v>
      </c>
      <c r="J117" s="82">
        <v>3</v>
      </c>
      <c r="K117" s="82">
        <v>11</v>
      </c>
      <c r="L117" s="82">
        <v>5</v>
      </c>
      <c r="M117" s="82">
        <v>5</v>
      </c>
      <c r="N117" s="82">
        <v>0</v>
      </c>
      <c r="O117" s="82">
        <v>0</v>
      </c>
      <c r="P117" s="82">
        <v>11</v>
      </c>
      <c r="Q117" s="82">
        <v>68</v>
      </c>
      <c r="R117" s="12" t="s">
        <v>25</v>
      </c>
      <c r="S117" s="12" t="s">
        <v>25</v>
      </c>
      <c r="T117" s="12" t="s">
        <v>25</v>
      </c>
    </row>
    <row r="118" spans="1:20" hidden="1" x14ac:dyDescent="0.3">
      <c r="A118" s="13">
        <v>43890.708333333336</v>
      </c>
      <c r="B118" s="12" t="s">
        <v>22</v>
      </c>
      <c r="C118" s="82">
        <v>14</v>
      </c>
      <c r="D118" s="12" t="s">
        <v>52</v>
      </c>
      <c r="E118" s="82">
        <v>4155774754</v>
      </c>
      <c r="F118" s="82">
        <v>1465916051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12" t="s">
        <v>25</v>
      </c>
      <c r="S118" s="12" t="s">
        <v>25</v>
      </c>
      <c r="T118" s="12" t="s">
        <v>25</v>
      </c>
    </row>
    <row r="119" spans="1:20" hidden="1" x14ac:dyDescent="0.3">
      <c r="A119" s="13">
        <v>43890.708333333336</v>
      </c>
      <c r="B119" s="12" t="s">
        <v>22</v>
      </c>
      <c r="C119" s="82">
        <v>1</v>
      </c>
      <c r="D119" s="12" t="s">
        <v>53</v>
      </c>
      <c r="E119" s="82">
        <v>450732745</v>
      </c>
      <c r="F119" s="82">
        <v>7680687483</v>
      </c>
      <c r="G119" s="82">
        <v>7</v>
      </c>
      <c r="H119" s="82">
        <v>0</v>
      </c>
      <c r="I119" s="82">
        <v>7</v>
      </c>
      <c r="J119" s="82">
        <v>4</v>
      </c>
      <c r="K119" s="82">
        <v>11</v>
      </c>
      <c r="L119" s="82">
        <v>0</v>
      </c>
      <c r="M119" s="82">
        <v>0</v>
      </c>
      <c r="N119" s="82">
        <v>0</v>
      </c>
      <c r="O119" s="82">
        <v>0</v>
      </c>
      <c r="P119" s="82">
        <v>11</v>
      </c>
      <c r="Q119" s="82">
        <v>308</v>
      </c>
      <c r="R119" s="12" t="s">
        <v>25</v>
      </c>
      <c r="S119" s="12" t="s">
        <v>25</v>
      </c>
      <c r="T119" s="12" t="s">
        <v>25</v>
      </c>
    </row>
    <row r="120" spans="1:20" hidden="1" x14ac:dyDescent="0.3">
      <c r="A120" s="13">
        <v>43890.708333333336</v>
      </c>
      <c r="B120" s="12" t="s">
        <v>22</v>
      </c>
      <c r="C120" s="82">
        <v>16</v>
      </c>
      <c r="D120" s="12" t="s">
        <v>54</v>
      </c>
      <c r="E120" s="82">
        <v>4112559576</v>
      </c>
      <c r="F120" s="82">
        <v>1686736689</v>
      </c>
      <c r="G120" s="82">
        <v>1</v>
      </c>
      <c r="H120" s="82">
        <v>0</v>
      </c>
      <c r="I120" s="82">
        <v>1</v>
      </c>
      <c r="J120" s="82">
        <v>2</v>
      </c>
      <c r="K120" s="82">
        <v>3</v>
      </c>
      <c r="L120" s="82">
        <v>0</v>
      </c>
      <c r="M120" s="82">
        <v>0</v>
      </c>
      <c r="N120" s="82">
        <v>0</v>
      </c>
      <c r="O120" s="82">
        <v>0</v>
      </c>
      <c r="P120" s="82">
        <v>3</v>
      </c>
      <c r="Q120" s="82">
        <v>252</v>
      </c>
      <c r="R120" s="12" t="s">
        <v>25</v>
      </c>
      <c r="S120" s="12" t="s">
        <v>25</v>
      </c>
      <c r="T120" s="12" t="s">
        <v>25</v>
      </c>
    </row>
    <row r="121" spans="1:20" hidden="1" x14ac:dyDescent="0.3">
      <c r="A121" s="13">
        <v>43890.708333333336</v>
      </c>
      <c r="B121" s="12" t="s">
        <v>22</v>
      </c>
      <c r="C121" s="82">
        <v>20</v>
      </c>
      <c r="D121" s="12" t="s">
        <v>55</v>
      </c>
      <c r="E121" s="82">
        <v>3921531192</v>
      </c>
      <c r="F121" s="82">
        <v>9110616306</v>
      </c>
      <c r="G121" s="82">
        <v>0</v>
      </c>
      <c r="H121" s="82">
        <v>0</v>
      </c>
      <c r="I121" s="82">
        <v>0</v>
      </c>
      <c r="J121" s="82">
        <v>0</v>
      </c>
      <c r="K121" s="82">
        <v>0</v>
      </c>
      <c r="L121" s="82">
        <v>0</v>
      </c>
      <c r="M121" s="82">
        <v>0</v>
      </c>
      <c r="N121" s="82">
        <v>0</v>
      </c>
      <c r="O121" s="82">
        <v>0</v>
      </c>
      <c r="P121" s="82">
        <v>0</v>
      </c>
      <c r="Q121" s="82">
        <v>1</v>
      </c>
      <c r="R121" s="12" t="s">
        <v>25</v>
      </c>
      <c r="S121" s="12" t="s">
        <v>25</v>
      </c>
      <c r="T121" s="12" t="s">
        <v>25</v>
      </c>
    </row>
    <row r="122" spans="1:20" hidden="1" x14ac:dyDescent="0.3">
      <c r="A122" s="13">
        <v>43890.708333333336</v>
      </c>
      <c r="B122" s="12" t="s">
        <v>22</v>
      </c>
      <c r="C122" s="82">
        <v>19</v>
      </c>
      <c r="D122" s="12" t="s">
        <v>56</v>
      </c>
      <c r="E122" s="82">
        <v>3811569725</v>
      </c>
      <c r="F122" s="82">
        <v>133623567</v>
      </c>
      <c r="G122" s="82">
        <v>1</v>
      </c>
      <c r="H122" s="82">
        <v>0</v>
      </c>
      <c r="I122" s="82">
        <v>1</v>
      </c>
      <c r="J122" s="82">
        <v>1</v>
      </c>
      <c r="K122" s="82">
        <v>2</v>
      </c>
      <c r="L122" s="82">
        <v>0</v>
      </c>
      <c r="M122" s="82">
        <v>0</v>
      </c>
      <c r="N122" s="82">
        <v>2</v>
      </c>
      <c r="O122" s="82">
        <v>0</v>
      </c>
      <c r="P122" s="82">
        <v>4</v>
      </c>
      <c r="Q122" s="82">
        <v>6</v>
      </c>
      <c r="R122" s="12" t="s">
        <v>25</v>
      </c>
      <c r="S122" s="12" t="s">
        <v>25</v>
      </c>
      <c r="T122" s="12" t="s">
        <v>25</v>
      </c>
    </row>
    <row r="123" spans="1:20" hidden="1" x14ac:dyDescent="0.3">
      <c r="A123" s="13">
        <v>43890.708333333336</v>
      </c>
      <c r="B123" s="12" t="s">
        <v>22</v>
      </c>
      <c r="C123" s="82">
        <v>9</v>
      </c>
      <c r="D123" s="12" t="s">
        <v>57</v>
      </c>
      <c r="E123" s="82">
        <v>4376923077</v>
      </c>
      <c r="F123" s="82">
        <v>1125588885</v>
      </c>
      <c r="G123" s="82">
        <v>7</v>
      </c>
      <c r="H123" s="82">
        <v>0</v>
      </c>
      <c r="I123" s="82">
        <v>7</v>
      </c>
      <c r="J123" s="82">
        <v>3</v>
      </c>
      <c r="K123" s="82">
        <v>10</v>
      </c>
      <c r="L123" s="82">
        <v>3</v>
      </c>
      <c r="M123" s="82">
        <v>3</v>
      </c>
      <c r="N123" s="82">
        <v>1</v>
      </c>
      <c r="O123" s="82">
        <v>0</v>
      </c>
      <c r="P123" s="82">
        <v>11</v>
      </c>
      <c r="Q123" s="82">
        <v>531</v>
      </c>
      <c r="R123" s="12" t="s">
        <v>25</v>
      </c>
      <c r="S123" s="12" t="s">
        <v>25</v>
      </c>
      <c r="T123" s="12" t="s">
        <v>25</v>
      </c>
    </row>
    <row r="124" spans="1:20" hidden="1" x14ac:dyDescent="0.3">
      <c r="A124" s="13">
        <v>43890.708333333336</v>
      </c>
      <c r="B124" s="12" t="s">
        <v>22</v>
      </c>
      <c r="C124" s="82">
        <v>22</v>
      </c>
      <c r="D124" s="12" t="s">
        <v>58</v>
      </c>
      <c r="E124" s="82">
        <v>4606893511</v>
      </c>
      <c r="F124" s="82">
        <v>1112123097</v>
      </c>
      <c r="G124" s="82">
        <v>0</v>
      </c>
      <c r="H124" s="82">
        <v>0</v>
      </c>
      <c r="I124" s="82">
        <v>0</v>
      </c>
      <c r="J124" s="82">
        <v>0</v>
      </c>
      <c r="K124" s="82">
        <v>0</v>
      </c>
      <c r="L124" s="82">
        <v>0</v>
      </c>
      <c r="M124" s="82">
        <v>0</v>
      </c>
      <c r="N124" s="82">
        <v>0</v>
      </c>
      <c r="O124" s="82">
        <v>0</v>
      </c>
      <c r="P124" s="82">
        <v>0</v>
      </c>
      <c r="Q124" s="82">
        <v>43</v>
      </c>
      <c r="R124" s="12" t="s">
        <v>25</v>
      </c>
      <c r="S124" s="12" t="s">
        <v>25</v>
      </c>
      <c r="T124" s="12" t="s">
        <v>25</v>
      </c>
    </row>
    <row r="125" spans="1:20" hidden="1" x14ac:dyDescent="0.3">
      <c r="A125" s="13">
        <v>43890.708333333336</v>
      </c>
      <c r="B125" s="12" t="s">
        <v>22</v>
      </c>
      <c r="C125" s="82">
        <v>10</v>
      </c>
      <c r="D125" s="12" t="s">
        <v>59</v>
      </c>
      <c r="E125" s="82">
        <v>4310675841</v>
      </c>
      <c r="F125" s="82">
        <v>1238824698</v>
      </c>
      <c r="G125" s="82">
        <v>0</v>
      </c>
      <c r="H125" s="82">
        <v>0</v>
      </c>
      <c r="I125" s="82">
        <v>0</v>
      </c>
      <c r="J125" s="82">
        <v>0</v>
      </c>
      <c r="K125" s="82">
        <v>0</v>
      </c>
      <c r="L125" s="82">
        <v>0</v>
      </c>
      <c r="M125" s="82">
        <v>0</v>
      </c>
      <c r="N125" s="82">
        <v>0</v>
      </c>
      <c r="O125" s="82">
        <v>0</v>
      </c>
      <c r="P125" s="82">
        <v>0</v>
      </c>
      <c r="Q125" s="82">
        <v>31</v>
      </c>
      <c r="R125" s="12" t="s">
        <v>25</v>
      </c>
      <c r="S125" s="12" t="s">
        <v>25</v>
      </c>
      <c r="T125" s="12" t="s">
        <v>25</v>
      </c>
    </row>
    <row r="126" spans="1:20" hidden="1" x14ac:dyDescent="0.3">
      <c r="A126" s="13">
        <v>43890.708333333336</v>
      </c>
      <c r="B126" s="12" t="s">
        <v>22</v>
      </c>
      <c r="C126" s="82">
        <v>2</v>
      </c>
      <c r="D126" s="12" t="s">
        <v>60</v>
      </c>
      <c r="E126" s="82">
        <v>4573750286</v>
      </c>
      <c r="F126" s="82">
        <v>7320149366</v>
      </c>
      <c r="G126" s="82">
        <v>0</v>
      </c>
      <c r="H126" s="82">
        <v>0</v>
      </c>
      <c r="I126" s="82">
        <v>0</v>
      </c>
      <c r="J126" s="82">
        <v>0</v>
      </c>
      <c r="K126" s="82">
        <v>0</v>
      </c>
      <c r="L126" s="82">
        <v>0</v>
      </c>
      <c r="M126" s="82">
        <v>0</v>
      </c>
      <c r="N126" s="82">
        <v>0</v>
      </c>
      <c r="O126" s="82">
        <v>0</v>
      </c>
      <c r="P126" s="82">
        <v>0</v>
      </c>
      <c r="Q126" s="82">
        <v>9</v>
      </c>
      <c r="R126" s="12" t="s">
        <v>25</v>
      </c>
      <c r="S126" s="12" t="s">
        <v>25</v>
      </c>
      <c r="T126" s="12" t="s">
        <v>25</v>
      </c>
    </row>
    <row r="127" spans="1:20" hidden="1" x14ac:dyDescent="0.3">
      <c r="A127" s="13">
        <v>43890.708333333336</v>
      </c>
      <c r="B127" s="12" t="s">
        <v>22</v>
      </c>
      <c r="C127" s="82">
        <v>5</v>
      </c>
      <c r="D127" s="12" t="s">
        <v>61</v>
      </c>
      <c r="E127" s="82">
        <v>4543490485</v>
      </c>
      <c r="F127" s="82">
        <v>1233845213</v>
      </c>
      <c r="G127" s="82">
        <v>24</v>
      </c>
      <c r="H127" s="82">
        <v>11</v>
      </c>
      <c r="I127" s="82">
        <v>35</v>
      </c>
      <c r="J127" s="82">
        <v>154</v>
      </c>
      <c r="K127" s="82">
        <v>189</v>
      </c>
      <c r="L127" s="82">
        <v>40</v>
      </c>
      <c r="M127" s="82">
        <v>40</v>
      </c>
      <c r="N127" s="82">
        <v>0</v>
      </c>
      <c r="O127" s="82">
        <v>2</v>
      </c>
      <c r="P127" s="82">
        <v>191</v>
      </c>
      <c r="Q127" s="82">
        <v>8659</v>
      </c>
      <c r="R127" s="12" t="s">
        <v>25</v>
      </c>
      <c r="S127" s="12" t="s">
        <v>25</v>
      </c>
      <c r="T127" s="12" t="s">
        <v>25</v>
      </c>
    </row>
    <row r="128" spans="1:20" hidden="1" x14ac:dyDescent="0.3">
      <c r="A128" s="13">
        <v>43891.708333333336</v>
      </c>
      <c r="B128" s="12" t="s">
        <v>22</v>
      </c>
      <c r="C128" s="82">
        <v>13</v>
      </c>
      <c r="D128" s="12" t="s">
        <v>42</v>
      </c>
      <c r="E128" s="82">
        <v>4235122196</v>
      </c>
      <c r="F128" s="82">
        <v>1339843823</v>
      </c>
      <c r="G128" s="82">
        <v>3</v>
      </c>
      <c r="H128" s="82">
        <v>0</v>
      </c>
      <c r="I128" s="82">
        <v>3</v>
      </c>
      <c r="J128" s="82">
        <v>2</v>
      </c>
      <c r="K128" s="82">
        <v>5</v>
      </c>
      <c r="L128" s="82">
        <v>3</v>
      </c>
      <c r="M128" s="82">
        <v>3</v>
      </c>
      <c r="N128" s="82">
        <v>0</v>
      </c>
      <c r="O128" s="82">
        <v>0</v>
      </c>
      <c r="P128" s="82">
        <v>5</v>
      </c>
      <c r="Q128" s="82">
        <v>52</v>
      </c>
      <c r="R128" s="12" t="s">
        <v>25</v>
      </c>
      <c r="S128" s="12" t="s">
        <v>25</v>
      </c>
      <c r="T128" s="12" t="s">
        <v>25</v>
      </c>
    </row>
    <row r="129" spans="1:20" hidden="1" x14ac:dyDescent="0.3">
      <c r="A129" s="13">
        <v>43891.708333333336</v>
      </c>
      <c r="B129" s="12" t="s">
        <v>22</v>
      </c>
      <c r="C129" s="82">
        <v>17</v>
      </c>
      <c r="D129" s="12" t="s">
        <v>43</v>
      </c>
      <c r="E129" s="82">
        <v>4063947052</v>
      </c>
      <c r="F129" s="82">
        <v>1580514834</v>
      </c>
      <c r="G129" s="82">
        <v>0</v>
      </c>
      <c r="H129" s="82">
        <v>0</v>
      </c>
      <c r="I129" s="82">
        <v>0</v>
      </c>
      <c r="J129" s="82">
        <v>0</v>
      </c>
      <c r="K129" s="82">
        <v>0</v>
      </c>
      <c r="L129" s="82">
        <v>0</v>
      </c>
      <c r="M129" s="82">
        <v>0</v>
      </c>
      <c r="N129" s="82">
        <v>0</v>
      </c>
      <c r="O129" s="82">
        <v>0</v>
      </c>
      <c r="P129" s="82">
        <v>0</v>
      </c>
      <c r="Q129" s="82">
        <v>39</v>
      </c>
      <c r="R129" s="12" t="s">
        <v>25</v>
      </c>
      <c r="S129" s="12" t="s">
        <v>25</v>
      </c>
      <c r="T129" s="12" t="s">
        <v>25</v>
      </c>
    </row>
    <row r="130" spans="1:20" hidden="1" x14ac:dyDescent="0.3">
      <c r="A130" s="13">
        <v>43891.708333333336</v>
      </c>
      <c r="B130" s="12" t="s">
        <v>22</v>
      </c>
      <c r="C130" s="82">
        <v>21</v>
      </c>
      <c r="D130" s="12" t="s">
        <v>44</v>
      </c>
      <c r="E130" s="82">
        <v>4649933453</v>
      </c>
      <c r="F130" s="82">
        <v>1135662422</v>
      </c>
      <c r="G130" s="82">
        <v>1</v>
      </c>
      <c r="H130" s="82">
        <v>0</v>
      </c>
      <c r="I130" s="82">
        <v>1</v>
      </c>
      <c r="J130" s="82">
        <v>0</v>
      </c>
      <c r="K130" s="82">
        <v>1</v>
      </c>
      <c r="L130" s="82">
        <v>0</v>
      </c>
      <c r="M130" s="82">
        <v>0</v>
      </c>
      <c r="N130" s="82">
        <v>0</v>
      </c>
      <c r="O130" s="82">
        <v>0</v>
      </c>
      <c r="P130" s="82">
        <v>1</v>
      </c>
      <c r="Q130" s="82">
        <v>20</v>
      </c>
      <c r="R130" s="12" t="s">
        <v>25</v>
      </c>
      <c r="S130" s="12" t="s">
        <v>25</v>
      </c>
      <c r="T130" s="12" t="s">
        <v>25</v>
      </c>
    </row>
    <row r="131" spans="1:20" hidden="1" x14ac:dyDescent="0.3">
      <c r="A131" s="13">
        <v>43891.708333333336</v>
      </c>
      <c r="B131" s="12" t="s">
        <v>22</v>
      </c>
      <c r="C131" s="82">
        <v>18</v>
      </c>
      <c r="D131" s="12" t="s">
        <v>45</v>
      </c>
      <c r="E131" s="82">
        <v>3890597598</v>
      </c>
      <c r="F131" s="82">
        <v>1659440194</v>
      </c>
      <c r="G131" s="82">
        <v>0</v>
      </c>
      <c r="H131" s="82">
        <v>0</v>
      </c>
      <c r="I131" s="82">
        <v>0</v>
      </c>
      <c r="J131" s="82">
        <v>1</v>
      </c>
      <c r="K131" s="82">
        <v>1</v>
      </c>
      <c r="L131" s="82">
        <v>0</v>
      </c>
      <c r="M131" s="82">
        <v>0</v>
      </c>
      <c r="N131" s="82">
        <v>0</v>
      </c>
      <c r="O131" s="82">
        <v>0</v>
      </c>
      <c r="P131" s="82">
        <v>1</v>
      </c>
      <c r="Q131" s="82">
        <v>35</v>
      </c>
      <c r="R131" s="12" t="s">
        <v>25</v>
      </c>
      <c r="S131" s="12" t="s">
        <v>25</v>
      </c>
      <c r="T131" s="12" t="s">
        <v>25</v>
      </c>
    </row>
    <row r="132" spans="1:20" hidden="1" x14ac:dyDescent="0.3">
      <c r="A132" s="13">
        <v>43891.708333333336</v>
      </c>
      <c r="B132" s="12" t="s">
        <v>22</v>
      </c>
      <c r="C132" s="82">
        <v>15</v>
      </c>
      <c r="D132" s="12" t="s">
        <v>46</v>
      </c>
      <c r="E132" s="82">
        <v>4083956555</v>
      </c>
      <c r="F132" s="82">
        <v>1425084984</v>
      </c>
      <c r="G132" s="82">
        <v>4</v>
      </c>
      <c r="H132" s="82">
        <v>0</v>
      </c>
      <c r="I132" s="82">
        <v>4</v>
      </c>
      <c r="J132" s="82">
        <v>13</v>
      </c>
      <c r="K132" s="82">
        <v>17</v>
      </c>
      <c r="L132" s="82">
        <v>4</v>
      </c>
      <c r="M132" s="82">
        <v>4</v>
      </c>
      <c r="N132" s="82">
        <v>0</v>
      </c>
      <c r="O132" s="82">
        <v>0</v>
      </c>
      <c r="P132" s="82">
        <v>17</v>
      </c>
      <c r="Q132" s="82">
        <v>373</v>
      </c>
      <c r="R132" s="12" t="s">
        <v>25</v>
      </c>
      <c r="S132" s="12" t="s">
        <v>25</v>
      </c>
      <c r="T132" s="12" t="s">
        <v>25</v>
      </c>
    </row>
    <row r="133" spans="1:20" hidden="1" x14ac:dyDescent="0.3">
      <c r="A133" s="13">
        <v>43891.708333333336</v>
      </c>
      <c r="B133" s="12" t="s">
        <v>22</v>
      </c>
      <c r="C133" s="82">
        <v>8</v>
      </c>
      <c r="D133" s="12" t="s">
        <v>95</v>
      </c>
      <c r="E133" s="82">
        <v>4449436681</v>
      </c>
      <c r="F133" s="82">
        <v>113417208</v>
      </c>
      <c r="G133" s="82">
        <v>127</v>
      </c>
      <c r="H133" s="82">
        <v>13</v>
      </c>
      <c r="I133" s="82">
        <v>140</v>
      </c>
      <c r="J133" s="82">
        <v>137</v>
      </c>
      <c r="K133" s="82">
        <v>277</v>
      </c>
      <c r="L133" s="82">
        <v>64</v>
      </c>
      <c r="M133" s="82">
        <v>68</v>
      </c>
      <c r="N133" s="82">
        <v>0</v>
      </c>
      <c r="O133" s="82">
        <v>8</v>
      </c>
      <c r="P133" s="82">
        <v>285</v>
      </c>
      <c r="Q133" s="82">
        <v>1795</v>
      </c>
      <c r="R133" s="12" t="s">
        <v>25</v>
      </c>
      <c r="S133" s="12" t="s">
        <v>25</v>
      </c>
      <c r="T133" s="12" t="s">
        <v>25</v>
      </c>
    </row>
    <row r="134" spans="1:20" hidden="1" x14ac:dyDescent="0.3">
      <c r="A134" s="13">
        <v>43891.708333333336</v>
      </c>
      <c r="B134" s="12" t="s">
        <v>22</v>
      </c>
      <c r="C134" s="82">
        <v>6</v>
      </c>
      <c r="D134" s="12" t="s">
        <v>47</v>
      </c>
      <c r="E134" s="82">
        <v>456494354</v>
      </c>
      <c r="F134" s="82">
        <v>1376813649</v>
      </c>
      <c r="G134" s="82">
        <v>0</v>
      </c>
      <c r="H134" s="82">
        <v>0</v>
      </c>
      <c r="I134" s="82">
        <v>0</v>
      </c>
      <c r="J134" s="82">
        <v>6</v>
      </c>
      <c r="K134" s="82">
        <v>6</v>
      </c>
      <c r="L134" s="82">
        <v>6</v>
      </c>
      <c r="M134" s="82">
        <v>6</v>
      </c>
      <c r="N134" s="82">
        <v>0</v>
      </c>
      <c r="O134" s="82">
        <v>0</v>
      </c>
      <c r="P134" s="82">
        <v>6</v>
      </c>
      <c r="Q134" s="82">
        <v>243</v>
      </c>
      <c r="R134" s="12" t="s">
        <v>25</v>
      </c>
      <c r="S134" s="12" t="s">
        <v>25</v>
      </c>
      <c r="T134" s="12" t="s">
        <v>25</v>
      </c>
    </row>
    <row r="135" spans="1:20" hidden="1" x14ac:dyDescent="0.3">
      <c r="A135" s="13">
        <v>43891.708333333336</v>
      </c>
      <c r="B135" s="12" t="s">
        <v>22</v>
      </c>
      <c r="C135" s="82">
        <v>12</v>
      </c>
      <c r="D135" s="12" t="s">
        <v>48</v>
      </c>
      <c r="E135" s="82">
        <v>4189277044</v>
      </c>
      <c r="F135" s="82">
        <v>1248366722</v>
      </c>
      <c r="G135" s="82">
        <v>3</v>
      </c>
      <c r="H135" s="82">
        <v>0</v>
      </c>
      <c r="I135" s="82">
        <v>3</v>
      </c>
      <c r="J135" s="82">
        <v>0</v>
      </c>
      <c r="K135" s="82">
        <v>3</v>
      </c>
      <c r="L135" s="82">
        <v>0</v>
      </c>
      <c r="M135" s="82">
        <v>0</v>
      </c>
      <c r="N135" s="82">
        <v>3</v>
      </c>
      <c r="O135" s="82">
        <v>0</v>
      </c>
      <c r="P135" s="82">
        <v>6</v>
      </c>
      <c r="Q135" s="82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82">
        <v>7</v>
      </c>
      <c r="D136" s="12" t="s">
        <v>49</v>
      </c>
      <c r="E136" s="82">
        <v>4441149315</v>
      </c>
      <c r="F136" s="82">
        <v>89326992</v>
      </c>
      <c r="G136" s="82">
        <v>12</v>
      </c>
      <c r="H136" s="82">
        <v>1</v>
      </c>
      <c r="I136" s="82">
        <v>13</v>
      </c>
      <c r="J136" s="82">
        <v>8</v>
      </c>
      <c r="K136" s="82">
        <v>21</v>
      </c>
      <c r="L136" s="82">
        <v>-17</v>
      </c>
      <c r="M136" s="82">
        <v>-17</v>
      </c>
      <c r="N136" s="82">
        <v>4</v>
      </c>
      <c r="O136" s="82">
        <v>0</v>
      </c>
      <c r="P136" s="82">
        <v>25</v>
      </c>
      <c r="Q136" s="82">
        <v>121</v>
      </c>
      <c r="R136" s="12" t="s">
        <v>25</v>
      </c>
      <c r="S136" s="12" t="s">
        <v>25</v>
      </c>
      <c r="T136" s="12" t="s">
        <v>25</v>
      </c>
    </row>
    <row r="137" spans="1:20" hidden="1" x14ac:dyDescent="0.3">
      <c r="A137" s="13">
        <v>43891.708333333336</v>
      </c>
      <c r="B137" s="12" t="s">
        <v>22</v>
      </c>
      <c r="C137" s="82">
        <v>3</v>
      </c>
      <c r="D137" s="12" t="s">
        <v>50</v>
      </c>
      <c r="E137" s="82">
        <v>4546679409</v>
      </c>
      <c r="F137" s="82">
        <v>9190347404</v>
      </c>
      <c r="G137" s="82">
        <v>406</v>
      </c>
      <c r="H137" s="82">
        <v>106</v>
      </c>
      <c r="I137" s="82">
        <v>512</v>
      </c>
      <c r="J137" s="82">
        <v>375</v>
      </c>
      <c r="K137" s="82">
        <v>887</v>
      </c>
      <c r="L137" s="82">
        <v>335</v>
      </c>
      <c r="M137" s="82">
        <v>369</v>
      </c>
      <c r="N137" s="82">
        <v>73</v>
      </c>
      <c r="O137" s="82">
        <v>24</v>
      </c>
      <c r="P137" s="82">
        <v>984</v>
      </c>
      <c r="Q137" s="82">
        <v>6879</v>
      </c>
      <c r="R137" s="12" t="s">
        <v>25</v>
      </c>
      <c r="S137" s="12" t="s">
        <v>25</v>
      </c>
      <c r="T137" s="12" t="s">
        <v>25</v>
      </c>
    </row>
    <row r="138" spans="1:20" hidden="1" x14ac:dyDescent="0.3">
      <c r="A138" s="13">
        <v>43891.708333333336</v>
      </c>
      <c r="B138" s="12" t="s">
        <v>22</v>
      </c>
      <c r="C138" s="82">
        <v>11</v>
      </c>
      <c r="D138" s="12" t="s">
        <v>51</v>
      </c>
      <c r="E138" s="82">
        <v>4361675973</v>
      </c>
      <c r="F138" s="82">
        <v>135188753</v>
      </c>
      <c r="G138" s="82">
        <v>12</v>
      </c>
      <c r="H138" s="82">
        <v>5</v>
      </c>
      <c r="I138" s="82">
        <v>17</v>
      </c>
      <c r="J138" s="82">
        <v>8</v>
      </c>
      <c r="K138" s="82">
        <v>25</v>
      </c>
      <c r="L138" s="82">
        <v>14</v>
      </c>
      <c r="M138" s="82">
        <v>14</v>
      </c>
      <c r="N138" s="82">
        <v>0</v>
      </c>
      <c r="O138" s="82">
        <v>0</v>
      </c>
      <c r="P138" s="82">
        <v>25</v>
      </c>
      <c r="Q138" s="82">
        <v>101</v>
      </c>
      <c r="R138" s="12" t="s">
        <v>25</v>
      </c>
      <c r="S138" s="12" t="s">
        <v>25</v>
      </c>
      <c r="T138" s="12" t="s">
        <v>25</v>
      </c>
    </row>
    <row r="139" spans="1:20" hidden="1" x14ac:dyDescent="0.3">
      <c r="A139" s="13">
        <v>43891.708333333336</v>
      </c>
      <c r="B139" s="12" t="s">
        <v>22</v>
      </c>
      <c r="C139" s="82">
        <v>14</v>
      </c>
      <c r="D139" s="12" t="s">
        <v>52</v>
      </c>
      <c r="E139" s="82">
        <v>4155774754</v>
      </c>
      <c r="F139" s="82">
        <v>1465916051</v>
      </c>
      <c r="G139" s="82">
        <v>0</v>
      </c>
      <c r="H139" s="82">
        <v>0</v>
      </c>
      <c r="I139" s="82">
        <v>0</v>
      </c>
      <c r="J139" s="82">
        <v>0</v>
      </c>
      <c r="K139" s="82">
        <v>0</v>
      </c>
      <c r="L139" s="82">
        <v>0</v>
      </c>
      <c r="M139" s="82">
        <v>0</v>
      </c>
      <c r="N139" s="82">
        <v>0</v>
      </c>
      <c r="O139" s="82">
        <v>0</v>
      </c>
      <c r="P139" s="82">
        <v>0</v>
      </c>
      <c r="Q139" s="82">
        <v>6</v>
      </c>
      <c r="R139" s="12" t="s">
        <v>25</v>
      </c>
      <c r="S139" s="12" t="s">
        <v>25</v>
      </c>
      <c r="T139" s="12" t="s">
        <v>25</v>
      </c>
    </row>
    <row r="140" spans="1:20" hidden="1" x14ac:dyDescent="0.3">
      <c r="A140" s="13">
        <v>43891.708333333336</v>
      </c>
      <c r="B140" s="12" t="s">
        <v>22</v>
      </c>
      <c r="C140" s="82">
        <v>1</v>
      </c>
      <c r="D140" s="12" t="s">
        <v>53</v>
      </c>
      <c r="E140" s="82">
        <v>450732745</v>
      </c>
      <c r="F140" s="82">
        <v>7680687483</v>
      </c>
      <c r="G140" s="82">
        <v>11</v>
      </c>
      <c r="H140" s="82">
        <v>2</v>
      </c>
      <c r="I140" s="82">
        <v>13</v>
      </c>
      <c r="J140" s="82">
        <v>36</v>
      </c>
      <c r="K140" s="82">
        <v>49</v>
      </c>
      <c r="L140" s="82">
        <v>38</v>
      </c>
      <c r="M140" s="82">
        <v>38</v>
      </c>
      <c r="N140" s="82">
        <v>0</v>
      </c>
      <c r="O140" s="82">
        <v>0</v>
      </c>
      <c r="P140" s="82">
        <v>49</v>
      </c>
      <c r="Q140" s="82">
        <v>362</v>
      </c>
      <c r="R140" s="12" t="s">
        <v>25</v>
      </c>
      <c r="S140" s="12" t="s">
        <v>25</v>
      </c>
      <c r="T140" s="12" t="s">
        <v>25</v>
      </c>
    </row>
    <row r="141" spans="1:20" hidden="1" x14ac:dyDescent="0.3">
      <c r="A141" s="13">
        <v>43891.708333333336</v>
      </c>
      <c r="B141" s="12" t="s">
        <v>22</v>
      </c>
      <c r="C141" s="82">
        <v>16</v>
      </c>
      <c r="D141" s="12" t="s">
        <v>54</v>
      </c>
      <c r="E141" s="82">
        <v>4112559576</v>
      </c>
      <c r="F141" s="82">
        <v>1686736689</v>
      </c>
      <c r="G141" s="82">
        <v>1</v>
      </c>
      <c r="H141" s="82">
        <v>0</v>
      </c>
      <c r="I141" s="82">
        <v>1</v>
      </c>
      <c r="J141" s="82">
        <v>2</v>
      </c>
      <c r="K141" s="82">
        <v>3</v>
      </c>
      <c r="L141" s="82">
        <v>0</v>
      </c>
      <c r="M141" s="82">
        <v>0</v>
      </c>
      <c r="N141" s="82">
        <v>0</v>
      </c>
      <c r="O141" s="82">
        <v>0</v>
      </c>
      <c r="P141" s="82">
        <v>3</v>
      </c>
      <c r="Q141" s="82">
        <v>262</v>
      </c>
      <c r="R141" s="12" t="s">
        <v>25</v>
      </c>
      <c r="S141" s="12" t="s">
        <v>25</v>
      </c>
      <c r="T141" s="12" t="s">
        <v>25</v>
      </c>
    </row>
    <row r="142" spans="1:20" hidden="1" x14ac:dyDescent="0.3">
      <c r="A142" s="13">
        <v>43891.708333333336</v>
      </c>
      <c r="B142" s="12" t="s">
        <v>22</v>
      </c>
      <c r="C142" s="82">
        <v>20</v>
      </c>
      <c r="D142" s="12" t="s">
        <v>55</v>
      </c>
      <c r="E142" s="82">
        <v>3921531192</v>
      </c>
      <c r="F142" s="82">
        <v>9110616306</v>
      </c>
      <c r="G142" s="82">
        <v>0</v>
      </c>
      <c r="H142" s="82">
        <v>0</v>
      </c>
      <c r="I142" s="82">
        <v>0</v>
      </c>
      <c r="J142" s="82">
        <v>0</v>
      </c>
      <c r="K142" s="82">
        <v>0</v>
      </c>
      <c r="L142" s="82">
        <v>0</v>
      </c>
      <c r="M142" s="82">
        <v>0</v>
      </c>
      <c r="N142" s="82">
        <v>0</v>
      </c>
      <c r="O142" s="82">
        <v>0</v>
      </c>
      <c r="P142" s="82">
        <v>0</v>
      </c>
      <c r="Q142" s="82">
        <v>29</v>
      </c>
      <c r="R142" s="12" t="s">
        <v>25</v>
      </c>
      <c r="S142" s="12" t="s">
        <v>25</v>
      </c>
      <c r="T142" s="12" t="s">
        <v>25</v>
      </c>
    </row>
    <row r="143" spans="1:20" hidden="1" x14ac:dyDescent="0.3">
      <c r="A143" s="13">
        <v>43891.708333333336</v>
      </c>
      <c r="B143" s="12" t="s">
        <v>22</v>
      </c>
      <c r="C143" s="82">
        <v>19</v>
      </c>
      <c r="D143" s="12" t="s">
        <v>56</v>
      </c>
      <c r="E143" s="82">
        <v>3811569725</v>
      </c>
      <c r="F143" s="82">
        <v>133623567</v>
      </c>
      <c r="G143" s="82">
        <v>1</v>
      </c>
      <c r="H143" s="82">
        <v>0</v>
      </c>
      <c r="I143" s="82">
        <v>1</v>
      </c>
      <c r="J143" s="82">
        <v>6</v>
      </c>
      <c r="K143" s="82">
        <v>7</v>
      </c>
      <c r="L143" s="82">
        <v>5</v>
      </c>
      <c r="M143" s="82">
        <v>5</v>
      </c>
      <c r="N143" s="82">
        <v>2</v>
      </c>
      <c r="O143" s="82">
        <v>0</v>
      </c>
      <c r="P143" s="82">
        <v>9</v>
      </c>
      <c r="Q143" s="82">
        <v>291</v>
      </c>
      <c r="R143" s="12" t="s">
        <v>25</v>
      </c>
      <c r="S143" s="12" t="s">
        <v>25</v>
      </c>
      <c r="T143" s="12" t="s">
        <v>25</v>
      </c>
    </row>
    <row r="144" spans="1:20" hidden="1" x14ac:dyDescent="0.3">
      <c r="A144" s="13">
        <v>43891.708333333336</v>
      </c>
      <c r="B144" s="12" t="s">
        <v>22</v>
      </c>
      <c r="C144" s="82">
        <v>9</v>
      </c>
      <c r="D144" s="12" t="s">
        <v>57</v>
      </c>
      <c r="E144" s="82">
        <v>4376923077</v>
      </c>
      <c r="F144" s="82">
        <v>1125588885</v>
      </c>
      <c r="G144" s="82">
        <v>7</v>
      </c>
      <c r="H144" s="82">
        <v>0</v>
      </c>
      <c r="I144" s="82">
        <v>7</v>
      </c>
      <c r="J144" s="82">
        <v>5</v>
      </c>
      <c r="K144" s="82">
        <v>12</v>
      </c>
      <c r="L144" s="82">
        <v>2</v>
      </c>
      <c r="M144" s="82">
        <v>2</v>
      </c>
      <c r="N144" s="82">
        <v>1</v>
      </c>
      <c r="O144" s="82">
        <v>0</v>
      </c>
      <c r="P144" s="82">
        <v>13</v>
      </c>
      <c r="Q144" s="82">
        <v>572</v>
      </c>
      <c r="R144" s="12" t="s">
        <v>25</v>
      </c>
      <c r="S144" s="12" t="s">
        <v>25</v>
      </c>
      <c r="T144" s="12" t="s">
        <v>25</v>
      </c>
    </row>
    <row r="145" spans="1:20" hidden="1" x14ac:dyDescent="0.3">
      <c r="A145" s="13">
        <v>43891.708333333336</v>
      </c>
      <c r="B145" s="12" t="s">
        <v>22</v>
      </c>
      <c r="C145" s="82">
        <v>22</v>
      </c>
      <c r="D145" s="12" t="s">
        <v>58</v>
      </c>
      <c r="E145" s="82">
        <v>4606893511</v>
      </c>
      <c r="F145" s="82">
        <v>1112123097</v>
      </c>
      <c r="G145" s="82">
        <v>0</v>
      </c>
      <c r="H145" s="82">
        <v>0</v>
      </c>
      <c r="I145" s="82">
        <v>0</v>
      </c>
      <c r="J145" s="82">
        <v>0</v>
      </c>
      <c r="K145" s="82">
        <v>0</v>
      </c>
      <c r="L145" s="82">
        <v>0</v>
      </c>
      <c r="M145" s="82">
        <v>0</v>
      </c>
      <c r="N145" s="82">
        <v>0</v>
      </c>
      <c r="O145" s="82">
        <v>0</v>
      </c>
      <c r="P145" s="82">
        <v>0</v>
      </c>
      <c r="Q145" s="82">
        <v>122</v>
      </c>
      <c r="R145" s="12" t="s">
        <v>25</v>
      </c>
      <c r="S145" s="12" t="s">
        <v>25</v>
      </c>
      <c r="T145" s="12" t="s">
        <v>25</v>
      </c>
    </row>
    <row r="146" spans="1:20" hidden="1" x14ac:dyDescent="0.3">
      <c r="A146" s="13">
        <v>43891.708333333336</v>
      </c>
      <c r="B146" s="12" t="s">
        <v>22</v>
      </c>
      <c r="C146" s="82">
        <v>10</v>
      </c>
      <c r="D146" s="12" t="s">
        <v>59</v>
      </c>
      <c r="E146" s="82">
        <v>4310675841</v>
      </c>
      <c r="F146" s="82">
        <v>1238824698</v>
      </c>
      <c r="G146" s="82">
        <v>0</v>
      </c>
      <c r="H146" s="82">
        <v>0</v>
      </c>
      <c r="I146" s="82">
        <v>0</v>
      </c>
      <c r="J146" s="82">
        <v>2</v>
      </c>
      <c r="K146" s="82">
        <v>2</v>
      </c>
      <c r="L146" s="82">
        <v>2</v>
      </c>
      <c r="M146" s="82">
        <v>2</v>
      </c>
      <c r="N146" s="82">
        <v>0</v>
      </c>
      <c r="O146" s="82">
        <v>0</v>
      </c>
      <c r="P146" s="82">
        <v>2</v>
      </c>
      <c r="Q146" s="82">
        <v>35</v>
      </c>
      <c r="R146" s="12" t="s">
        <v>25</v>
      </c>
      <c r="S146" s="12" t="s">
        <v>25</v>
      </c>
      <c r="T146" s="12" t="s">
        <v>25</v>
      </c>
    </row>
    <row r="147" spans="1:20" hidden="1" x14ac:dyDescent="0.3">
      <c r="A147" s="13">
        <v>43891.708333333336</v>
      </c>
      <c r="B147" s="12" t="s">
        <v>22</v>
      </c>
      <c r="C147" s="82">
        <v>2</v>
      </c>
      <c r="D147" s="12" t="s">
        <v>60</v>
      </c>
      <c r="E147" s="82">
        <v>4573750286</v>
      </c>
      <c r="F147" s="82">
        <v>7320149366</v>
      </c>
      <c r="G147" s="82">
        <v>0</v>
      </c>
      <c r="H147" s="82">
        <v>0</v>
      </c>
      <c r="I147" s="82">
        <v>0</v>
      </c>
      <c r="J147" s="82">
        <v>0</v>
      </c>
      <c r="K147" s="82">
        <v>0</v>
      </c>
      <c r="L147" s="82">
        <v>0</v>
      </c>
      <c r="M147" s="82">
        <v>0</v>
      </c>
      <c r="N147" s="82">
        <v>0</v>
      </c>
      <c r="O147" s="82">
        <v>0</v>
      </c>
      <c r="P147" s="82">
        <v>0</v>
      </c>
      <c r="Q147" s="82">
        <v>10</v>
      </c>
      <c r="R147" s="12" t="s">
        <v>25</v>
      </c>
      <c r="S147" s="12" t="s">
        <v>25</v>
      </c>
      <c r="T147" s="12" t="s">
        <v>25</v>
      </c>
    </row>
    <row r="148" spans="1:20" hidden="1" x14ac:dyDescent="0.3">
      <c r="A148" s="13">
        <v>43891.708333333336</v>
      </c>
      <c r="B148" s="12" t="s">
        <v>22</v>
      </c>
      <c r="C148" s="82">
        <v>5</v>
      </c>
      <c r="D148" s="12" t="s">
        <v>61</v>
      </c>
      <c r="E148" s="82">
        <v>4543490485</v>
      </c>
      <c r="F148" s="82">
        <v>1233845213</v>
      </c>
      <c r="G148" s="82">
        <v>51</v>
      </c>
      <c r="H148" s="82">
        <v>13</v>
      </c>
      <c r="I148" s="82">
        <v>64</v>
      </c>
      <c r="J148" s="82">
        <v>197</v>
      </c>
      <c r="K148" s="82">
        <v>261</v>
      </c>
      <c r="L148" s="82">
        <v>72</v>
      </c>
      <c r="M148" s="82">
        <v>72</v>
      </c>
      <c r="N148" s="82">
        <v>0</v>
      </c>
      <c r="O148" s="82">
        <v>2</v>
      </c>
      <c r="P148" s="82">
        <v>263</v>
      </c>
      <c r="Q148" s="82">
        <v>9056</v>
      </c>
      <c r="R148" s="12" t="s">
        <v>25</v>
      </c>
      <c r="S148" s="12" t="s">
        <v>25</v>
      </c>
      <c r="T148" s="12" t="s">
        <v>25</v>
      </c>
    </row>
    <row r="149" spans="1:20" hidden="1" x14ac:dyDescent="0.3">
      <c r="A149" s="13">
        <v>43892.75</v>
      </c>
      <c r="B149" s="12" t="s">
        <v>22</v>
      </c>
      <c r="C149" s="82">
        <v>13</v>
      </c>
      <c r="D149" s="12" t="s">
        <v>42</v>
      </c>
      <c r="E149" s="82">
        <v>4235122196</v>
      </c>
      <c r="F149" s="82">
        <v>1339843823</v>
      </c>
      <c r="G149" s="82">
        <v>3</v>
      </c>
      <c r="H149" s="82">
        <v>0</v>
      </c>
      <c r="I149" s="82">
        <v>3</v>
      </c>
      <c r="J149" s="82">
        <v>2</v>
      </c>
      <c r="K149" s="82">
        <v>5</v>
      </c>
      <c r="L149" s="82">
        <v>0</v>
      </c>
      <c r="M149" s="82">
        <v>0</v>
      </c>
      <c r="N149" s="82">
        <v>0</v>
      </c>
      <c r="O149" s="82">
        <v>0</v>
      </c>
      <c r="P149" s="82">
        <v>5</v>
      </c>
      <c r="Q149" s="82">
        <v>52</v>
      </c>
      <c r="R149" s="12" t="s">
        <v>25</v>
      </c>
      <c r="S149" s="12" t="s">
        <v>25</v>
      </c>
      <c r="T149" s="12" t="s">
        <v>25</v>
      </c>
    </row>
    <row r="150" spans="1:20" hidden="1" x14ac:dyDescent="0.3">
      <c r="A150" s="13">
        <v>43892.75</v>
      </c>
      <c r="B150" s="12" t="s">
        <v>22</v>
      </c>
      <c r="C150" s="82">
        <v>17</v>
      </c>
      <c r="D150" s="12" t="s">
        <v>43</v>
      </c>
      <c r="E150" s="82">
        <v>4063947052</v>
      </c>
      <c r="F150" s="82">
        <v>1580514834</v>
      </c>
      <c r="G150" s="82">
        <v>0</v>
      </c>
      <c r="H150" s="82">
        <v>0</v>
      </c>
      <c r="I150" s="82">
        <v>0</v>
      </c>
      <c r="J150" s="82">
        <v>0</v>
      </c>
      <c r="K150" s="82">
        <v>0</v>
      </c>
      <c r="L150" s="82">
        <v>0</v>
      </c>
      <c r="M150" s="82">
        <v>0</v>
      </c>
      <c r="N150" s="82">
        <v>0</v>
      </c>
      <c r="O150" s="82">
        <v>0</v>
      </c>
      <c r="P150" s="82">
        <v>0</v>
      </c>
      <c r="Q150" s="82">
        <v>39</v>
      </c>
      <c r="R150" s="12" t="s">
        <v>25</v>
      </c>
      <c r="S150" s="12" t="s">
        <v>25</v>
      </c>
      <c r="T150" s="12" t="s">
        <v>25</v>
      </c>
    </row>
    <row r="151" spans="1:20" hidden="1" x14ac:dyDescent="0.3">
      <c r="A151" s="13">
        <v>43892.75</v>
      </c>
      <c r="B151" s="12" t="s">
        <v>22</v>
      </c>
      <c r="C151" s="82">
        <v>21</v>
      </c>
      <c r="D151" s="12" t="s">
        <v>44</v>
      </c>
      <c r="E151" s="82">
        <v>4649933453</v>
      </c>
      <c r="F151" s="82">
        <v>1135662422</v>
      </c>
      <c r="G151" s="82">
        <v>1</v>
      </c>
      <c r="H151" s="82">
        <v>0</v>
      </c>
      <c r="I151" s="82">
        <v>1</v>
      </c>
      <c r="J151" s="82">
        <v>0</v>
      </c>
      <c r="K151" s="82">
        <v>1</v>
      </c>
      <c r="L151" s="82">
        <v>0</v>
      </c>
      <c r="M151" s="82">
        <v>0</v>
      </c>
      <c r="N151" s="82">
        <v>0</v>
      </c>
      <c r="O151" s="82">
        <v>0</v>
      </c>
      <c r="P151" s="82">
        <v>1</v>
      </c>
      <c r="Q151" s="82">
        <v>20</v>
      </c>
      <c r="R151" s="12" t="s">
        <v>25</v>
      </c>
      <c r="S151" s="12" t="s">
        <v>25</v>
      </c>
      <c r="T151" s="12" t="s">
        <v>25</v>
      </c>
    </row>
    <row r="152" spans="1:20" hidden="1" x14ac:dyDescent="0.3">
      <c r="A152" s="13">
        <v>43892.75</v>
      </c>
      <c r="B152" s="12" t="s">
        <v>22</v>
      </c>
      <c r="C152" s="82">
        <v>18</v>
      </c>
      <c r="D152" s="12" t="s">
        <v>45</v>
      </c>
      <c r="E152" s="82">
        <v>3890597598</v>
      </c>
      <c r="F152" s="82">
        <v>1659440194</v>
      </c>
      <c r="G152" s="82">
        <v>0</v>
      </c>
      <c r="H152" s="82">
        <v>0</v>
      </c>
      <c r="I152" s="82">
        <v>0</v>
      </c>
      <c r="J152" s="82">
        <v>1</v>
      </c>
      <c r="K152" s="82">
        <v>1</v>
      </c>
      <c r="L152" s="82">
        <v>0</v>
      </c>
      <c r="M152" s="82">
        <v>0</v>
      </c>
      <c r="N152" s="82">
        <v>0</v>
      </c>
      <c r="O152" s="82">
        <v>0</v>
      </c>
      <c r="P152" s="82">
        <v>1</v>
      </c>
      <c r="Q152" s="82">
        <v>39</v>
      </c>
      <c r="R152" s="12" t="s">
        <v>25</v>
      </c>
      <c r="S152" s="12" t="s">
        <v>25</v>
      </c>
      <c r="T152" s="12" t="s">
        <v>25</v>
      </c>
    </row>
    <row r="153" spans="1:20" hidden="1" x14ac:dyDescent="0.3">
      <c r="A153" s="13">
        <v>43892.75</v>
      </c>
      <c r="B153" s="12" t="s">
        <v>22</v>
      </c>
      <c r="C153" s="82">
        <v>15</v>
      </c>
      <c r="D153" s="12" t="s">
        <v>46</v>
      </c>
      <c r="E153" s="82">
        <v>4083956555</v>
      </c>
      <c r="F153" s="82">
        <v>1425084984</v>
      </c>
      <c r="G153" s="82">
        <v>4</v>
      </c>
      <c r="H153" s="82">
        <v>0</v>
      </c>
      <c r="I153" s="82">
        <v>4</v>
      </c>
      <c r="J153" s="82">
        <v>13</v>
      </c>
      <c r="K153" s="82">
        <v>17</v>
      </c>
      <c r="L153" s="82">
        <v>0</v>
      </c>
      <c r="M153" s="82">
        <v>0</v>
      </c>
      <c r="N153" s="82">
        <v>0</v>
      </c>
      <c r="O153" s="82">
        <v>0</v>
      </c>
      <c r="P153" s="82">
        <v>17</v>
      </c>
      <c r="Q153" s="82">
        <v>373</v>
      </c>
      <c r="R153" s="12" t="s">
        <v>25</v>
      </c>
      <c r="S153" s="12" t="s">
        <v>25</v>
      </c>
      <c r="T153" s="12" t="s">
        <v>25</v>
      </c>
    </row>
    <row r="154" spans="1:20" hidden="1" x14ac:dyDescent="0.3">
      <c r="A154" s="13">
        <v>43892.75</v>
      </c>
      <c r="B154" s="12" t="s">
        <v>22</v>
      </c>
      <c r="C154" s="82">
        <v>8</v>
      </c>
      <c r="D154" s="12" t="s">
        <v>95</v>
      </c>
      <c r="E154" s="82">
        <v>4449436681</v>
      </c>
      <c r="F154" s="82">
        <v>113417208</v>
      </c>
      <c r="G154" s="82">
        <v>148</v>
      </c>
      <c r="H154" s="82">
        <v>16</v>
      </c>
      <c r="I154" s="82">
        <v>164</v>
      </c>
      <c r="J154" s="82">
        <v>160</v>
      </c>
      <c r="K154" s="82">
        <v>324</v>
      </c>
      <c r="L154" s="82">
        <v>47</v>
      </c>
      <c r="M154" s="82">
        <v>50</v>
      </c>
      <c r="N154" s="82">
        <v>0</v>
      </c>
      <c r="O154" s="82">
        <v>11</v>
      </c>
      <c r="P154" s="82">
        <v>335</v>
      </c>
      <c r="Q154" s="82">
        <v>1973</v>
      </c>
      <c r="R154" s="12" t="s">
        <v>25</v>
      </c>
      <c r="S154" s="12" t="s">
        <v>25</v>
      </c>
      <c r="T154" s="12" t="s">
        <v>25</v>
      </c>
    </row>
    <row r="155" spans="1:20" hidden="1" x14ac:dyDescent="0.3">
      <c r="A155" s="13">
        <v>43892.75</v>
      </c>
      <c r="B155" s="12" t="s">
        <v>22</v>
      </c>
      <c r="C155" s="82">
        <v>6</v>
      </c>
      <c r="D155" s="12" t="s">
        <v>47</v>
      </c>
      <c r="E155" s="82">
        <v>456494354</v>
      </c>
      <c r="F155" s="82">
        <v>1376813649</v>
      </c>
      <c r="G155" s="82">
        <v>0</v>
      </c>
      <c r="H155" s="82">
        <v>0</v>
      </c>
      <c r="I155" s="82">
        <v>0</v>
      </c>
      <c r="J155" s="82">
        <v>9</v>
      </c>
      <c r="K155" s="82">
        <v>9</v>
      </c>
      <c r="L155" s="82">
        <v>3</v>
      </c>
      <c r="M155" s="82">
        <v>3</v>
      </c>
      <c r="N155" s="82">
        <v>0</v>
      </c>
      <c r="O155" s="82">
        <v>0</v>
      </c>
      <c r="P155" s="82">
        <v>9</v>
      </c>
      <c r="Q155" s="82">
        <v>269</v>
      </c>
      <c r="R155" s="12" t="s">
        <v>25</v>
      </c>
      <c r="S155" s="12" t="s">
        <v>25</v>
      </c>
      <c r="T155" s="12" t="s">
        <v>25</v>
      </c>
    </row>
    <row r="156" spans="1:20" hidden="1" x14ac:dyDescent="0.3">
      <c r="A156" s="13">
        <v>43892.75</v>
      </c>
      <c r="B156" s="12" t="s">
        <v>22</v>
      </c>
      <c r="C156" s="82">
        <v>12</v>
      </c>
      <c r="D156" s="12" t="s">
        <v>48</v>
      </c>
      <c r="E156" s="82">
        <v>4189277044</v>
      </c>
      <c r="F156" s="82">
        <v>1248366722</v>
      </c>
      <c r="G156" s="82">
        <v>3</v>
      </c>
      <c r="H156" s="82">
        <v>0</v>
      </c>
      <c r="I156" s="82">
        <v>3</v>
      </c>
      <c r="J156" s="82">
        <v>1</v>
      </c>
      <c r="K156" s="82">
        <v>4</v>
      </c>
      <c r="L156" s="82">
        <v>1</v>
      </c>
      <c r="M156" s="82">
        <v>1</v>
      </c>
      <c r="N156" s="82">
        <v>3</v>
      </c>
      <c r="O156" s="82">
        <v>0</v>
      </c>
      <c r="P156" s="82">
        <v>7</v>
      </c>
      <c r="Q156" s="82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82">
        <v>7</v>
      </c>
      <c r="D157" s="12" t="s">
        <v>49</v>
      </c>
      <c r="E157" s="82">
        <v>4441149315</v>
      </c>
      <c r="F157" s="82">
        <v>89326992</v>
      </c>
      <c r="G157" s="82">
        <v>12</v>
      </c>
      <c r="H157" s="82">
        <v>1</v>
      </c>
      <c r="I157" s="82">
        <v>13</v>
      </c>
      <c r="J157" s="82">
        <v>5</v>
      </c>
      <c r="K157" s="82">
        <v>18</v>
      </c>
      <c r="L157" s="82">
        <v>-3</v>
      </c>
      <c r="M157" s="82">
        <v>-3</v>
      </c>
      <c r="N157" s="82">
        <v>4</v>
      </c>
      <c r="O157" s="82">
        <v>0</v>
      </c>
      <c r="P157" s="82">
        <v>22</v>
      </c>
      <c r="Q157" s="82">
        <v>121</v>
      </c>
      <c r="R157" s="12" t="s">
        <v>25</v>
      </c>
      <c r="S157" s="12" t="s">
        <v>25</v>
      </c>
      <c r="T157" s="12" t="s">
        <v>25</v>
      </c>
    </row>
    <row r="158" spans="1:20" hidden="1" x14ac:dyDescent="0.3">
      <c r="A158" s="13">
        <v>43892.75</v>
      </c>
      <c r="B158" s="12" t="s">
        <v>22</v>
      </c>
      <c r="C158" s="82">
        <v>3</v>
      </c>
      <c r="D158" s="12" t="s">
        <v>50</v>
      </c>
      <c r="E158" s="82">
        <v>4546679409</v>
      </c>
      <c r="F158" s="82">
        <v>9190347404</v>
      </c>
      <c r="G158" s="82">
        <v>478</v>
      </c>
      <c r="H158" s="82">
        <v>127</v>
      </c>
      <c r="I158" s="82">
        <v>605</v>
      </c>
      <c r="J158" s="82">
        <v>472</v>
      </c>
      <c r="K158" s="82">
        <v>1077</v>
      </c>
      <c r="L158" s="82">
        <v>190</v>
      </c>
      <c r="M158" s="82">
        <v>270</v>
      </c>
      <c r="N158" s="82">
        <v>139</v>
      </c>
      <c r="O158" s="82">
        <v>38</v>
      </c>
      <c r="P158" s="82">
        <v>1254</v>
      </c>
      <c r="Q158" s="82">
        <v>7925</v>
      </c>
      <c r="R158" s="12" t="s">
        <v>25</v>
      </c>
      <c r="S158" s="12" t="s">
        <v>25</v>
      </c>
      <c r="T158" s="12" t="s">
        <v>25</v>
      </c>
    </row>
    <row r="159" spans="1:20" hidden="1" x14ac:dyDescent="0.3">
      <c r="A159" s="13">
        <v>43892.75</v>
      </c>
      <c r="B159" s="12" t="s">
        <v>22</v>
      </c>
      <c r="C159" s="82">
        <v>11</v>
      </c>
      <c r="D159" s="12" t="s">
        <v>51</v>
      </c>
      <c r="E159" s="82">
        <v>4361675973</v>
      </c>
      <c r="F159" s="82">
        <v>135188753</v>
      </c>
      <c r="G159" s="82">
        <v>17</v>
      </c>
      <c r="H159" s="82">
        <v>6</v>
      </c>
      <c r="I159" s="82">
        <v>23</v>
      </c>
      <c r="J159" s="82">
        <v>11</v>
      </c>
      <c r="K159" s="82">
        <v>34</v>
      </c>
      <c r="L159" s="82">
        <v>9</v>
      </c>
      <c r="M159" s="82">
        <v>10</v>
      </c>
      <c r="N159" s="82">
        <v>0</v>
      </c>
      <c r="O159" s="82">
        <v>1</v>
      </c>
      <c r="P159" s="82">
        <v>35</v>
      </c>
      <c r="Q159" s="82">
        <v>137</v>
      </c>
      <c r="R159" s="12" t="s">
        <v>25</v>
      </c>
      <c r="S159" s="12" t="s">
        <v>25</v>
      </c>
      <c r="T159" s="12" t="s">
        <v>25</v>
      </c>
    </row>
    <row r="160" spans="1:20" hidden="1" x14ac:dyDescent="0.3">
      <c r="A160" s="13">
        <v>43892.75</v>
      </c>
      <c r="B160" s="12" t="s">
        <v>22</v>
      </c>
      <c r="C160" s="82">
        <v>14</v>
      </c>
      <c r="D160" s="12" t="s">
        <v>52</v>
      </c>
      <c r="E160" s="82">
        <v>4155774754</v>
      </c>
      <c r="F160" s="82">
        <v>1465916051</v>
      </c>
      <c r="G160" s="82">
        <v>0</v>
      </c>
      <c r="H160" s="82">
        <v>0</v>
      </c>
      <c r="I160" s="82">
        <v>0</v>
      </c>
      <c r="J160" s="82">
        <v>0</v>
      </c>
      <c r="K160" s="82">
        <v>0</v>
      </c>
      <c r="L160" s="82">
        <v>0</v>
      </c>
      <c r="M160" s="82">
        <v>0</v>
      </c>
      <c r="N160" s="82">
        <v>0</v>
      </c>
      <c r="O160" s="82">
        <v>0</v>
      </c>
      <c r="P160" s="82">
        <v>0</v>
      </c>
      <c r="Q160" s="82">
        <v>13</v>
      </c>
      <c r="R160" s="12" t="s">
        <v>25</v>
      </c>
      <c r="S160" s="12" t="s">
        <v>25</v>
      </c>
      <c r="T160" s="12" t="s">
        <v>25</v>
      </c>
    </row>
    <row r="161" spans="1:20" hidden="1" x14ac:dyDescent="0.3">
      <c r="A161" s="13">
        <v>43892.75</v>
      </c>
      <c r="B161" s="12" t="s">
        <v>22</v>
      </c>
      <c r="C161" s="82">
        <v>1</v>
      </c>
      <c r="D161" s="12" t="s">
        <v>53</v>
      </c>
      <c r="E161" s="82">
        <v>450732745</v>
      </c>
      <c r="F161" s="82">
        <v>7680687483</v>
      </c>
      <c r="G161" s="82">
        <v>12</v>
      </c>
      <c r="H161" s="82">
        <v>2</v>
      </c>
      <c r="I161" s="82">
        <v>14</v>
      </c>
      <c r="J161" s="82">
        <v>37</v>
      </c>
      <c r="K161" s="82">
        <v>51</v>
      </c>
      <c r="L161" s="82">
        <v>2</v>
      </c>
      <c r="M161" s="82">
        <v>2</v>
      </c>
      <c r="N161" s="82">
        <v>0</v>
      </c>
      <c r="O161" s="82">
        <v>0</v>
      </c>
      <c r="P161" s="82">
        <v>51</v>
      </c>
      <c r="Q161" s="82">
        <v>434</v>
      </c>
      <c r="R161" s="12" t="s">
        <v>25</v>
      </c>
      <c r="S161" s="12" t="s">
        <v>25</v>
      </c>
      <c r="T161" s="12" t="s">
        <v>25</v>
      </c>
    </row>
    <row r="162" spans="1:20" hidden="1" x14ac:dyDescent="0.3">
      <c r="A162" s="13">
        <v>43892.75</v>
      </c>
      <c r="B162" s="12" t="s">
        <v>22</v>
      </c>
      <c r="C162" s="82">
        <v>16</v>
      </c>
      <c r="D162" s="12" t="s">
        <v>54</v>
      </c>
      <c r="E162" s="82">
        <v>4112559576</v>
      </c>
      <c r="F162" s="82">
        <v>1686736689</v>
      </c>
      <c r="G162" s="82">
        <v>2</v>
      </c>
      <c r="H162" s="82">
        <v>0</v>
      </c>
      <c r="I162" s="82">
        <v>2</v>
      </c>
      <c r="J162" s="82">
        <v>2</v>
      </c>
      <c r="K162" s="82">
        <v>4</v>
      </c>
      <c r="L162" s="82">
        <v>1</v>
      </c>
      <c r="M162" s="82">
        <v>1</v>
      </c>
      <c r="N162" s="82">
        <v>0</v>
      </c>
      <c r="O162" s="82">
        <v>0</v>
      </c>
      <c r="P162" s="82">
        <v>4</v>
      </c>
      <c r="Q162" s="82">
        <v>278</v>
      </c>
      <c r="R162" s="12" t="s">
        <v>25</v>
      </c>
      <c r="S162" s="12" t="s">
        <v>25</v>
      </c>
      <c r="T162" s="12" t="s">
        <v>25</v>
      </c>
    </row>
    <row r="163" spans="1:20" hidden="1" x14ac:dyDescent="0.3">
      <c r="A163" s="13">
        <v>43892.75</v>
      </c>
      <c r="B163" s="12" t="s">
        <v>22</v>
      </c>
      <c r="C163" s="82">
        <v>20</v>
      </c>
      <c r="D163" s="12" t="s">
        <v>55</v>
      </c>
      <c r="E163" s="82">
        <v>3921531192</v>
      </c>
      <c r="F163" s="82">
        <v>9110616306</v>
      </c>
      <c r="G163" s="82">
        <v>0</v>
      </c>
      <c r="H163" s="82">
        <v>0</v>
      </c>
      <c r="I163" s="82">
        <v>0</v>
      </c>
      <c r="J163" s="82">
        <v>0</v>
      </c>
      <c r="K163" s="82">
        <v>0</v>
      </c>
      <c r="L163" s="82">
        <v>0</v>
      </c>
      <c r="M163" s="82">
        <v>0</v>
      </c>
      <c r="N163" s="82">
        <v>0</v>
      </c>
      <c r="O163" s="82">
        <v>0</v>
      </c>
      <c r="P163" s="82">
        <v>0</v>
      </c>
      <c r="Q163" s="82">
        <v>29</v>
      </c>
      <c r="R163" s="12" t="s">
        <v>25</v>
      </c>
      <c r="S163" s="12" t="s">
        <v>25</v>
      </c>
      <c r="T163" s="12" t="s">
        <v>25</v>
      </c>
    </row>
    <row r="164" spans="1:20" hidden="1" x14ac:dyDescent="0.3">
      <c r="A164" s="13">
        <v>43892.75</v>
      </c>
      <c r="B164" s="12" t="s">
        <v>22</v>
      </c>
      <c r="C164" s="82">
        <v>19</v>
      </c>
      <c r="D164" s="12" t="s">
        <v>56</v>
      </c>
      <c r="E164" s="82">
        <v>3811569725</v>
      </c>
      <c r="F164" s="82">
        <v>133623567</v>
      </c>
      <c r="G164" s="82">
        <v>2</v>
      </c>
      <c r="H164" s="82">
        <v>0</v>
      </c>
      <c r="I164" s="82">
        <v>2</v>
      </c>
      <c r="J164" s="82">
        <v>3</v>
      </c>
      <c r="K164" s="82">
        <v>5</v>
      </c>
      <c r="L164" s="82">
        <v>-2</v>
      </c>
      <c r="M164" s="82">
        <v>-2</v>
      </c>
      <c r="N164" s="82">
        <v>2</v>
      </c>
      <c r="O164" s="82">
        <v>0</v>
      </c>
      <c r="P164" s="82">
        <v>7</v>
      </c>
      <c r="Q164" s="82">
        <v>307</v>
      </c>
      <c r="R164" s="12" t="s">
        <v>25</v>
      </c>
      <c r="S164" s="12" t="s">
        <v>25</v>
      </c>
      <c r="T164" s="12" t="s">
        <v>25</v>
      </c>
    </row>
    <row r="165" spans="1:20" hidden="1" x14ac:dyDescent="0.3">
      <c r="A165" s="13">
        <v>43892.75</v>
      </c>
      <c r="B165" s="12" t="s">
        <v>22</v>
      </c>
      <c r="C165" s="82">
        <v>9</v>
      </c>
      <c r="D165" s="12" t="s">
        <v>57</v>
      </c>
      <c r="E165" s="82">
        <v>4376923077</v>
      </c>
      <c r="F165" s="82">
        <v>1125588885</v>
      </c>
      <c r="G165" s="82">
        <v>7</v>
      </c>
      <c r="H165" s="82">
        <v>0</v>
      </c>
      <c r="I165" s="82">
        <v>7</v>
      </c>
      <c r="J165" s="82">
        <v>5</v>
      </c>
      <c r="K165" s="82">
        <v>12</v>
      </c>
      <c r="L165" s="82">
        <v>0</v>
      </c>
      <c r="M165" s="82">
        <v>0</v>
      </c>
      <c r="N165" s="82">
        <v>1</v>
      </c>
      <c r="O165" s="82">
        <v>0</v>
      </c>
      <c r="P165" s="82">
        <v>13</v>
      </c>
      <c r="Q165" s="82">
        <v>613</v>
      </c>
      <c r="R165" s="12" t="s">
        <v>25</v>
      </c>
      <c r="S165" s="12" t="s">
        <v>25</v>
      </c>
      <c r="T165" s="12" t="s">
        <v>25</v>
      </c>
    </row>
    <row r="166" spans="1:20" hidden="1" x14ac:dyDescent="0.3">
      <c r="A166" s="13">
        <v>43892.75</v>
      </c>
      <c r="B166" s="12" t="s">
        <v>22</v>
      </c>
      <c r="C166" s="82">
        <v>22</v>
      </c>
      <c r="D166" s="12" t="s">
        <v>58</v>
      </c>
      <c r="E166" s="82">
        <v>4606893511</v>
      </c>
      <c r="F166" s="82">
        <v>1112123097</v>
      </c>
      <c r="G166" s="82">
        <v>0</v>
      </c>
      <c r="H166" s="82">
        <v>0</v>
      </c>
      <c r="I166" s="82">
        <v>0</v>
      </c>
      <c r="J166" s="82">
        <v>0</v>
      </c>
      <c r="K166" s="82">
        <v>0</v>
      </c>
      <c r="L166" s="82">
        <v>0</v>
      </c>
      <c r="M166" s="82">
        <v>0</v>
      </c>
      <c r="N166" s="82">
        <v>0</v>
      </c>
      <c r="O166" s="82">
        <v>0</v>
      </c>
      <c r="P166" s="82">
        <v>0</v>
      </c>
      <c r="Q166" s="82">
        <v>122</v>
      </c>
      <c r="R166" s="12" t="s">
        <v>25</v>
      </c>
      <c r="S166" s="12" t="s">
        <v>25</v>
      </c>
      <c r="T166" s="12" t="s">
        <v>25</v>
      </c>
    </row>
    <row r="167" spans="1:20" hidden="1" x14ac:dyDescent="0.3">
      <c r="A167" s="13">
        <v>43892.75</v>
      </c>
      <c r="B167" s="12" t="s">
        <v>22</v>
      </c>
      <c r="C167" s="82">
        <v>10</v>
      </c>
      <c r="D167" s="12" t="s">
        <v>59</v>
      </c>
      <c r="E167" s="82">
        <v>4310675841</v>
      </c>
      <c r="F167" s="82">
        <v>1238824698</v>
      </c>
      <c r="G167" s="82">
        <v>0</v>
      </c>
      <c r="H167" s="82">
        <v>0</v>
      </c>
      <c r="I167" s="82">
        <v>0</v>
      </c>
      <c r="J167" s="82">
        <v>2</v>
      </c>
      <c r="K167" s="82">
        <v>2</v>
      </c>
      <c r="L167" s="82">
        <v>0</v>
      </c>
      <c r="M167" s="82">
        <v>0</v>
      </c>
      <c r="N167" s="82">
        <v>0</v>
      </c>
      <c r="O167" s="82">
        <v>0</v>
      </c>
      <c r="P167" s="82">
        <v>2</v>
      </c>
      <c r="Q167" s="82">
        <v>35</v>
      </c>
      <c r="R167" s="12" t="s">
        <v>25</v>
      </c>
      <c r="S167" s="12" t="s">
        <v>25</v>
      </c>
      <c r="T167" s="12" t="s">
        <v>25</v>
      </c>
    </row>
    <row r="168" spans="1:20" hidden="1" x14ac:dyDescent="0.3">
      <c r="A168" s="13">
        <v>43892.75</v>
      </c>
      <c r="B168" s="12" t="s">
        <v>22</v>
      </c>
      <c r="C168" s="82">
        <v>2</v>
      </c>
      <c r="D168" s="12" t="s">
        <v>60</v>
      </c>
      <c r="E168" s="82">
        <v>4573750286</v>
      </c>
      <c r="F168" s="82">
        <v>7320149366</v>
      </c>
      <c r="G168" s="82">
        <v>0</v>
      </c>
      <c r="H168" s="82">
        <v>0</v>
      </c>
      <c r="I168" s="82">
        <v>0</v>
      </c>
      <c r="J168" s="82">
        <v>0</v>
      </c>
      <c r="K168" s="82">
        <v>0</v>
      </c>
      <c r="L168" s="82">
        <v>0</v>
      </c>
      <c r="M168" s="82">
        <v>0</v>
      </c>
      <c r="N168" s="82">
        <v>0</v>
      </c>
      <c r="O168" s="82">
        <v>0</v>
      </c>
      <c r="P168" s="82">
        <v>0</v>
      </c>
      <c r="Q168" s="82">
        <v>11</v>
      </c>
      <c r="R168" s="12" t="s">
        <v>25</v>
      </c>
      <c r="S168" s="12" t="s">
        <v>25</v>
      </c>
      <c r="T168" s="12" t="s">
        <v>25</v>
      </c>
    </row>
    <row r="169" spans="1:20" hidden="1" x14ac:dyDescent="0.3">
      <c r="A169" s="13">
        <v>43892.75</v>
      </c>
      <c r="B169" s="12" t="s">
        <v>22</v>
      </c>
      <c r="C169" s="82">
        <v>5</v>
      </c>
      <c r="D169" s="12" t="s">
        <v>61</v>
      </c>
      <c r="E169" s="82">
        <v>4543490485</v>
      </c>
      <c r="F169" s="82">
        <v>1233845213</v>
      </c>
      <c r="G169" s="82">
        <v>53</v>
      </c>
      <c r="H169" s="82">
        <v>14</v>
      </c>
      <c r="I169" s="82">
        <v>67</v>
      </c>
      <c r="J169" s="82">
        <v>204</v>
      </c>
      <c r="K169" s="82">
        <v>271</v>
      </c>
      <c r="L169" s="82">
        <v>10</v>
      </c>
      <c r="M169" s="82">
        <v>10</v>
      </c>
      <c r="N169" s="82">
        <v>0</v>
      </c>
      <c r="O169" s="82">
        <v>2</v>
      </c>
      <c r="P169" s="82">
        <v>273</v>
      </c>
      <c r="Q169" s="82">
        <v>9782</v>
      </c>
      <c r="R169" s="12" t="s">
        <v>25</v>
      </c>
      <c r="S169" s="12" t="s">
        <v>25</v>
      </c>
      <c r="T169" s="12" t="s">
        <v>25</v>
      </c>
    </row>
    <row r="170" spans="1:20" hidden="1" x14ac:dyDescent="0.3">
      <c r="A170" s="13">
        <v>43893.75</v>
      </c>
      <c r="B170" s="12" t="s">
        <v>22</v>
      </c>
      <c r="C170" s="82">
        <v>13</v>
      </c>
      <c r="D170" s="12" t="s">
        <v>42</v>
      </c>
      <c r="E170" s="82">
        <v>4235122196</v>
      </c>
      <c r="F170" s="82">
        <v>1339843823</v>
      </c>
      <c r="G170" s="82">
        <v>5</v>
      </c>
      <c r="H170" s="82">
        <v>0</v>
      </c>
      <c r="I170" s="82">
        <v>5</v>
      </c>
      <c r="J170" s="82">
        <v>1</v>
      </c>
      <c r="K170" s="82">
        <v>6</v>
      </c>
      <c r="L170" s="82">
        <v>1</v>
      </c>
      <c r="M170" s="82">
        <v>1</v>
      </c>
      <c r="N170" s="82">
        <v>0</v>
      </c>
      <c r="O170" s="82">
        <v>0</v>
      </c>
      <c r="P170" s="82">
        <v>6</v>
      </c>
      <c r="Q170" s="82">
        <v>52</v>
      </c>
      <c r="R170" s="12" t="s">
        <v>25</v>
      </c>
      <c r="S170" s="12" t="s">
        <v>25</v>
      </c>
      <c r="T170" s="12" t="s">
        <v>25</v>
      </c>
    </row>
    <row r="171" spans="1:20" hidden="1" x14ac:dyDescent="0.3">
      <c r="A171" s="13">
        <v>43893.75</v>
      </c>
      <c r="B171" s="12" t="s">
        <v>22</v>
      </c>
      <c r="C171" s="82">
        <v>17</v>
      </c>
      <c r="D171" s="12" t="s">
        <v>43</v>
      </c>
      <c r="E171" s="82">
        <v>4063947052</v>
      </c>
      <c r="F171" s="82">
        <v>1580514834</v>
      </c>
      <c r="G171" s="82">
        <v>0</v>
      </c>
      <c r="H171" s="82">
        <v>0</v>
      </c>
      <c r="I171" s="82">
        <v>0</v>
      </c>
      <c r="J171" s="82">
        <v>1</v>
      </c>
      <c r="K171" s="82">
        <v>1</v>
      </c>
      <c r="L171" s="82">
        <v>1</v>
      </c>
      <c r="M171" s="82">
        <v>1</v>
      </c>
      <c r="N171" s="82">
        <v>0</v>
      </c>
      <c r="O171" s="82">
        <v>0</v>
      </c>
      <c r="P171" s="82">
        <v>1</v>
      </c>
      <c r="Q171" s="82">
        <v>42</v>
      </c>
      <c r="R171" s="12" t="s">
        <v>25</v>
      </c>
      <c r="S171" s="12" t="s">
        <v>25</v>
      </c>
      <c r="T171" s="12" t="s">
        <v>25</v>
      </c>
    </row>
    <row r="172" spans="1:20" hidden="1" x14ac:dyDescent="0.3">
      <c r="A172" s="13">
        <v>43893.75</v>
      </c>
      <c r="B172" s="12" t="s">
        <v>22</v>
      </c>
      <c r="C172" s="82">
        <v>21</v>
      </c>
      <c r="D172" s="12" t="s">
        <v>44</v>
      </c>
      <c r="E172" s="82">
        <v>4649933453</v>
      </c>
      <c r="F172" s="82">
        <v>1135662422</v>
      </c>
      <c r="G172" s="82">
        <v>1</v>
      </c>
      <c r="H172" s="82">
        <v>0</v>
      </c>
      <c r="I172" s="82">
        <v>1</v>
      </c>
      <c r="J172" s="82">
        <v>0</v>
      </c>
      <c r="K172" s="82">
        <v>1</v>
      </c>
      <c r="L172" s="82">
        <v>0</v>
      </c>
      <c r="M172" s="82">
        <v>0</v>
      </c>
      <c r="N172" s="82">
        <v>0</v>
      </c>
      <c r="O172" s="82">
        <v>0</v>
      </c>
      <c r="P172" s="82">
        <v>1</v>
      </c>
      <c r="Q172" s="82">
        <v>20</v>
      </c>
      <c r="R172" s="12" t="s">
        <v>25</v>
      </c>
      <c r="S172" s="12" t="s">
        <v>25</v>
      </c>
      <c r="T172" s="12" t="s">
        <v>25</v>
      </c>
    </row>
    <row r="173" spans="1:20" hidden="1" x14ac:dyDescent="0.3">
      <c r="A173" s="13">
        <v>43893.75</v>
      </c>
      <c r="B173" s="12" t="s">
        <v>22</v>
      </c>
      <c r="C173" s="82">
        <v>18</v>
      </c>
      <c r="D173" s="12" t="s">
        <v>45</v>
      </c>
      <c r="E173" s="82">
        <v>3890597598</v>
      </c>
      <c r="F173" s="82">
        <v>1659440194</v>
      </c>
      <c r="G173" s="82">
        <v>0</v>
      </c>
      <c r="H173" s="82">
        <v>0</v>
      </c>
      <c r="I173" s="82">
        <v>0</v>
      </c>
      <c r="J173" s="82">
        <v>1</v>
      </c>
      <c r="K173" s="82">
        <v>1</v>
      </c>
      <c r="L173" s="82">
        <v>0</v>
      </c>
      <c r="M173" s="82">
        <v>0</v>
      </c>
      <c r="N173" s="82">
        <v>0</v>
      </c>
      <c r="O173" s="82">
        <v>0</v>
      </c>
      <c r="P173" s="82">
        <v>1</v>
      </c>
      <c r="Q173" s="82">
        <v>39</v>
      </c>
      <c r="R173" s="12" t="s">
        <v>25</v>
      </c>
      <c r="S173" s="12" t="s">
        <v>25</v>
      </c>
      <c r="T173" s="12" t="s">
        <v>25</v>
      </c>
    </row>
    <row r="174" spans="1:20" hidden="1" x14ac:dyDescent="0.3">
      <c r="A174" s="13">
        <v>43893.75</v>
      </c>
      <c r="B174" s="12" t="s">
        <v>22</v>
      </c>
      <c r="C174" s="82">
        <v>15</v>
      </c>
      <c r="D174" s="12" t="s">
        <v>46</v>
      </c>
      <c r="E174" s="82">
        <v>4083956555</v>
      </c>
      <c r="F174" s="82">
        <v>1425084984</v>
      </c>
      <c r="G174" s="82">
        <v>11</v>
      </c>
      <c r="H174" s="82">
        <v>0</v>
      </c>
      <c r="I174" s="82">
        <v>11</v>
      </c>
      <c r="J174" s="82">
        <v>19</v>
      </c>
      <c r="K174" s="82">
        <v>30</v>
      </c>
      <c r="L174" s="82">
        <v>13</v>
      </c>
      <c r="M174" s="82">
        <v>13</v>
      </c>
      <c r="N174" s="82">
        <v>0</v>
      </c>
      <c r="O174" s="82">
        <v>0</v>
      </c>
      <c r="P174" s="82">
        <v>30</v>
      </c>
      <c r="Q174" s="82">
        <v>405</v>
      </c>
      <c r="R174" s="12" t="s">
        <v>25</v>
      </c>
      <c r="S174" s="12" t="s">
        <v>25</v>
      </c>
      <c r="T174" s="12" t="s">
        <v>25</v>
      </c>
    </row>
    <row r="175" spans="1:20" hidden="1" x14ac:dyDescent="0.3">
      <c r="A175" s="13">
        <v>43893.75</v>
      </c>
      <c r="B175" s="12" t="s">
        <v>22</v>
      </c>
      <c r="C175" s="82">
        <v>8</v>
      </c>
      <c r="D175" s="12" t="s">
        <v>95</v>
      </c>
      <c r="E175" s="82">
        <v>4449436681</v>
      </c>
      <c r="F175" s="82">
        <v>113417208</v>
      </c>
      <c r="G175" s="82">
        <v>187</v>
      </c>
      <c r="H175" s="82">
        <v>24</v>
      </c>
      <c r="I175" s="82">
        <v>211</v>
      </c>
      <c r="J175" s="82">
        <v>187</v>
      </c>
      <c r="K175" s="82">
        <v>398</v>
      </c>
      <c r="L175" s="82">
        <v>74</v>
      </c>
      <c r="M175" s="82">
        <v>85</v>
      </c>
      <c r="N175" s="82">
        <v>4</v>
      </c>
      <c r="O175" s="82">
        <v>18</v>
      </c>
      <c r="P175" s="82">
        <v>420</v>
      </c>
      <c r="Q175" s="82">
        <v>2012</v>
      </c>
      <c r="R175" s="12" t="s">
        <v>25</v>
      </c>
      <c r="S175" s="12" t="s">
        <v>25</v>
      </c>
      <c r="T175" s="12" t="s">
        <v>25</v>
      </c>
    </row>
    <row r="176" spans="1:20" hidden="1" x14ac:dyDescent="0.3">
      <c r="A176" s="13">
        <v>43893.75</v>
      </c>
      <c r="B176" s="12" t="s">
        <v>22</v>
      </c>
      <c r="C176" s="82">
        <v>6</v>
      </c>
      <c r="D176" s="12" t="s">
        <v>47</v>
      </c>
      <c r="E176" s="82">
        <v>456494354</v>
      </c>
      <c r="F176" s="82">
        <v>1376813649</v>
      </c>
      <c r="G176" s="82">
        <v>1</v>
      </c>
      <c r="H176" s="82">
        <v>0</v>
      </c>
      <c r="I176" s="82">
        <v>1</v>
      </c>
      <c r="J176" s="82">
        <v>12</v>
      </c>
      <c r="K176" s="82">
        <v>13</v>
      </c>
      <c r="L176" s="82">
        <v>4</v>
      </c>
      <c r="M176" s="82">
        <v>4</v>
      </c>
      <c r="N176" s="82">
        <v>0</v>
      </c>
      <c r="O176" s="82">
        <v>0</v>
      </c>
      <c r="P176" s="82">
        <v>13</v>
      </c>
      <c r="Q176" s="82">
        <v>354</v>
      </c>
      <c r="R176" s="12" t="s">
        <v>25</v>
      </c>
      <c r="S176" s="12" t="s">
        <v>25</v>
      </c>
      <c r="T176" s="12" t="s">
        <v>25</v>
      </c>
    </row>
    <row r="177" spans="1:20" hidden="1" x14ac:dyDescent="0.3">
      <c r="A177" s="13">
        <v>43893.75</v>
      </c>
      <c r="B177" s="12" t="s">
        <v>22</v>
      </c>
      <c r="C177" s="82">
        <v>12</v>
      </c>
      <c r="D177" s="12" t="s">
        <v>48</v>
      </c>
      <c r="E177" s="82">
        <v>4189277044</v>
      </c>
      <c r="F177" s="82">
        <v>1248366722</v>
      </c>
      <c r="G177" s="82">
        <v>10</v>
      </c>
      <c r="H177" s="82">
        <v>0</v>
      </c>
      <c r="I177" s="82">
        <v>10</v>
      </c>
      <c r="J177" s="82">
        <v>1</v>
      </c>
      <c r="K177" s="82">
        <v>11</v>
      </c>
      <c r="L177" s="82">
        <v>7</v>
      </c>
      <c r="M177" s="82">
        <v>7</v>
      </c>
      <c r="N177" s="82">
        <v>3</v>
      </c>
      <c r="O177" s="82">
        <v>0</v>
      </c>
      <c r="P177" s="82">
        <v>14</v>
      </c>
      <c r="Q177" s="82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82">
        <v>7</v>
      </c>
      <c r="D178" s="12" t="s">
        <v>49</v>
      </c>
      <c r="E178" s="82">
        <v>4441149315</v>
      </c>
      <c r="F178" s="82">
        <v>89326992</v>
      </c>
      <c r="G178" s="82">
        <v>12</v>
      </c>
      <c r="H178" s="82">
        <v>2</v>
      </c>
      <c r="I178" s="82">
        <v>14</v>
      </c>
      <c r="J178" s="82">
        <v>5</v>
      </c>
      <c r="K178" s="82">
        <v>19</v>
      </c>
      <c r="L178" s="82">
        <v>1</v>
      </c>
      <c r="M178" s="82">
        <v>2</v>
      </c>
      <c r="N178" s="82">
        <v>4</v>
      </c>
      <c r="O178" s="82">
        <v>1</v>
      </c>
      <c r="P178" s="82">
        <v>24</v>
      </c>
      <c r="Q178" s="82">
        <v>121</v>
      </c>
      <c r="R178" s="12" t="s">
        <v>25</v>
      </c>
      <c r="S178" s="12" t="s">
        <v>25</v>
      </c>
      <c r="T178" s="12" t="s">
        <v>25</v>
      </c>
    </row>
    <row r="179" spans="1:20" hidden="1" x14ac:dyDescent="0.3">
      <c r="A179" s="13">
        <v>43893.75</v>
      </c>
      <c r="B179" s="12" t="s">
        <v>22</v>
      </c>
      <c r="C179" s="82">
        <v>3</v>
      </c>
      <c r="D179" s="12" t="s">
        <v>50</v>
      </c>
      <c r="E179" s="82">
        <v>4546679409</v>
      </c>
      <c r="F179" s="82">
        <v>9190347404</v>
      </c>
      <c r="G179" s="82">
        <v>698</v>
      </c>
      <c r="H179" s="82">
        <v>167</v>
      </c>
      <c r="I179" s="82">
        <v>865</v>
      </c>
      <c r="J179" s="82">
        <v>461</v>
      </c>
      <c r="K179" s="82">
        <v>1326</v>
      </c>
      <c r="L179" s="82">
        <v>249</v>
      </c>
      <c r="M179" s="82">
        <v>266</v>
      </c>
      <c r="N179" s="82">
        <v>139</v>
      </c>
      <c r="O179" s="82">
        <v>55</v>
      </c>
      <c r="P179" s="82">
        <v>1520</v>
      </c>
      <c r="Q179" s="82">
        <v>9577</v>
      </c>
      <c r="R179" s="12" t="s">
        <v>25</v>
      </c>
      <c r="S179" s="12" t="s">
        <v>25</v>
      </c>
      <c r="T179" s="12" t="s">
        <v>25</v>
      </c>
    </row>
    <row r="180" spans="1:20" hidden="1" x14ac:dyDescent="0.3">
      <c r="A180" s="13">
        <v>43893.75</v>
      </c>
      <c r="B180" s="12" t="s">
        <v>22</v>
      </c>
      <c r="C180" s="82">
        <v>11</v>
      </c>
      <c r="D180" s="12" t="s">
        <v>51</v>
      </c>
      <c r="E180" s="82">
        <v>4361675973</v>
      </c>
      <c r="F180" s="82">
        <v>135188753</v>
      </c>
      <c r="G180" s="82">
        <v>27</v>
      </c>
      <c r="H180" s="82">
        <v>13</v>
      </c>
      <c r="I180" s="82">
        <v>40</v>
      </c>
      <c r="J180" s="82">
        <v>19</v>
      </c>
      <c r="K180" s="82">
        <v>59</v>
      </c>
      <c r="L180" s="82">
        <v>25</v>
      </c>
      <c r="M180" s="82">
        <v>26</v>
      </c>
      <c r="N180" s="82">
        <v>0</v>
      </c>
      <c r="O180" s="82">
        <v>2</v>
      </c>
      <c r="P180" s="82">
        <v>61</v>
      </c>
      <c r="Q180" s="82">
        <v>200</v>
      </c>
      <c r="R180" s="12" t="s">
        <v>25</v>
      </c>
      <c r="S180" s="12" t="s">
        <v>25</v>
      </c>
      <c r="T180" s="12" t="s">
        <v>25</v>
      </c>
    </row>
    <row r="181" spans="1:20" hidden="1" x14ac:dyDescent="0.3">
      <c r="A181" s="13">
        <v>43893.75</v>
      </c>
      <c r="B181" s="12" t="s">
        <v>22</v>
      </c>
      <c r="C181" s="82">
        <v>14</v>
      </c>
      <c r="D181" s="12" t="s">
        <v>52</v>
      </c>
      <c r="E181" s="82">
        <v>4155774754</v>
      </c>
      <c r="F181" s="82">
        <v>1465916051</v>
      </c>
      <c r="G181" s="82">
        <v>3</v>
      </c>
      <c r="H181" s="82">
        <v>0</v>
      </c>
      <c r="I181" s="82">
        <v>3</v>
      </c>
      <c r="J181" s="82">
        <v>0</v>
      </c>
      <c r="K181" s="82">
        <v>3</v>
      </c>
      <c r="L181" s="82">
        <v>3</v>
      </c>
      <c r="M181" s="82">
        <v>3</v>
      </c>
      <c r="N181" s="82">
        <v>0</v>
      </c>
      <c r="O181" s="82">
        <v>0</v>
      </c>
      <c r="P181" s="82">
        <v>3</v>
      </c>
      <c r="Q181" s="82">
        <v>13</v>
      </c>
      <c r="R181" s="12" t="s">
        <v>25</v>
      </c>
      <c r="S181" s="12" t="s">
        <v>25</v>
      </c>
      <c r="T181" s="12" t="s">
        <v>25</v>
      </c>
    </row>
    <row r="182" spans="1:20" hidden="1" x14ac:dyDescent="0.3">
      <c r="A182" s="13">
        <v>43893.75</v>
      </c>
      <c r="B182" s="12" t="s">
        <v>22</v>
      </c>
      <c r="C182" s="82">
        <v>1</v>
      </c>
      <c r="D182" s="12" t="s">
        <v>53</v>
      </c>
      <c r="E182" s="82">
        <v>450732745</v>
      </c>
      <c r="F182" s="82">
        <v>7680687483</v>
      </c>
      <c r="G182" s="82">
        <v>13</v>
      </c>
      <c r="H182" s="82">
        <v>3</v>
      </c>
      <c r="I182" s="82">
        <v>16</v>
      </c>
      <c r="J182" s="82">
        <v>40</v>
      </c>
      <c r="K182" s="82">
        <v>56</v>
      </c>
      <c r="L182" s="82">
        <v>5</v>
      </c>
      <c r="M182" s="82">
        <v>5</v>
      </c>
      <c r="N182" s="82">
        <v>0</v>
      </c>
      <c r="O182" s="82">
        <v>0</v>
      </c>
      <c r="P182" s="82">
        <v>56</v>
      </c>
      <c r="Q182" s="82">
        <v>458</v>
      </c>
      <c r="R182" s="12" t="s">
        <v>25</v>
      </c>
      <c r="S182" s="12" t="s">
        <v>25</v>
      </c>
      <c r="T182" s="12" t="s">
        <v>25</v>
      </c>
    </row>
    <row r="183" spans="1:20" hidden="1" x14ac:dyDescent="0.3">
      <c r="A183" s="13">
        <v>43893.75</v>
      </c>
      <c r="B183" s="12" t="s">
        <v>22</v>
      </c>
      <c r="C183" s="82">
        <v>16</v>
      </c>
      <c r="D183" s="12" t="s">
        <v>54</v>
      </c>
      <c r="E183" s="82">
        <v>4112559576</v>
      </c>
      <c r="F183" s="82">
        <v>1686736689</v>
      </c>
      <c r="G183" s="82">
        <v>2</v>
      </c>
      <c r="H183" s="82">
        <v>0</v>
      </c>
      <c r="I183" s="82">
        <v>2</v>
      </c>
      <c r="J183" s="82">
        <v>4</v>
      </c>
      <c r="K183" s="82">
        <v>6</v>
      </c>
      <c r="L183" s="82">
        <v>2</v>
      </c>
      <c r="M183" s="82">
        <v>2</v>
      </c>
      <c r="N183" s="82">
        <v>0</v>
      </c>
      <c r="O183" s="82">
        <v>0</v>
      </c>
      <c r="P183" s="82">
        <v>6</v>
      </c>
      <c r="Q183" s="82">
        <v>298</v>
      </c>
      <c r="R183" s="12" t="s">
        <v>25</v>
      </c>
      <c r="S183" s="12" t="s">
        <v>25</v>
      </c>
      <c r="T183" s="12" t="s">
        <v>25</v>
      </c>
    </row>
    <row r="184" spans="1:20" hidden="1" x14ac:dyDescent="0.3">
      <c r="A184" s="13">
        <v>43893.75</v>
      </c>
      <c r="B184" s="12" t="s">
        <v>22</v>
      </c>
      <c r="C184" s="82">
        <v>20</v>
      </c>
      <c r="D184" s="12" t="s">
        <v>55</v>
      </c>
      <c r="E184" s="82">
        <v>3921531192</v>
      </c>
      <c r="F184" s="82">
        <v>9110616306</v>
      </c>
      <c r="G184" s="82">
        <v>1</v>
      </c>
      <c r="H184" s="82">
        <v>0</v>
      </c>
      <c r="I184" s="82">
        <v>1</v>
      </c>
      <c r="J184" s="82">
        <v>0</v>
      </c>
      <c r="K184" s="82">
        <v>1</v>
      </c>
      <c r="L184" s="82">
        <v>1</v>
      </c>
      <c r="M184" s="82">
        <v>1</v>
      </c>
      <c r="N184" s="82">
        <v>0</v>
      </c>
      <c r="O184" s="82">
        <v>0</v>
      </c>
      <c r="P184" s="82">
        <v>1</v>
      </c>
      <c r="Q184" s="82">
        <v>29</v>
      </c>
      <c r="R184" s="12" t="s">
        <v>25</v>
      </c>
      <c r="S184" s="12" t="s">
        <v>25</v>
      </c>
      <c r="T184" s="12" t="s">
        <v>25</v>
      </c>
    </row>
    <row r="185" spans="1:20" hidden="1" x14ac:dyDescent="0.3">
      <c r="A185" s="13">
        <v>43893.75</v>
      </c>
      <c r="B185" s="12" t="s">
        <v>22</v>
      </c>
      <c r="C185" s="82">
        <v>19</v>
      </c>
      <c r="D185" s="12" t="s">
        <v>56</v>
      </c>
      <c r="E185" s="82">
        <v>3811569725</v>
      </c>
      <c r="F185" s="82">
        <v>133623567</v>
      </c>
      <c r="G185" s="82">
        <v>2</v>
      </c>
      <c r="H185" s="82">
        <v>0</v>
      </c>
      <c r="I185" s="82">
        <v>2</v>
      </c>
      <c r="J185" s="82">
        <v>3</v>
      </c>
      <c r="K185" s="82">
        <v>5</v>
      </c>
      <c r="L185" s="82">
        <v>0</v>
      </c>
      <c r="M185" s="82">
        <v>0</v>
      </c>
      <c r="N185" s="82">
        <v>2</v>
      </c>
      <c r="O185" s="82">
        <v>0</v>
      </c>
      <c r="P185" s="82">
        <v>7</v>
      </c>
      <c r="Q185" s="82">
        <v>307</v>
      </c>
      <c r="R185" s="12" t="s">
        <v>25</v>
      </c>
      <c r="S185" s="12" t="s">
        <v>25</v>
      </c>
      <c r="T185" s="12" t="s">
        <v>25</v>
      </c>
    </row>
    <row r="186" spans="1:20" hidden="1" x14ac:dyDescent="0.3">
      <c r="A186" s="13">
        <v>43893.75</v>
      </c>
      <c r="B186" s="12" t="s">
        <v>22</v>
      </c>
      <c r="C186" s="82">
        <v>9</v>
      </c>
      <c r="D186" s="12" t="s">
        <v>57</v>
      </c>
      <c r="E186" s="82">
        <v>4376923077</v>
      </c>
      <c r="F186" s="82">
        <v>1125588885</v>
      </c>
      <c r="G186" s="82">
        <v>10</v>
      </c>
      <c r="H186" s="82">
        <v>0</v>
      </c>
      <c r="I186" s="82">
        <v>10</v>
      </c>
      <c r="J186" s="82">
        <v>8</v>
      </c>
      <c r="K186" s="82">
        <v>18</v>
      </c>
      <c r="L186" s="82">
        <v>6</v>
      </c>
      <c r="M186" s="82">
        <v>6</v>
      </c>
      <c r="N186" s="82">
        <v>1</v>
      </c>
      <c r="O186" s="82">
        <v>0</v>
      </c>
      <c r="P186" s="82">
        <v>19</v>
      </c>
      <c r="Q186" s="82">
        <v>697</v>
      </c>
      <c r="R186" s="12" t="s">
        <v>25</v>
      </c>
      <c r="S186" s="12" t="s">
        <v>25</v>
      </c>
      <c r="T186" s="12" t="s">
        <v>25</v>
      </c>
    </row>
    <row r="187" spans="1:20" hidden="1" x14ac:dyDescent="0.3">
      <c r="A187" s="13">
        <v>43893.75</v>
      </c>
      <c r="B187" s="12" t="s">
        <v>22</v>
      </c>
      <c r="C187" s="82">
        <v>22</v>
      </c>
      <c r="D187" s="12" t="s">
        <v>58</v>
      </c>
      <c r="E187" s="82">
        <v>4606893511</v>
      </c>
      <c r="F187" s="82">
        <v>1112123097</v>
      </c>
      <c r="G187" s="82">
        <v>1</v>
      </c>
      <c r="H187" s="82">
        <v>0</v>
      </c>
      <c r="I187" s="82">
        <v>1</v>
      </c>
      <c r="J187" s="82">
        <v>3</v>
      </c>
      <c r="K187" s="82">
        <v>4</v>
      </c>
      <c r="L187" s="82">
        <v>4</v>
      </c>
      <c r="M187" s="82">
        <v>4</v>
      </c>
      <c r="N187" s="82">
        <v>0</v>
      </c>
      <c r="O187" s="82">
        <v>0</v>
      </c>
      <c r="P187" s="82">
        <v>4</v>
      </c>
      <c r="Q187" s="82">
        <v>122</v>
      </c>
      <c r="R187" s="12" t="s">
        <v>25</v>
      </c>
      <c r="S187" s="12" t="s">
        <v>25</v>
      </c>
      <c r="T187" s="12" t="s">
        <v>25</v>
      </c>
    </row>
    <row r="188" spans="1:20" hidden="1" x14ac:dyDescent="0.3">
      <c r="A188" s="13">
        <v>43893.75</v>
      </c>
      <c r="B188" s="12" t="s">
        <v>22</v>
      </c>
      <c r="C188" s="82">
        <v>10</v>
      </c>
      <c r="D188" s="12" t="s">
        <v>59</v>
      </c>
      <c r="E188" s="82">
        <v>4310675841</v>
      </c>
      <c r="F188" s="82">
        <v>1238824698</v>
      </c>
      <c r="G188" s="82">
        <v>1</v>
      </c>
      <c r="H188" s="82">
        <v>1</v>
      </c>
      <c r="I188" s="82">
        <v>2</v>
      </c>
      <c r="J188" s="82">
        <v>6</v>
      </c>
      <c r="K188" s="82">
        <v>8</v>
      </c>
      <c r="L188" s="82">
        <v>6</v>
      </c>
      <c r="M188" s="82">
        <v>6</v>
      </c>
      <c r="N188" s="82">
        <v>0</v>
      </c>
      <c r="O188" s="82">
        <v>0</v>
      </c>
      <c r="P188" s="82">
        <v>8</v>
      </c>
      <c r="Q188" s="82">
        <v>45</v>
      </c>
      <c r="R188" s="12" t="s">
        <v>25</v>
      </c>
      <c r="S188" s="12" t="s">
        <v>25</v>
      </c>
      <c r="T188" s="12" t="s">
        <v>25</v>
      </c>
    </row>
    <row r="189" spans="1:20" hidden="1" x14ac:dyDescent="0.3">
      <c r="A189" s="13">
        <v>43893.75</v>
      </c>
      <c r="B189" s="12" t="s">
        <v>22</v>
      </c>
      <c r="C189" s="82">
        <v>2</v>
      </c>
      <c r="D189" s="12" t="s">
        <v>60</v>
      </c>
      <c r="E189" s="82">
        <v>4573750286</v>
      </c>
      <c r="F189" s="82">
        <v>7320149366</v>
      </c>
      <c r="G189" s="82">
        <v>0</v>
      </c>
      <c r="H189" s="82">
        <v>0</v>
      </c>
      <c r="I189" s="82">
        <v>0</v>
      </c>
      <c r="J189" s="82">
        <v>0</v>
      </c>
      <c r="K189" s="82">
        <v>0</v>
      </c>
      <c r="L189" s="82">
        <v>0</v>
      </c>
      <c r="M189" s="82">
        <v>0</v>
      </c>
      <c r="N189" s="82">
        <v>0</v>
      </c>
      <c r="O189" s="82">
        <v>0</v>
      </c>
      <c r="P189" s="82">
        <v>0</v>
      </c>
      <c r="Q189" s="82">
        <v>12</v>
      </c>
      <c r="R189" s="12" t="s">
        <v>25</v>
      </c>
      <c r="S189" s="12" t="s">
        <v>25</v>
      </c>
      <c r="T189" s="12" t="s">
        <v>25</v>
      </c>
    </row>
    <row r="190" spans="1:20" hidden="1" x14ac:dyDescent="0.3">
      <c r="A190" s="13">
        <v>43893.75</v>
      </c>
      <c r="B190" s="12" t="s">
        <v>22</v>
      </c>
      <c r="C190" s="82">
        <v>5</v>
      </c>
      <c r="D190" s="12" t="s">
        <v>61</v>
      </c>
      <c r="E190" s="82">
        <v>4543490485</v>
      </c>
      <c r="F190" s="82">
        <v>1233845213</v>
      </c>
      <c r="G190" s="82">
        <v>49</v>
      </c>
      <c r="H190" s="82">
        <v>19</v>
      </c>
      <c r="I190" s="82">
        <v>68</v>
      </c>
      <c r="J190" s="82">
        <v>229</v>
      </c>
      <c r="K190" s="82">
        <v>297</v>
      </c>
      <c r="L190" s="82">
        <v>26</v>
      </c>
      <c r="M190" s="82">
        <v>34</v>
      </c>
      <c r="N190" s="82">
        <v>7</v>
      </c>
      <c r="O190" s="82">
        <v>3</v>
      </c>
      <c r="P190" s="82">
        <v>307</v>
      </c>
      <c r="Q190" s="82">
        <v>10176</v>
      </c>
      <c r="R190" s="12" t="s">
        <v>25</v>
      </c>
      <c r="S190" s="12" t="s">
        <v>25</v>
      </c>
      <c r="T190" s="12" t="s">
        <v>25</v>
      </c>
    </row>
    <row r="191" spans="1:20" hidden="1" x14ac:dyDescent="0.3">
      <c r="A191" s="13">
        <v>43894.708333333336</v>
      </c>
      <c r="B191" s="12" t="s">
        <v>22</v>
      </c>
      <c r="C191" s="82">
        <v>13</v>
      </c>
      <c r="D191" s="12" t="s">
        <v>42</v>
      </c>
      <c r="E191" s="82">
        <v>4235122196</v>
      </c>
      <c r="F191" s="82">
        <v>1339843823</v>
      </c>
      <c r="G191" s="82">
        <v>7</v>
      </c>
      <c r="H191" s="82">
        <v>0</v>
      </c>
      <c r="I191" s="82">
        <v>7</v>
      </c>
      <c r="J191" s="82">
        <v>0</v>
      </c>
      <c r="K191" s="82">
        <v>7</v>
      </c>
      <c r="L191" s="82">
        <v>1</v>
      </c>
      <c r="M191" s="82">
        <v>1</v>
      </c>
      <c r="N191" s="82">
        <v>0</v>
      </c>
      <c r="O191" s="82">
        <v>0</v>
      </c>
      <c r="P191" s="82">
        <v>7</v>
      </c>
      <c r="Q191" s="82">
        <v>85</v>
      </c>
      <c r="R191" s="12" t="s">
        <v>25</v>
      </c>
      <c r="S191" s="12" t="s">
        <v>25</v>
      </c>
      <c r="T191" s="12" t="s">
        <v>25</v>
      </c>
    </row>
    <row r="192" spans="1:20" hidden="1" x14ac:dyDescent="0.3">
      <c r="A192" s="13">
        <v>43894.708333333336</v>
      </c>
      <c r="B192" s="12" t="s">
        <v>22</v>
      </c>
      <c r="C192" s="82">
        <v>17</v>
      </c>
      <c r="D192" s="12" t="s">
        <v>43</v>
      </c>
      <c r="E192" s="82">
        <v>4063947052</v>
      </c>
      <c r="F192" s="82">
        <v>1580514834</v>
      </c>
      <c r="G192" s="82">
        <v>0</v>
      </c>
      <c r="H192" s="82">
        <v>0</v>
      </c>
      <c r="I192" s="82">
        <v>0</v>
      </c>
      <c r="J192" s="82">
        <v>1</v>
      </c>
      <c r="K192" s="82">
        <v>1</v>
      </c>
      <c r="L192" s="82">
        <v>0</v>
      </c>
      <c r="M192" s="82">
        <v>0</v>
      </c>
      <c r="N192" s="82">
        <v>0</v>
      </c>
      <c r="O192" s="82">
        <v>0</v>
      </c>
      <c r="P192" s="82">
        <v>1</v>
      </c>
      <c r="Q192" s="82">
        <v>48</v>
      </c>
      <c r="R192" s="12" t="s">
        <v>25</v>
      </c>
      <c r="S192" s="12" t="s">
        <v>25</v>
      </c>
      <c r="T192" s="12" t="s">
        <v>25</v>
      </c>
    </row>
    <row r="193" spans="1:20" hidden="1" x14ac:dyDescent="0.3">
      <c r="A193" s="13">
        <v>43894.708333333336</v>
      </c>
      <c r="B193" s="12" t="s">
        <v>22</v>
      </c>
      <c r="C193" s="82">
        <v>21</v>
      </c>
      <c r="D193" s="12" t="s">
        <v>44</v>
      </c>
      <c r="E193" s="82">
        <v>4649933453</v>
      </c>
      <c r="F193" s="82">
        <v>1135662422</v>
      </c>
      <c r="G193" s="82">
        <v>1</v>
      </c>
      <c r="H193" s="82">
        <v>0</v>
      </c>
      <c r="I193" s="82">
        <v>1</v>
      </c>
      <c r="J193" s="82">
        <v>0</v>
      </c>
      <c r="K193" s="82">
        <v>1</v>
      </c>
      <c r="L193" s="82">
        <v>0</v>
      </c>
      <c r="M193" s="82">
        <v>0</v>
      </c>
      <c r="N193" s="82">
        <v>0</v>
      </c>
      <c r="O193" s="82">
        <v>0</v>
      </c>
      <c r="P193" s="82">
        <v>1</v>
      </c>
      <c r="Q193" s="82">
        <v>20</v>
      </c>
      <c r="R193" s="12" t="s">
        <v>25</v>
      </c>
      <c r="S193" s="12" t="s">
        <v>25</v>
      </c>
      <c r="T193" s="12" t="s">
        <v>25</v>
      </c>
    </row>
    <row r="194" spans="1:20" hidden="1" x14ac:dyDescent="0.3">
      <c r="A194" s="13">
        <v>43894.708333333336</v>
      </c>
      <c r="B194" s="12" t="s">
        <v>22</v>
      </c>
      <c r="C194" s="82">
        <v>18</v>
      </c>
      <c r="D194" s="12" t="s">
        <v>45</v>
      </c>
      <c r="E194" s="82">
        <v>3890597598</v>
      </c>
      <c r="F194" s="82">
        <v>1659440194</v>
      </c>
      <c r="G194" s="82">
        <v>0</v>
      </c>
      <c r="H194" s="82">
        <v>0</v>
      </c>
      <c r="I194" s="82">
        <v>0</v>
      </c>
      <c r="J194" s="82">
        <v>1</v>
      </c>
      <c r="K194" s="82">
        <v>1</v>
      </c>
      <c r="L194" s="82">
        <v>0</v>
      </c>
      <c r="M194" s="82">
        <v>0</v>
      </c>
      <c r="N194" s="82">
        <v>0</v>
      </c>
      <c r="O194" s="82">
        <v>0</v>
      </c>
      <c r="P194" s="82">
        <v>1</v>
      </c>
      <c r="Q194" s="82">
        <v>46</v>
      </c>
      <c r="R194" s="12" t="s">
        <v>25</v>
      </c>
      <c r="S194" s="12" t="s">
        <v>25</v>
      </c>
      <c r="T194" s="12" t="s">
        <v>25</v>
      </c>
    </row>
    <row r="195" spans="1:20" hidden="1" x14ac:dyDescent="0.3">
      <c r="A195" s="13">
        <v>43894.708333333336</v>
      </c>
      <c r="B195" s="12" t="s">
        <v>22</v>
      </c>
      <c r="C195" s="82">
        <v>15</v>
      </c>
      <c r="D195" s="12" t="s">
        <v>46</v>
      </c>
      <c r="E195" s="82">
        <v>4083956555</v>
      </c>
      <c r="F195" s="82">
        <v>1425084984</v>
      </c>
      <c r="G195" s="82">
        <v>11</v>
      </c>
      <c r="H195" s="82">
        <v>0</v>
      </c>
      <c r="I195" s="82">
        <v>11</v>
      </c>
      <c r="J195" s="82">
        <v>20</v>
      </c>
      <c r="K195" s="82">
        <v>31</v>
      </c>
      <c r="L195" s="82">
        <v>1</v>
      </c>
      <c r="M195" s="82">
        <v>1</v>
      </c>
      <c r="N195" s="82">
        <v>0</v>
      </c>
      <c r="O195" s="82">
        <v>0</v>
      </c>
      <c r="P195" s="82">
        <v>31</v>
      </c>
      <c r="Q195" s="82">
        <v>429</v>
      </c>
      <c r="R195" s="12" t="s">
        <v>25</v>
      </c>
      <c r="S195" s="12" t="s">
        <v>25</v>
      </c>
      <c r="T195" s="12" t="s">
        <v>25</v>
      </c>
    </row>
    <row r="196" spans="1:20" hidden="1" x14ac:dyDescent="0.3">
      <c r="A196" s="13">
        <v>43894.708333333336</v>
      </c>
      <c r="B196" s="12" t="s">
        <v>22</v>
      </c>
      <c r="C196" s="82">
        <v>8</v>
      </c>
      <c r="D196" s="12" t="s">
        <v>95</v>
      </c>
      <c r="E196" s="82">
        <v>4449436681</v>
      </c>
      <c r="F196" s="82">
        <v>113417208</v>
      </c>
      <c r="G196" s="82">
        <v>256</v>
      </c>
      <c r="H196" s="82">
        <v>26</v>
      </c>
      <c r="I196" s="82">
        <v>282</v>
      </c>
      <c r="J196" s="82">
        <v>234</v>
      </c>
      <c r="K196" s="82">
        <v>516</v>
      </c>
      <c r="L196" s="82">
        <v>118</v>
      </c>
      <c r="M196" s="82">
        <v>124</v>
      </c>
      <c r="N196" s="82">
        <v>6</v>
      </c>
      <c r="O196" s="82">
        <v>22</v>
      </c>
      <c r="P196" s="82">
        <v>544</v>
      </c>
      <c r="Q196" s="82">
        <v>2500</v>
      </c>
      <c r="R196" s="12" t="s">
        <v>25</v>
      </c>
      <c r="S196" s="12" t="s">
        <v>25</v>
      </c>
      <c r="T196" s="12" t="s">
        <v>25</v>
      </c>
    </row>
    <row r="197" spans="1:20" hidden="1" x14ac:dyDescent="0.3">
      <c r="A197" s="13">
        <v>43894.708333333336</v>
      </c>
      <c r="B197" s="12" t="s">
        <v>22</v>
      </c>
      <c r="C197" s="82">
        <v>6</v>
      </c>
      <c r="D197" s="12" t="s">
        <v>47</v>
      </c>
      <c r="E197" s="82">
        <v>456494354</v>
      </c>
      <c r="F197" s="82">
        <v>1376813649</v>
      </c>
      <c r="G197" s="82">
        <v>3</v>
      </c>
      <c r="H197" s="82">
        <v>0</v>
      </c>
      <c r="I197" s="82">
        <v>3</v>
      </c>
      <c r="J197" s="82">
        <v>15</v>
      </c>
      <c r="K197" s="82">
        <v>18</v>
      </c>
      <c r="L197" s="82">
        <v>5</v>
      </c>
      <c r="M197" s="82">
        <v>5</v>
      </c>
      <c r="N197" s="82">
        <v>0</v>
      </c>
      <c r="O197" s="82">
        <v>0</v>
      </c>
      <c r="P197" s="82">
        <v>18</v>
      </c>
      <c r="Q197" s="82">
        <v>376</v>
      </c>
      <c r="R197" s="12" t="s">
        <v>25</v>
      </c>
      <c r="S197" s="12" t="s">
        <v>25</v>
      </c>
      <c r="T197" s="12" t="s">
        <v>25</v>
      </c>
    </row>
    <row r="198" spans="1:20" hidden="1" x14ac:dyDescent="0.3">
      <c r="A198" s="13">
        <v>43894.708333333336</v>
      </c>
      <c r="B198" s="12" t="s">
        <v>22</v>
      </c>
      <c r="C198" s="82">
        <v>12</v>
      </c>
      <c r="D198" s="12" t="s">
        <v>48</v>
      </c>
      <c r="E198" s="82">
        <v>4189277044</v>
      </c>
      <c r="F198" s="82">
        <v>1248366722</v>
      </c>
      <c r="G198" s="82">
        <v>15</v>
      </c>
      <c r="H198" s="82">
        <v>3</v>
      </c>
      <c r="I198" s="82">
        <v>18</v>
      </c>
      <c r="J198" s="82">
        <v>9</v>
      </c>
      <c r="K198" s="82">
        <v>27</v>
      </c>
      <c r="L198" s="82">
        <v>16</v>
      </c>
      <c r="M198" s="82">
        <v>16</v>
      </c>
      <c r="N198" s="82">
        <v>3</v>
      </c>
      <c r="O198" s="82">
        <v>0</v>
      </c>
      <c r="P198" s="82">
        <v>30</v>
      </c>
      <c r="Q198" s="82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82">
        <v>7</v>
      </c>
      <c r="D199" s="12" t="s">
        <v>49</v>
      </c>
      <c r="E199" s="82">
        <v>4441149315</v>
      </c>
      <c r="F199" s="82">
        <v>89326992</v>
      </c>
      <c r="G199" s="82">
        <v>10</v>
      </c>
      <c r="H199" s="82">
        <v>3</v>
      </c>
      <c r="I199" s="82">
        <v>13</v>
      </c>
      <c r="J199" s="82">
        <v>8</v>
      </c>
      <c r="K199" s="82">
        <v>21</v>
      </c>
      <c r="L199" s="82">
        <v>2</v>
      </c>
      <c r="M199" s="82">
        <v>2</v>
      </c>
      <c r="N199" s="82">
        <v>4</v>
      </c>
      <c r="O199" s="82">
        <v>1</v>
      </c>
      <c r="P199" s="82">
        <v>26</v>
      </c>
      <c r="Q199" s="82">
        <v>133</v>
      </c>
      <c r="R199" s="12" t="s">
        <v>25</v>
      </c>
      <c r="S199" s="12" t="s">
        <v>25</v>
      </c>
      <c r="T199" s="12" t="s">
        <v>25</v>
      </c>
    </row>
    <row r="200" spans="1:20" hidden="1" x14ac:dyDescent="0.3">
      <c r="A200" s="13">
        <v>43894.708333333336</v>
      </c>
      <c r="B200" s="12" t="s">
        <v>22</v>
      </c>
      <c r="C200" s="82">
        <v>3</v>
      </c>
      <c r="D200" s="12" t="s">
        <v>50</v>
      </c>
      <c r="E200" s="82">
        <v>4546679409</v>
      </c>
      <c r="F200" s="82">
        <v>9190347404</v>
      </c>
      <c r="G200" s="82">
        <v>877</v>
      </c>
      <c r="H200" s="82">
        <v>209</v>
      </c>
      <c r="I200" s="82">
        <v>1086</v>
      </c>
      <c r="J200" s="82">
        <v>411</v>
      </c>
      <c r="K200" s="82">
        <v>1497</v>
      </c>
      <c r="L200" s="82">
        <v>171</v>
      </c>
      <c r="M200" s="82">
        <v>300</v>
      </c>
      <c r="N200" s="82">
        <v>250</v>
      </c>
      <c r="O200" s="82">
        <v>73</v>
      </c>
      <c r="P200" s="82">
        <v>1820</v>
      </c>
      <c r="Q200" s="82">
        <v>12138</v>
      </c>
      <c r="R200" s="12" t="s">
        <v>25</v>
      </c>
      <c r="S200" s="12" t="s">
        <v>25</v>
      </c>
      <c r="T200" s="12" t="s">
        <v>25</v>
      </c>
    </row>
    <row r="201" spans="1:20" hidden="1" x14ac:dyDescent="0.3">
      <c r="A201" s="13">
        <v>43894.708333333336</v>
      </c>
      <c r="B201" s="12" t="s">
        <v>22</v>
      </c>
      <c r="C201" s="82">
        <v>11</v>
      </c>
      <c r="D201" s="12" t="s">
        <v>51</v>
      </c>
      <c r="E201" s="82">
        <v>4361675973</v>
      </c>
      <c r="F201" s="82">
        <v>135188753</v>
      </c>
      <c r="G201" s="82">
        <v>34</v>
      </c>
      <c r="H201" s="82">
        <v>15</v>
      </c>
      <c r="I201" s="82">
        <v>49</v>
      </c>
      <c r="J201" s="82">
        <v>31</v>
      </c>
      <c r="K201" s="82">
        <v>80</v>
      </c>
      <c r="L201" s="82">
        <v>21</v>
      </c>
      <c r="M201" s="82">
        <v>23</v>
      </c>
      <c r="N201" s="82">
        <v>0</v>
      </c>
      <c r="O201" s="82">
        <v>4</v>
      </c>
      <c r="P201" s="82">
        <v>84</v>
      </c>
      <c r="Q201" s="82">
        <v>288</v>
      </c>
      <c r="R201" s="12" t="s">
        <v>25</v>
      </c>
      <c r="S201" s="12" t="s">
        <v>25</v>
      </c>
      <c r="T201" s="12" t="s">
        <v>25</v>
      </c>
    </row>
    <row r="202" spans="1:20" hidden="1" x14ac:dyDescent="0.3">
      <c r="A202" s="13">
        <v>43894.708333333336</v>
      </c>
      <c r="B202" s="12" t="s">
        <v>22</v>
      </c>
      <c r="C202" s="82">
        <v>14</v>
      </c>
      <c r="D202" s="12" t="s">
        <v>52</v>
      </c>
      <c r="E202" s="82">
        <v>4155774754</v>
      </c>
      <c r="F202" s="82">
        <v>1465916051</v>
      </c>
      <c r="G202" s="82">
        <v>3</v>
      </c>
      <c r="H202" s="82">
        <v>0</v>
      </c>
      <c r="I202" s="82">
        <v>3</v>
      </c>
      <c r="J202" s="82">
        <v>0</v>
      </c>
      <c r="K202" s="82">
        <v>3</v>
      </c>
      <c r="L202" s="82">
        <v>0</v>
      </c>
      <c r="M202" s="82">
        <v>0</v>
      </c>
      <c r="N202" s="82">
        <v>0</v>
      </c>
      <c r="O202" s="82">
        <v>0</v>
      </c>
      <c r="P202" s="82">
        <v>3</v>
      </c>
      <c r="Q202" s="82">
        <v>19</v>
      </c>
      <c r="R202" s="12" t="s">
        <v>25</v>
      </c>
      <c r="S202" s="12" t="s">
        <v>25</v>
      </c>
      <c r="T202" s="12" t="s">
        <v>25</v>
      </c>
    </row>
    <row r="203" spans="1:20" hidden="1" x14ac:dyDescent="0.3">
      <c r="A203" s="13">
        <v>43894.708333333336</v>
      </c>
      <c r="B203" s="12" t="s">
        <v>22</v>
      </c>
      <c r="C203" s="82">
        <v>1</v>
      </c>
      <c r="D203" s="12" t="s">
        <v>53</v>
      </c>
      <c r="E203" s="82">
        <v>450732745</v>
      </c>
      <c r="F203" s="82">
        <v>7680687483</v>
      </c>
      <c r="G203" s="82">
        <v>26</v>
      </c>
      <c r="H203" s="82">
        <v>13</v>
      </c>
      <c r="I203" s="82">
        <v>39</v>
      </c>
      <c r="J203" s="82">
        <v>43</v>
      </c>
      <c r="K203" s="82">
        <v>82</v>
      </c>
      <c r="L203" s="82">
        <v>26</v>
      </c>
      <c r="M203" s="82">
        <v>26</v>
      </c>
      <c r="N203" s="82">
        <v>0</v>
      </c>
      <c r="O203" s="82">
        <v>0</v>
      </c>
      <c r="P203" s="82">
        <v>82</v>
      </c>
      <c r="Q203" s="82">
        <v>543</v>
      </c>
      <c r="R203" s="12" t="s">
        <v>25</v>
      </c>
      <c r="S203" s="12" t="s">
        <v>25</v>
      </c>
      <c r="T203" s="12" t="s">
        <v>25</v>
      </c>
    </row>
    <row r="204" spans="1:20" hidden="1" x14ac:dyDescent="0.3">
      <c r="A204" s="13">
        <v>43894.708333333336</v>
      </c>
      <c r="B204" s="12" t="s">
        <v>22</v>
      </c>
      <c r="C204" s="82">
        <v>16</v>
      </c>
      <c r="D204" s="12" t="s">
        <v>54</v>
      </c>
      <c r="E204" s="82">
        <v>4112559576</v>
      </c>
      <c r="F204" s="82">
        <v>1686736689</v>
      </c>
      <c r="G204" s="82">
        <v>4</v>
      </c>
      <c r="H204" s="82">
        <v>0</v>
      </c>
      <c r="I204" s="82">
        <v>4</v>
      </c>
      <c r="J204" s="82">
        <v>3</v>
      </c>
      <c r="K204" s="82">
        <v>7</v>
      </c>
      <c r="L204" s="82">
        <v>1</v>
      </c>
      <c r="M204" s="82">
        <v>3</v>
      </c>
      <c r="N204" s="82">
        <v>1</v>
      </c>
      <c r="O204" s="82">
        <v>1</v>
      </c>
      <c r="P204" s="82">
        <v>9</v>
      </c>
      <c r="Q204" s="82">
        <v>322</v>
      </c>
      <c r="R204" s="12" t="s">
        <v>25</v>
      </c>
      <c r="S204" s="12" t="s">
        <v>25</v>
      </c>
      <c r="T204" s="12" t="s">
        <v>25</v>
      </c>
    </row>
    <row r="205" spans="1:20" hidden="1" x14ac:dyDescent="0.3">
      <c r="A205" s="13">
        <v>43894.708333333336</v>
      </c>
      <c r="B205" s="12" t="s">
        <v>22</v>
      </c>
      <c r="C205" s="82">
        <v>20</v>
      </c>
      <c r="D205" s="12" t="s">
        <v>55</v>
      </c>
      <c r="E205" s="82">
        <v>3921531192</v>
      </c>
      <c r="F205" s="82">
        <v>9110616306</v>
      </c>
      <c r="G205" s="82">
        <v>1</v>
      </c>
      <c r="H205" s="82">
        <v>0</v>
      </c>
      <c r="I205" s="82">
        <v>1</v>
      </c>
      <c r="J205" s="82">
        <v>1</v>
      </c>
      <c r="K205" s="82">
        <v>2</v>
      </c>
      <c r="L205" s="82">
        <v>1</v>
      </c>
      <c r="M205" s="82">
        <v>1</v>
      </c>
      <c r="N205" s="82">
        <v>0</v>
      </c>
      <c r="O205" s="82">
        <v>0</v>
      </c>
      <c r="P205" s="82">
        <v>2</v>
      </c>
      <c r="Q205" s="82">
        <v>42</v>
      </c>
      <c r="R205" s="12" t="s">
        <v>25</v>
      </c>
      <c r="S205" s="12" t="s">
        <v>25</v>
      </c>
      <c r="T205" s="12" t="s">
        <v>25</v>
      </c>
    </row>
    <row r="206" spans="1:20" hidden="1" x14ac:dyDescent="0.3">
      <c r="A206" s="13">
        <v>43894.708333333336</v>
      </c>
      <c r="B206" s="12" t="s">
        <v>22</v>
      </c>
      <c r="C206" s="82">
        <v>19</v>
      </c>
      <c r="D206" s="12" t="s">
        <v>56</v>
      </c>
      <c r="E206" s="82">
        <v>3811569725</v>
      </c>
      <c r="F206" s="82">
        <v>133623567</v>
      </c>
      <c r="G206" s="82">
        <v>5</v>
      </c>
      <c r="H206" s="82">
        <v>0</v>
      </c>
      <c r="I206" s="82">
        <v>5</v>
      </c>
      <c r="J206" s="82">
        <v>11</v>
      </c>
      <c r="K206" s="82">
        <v>16</v>
      </c>
      <c r="L206" s="82">
        <v>11</v>
      </c>
      <c r="M206" s="82">
        <v>11</v>
      </c>
      <c r="N206" s="82">
        <v>2</v>
      </c>
      <c r="O206" s="82">
        <v>0</v>
      </c>
      <c r="P206" s="82">
        <v>18</v>
      </c>
      <c r="Q206" s="82">
        <v>367</v>
      </c>
      <c r="R206" s="12" t="s">
        <v>25</v>
      </c>
      <c r="S206" s="12" t="s">
        <v>25</v>
      </c>
      <c r="T206" s="12" t="s">
        <v>25</v>
      </c>
    </row>
    <row r="207" spans="1:20" hidden="1" x14ac:dyDescent="0.3">
      <c r="A207" s="13">
        <v>43894.708333333336</v>
      </c>
      <c r="B207" s="12" t="s">
        <v>22</v>
      </c>
      <c r="C207" s="82">
        <v>9</v>
      </c>
      <c r="D207" s="12" t="s">
        <v>57</v>
      </c>
      <c r="E207" s="82">
        <v>4376923077</v>
      </c>
      <c r="F207" s="82">
        <v>1125588885</v>
      </c>
      <c r="G207" s="82">
        <v>15</v>
      </c>
      <c r="H207" s="82">
        <v>2</v>
      </c>
      <c r="I207" s="82">
        <v>17</v>
      </c>
      <c r="J207" s="82">
        <v>20</v>
      </c>
      <c r="K207" s="82">
        <v>37</v>
      </c>
      <c r="L207" s="82">
        <v>19</v>
      </c>
      <c r="M207" s="82">
        <v>19</v>
      </c>
      <c r="N207" s="82">
        <v>1</v>
      </c>
      <c r="O207" s="82">
        <v>0</v>
      </c>
      <c r="P207" s="82">
        <v>38</v>
      </c>
      <c r="Q207" s="82">
        <v>776</v>
      </c>
      <c r="R207" s="12" t="s">
        <v>25</v>
      </c>
      <c r="S207" s="12" t="s">
        <v>25</v>
      </c>
      <c r="T207" s="12" t="s">
        <v>25</v>
      </c>
    </row>
    <row r="208" spans="1:20" hidden="1" x14ac:dyDescent="0.3">
      <c r="A208" s="13">
        <v>43894.708333333336</v>
      </c>
      <c r="B208" s="12" t="s">
        <v>22</v>
      </c>
      <c r="C208" s="82">
        <v>22</v>
      </c>
      <c r="D208" s="12" t="s">
        <v>58</v>
      </c>
      <c r="E208" s="82">
        <v>4606893511</v>
      </c>
      <c r="F208" s="82">
        <v>1112123097</v>
      </c>
      <c r="G208" s="82">
        <v>1</v>
      </c>
      <c r="H208" s="82">
        <v>0</v>
      </c>
      <c r="I208" s="82">
        <v>1</v>
      </c>
      <c r="J208" s="82">
        <v>4</v>
      </c>
      <c r="K208" s="82">
        <v>5</v>
      </c>
      <c r="L208" s="82">
        <v>1</v>
      </c>
      <c r="M208" s="82">
        <v>1</v>
      </c>
      <c r="N208" s="82">
        <v>0</v>
      </c>
      <c r="O208" s="82">
        <v>0</v>
      </c>
      <c r="P208" s="82">
        <v>5</v>
      </c>
      <c r="Q208" s="82">
        <v>122</v>
      </c>
      <c r="R208" s="12" t="s">
        <v>25</v>
      </c>
      <c r="S208" s="12" t="s">
        <v>25</v>
      </c>
      <c r="T208" s="12" t="s">
        <v>25</v>
      </c>
    </row>
    <row r="209" spans="1:20" hidden="1" x14ac:dyDescent="0.3">
      <c r="A209" s="13">
        <v>43894.708333333336</v>
      </c>
      <c r="B209" s="12" t="s">
        <v>22</v>
      </c>
      <c r="C209" s="82">
        <v>10</v>
      </c>
      <c r="D209" s="12" t="s">
        <v>59</v>
      </c>
      <c r="E209" s="82">
        <v>4310675841</v>
      </c>
      <c r="F209" s="82">
        <v>1238824698</v>
      </c>
      <c r="G209" s="82">
        <v>1</v>
      </c>
      <c r="H209" s="82">
        <v>1</v>
      </c>
      <c r="I209" s="82">
        <v>2</v>
      </c>
      <c r="J209" s="82">
        <v>7</v>
      </c>
      <c r="K209" s="82">
        <v>9</v>
      </c>
      <c r="L209" s="82">
        <v>1</v>
      </c>
      <c r="M209" s="82">
        <v>1</v>
      </c>
      <c r="N209" s="82">
        <v>0</v>
      </c>
      <c r="O209" s="82">
        <v>0</v>
      </c>
      <c r="P209" s="82">
        <v>9</v>
      </c>
      <c r="Q209" s="82">
        <v>58</v>
      </c>
      <c r="R209" s="12" t="s">
        <v>25</v>
      </c>
      <c r="S209" s="12" t="s">
        <v>25</v>
      </c>
      <c r="T209" s="12" t="s">
        <v>25</v>
      </c>
    </row>
    <row r="210" spans="1:20" hidden="1" x14ac:dyDescent="0.3">
      <c r="A210" s="13">
        <v>43894.708333333336</v>
      </c>
      <c r="B210" s="12" t="s">
        <v>22</v>
      </c>
      <c r="C210" s="82">
        <v>2</v>
      </c>
      <c r="D210" s="12" t="s">
        <v>60</v>
      </c>
      <c r="E210" s="82">
        <v>4573750286</v>
      </c>
      <c r="F210" s="82">
        <v>7320149366</v>
      </c>
      <c r="G210" s="82">
        <v>0</v>
      </c>
      <c r="H210" s="82">
        <v>0</v>
      </c>
      <c r="I210" s="82">
        <v>0</v>
      </c>
      <c r="J210" s="82">
        <v>0</v>
      </c>
      <c r="K210" s="82">
        <v>0</v>
      </c>
      <c r="L210" s="82">
        <v>0</v>
      </c>
      <c r="M210" s="82">
        <v>0</v>
      </c>
      <c r="N210" s="82">
        <v>0</v>
      </c>
      <c r="O210" s="82">
        <v>0</v>
      </c>
      <c r="P210" s="82">
        <v>0</v>
      </c>
      <c r="Q210" s="82">
        <v>15</v>
      </c>
      <c r="R210" s="12" t="s">
        <v>25</v>
      </c>
      <c r="S210" s="12" t="s">
        <v>25</v>
      </c>
      <c r="T210" s="12" t="s">
        <v>25</v>
      </c>
    </row>
    <row r="211" spans="1:20" hidden="1" x14ac:dyDescent="0.3">
      <c r="A211" s="13">
        <v>43894.708333333336</v>
      </c>
      <c r="B211" s="12" t="s">
        <v>22</v>
      </c>
      <c r="C211" s="82">
        <v>5</v>
      </c>
      <c r="D211" s="12" t="s">
        <v>61</v>
      </c>
      <c r="E211" s="82">
        <v>4543490485</v>
      </c>
      <c r="F211" s="82">
        <v>1233845213</v>
      </c>
      <c r="G211" s="82">
        <v>76</v>
      </c>
      <c r="H211" s="82">
        <v>23</v>
      </c>
      <c r="I211" s="82">
        <v>99</v>
      </c>
      <c r="J211" s="82">
        <v>246</v>
      </c>
      <c r="K211" s="82">
        <v>345</v>
      </c>
      <c r="L211" s="82">
        <v>48</v>
      </c>
      <c r="M211" s="82">
        <v>53</v>
      </c>
      <c r="N211" s="82">
        <v>9</v>
      </c>
      <c r="O211" s="82">
        <v>6</v>
      </c>
      <c r="P211" s="82">
        <v>360</v>
      </c>
      <c r="Q211" s="82">
        <v>10515</v>
      </c>
      <c r="R211" s="12" t="s">
        <v>25</v>
      </c>
      <c r="S211" s="12" t="s">
        <v>25</v>
      </c>
      <c r="T211" s="12" t="s">
        <v>25</v>
      </c>
    </row>
    <row r="212" spans="1:20" hidden="1" x14ac:dyDescent="0.3">
      <c r="A212" s="13">
        <v>43895.708333333336</v>
      </c>
      <c r="B212" s="12" t="s">
        <v>22</v>
      </c>
      <c r="C212" s="82">
        <v>13</v>
      </c>
      <c r="D212" s="12" t="s">
        <v>42</v>
      </c>
      <c r="E212" s="82">
        <v>4235122196</v>
      </c>
      <c r="F212" s="82">
        <v>1339843823</v>
      </c>
      <c r="G212" s="82">
        <v>8</v>
      </c>
      <c r="H212" s="82">
        <v>0</v>
      </c>
      <c r="I212" s="82">
        <v>8</v>
      </c>
      <c r="J212" s="82">
        <v>0</v>
      </c>
      <c r="K212" s="82">
        <v>8</v>
      </c>
      <c r="L212" s="82">
        <v>1</v>
      </c>
      <c r="M212" s="82">
        <v>1</v>
      </c>
      <c r="N212" s="82">
        <v>0</v>
      </c>
      <c r="O212" s="82">
        <v>0</v>
      </c>
      <c r="P212" s="82">
        <v>8</v>
      </c>
      <c r="Q212" s="82">
        <v>96</v>
      </c>
      <c r="R212" s="12" t="s">
        <v>25</v>
      </c>
      <c r="S212" s="12" t="s">
        <v>25</v>
      </c>
      <c r="T212" s="12" t="s">
        <v>25</v>
      </c>
    </row>
    <row r="213" spans="1:20" hidden="1" x14ac:dyDescent="0.3">
      <c r="A213" s="13">
        <v>43895.708333333336</v>
      </c>
      <c r="B213" s="12" t="s">
        <v>22</v>
      </c>
      <c r="C213" s="82">
        <v>17</v>
      </c>
      <c r="D213" s="12" t="s">
        <v>43</v>
      </c>
      <c r="E213" s="82">
        <v>4063947052</v>
      </c>
      <c r="F213" s="82">
        <v>1580514834</v>
      </c>
      <c r="G213" s="82">
        <v>0</v>
      </c>
      <c r="H213" s="82">
        <v>0</v>
      </c>
      <c r="I213" s="82">
        <v>0</v>
      </c>
      <c r="J213" s="82">
        <v>1</v>
      </c>
      <c r="K213" s="82">
        <v>1</v>
      </c>
      <c r="L213" s="82">
        <v>0</v>
      </c>
      <c r="M213" s="82">
        <v>0</v>
      </c>
      <c r="N213" s="82">
        <v>0</v>
      </c>
      <c r="O213" s="82">
        <v>0</v>
      </c>
      <c r="P213" s="82">
        <v>1</v>
      </c>
      <c r="Q213" s="82">
        <v>54</v>
      </c>
      <c r="R213" s="12" t="s">
        <v>25</v>
      </c>
      <c r="S213" s="12" t="s">
        <v>25</v>
      </c>
      <c r="T213" s="12" t="s">
        <v>25</v>
      </c>
    </row>
    <row r="214" spans="1:20" hidden="1" x14ac:dyDescent="0.3">
      <c r="A214" s="13">
        <v>43895.708333333336</v>
      </c>
      <c r="B214" s="12" t="s">
        <v>22</v>
      </c>
      <c r="C214" s="82">
        <v>21</v>
      </c>
      <c r="D214" s="12" t="s">
        <v>44</v>
      </c>
      <c r="E214" s="82">
        <v>4649933453</v>
      </c>
      <c r="F214" s="82">
        <v>1135662422</v>
      </c>
      <c r="G214" s="82">
        <v>1</v>
      </c>
      <c r="H214" s="82">
        <v>0</v>
      </c>
      <c r="I214" s="82">
        <v>1</v>
      </c>
      <c r="J214" s="82">
        <v>0</v>
      </c>
      <c r="K214" s="82">
        <v>1</v>
      </c>
      <c r="L214" s="82">
        <v>0</v>
      </c>
      <c r="M214" s="82">
        <v>0</v>
      </c>
      <c r="N214" s="82">
        <v>0</v>
      </c>
      <c r="O214" s="82">
        <v>0</v>
      </c>
      <c r="P214" s="82">
        <v>1</v>
      </c>
      <c r="Q214" s="82">
        <v>20</v>
      </c>
      <c r="R214" s="12" t="s">
        <v>25</v>
      </c>
      <c r="S214" s="12" t="s">
        <v>25</v>
      </c>
      <c r="T214" s="12" t="s">
        <v>25</v>
      </c>
    </row>
    <row r="215" spans="1:20" hidden="1" x14ac:dyDescent="0.3">
      <c r="A215" s="13">
        <v>43895.708333333336</v>
      </c>
      <c r="B215" s="12" t="s">
        <v>22</v>
      </c>
      <c r="C215" s="82">
        <v>18</v>
      </c>
      <c r="D215" s="12" t="s">
        <v>45</v>
      </c>
      <c r="E215" s="82">
        <v>3890597598</v>
      </c>
      <c r="F215" s="82">
        <v>1659440194</v>
      </c>
      <c r="G215" s="82">
        <v>1</v>
      </c>
      <c r="H215" s="82">
        <v>0</v>
      </c>
      <c r="I215" s="82">
        <v>1</v>
      </c>
      <c r="J215" s="82">
        <v>1</v>
      </c>
      <c r="K215" s="82">
        <v>2</v>
      </c>
      <c r="L215" s="82">
        <v>1</v>
      </c>
      <c r="M215" s="82">
        <v>1</v>
      </c>
      <c r="N215" s="82">
        <v>0</v>
      </c>
      <c r="O215" s="82">
        <v>0</v>
      </c>
      <c r="P215" s="82">
        <v>2</v>
      </c>
      <c r="Q215" s="82">
        <v>53</v>
      </c>
      <c r="R215" s="12" t="s">
        <v>25</v>
      </c>
      <c r="S215" s="12" t="s">
        <v>25</v>
      </c>
      <c r="T215" s="12" t="s">
        <v>25</v>
      </c>
    </row>
    <row r="216" spans="1:20" hidden="1" x14ac:dyDescent="0.3">
      <c r="A216" s="13">
        <v>43895.708333333336</v>
      </c>
      <c r="B216" s="12" t="s">
        <v>22</v>
      </c>
      <c r="C216" s="82">
        <v>15</v>
      </c>
      <c r="D216" s="12" t="s">
        <v>46</v>
      </c>
      <c r="E216" s="82">
        <v>4083956555</v>
      </c>
      <c r="F216" s="82">
        <v>1425084984</v>
      </c>
      <c r="G216" s="82">
        <v>12</v>
      </c>
      <c r="H216" s="82">
        <v>0</v>
      </c>
      <c r="I216" s="82">
        <v>12</v>
      </c>
      <c r="J216" s="82">
        <v>33</v>
      </c>
      <c r="K216" s="82">
        <v>45</v>
      </c>
      <c r="L216" s="82">
        <v>14</v>
      </c>
      <c r="M216" s="82">
        <v>14</v>
      </c>
      <c r="N216" s="82">
        <v>0</v>
      </c>
      <c r="O216" s="82">
        <v>0</v>
      </c>
      <c r="P216" s="82">
        <v>45</v>
      </c>
      <c r="Q216" s="82">
        <v>471</v>
      </c>
      <c r="R216" s="12" t="s">
        <v>25</v>
      </c>
      <c r="S216" s="12" t="s">
        <v>25</v>
      </c>
      <c r="T216" s="12" t="s">
        <v>25</v>
      </c>
    </row>
    <row r="217" spans="1:20" hidden="1" x14ac:dyDescent="0.3">
      <c r="A217" s="13">
        <v>43895.708333333336</v>
      </c>
      <c r="B217" s="12" t="s">
        <v>22</v>
      </c>
      <c r="C217" s="82">
        <v>8</v>
      </c>
      <c r="D217" s="12" t="s">
        <v>95</v>
      </c>
      <c r="E217" s="82">
        <v>4449436681</v>
      </c>
      <c r="F217" s="82">
        <v>113417208</v>
      </c>
      <c r="G217" s="82">
        <v>327</v>
      </c>
      <c r="H217" s="82">
        <v>32</v>
      </c>
      <c r="I217" s="82">
        <v>359</v>
      </c>
      <c r="J217" s="82">
        <v>299</v>
      </c>
      <c r="K217" s="82">
        <v>658</v>
      </c>
      <c r="L217" s="82">
        <v>142</v>
      </c>
      <c r="M217" s="82">
        <v>154</v>
      </c>
      <c r="N217" s="82">
        <v>10</v>
      </c>
      <c r="O217" s="82">
        <v>30</v>
      </c>
      <c r="P217" s="82">
        <v>698</v>
      </c>
      <c r="Q217" s="82">
        <v>2884</v>
      </c>
      <c r="R217" s="12" t="s">
        <v>25</v>
      </c>
      <c r="S217" s="12" t="s">
        <v>25</v>
      </c>
      <c r="T217" s="12" t="s">
        <v>25</v>
      </c>
    </row>
    <row r="218" spans="1:20" hidden="1" x14ac:dyDescent="0.3">
      <c r="A218" s="13">
        <v>43895.708333333336</v>
      </c>
      <c r="B218" s="12" t="s">
        <v>22</v>
      </c>
      <c r="C218" s="82">
        <v>6</v>
      </c>
      <c r="D218" s="12" t="s">
        <v>47</v>
      </c>
      <c r="E218" s="82">
        <v>456494354</v>
      </c>
      <c r="F218" s="82">
        <v>1376813649</v>
      </c>
      <c r="G218" s="82">
        <v>4</v>
      </c>
      <c r="H218" s="82">
        <v>0</v>
      </c>
      <c r="I218" s="82">
        <v>4</v>
      </c>
      <c r="J218" s="82">
        <v>17</v>
      </c>
      <c r="K218" s="82">
        <v>21</v>
      </c>
      <c r="L218" s="82">
        <v>3</v>
      </c>
      <c r="M218" s="82">
        <v>3</v>
      </c>
      <c r="N218" s="82">
        <v>0</v>
      </c>
      <c r="O218" s="82">
        <v>0</v>
      </c>
      <c r="P218" s="82">
        <v>21</v>
      </c>
      <c r="Q218" s="82">
        <v>397</v>
      </c>
      <c r="R218" s="12" t="s">
        <v>25</v>
      </c>
      <c r="S218" s="12" t="s">
        <v>25</v>
      </c>
      <c r="T218" s="12" t="s">
        <v>25</v>
      </c>
    </row>
    <row r="219" spans="1:20" hidden="1" x14ac:dyDescent="0.3">
      <c r="A219" s="13">
        <v>43895.708333333336</v>
      </c>
      <c r="B219" s="12" t="s">
        <v>22</v>
      </c>
      <c r="C219" s="82">
        <v>12</v>
      </c>
      <c r="D219" s="12" t="s">
        <v>48</v>
      </c>
      <c r="E219" s="82">
        <v>4189277044</v>
      </c>
      <c r="F219" s="82">
        <v>1248366722</v>
      </c>
      <c r="G219" s="82">
        <v>20</v>
      </c>
      <c r="H219" s="82">
        <v>7</v>
      </c>
      <c r="I219" s="82">
        <v>27</v>
      </c>
      <c r="J219" s="82">
        <v>14</v>
      </c>
      <c r="K219" s="82">
        <v>41</v>
      </c>
      <c r="L219" s="82">
        <v>14</v>
      </c>
      <c r="M219" s="82">
        <v>14</v>
      </c>
      <c r="N219" s="82">
        <v>3</v>
      </c>
      <c r="O219" s="82">
        <v>0</v>
      </c>
      <c r="P219" s="82">
        <v>44</v>
      </c>
      <c r="Q219" s="82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82">
        <v>7</v>
      </c>
      <c r="D220" s="12" t="s">
        <v>49</v>
      </c>
      <c r="E220" s="82">
        <v>4441149315</v>
      </c>
      <c r="F220" s="82">
        <v>89326992</v>
      </c>
      <c r="G220" s="82">
        <v>11</v>
      </c>
      <c r="H220" s="82">
        <v>3</v>
      </c>
      <c r="I220" s="82">
        <v>14</v>
      </c>
      <c r="J220" s="82">
        <v>7</v>
      </c>
      <c r="K220" s="82">
        <v>21</v>
      </c>
      <c r="L220" s="82">
        <v>0</v>
      </c>
      <c r="M220" s="82">
        <v>2</v>
      </c>
      <c r="N220" s="82">
        <v>4</v>
      </c>
      <c r="O220" s="82">
        <v>3</v>
      </c>
      <c r="P220" s="82">
        <v>28</v>
      </c>
      <c r="Q220" s="82">
        <v>146</v>
      </c>
      <c r="R220" s="12" t="s">
        <v>25</v>
      </c>
      <c r="S220" s="12" t="s">
        <v>25</v>
      </c>
      <c r="T220" s="12" t="s">
        <v>25</v>
      </c>
    </row>
    <row r="221" spans="1:20" hidden="1" x14ac:dyDescent="0.3">
      <c r="A221" s="13">
        <v>43895.708333333336</v>
      </c>
      <c r="B221" s="12" t="s">
        <v>22</v>
      </c>
      <c r="C221" s="82">
        <v>3</v>
      </c>
      <c r="D221" s="12" t="s">
        <v>50</v>
      </c>
      <c r="E221" s="82">
        <v>4546679409</v>
      </c>
      <c r="F221" s="82">
        <v>9190347404</v>
      </c>
      <c r="G221" s="82">
        <v>1169</v>
      </c>
      <c r="H221" s="82">
        <v>244</v>
      </c>
      <c r="I221" s="82">
        <v>1413</v>
      </c>
      <c r="J221" s="82">
        <v>364</v>
      </c>
      <c r="K221" s="82">
        <v>1777</v>
      </c>
      <c r="L221" s="82">
        <v>280</v>
      </c>
      <c r="M221" s="82">
        <v>431</v>
      </c>
      <c r="N221" s="82">
        <v>376</v>
      </c>
      <c r="O221" s="82">
        <v>98</v>
      </c>
      <c r="P221" s="82">
        <v>2251</v>
      </c>
      <c r="Q221" s="82">
        <v>12354</v>
      </c>
      <c r="R221" s="12" t="s">
        <v>25</v>
      </c>
      <c r="S221" s="12" t="s">
        <v>25</v>
      </c>
      <c r="T221" s="12" t="s">
        <v>25</v>
      </c>
    </row>
    <row r="222" spans="1:20" hidden="1" x14ac:dyDescent="0.3">
      <c r="A222" s="13">
        <v>43895.708333333336</v>
      </c>
      <c r="B222" s="12" t="s">
        <v>22</v>
      </c>
      <c r="C222" s="82">
        <v>11</v>
      </c>
      <c r="D222" s="12" t="s">
        <v>51</v>
      </c>
      <c r="E222" s="82">
        <v>4361675973</v>
      </c>
      <c r="F222" s="82">
        <v>135188753</v>
      </c>
      <c r="G222" s="82">
        <v>57</v>
      </c>
      <c r="H222" s="82">
        <v>19</v>
      </c>
      <c r="I222" s="82">
        <v>76</v>
      </c>
      <c r="J222" s="82">
        <v>44</v>
      </c>
      <c r="K222" s="82">
        <v>120</v>
      </c>
      <c r="L222" s="82">
        <v>40</v>
      </c>
      <c r="M222" s="82">
        <v>40</v>
      </c>
      <c r="N222" s="82">
        <v>0</v>
      </c>
      <c r="O222" s="82">
        <v>4</v>
      </c>
      <c r="P222" s="82">
        <v>124</v>
      </c>
      <c r="Q222" s="82">
        <v>413</v>
      </c>
      <c r="R222" s="12" t="s">
        <v>25</v>
      </c>
      <c r="S222" s="12" t="s">
        <v>25</v>
      </c>
      <c r="T222" s="12" t="s">
        <v>25</v>
      </c>
    </row>
    <row r="223" spans="1:20" hidden="1" x14ac:dyDescent="0.3">
      <c r="A223" s="13">
        <v>43895.708333333336</v>
      </c>
      <c r="B223" s="12" t="s">
        <v>22</v>
      </c>
      <c r="C223" s="82">
        <v>14</v>
      </c>
      <c r="D223" s="12" t="s">
        <v>52</v>
      </c>
      <c r="E223" s="82">
        <v>4155774754</v>
      </c>
      <c r="F223" s="82">
        <v>1465916051</v>
      </c>
      <c r="G223" s="82">
        <v>4</v>
      </c>
      <c r="H223" s="82">
        <v>0</v>
      </c>
      <c r="I223" s="82">
        <v>4</v>
      </c>
      <c r="J223" s="82">
        <v>3</v>
      </c>
      <c r="K223" s="82">
        <v>7</v>
      </c>
      <c r="L223" s="82">
        <v>4</v>
      </c>
      <c r="M223" s="82">
        <v>4</v>
      </c>
      <c r="N223" s="82">
        <v>0</v>
      </c>
      <c r="O223" s="82">
        <v>0</v>
      </c>
      <c r="P223" s="82">
        <v>7</v>
      </c>
      <c r="Q223" s="82">
        <v>24</v>
      </c>
      <c r="R223" s="12" t="s">
        <v>25</v>
      </c>
      <c r="S223" s="12" t="s">
        <v>25</v>
      </c>
      <c r="T223" s="12" t="s">
        <v>25</v>
      </c>
    </row>
    <row r="224" spans="1:20" hidden="1" x14ac:dyDescent="0.3">
      <c r="A224" s="13">
        <v>43895.708333333336</v>
      </c>
      <c r="B224" s="12" t="s">
        <v>22</v>
      </c>
      <c r="C224" s="82">
        <v>1</v>
      </c>
      <c r="D224" s="12" t="s">
        <v>53</v>
      </c>
      <c r="E224" s="82">
        <v>450732745</v>
      </c>
      <c r="F224" s="82">
        <v>7680687483</v>
      </c>
      <c r="G224" s="82">
        <v>43</v>
      </c>
      <c r="H224" s="82">
        <v>17</v>
      </c>
      <c r="I224" s="82">
        <v>60</v>
      </c>
      <c r="J224" s="82">
        <v>46</v>
      </c>
      <c r="K224" s="82">
        <v>106</v>
      </c>
      <c r="L224" s="82">
        <v>24</v>
      </c>
      <c r="M224" s="82">
        <v>26</v>
      </c>
      <c r="N224" s="82">
        <v>0</v>
      </c>
      <c r="O224" s="82">
        <v>2</v>
      </c>
      <c r="P224" s="82">
        <v>108</v>
      </c>
      <c r="Q224" s="82">
        <v>543</v>
      </c>
      <c r="R224" s="12" t="s">
        <v>25</v>
      </c>
      <c r="S224" s="12" t="s">
        <v>25</v>
      </c>
      <c r="T224" s="12" t="s">
        <v>25</v>
      </c>
    </row>
    <row r="225" spans="1:20" hidden="1" x14ac:dyDescent="0.3">
      <c r="A225" s="13">
        <v>43895.708333333336</v>
      </c>
      <c r="B225" s="12" t="s">
        <v>22</v>
      </c>
      <c r="C225" s="82">
        <v>16</v>
      </c>
      <c r="D225" s="12" t="s">
        <v>54</v>
      </c>
      <c r="E225" s="82">
        <v>4112559576</v>
      </c>
      <c r="F225" s="82">
        <v>1686736689</v>
      </c>
      <c r="G225" s="82">
        <v>5</v>
      </c>
      <c r="H225" s="82">
        <v>1</v>
      </c>
      <c r="I225" s="82">
        <v>6</v>
      </c>
      <c r="J225" s="82">
        <v>6</v>
      </c>
      <c r="K225" s="82">
        <v>12</v>
      </c>
      <c r="L225" s="82">
        <v>5</v>
      </c>
      <c r="M225" s="82">
        <v>5</v>
      </c>
      <c r="N225" s="82">
        <v>1</v>
      </c>
      <c r="O225" s="82">
        <v>1</v>
      </c>
      <c r="P225" s="82">
        <v>14</v>
      </c>
      <c r="Q225" s="82">
        <v>359</v>
      </c>
      <c r="R225" s="12" t="s">
        <v>25</v>
      </c>
      <c r="S225" s="12" t="s">
        <v>25</v>
      </c>
      <c r="T225" s="12" t="s">
        <v>25</v>
      </c>
    </row>
    <row r="226" spans="1:20" hidden="1" x14ac:dyDescent="0.3">
      <c r="A226" s="13">
        <v>43895.708333333336</v>
      </c>
      <c r="B226" s="12" t="s">
        <v>22</v>
      </c>
      <c r="C226" s="82">
        <v>20</v>
      </c>
      <c r="D226" s="12" t="s">
        <v>55</v>
      </c>
      <c r="E226" s="82">
        <v>3921531192</v>
      </c>
      <c r="F226" s="82">
        <v>9110616306</v>
      </c>
      <c r="G226" s="82">
        <v>2</v>
      </c>
      <c r="H226" s="82">
        <v>0</v>
      </c>
      <c r="I226" s="82">
        <v>2</v>
      </c>
      <c r="J226" s="82">
        <v>0</v>
      </c>
      <c r="K226" s="82">
        <v>2</v>
      </c>
      <c r="L226" s="82">
        <v>0</v>
      </c>
      <c r="M226" s="82">
        <v>0</v>
      </c>
      <c r="N226" s="82">
        <v>0</v>
      </c>
      <c r="O226" s="82">
        <v>0</v>
      </c>
      <c r="P226" s="82">
        <v>2</v>
      </c>
      <c r="Q226" s="82">
        <v>50</v>
      </c>
      <c r="R226" s="12" t="s">
        <v>25</v>
      </c>
      <c r="S226" s="12" t="s">
        <v>25</v>
      </c>
      <c r="T226" s="12" t="s">
        <v>25</v>
      </c>
    </row>
    <row r="227" spans="1:20" hidden="1" x14ac:dyDescent="0.3">
      <c r="A227" s="13">
        <v>43895.708333333336</v>
      </c>
      <c r="B227" s="12" t="s">
        <v>22</v>
      </c>
      <c r="C227" s="82">
        <v>19</v>
      </c>
      <c r="D227" s="12" t="s">
        <v>56</v>
      </c>
      <c r="E227" s="82">
        <v>3811569725</v>
      </c>
      <c r="F227" s="82">
        <v>133623567</v>
      </c>
      <c r="G227" s="82">
        <v>5</v>
      </c>
      <c r="H227" s="82">
        <v>0</v>
      </c>
      <c r="I227" s="82">
        <v>5</v>
      </c>
      <c r="J227" s="82">
        <v>11</v>
      </c>
      <c r="K227" s="82">
        <v>16</v>
      </c>
      <c r="L227" s="82">
        <v>0</v>
      </c>
      <c r="M227" s="82">
        <v>0</v>
      </c>
      <c r="N227" s="82">
        <v>2</v>
      </c>
      <c r="O227" s="82">
        <v>0</v>
      </c>
      <c r="P227" s="82">
        <v>18</v>
      </c>
      <c r="Q227" s="82">
        <v>367</v>
      </c>
      <c r="R227" s="12" t="s">
        <v>25</v>
      </c>
      <c r="S227" s="12" t="s">
        <v>25</v>
      </c>
      <c r="T227" s="12" t="s">
        <v>25</v>
      </c>
    </row>
    <row r="228" spans="1:20" hidden="1" x14ac:dyDescent="0.3">
      <c r="A228" s="13">
        <v>43895.708333333336</v>
      </c>
      <c r="B228" s="12" t="s">
        <v>22</v>
      </c>
      <c r="C228" s="82">
        <v>9</v>
      </c>
      <c r="D228" s="12" t="s">
        <v>57</v>
      </c>
      <c r="E228" s="82">
        <v>4376923077</v>
      </c>
      <c r="F228" s="82">
        <v>1125588885</v>
      </c>
      <c r="G228" s="82">
        <v>26</v>
      </c>
      <c r="H228" s="82">
        <v>3</v>
      </c>
      <c r="I228" s="82">
        <v>29</v>
      </c>
      <c r="J228" s="82">
        <v>31</v>
      </c>
      <c r="K228" s="82">
        <v>60</v>
      </c>
      <c r="L228" s="82">
        <v>23</v>
      </c>
      <c r="M228" s="82">
        <v>23</v>
      </c>
      <c r="N228" s="82">
        <v>1</v>
      </c>
      <c r="O228" s="82">
        <v>0</v>
      </c>
      <c r="P228" s="82">
        <v>61</v>
      </c>
      <c r="Q228" s="82">
        <v>776</v>
      </c>
      <c r="R228" s="12" t="s">
        <v>25</v>
      </c>
      <c r="S228" s="12" t="s">
        <v>25</v>
      </c>
      <c r="T228" s="12" t="s">
        <v>25</v>
      </c>
    </row>
    <row r="229" spans="1:20" hidden="1" x14ac:dyDescent="0.3">
      <c r="A229" s="13">
        <v>43895.708333333336</v>
      </c>
      <c r="B229" s="12" t="s">
        <v>22</v>
      </c>
      <c r="C229" s="82">
        <v>22</v>
      </c>
      <c r="D229" s="12" t="s">
        <v>58</v>
      </c>
      <c r="E229" s="82">
        <v>4606893511</v>
      </c>
      <c r="F229" s="82">
        <v>1112123097</v>
      </c>
      <c r="G229" s="82">
        <v>2</v>
      </c>
      <c r="H229" s="82">
        <v>0</v>
      </c>
      <c r="I229" s="82">
        <v>2</v>
      </c>
      <c r="J229" s="82">
        <v>5</v>
      </c>
      <c r="K229" s="82">
        <v>7</v>
      </c>
      <c r="L229" s="82">
        <v>2</v>
      </c>
      <c r="M229" s="82">
        <v>2</v>
      </c>
      <c r="N229" s="82">
        <v>0</v>
      </c>
      <c r="O229" s="82">
        <v>0</v>
      </c>
      <c r="P229" s="82">
        <v>7</v>
      </c>
      <c r="Q229" s="82">
        <v>122</v>
      </c>
      <c r="R229" s="12" t="s">
        <v>25</v>
      </c>
      <c r="S229" s="12" t="s">
        <v>25</v>
      </c>
      <c r="T229" s="12" t="s">
        <v>25</v>
      </c>
    </row>
    <row r="230" spans="1:20" hidden="1" x14ac:dyDescent="0.3">
      <c r="A230" s="13">
        <v>43895.708333333336</v>
      </c>
      <c r="B230" s="12" t="s">
        <v>22</v>
      </c>
      <c r="C230" s="82">
        <v>10</v>
      </c>
      <c r="D230" s="12" t="s">
        <v>59</v>
      </c>
      <c r="E230" s="82">
        <v>4310675841</v>
      </c>
      <c r="F230" s="82">
        <v>1238824698</v>
      </c>
      <c r="G230" s="82">
        <v>1</v>
      </c>
      <c r="H230" s="82">
        <v>1</v>
      </c>
      <c r="I230" s="82">
        <v>2</v>
      </c>
      <c r="J230" s="82">
        <v>7</v>
      </c>
      <c r="K230" s="82">
        <v>9</v>
      </c>
      <c r="L230" s="82">
        <v>0</v>
      </c>
      <c r="M230" s="82">
        <v>0</v>
      </c>
      <c r="N230" s="82">
        <v>0</v>
      </c>
      <c r="O230" s="82">
        <v>0</v>
      </c>
      <c r="P230" s="82">
        <v>9</v>
      </c>
      <c r="Q230" s="82">
        <v>88</v>
      </c>
      <c r="R230" s="12" t="s">
        <v>25</v>
      </c>
      <c r="S230" s="12" t="s">
        <v>25</v>
      </c>
      <c r="T230" s="12" t="s">
        <v>25</v>
      </c>
    </row>
    <row r="231" spans="1:20" hidden="1" x14ac:dyDescent="0.3">
      <c r="A231" s="13">
        <v>43895.708333333336</v>
      </c>
      <c r="B231" s="12" t="s">
        <v>22</v>
      </c>
      <c r="C231" s="82">
        <v>2</v>
      </c>
      <c r="D231" s="12" t="s">
        <v>60</v>
      </c>
      <c r="E231" s="82">
        <v>4573750286</v>
      </c>
      <c r="F231" s="82">
        <v>7320149366</v>
      </c>
      <c r="G231" s="82">
        <v>0</v>
      </c>
      <c r="H231" s="82">
        <v>0</v>
      </c>
      <c r="I231" s="82">
        <v>0</v>
      </c>
      <c r="J231" s="82">
        <v>2</v>
      </c>
      <c r="K231" s="82">
        <v>2</v>
      </c>
      <c r="L231" s="82">
        <v>2</v>
      </c>
      <c r="M231" s="82">
        <v>2</v>
      </c>
      <c r="N231" s="82">
        <v>0</v>
      </c>
      <c r="O231" s="82">
        <v>0</v>
      </c>
      <c r="P231" s="82">
        <v>2</v>
      </c>
      <c r="Q231" s="82">
        <v>21</v>
      </c>
      <c r="R231" s="12" t="s">
        <v>25</v>
      </c>
      <c r="S231" s="12" t="s">
        <v>25</v>
      </c>
      <c r="T231" s="12" t="s">
        <v>25</v>
      </c>
    </row>
    <row r="232" spans="1:20" hidden="1" x14ac:dyDescent="0.3">
      <c r="A232" s="13">
        <v>43895.708333333336</v>
      </c>
      <c r="B232" s="12" t="s">
        <v>22</v>
      </c>
      <c r="C232" s="82">
        <v>5</v>
      </c>
      <c r="D232" s="12" t="s">
        <v>61</v>
      </c>
      <c r="E232" s="82">
        <v>4543490485</v>
      </c>
      <c r="F232" s="82">
        <v>1233845213</v>
      </c>
      <c r="G232" s="82">
        <v>92</v>
      </c>
      <c r="H232" s="82">
        <v>24</v>
      </c>
      <c r="I232" s="82">
        <v>116</v>
      </c>
      <c r="J232" s="82">
        <v>264</v>
      </c>
      <c r="K232" s="82">
        <v>380</v>
      </c>
      <c r="L232" s="82">
        <v>35</v>
      </c>
      <c r="M232" s="82">
        <v>47</v>
      </c>
      <c r="N232" s="82">
        <v>17</v>
      </c>
      <c r="O232" s="82">
        <v>10</v>
      </c>
      <c r="P232" s="82">
        <v>407</v>
      </c>
      <c r="Q232" s="82">
        <v>11949</v>
      </c>
      <c r="R232" s="12" t="s">
        <v>25</v>
      </c>
      <c r="S232" s="12" t="s">
        <v>25</v>
      </c>
      <c r="T232" s="12" t="s">
        <v>25</v>
      </c>
    </row>
    <row r="233" spans="1:20" hidden="1" x14ac:dyDescent="0.3">
      <c r="A233" s="13">
        <v>43896.708333333336</v>
      </c>
      <c r="B233" s="12" t="s">
        <v>22</v>
      </c>
      <c r="C233" s="82">
        <v>13</v>
      </c>
      <c r="D233" s="12" t="s">
        <v>42</v>
      </c>
      <c r="E233" s="82">
        <v>4235122196</v>
      </c>
      <c r="F233" s="82">
        <v>1339843823</v>
      </c>
      <c r="G233" s="82">
        <v>9</v>
      </c>
      <c r="H233" s="82">
        <v>0</v>
      </c>
      <c r="I233" s="82">
        <v>9</v>
      </c>
      <c r="J233" s="82">
        <v>0</v>
      </c>
      <c r="K233" s="82">
        <v>9</v>
      </c>
      <c r="L233" s="82">
        <v>1</v>
      </c>
      <c r="M233" s="82">
        <v>1</v>
      </c>
      <c r="N233" s="82">
        <v>0</v>
      </c>
      <c r="O233" s="82">
        <v>0</v>
      </c>
      <c r="P233" s="82">
        <v>9</v>
      </c>
      <c r="Q233" s="82">
        <v>96</v>
      </c>
      <c r="R233" s="12" t="s">
        <v>25</v>
      </c>
      <c r="S233" s="12" t="s">
        <v>25</v>
      </c>
      <c r="T233" s="12" t="s">
        <v>25</v>
      </c>
    </row>
    <row r="234" spans="1:20" hidden="1" x14ac:dyDescent="0.3">
      <c r="A234" s="13">
        <v>43896.708333333336</v>
      </c>
      <c r="B234" s="12" t="s">
        <v>22</v>
      </c>
      <c r="C234" s="82">
        <v>17</v>
      </c>
      <c r="D234" s="12" t="s">
        <v>43</v>
      </c>
      <c r="E234" s="82">
        <v>4063947052</v>
      </c>
      <c r="F234" s="82">
        <v>1580514834</v>
      </c>
      <c r="G234" s="82">
        <v>1</v>
      </c>
      <c r="H234" s="82">
        <v>0</v>
      </c>
      <c r="I234" s="82">
        <v>1</v>
      </c>
      <c r="J234" s="82">
        <v>2</v>
      </c>
      <c r="K234" s="82">
        <v>3</v>
      </c>
      <c r="L234" s="82">
        <v>2</v>
      </c>
      <c r="M234" s="82">
        <v>2</v>
      </c>
      <c r="N234" s="82">
        <v>0</v>
      </c>
      <c r="O234" s="82">
        <v>0</v>
      </c>
      <c r="P234" s="82">
        <v>3</v>
      </c>
      <c r="Q234" s="82">
        <v>63</v>
      </c>
      <c r="R234" s="12" t="s">
        <v>25</v>
      </c>
      <c r="S234" s="12" t="s">
        <v>25</v>
      </c>
      <c r="T234" s="12" t="s">
        <v>25</v>
      </c>
    </row>
    <row r="235" spans="1:20" hidden="1" x14ac:dyDescent="0.3">
      <c r="A235" s="13">
        <v>43896.708333333336</v>
      </c>
      <c r="B235" s="12" t="s">
        <v>22</v>
      </c>
      <c r="C235" s="82">
        <v>21</v>
      </c>
      <c r="D235" s="12" t="s">
        <v>44</v>
      </c>
      <c r="E235" s="82">
        <v>4649933453</v>
      </c>
      <c r="F235" s="82">
        <v>1135662422</v>
      </c>
      <c r="G235" s="82">
        <v>4</v>
      </c>
      <c r="H235" s="82">
        <v>0</v>
      </c>
      <c r="I235" s="82">
        <v>4</v>
      </c>
      <c r="J235" s="82">
        <v>0</v>
      </c>
      <c r="K235" s="82">
        <v>4</v>
      </c>
      <c r="L235" s="82">
        <v>3</v>
      </c>
      <c r="M235" s="82">
        <v>3</v>
      </c>
      <c r="N235" s="82">
        <v>0</v>
      </c>
      <c r="O235" s="82">
        <v>0</v>
      </c>
      <c r="P235" s="82">
        <v>4</v>
      </c>
      <c r="Q235" s="82">
        <v>36</v>
      </c>
      <c r="R235" s="12" t="s">
        <v>25</v>
      </c>
      <c r="S235" s="12" t="s">
        <v>25</v>
      </c>
      <c r="T235" s="12" t="s">
        <v>25</v>
      </c>
    </row>
    <row r="236" spans="1:20" hidden="1" x14ac:dyDescent="0.3">
      <c r="A236" s="13">
        <v>43896.708333333336</v>
      </c>
      <c r="B236" s="12" t="s">
        <v>22</v>
      </c>
      <c r="C236" s="82">
        <v>18</v>
      </c>
      <c r="D236" s="12" t="s">
        <v>45</v>
      </c>
      <c r="E236" s="82">
        <v>3890597598</v>
      </c>
      <c r="F236" s="82">
        <v>1659440194</v>
      </c>
      <c r="G236" s="82">
        <v>2</v>
      </c>
      <c r="H236" s="82">
        <v>0</v>
      </c>
      <c r="I236" s="82">
        <v>2</v>
      </c>
      <c r="J236" s="82">
        <v>2</v>
      </c>
      <c r="K236" s="82">
        <v>4</v>
      </c>
      <c r="L236" s="82">
        <v>2</v>
      </c>
      <c r="M236" s="82">
        <v>2</v>
      </c>
      <c r="N236" s="82">
        <v>0</v>
      </c>
      <c r="O236" s="82">
        <v>0</v>
      </c>
      <c r="P236" s="82">
        <v>4</v>
      </c>
      <c r="Q236" s="82">
        <v>99</v>
      </c>
      <c r="R236" s="12" t="s">
        <v>25</v>
      </c>
      <c r="S236" s="12" t="s">
        <v>25</v>
      </c>
      <c r="T236" s="12" t="s">
        <v>25</v>
      </c>
    </row>
    <row r="237" spans="1:20" hidden="1" x14ac:dyDescent="0.3">
      <c r="A237" s="13">
        <v>43896.708333333336</v>
      </c>
      <c r="B237" s="12" t="s">
        <v>22</v>
      </c>
      <c r="C237" s="82">
        <v>15</v>
      </c>
      <c r="D237" s="12" t="s">
        <v>46</v>
      </c>
      <c r="E237" s="82">
        <v>4083956555</v>
      </c>
      <c r="F237" s="82">
        <v>1425084984</v>
      </c>
      <c r="G237" s="82">
        <v>12</v>
      </c>
      <c r="H237" s="82">
        <v>0</v>
      </c>
      <c r="I237" s="82">
        <v>12</v>
      </c>
      <c r="J237" s="82">
        <v>45</v>
      </c>
      <c r="K237" s="82">
        <v>57</v>
      </c>
      <c r="L237" s="82">
        <v>12</v>
      </c>
      <c r="M237" s="82">
        <v>12</v>
      </c>
      <c r="N237" s="82">
        <v>0</v>
      </c>
      <c r="O237" s="82">
        <v>0</v>
      </c>
      <c r="P237" s="82">
        <v>57</v>
      </c>
      <c r="Q237" s="82">
        <v>471</v>
      </c>
      <c r="R237" s="12" t="s">
        <v>25</v>
      </c>
      <c r="S237" s="12" t="s">
        <v>25</v>
      </c>
      <c r="T237" s="12" t="s">
        <v>25</v>
      </c>
    </row>
    <row r="238" spans="1:20" hidden="1" x14ac:dyDescent="0.3">
      <c r="A238" s="13">
        <v>43896.708333333336</v>
      </c>
      <c r="B238" s="12" t="s">
        <v>22</v>
      </c>
      <c r="C238" s="82">
        <v>8</v>
      </c>
      <c r="D238" s="12" t="s">
        <v>95</v>
      </c>
      <c r="E238" s="82">
        <v>4449436681</v>
      </c>
      <c r="F238" s="82">
        <v>113417208</v>
      </c>
      <c r="G238" s="82">
        <v>397</v>
      </c>
      <c r="H238" s="82">
        <v>53</v>
      </c>
      <c r="I238" s="82">
        <v>450</v>
      </c>
      <c r="J238" s="82">
        <v>366</v>
      </c>
      <c r="K238" s="82">
        <v>816</v>
      </c>
      <c r="L238" s="82">
        <v>158</v>
      </c>
      <c r="M238" s="82">
        <v>172</v>
      </c>
      <c r="N238" s="82">
        <v>17</v>
      </c>
      <c r="O238" s="82">
        <v>37</v>
      </c>
      <c r="P238" s="82">
        <v>870</v>
      </c>
      <c r="Q238" s="82">
        <v>3136</v>
      </c>
      <c r="R238" s="12" t="s">
        <v>25</v>
      </c>
      <c r="S238" s="12" t="s">
        <v>25</v>
      </c>
      <c r="T238" s="12" t="s">
        <v>25</v>
      </c>
    </row>
    <row r="239" spans="1:20" hidden="1" x14ac:dyDescent="0.3">
      <c r="A239" s="13">
        <v>43896.708333333336</v>
      </c>
      <c r="B239" s="12" t="s">
        <v>22</v>
      </c>
      <c r="C239" s="82">
        <v>6</v>
      </c>
      <c r="D239" s="12" t="s">
        <v>47</v>
      </c>
      <c r="E239" s="82">
        <v>456494354</v>
      </c>
      <c r="F239" s="82">
        <v>1376813649</v>
      </c>
      <c r="G239" s="82">
        <v>4</v>
      </c>
      <c r="H239" s="82">
        <v>0</v>
      </c>
      <c r="I239" s="82">
        <v>4</v>
      </c>
      <c r="J239" s="82">
        <v>24</v>
      </c>
      <c r="K239" s="82">
        <v>28</v>
      </c>
      <c r="L239" s="82">
        <v>7</v>
      </c>
      <c r="M239" s="82">
        <v>10</v>
      </c>
      <c r="N239" s="82">
        <v>3</v>
      </c>
      <c r="O239" s="82">
        <v>0</v>
      </c>
      <c r="P239" s="82">
        <v>31</v>
      </c>
      <c r="Q239" s="82">
        <v>577</v>
      </c>
      <c r="R239" s="12" t="s">
        <v>25</v>
      </c>
      <c r="S239" s="12" t="s">
        <v>25</v>
      </c>
      <c r="T239" s="12" t="s">
        <v>25</v>
      </c>
    </row>
    <row r="240" spans="1:20" hidden="1" x14ac:dyDescent="0.3">
      <c r="A240" s="13">
        <v>43896.708333333336</v>
      </c>
      <c r="B240" s="12" t="s">
        <v>22</v>
      </c>
      <c r="C240" s="82">
        <v>12</v>
      </c>
      <c r="D240" s="12" t="s">
        <v>48</v>
      </c>
      <c r="E240" s="82">
        <v>4189277044</v>
      </c>
      <c r="F240" s="82">
        <v>1248366722</v>
      </c>
      <c r="G240" s="82">
        <v>26</v>
      </c>
      <c r="H240" s="82">
        <v>8</v>
      </c>
      <c r="I240" s="82">
        <v>34</v>
      </c>
      <c r="J240" s="82">
        <v>16</v>
      </c>
      <c r="K240" s="82">
        <v>50</v>
      </c>
      <c r="L240" s="82">
        <v>9</v>
      </c>
      <c r="M240" s="82">
        <v>10</v>
      </c>
      <c r="N240" s="82">
        <v>3</v>
      </c>
      <c r="O240" s="82">
        <v>1</v>
      </c>
      <c r="P240" s="82">
        <v>54</v>
      </c>
      <c r="Q240" s="82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82">
        <v>7</v>
      </c>
      <c r="D241" s="12" t="s">
        <v>49</v>
      </c>
      <c r="E241" s="82">
        <v>4441149315</v>
      </c>
      <c r="F241" s="82">
        <v>89326992</v>
      </c>
      <c r="G241" s="82">
        <v>12</v>
      </c>
      <c r="H241" s="82">
        <v>5</v>
      </c>
      <c r="I241" s="82">
        <v>17</v>
      </c>
      <c r="J241" s="82">
        <v>7</v>
      </c>
      <c r="K241" s="82">
        <v>24</v>
      </c>
      <c r="L241" s="82">
        <v>3</v>
      </c>
      <c r="M241" s="82">
        <v>4</v>
      </c>
      <c r="N241" s="82">
        <v>5</v>
      </c>
      <c r="O241" s="82">
        <v>3</v>
      </c>
      <c r="P241" s="82">
        <v>32</v>
      </c>
      <c r="Q241" s="82">
        <v>229</v>
      </c>
      <c r="R241" s="12" t="s">
        <v>25</v>
      </c>
      <c r="S241" s="12" t="s">
        <v>25</v>
      </c>
      <c r="T241" s="12" t="s">
        <v>25</v>
      </c>
    </row>
    <row r="242" spans="1:20" hidden="1" x14ac:dyDescent="0.3">
      <c r="A242" s="13">
        <v>43896.708333333336</v>
      </c>
      <c r="B242" s="12" t="s">
        <v>22</v>
      </c>
      <c r="C242" s="82">
        <v>3</v>
      </c>
      <c r="D242" s="12" t="s">
        <v>50</v>
      </c>
      <c r="E242" s="82">
        <v>4546679409</v>
      </c>
      <c r="F242" s="82">
        <v>9190347404</v>
      </c>
      <c r="G242" s="82">
        <v>1622</v>
      </c>
      <c r="H242" s="82">
        <v>309</v>
      </c>
      <c r="I242" s="82">
        <v>1931</v>
      </c>
      <c r="J242" s="82">
        <v>77</v>
      </c>
      <c r="K242" s="82">
        <v>2008</v>
      </c>
      <c r="L242" s="82">
        <v>231</v>
      </c>
      <c r="M242" s="82">
        <v>361</v>
      </c>
      <c r="N242" s="82">
        <v>469</v>
      </c>
      <c r="O242" s="82">
        <v>135</v>
      </c>
      <c r="P242" s="82">
        <v>2612</v>
      </c>
      <c r="Q242" s="82">
        <v>13556</v>
      </c>
      <c r="R242" s="12" t="s">
        <v>25</v>
      </c>
      <c r="S242" s="12" t="s">
        <v>25</v>
      </c>
      <c r="T242" s="12" t="s">
        <v>25</v>
      </c>
    </row>
    <row r="243" spans="1:20" hidden="1" x14ac:dyDescent="0.3">
      <c r="A243" s="13">
        <v>43896.708333333336</v>
      </c>
      <c r="B243" s="12" t="s">
        <v>22</v>
      </c>
      <c r="C243" s="82">
        <v>11</v>
      </c>
      <c r="D243" s="12" t="s">
        <v>51</v>
      </c>
      <c r="E243" s="82">
        <v>4361675973</v>
      </c>
      <c r="F243" s="82">
        <v>135188753</v>
      </c>
      <c r="G243" s="82">
        <v>73</v>
      </c>
      <c r="H243" s="82">
        <v>20</v>
      </c>
      <c r="I243" s="82">
        <v>93</v>
      </c>
      <c r="J243" s="82">
        <v>62</v>
      </c>
      <c r="K243" s="82">
        <v>155</v>
      </c>
      <c r="L243" s="82">
        <v>35</v>
      </c>
      <c r="M243" s="82">
        <v>35</v>
      </c>
      <c r="N243" s="82">
        <v>0</v>
      </c>
      <c r="O243" s="82">
        <v>4</v>
      </c>
      <c r="P243" s="82">
        <v>159</v>
      </c>
      <c r="Q243" s="82">
        <v>585</v>
      </c>
      <c r="R243" s="12" t="s">
        <v>25</v>
      </c>
      <c r="S243" s="12" t="s">
        <v>25</v>
      </c>
      <c r="T243" s="12" t="s">
        <v>25</v>
      </c>
    </row>
    <row r="244" spans="1:20" hidden="1" x14ac:dyDescent="0.3">
      <c r="A244" s="13">
        <v>43896.708333333336</v>
      </c>
      <c r="B244" s="12" t="s">
        <v>22</v>
      </c>
      <c r="C244" s="82">
        <v>14</v>
      </c>
      <c r="D244" s="12" t="s">
        <v>52</v>
      </c>
      <c r="E244" s="82">
        <v>4155774754</v>
      </c>
      <c r="F244" s="82">
        <v>1465916051</v>
      </c>
      <c r="G244" s="82">
        <v>3</v>
      </c>
      <c r="H244" s="82">
        <v>2</v>
      </c>
      <c r="I244" s="82">
        <v>5</v>
      </c>
      <c r="J244" s="82">
        <v>7</v>
      </c>
      <c r="K244" s="82">
        <v>12</v>
      </c>
      <c r="L244" s="82">
        <v>5</v>
      </c>
      <c r="M244" s="82">
        <v>5</v>
      </c>
      <c r="N244" s="82">
        <v>0</v>
      </c>
      <c r="O244" s="82">
        <v>0</v>
      </c>
      <c r="P244" s="82">
        <v>12</v>
      </c>
      <c r="Q244" s="82">
        <v>104</v>
      </c>
      <c r="R244" s="12" t="s">
        <v>25</v>
      </c>
      <c r="S244" s="12" t="s">
        <v>25</v>
      </c>
      <c r="T244" s="12" t="s">
        <v>25</v>
      </c>
    </row>
    <row r="245" spans="1:20" hidden="1" x14ac:dyDescent="0.3">
      <c r="A245" s="13">
        <v>43896.708333333336</v>
      </c>
      <c r="B245" s="12" t="s">
        <v>22</v>
      </c>
      <c r="C245" s="82">
        <v>1</v>
      </c>
      <c r="D245" s="12" t="s">
        <v>53</v>
      </c>
      <c r="E245" s="82">
        <v>450732745</v>
      </c>
      <c r="F245" s="82">
        <v>7680687483</v>
      </c>
      <c r="G245" s="82">
        <v>57</v>
      </c>
      <c r="H245" s="82">
        <v>30</v>
      </c>
      <c r="I245" s="82">
        <v>87</v>
      </c>
      <c r="J245" s="82">
        <v>52</v>
      </c>
      <c r="K245" s="82">
        <v>139</v>
      </c>
      <c r="L245" s="82">
        <v>33</v>
      </c>
      <c r="M245" s="82">
        <v>35</v>
      </c>
      <c r="N245" s="82">
        <v>0</v>
      </c>
      <c r="O245" s="82">
        <v>4</v>
      </c>
      <c r="P245" s="82">
        <v>143</v>
      </c>
      <c r="Q245" s="82">
        <v>793</v>
      </c>
      <c r="R245" s="12" t="s">
        <v>25</v>
      </c>
      <c r="S245" s="12" t="s">
        <v>25</v>
      </c>
      <c r="T245" s="12" t="s">
        <v>25</v>
      </c>
    </row>
    <row r="246" spans="1:20" hidden="1" x14ac:dyDescent="0.3">
      <c r="A246" s="13">
        <v>43896.708333333336</v>
      </c>
      <c r="B246" s="12" t="s">
        <v>22</v>
      </c>
      <c r="C246" s="82">
        <v>16</v>
      </c>
      <c r="D246" s="12" t="s">
        <v>54</v>
      </c>
      <c r="E246" s="82">
        <v>4112559576</v>
      </c>
      <c r="F246" s="82">
        <v>1686736689</v>
      </c>
      <c r="G246" s="82">
        <v>5</v>
      </c>
      <c r="H246" s="82">
        <v>1</v>
      </c>
      <c r="I246" s="82">
        <v>6</v>
      </c>
      <c r="J246" s="82">
        <v>9</v>
      </c>
      <c r="K246" s="82">
        <v>15</v>
      </c>
      <c r="L246" s="82">
        <v>3</v>
      </c>
      <c r="M246" s="82">
        <v>3</v>
      </c>
      <c r="N246" s="82">
        <v>1</v>
      </c>
      <c r="O246" s="82">
        <v>1</v>
      </c>
      <c r="P246" s="82">
        <v>17</v>
      </c>
      <c r="Q246" s="82">
        <v>395</v>
      </c>
      <c r="R246" s="12" t="s">
        <v>25</v>
      </c>
      <c r="S246" s="12" t="s">
        <v>25</v>
      </c>
      <c r="T246" s="12" t="s">
        <v>25</v>
      </c>
    </row>
    <row r="247" spans="1:20" hidden="1" x14ac:dyDescent="0.3">
      <c r="A247" s="13">
        <v>43896.708333333336</v>
      </c>
      <c r="B247" s="12" t="s">
        <v>22</v>
      </c>
      <c r="C247" s="82">
        <v>20</v>
      </c>
      <c r="D247" s="12" t="s">
        <v>55</v>
      </c>
      <c r="E247" s="82">
        <v>3921531192</v>
      </c>
      <c r="F247" s="82">
        <v>9110616306</v>
      </c>
      <c r="G247" s="82">
        <v>2</v>
      </c>
      <c r="H247" s="82">
        <v>0</v>
      </c>
      <c r="I247" s="82">
        <v>2</v>
      </c>
      <c r="J247" s="82">
        <v>3</v>
      </c>
      <c r="K247" s="82">
        <v>5</v>
      </c>
      <c r="L247" s="82">
        <v>3</v>
      </c>
      <c r="M247" s="82">
        <v>3</v>
      </c>
      <c r="N247" s="82">
        <v>0</v>
      </c>
      <c r="O247" s="82">
        <v>0</v>
      </c>
      <c r="P247" s="82">
        <v>5</v>
      </c>
      <c r="Q247" s="82">
        <v>99</v>
      </c>
      <c r="R247" s="12" t="s">
        <v>25</v>
      </c>
      <c r="S247" s="12" t="s">
        <v>25</v>
      </c>
      <c r="T247" s="12" t="s">
        <v>25</v>
      </c>
    </row>
    <row r="248" spans="1:20" hidden="1" x14ac:dyDescent="0.3">
      <c r="A248" s="13">
        <v>43896.708333333336</v>
      </c>
      <c r="B248" s="12" t="s">
        <v>22</v>
      </c>
      <c r="C248" s="82">
        <v>19</v>
      </c>
      <c r="D248" s="12" t="s">
        <v>56</v>
      </c>
      <c r="E248" s="82">
        <v>3811569725</v>
      </c>
      <c r="F248" s="82">
        <v>133623567</v>
      </c>
      <c r="G248" s="82">
        <v>7</v>
      </c>
      <c r="H248" s="82">
        <v>0</v>
      </c>
      <c r="I248" s="82">
        <v>7</v>
      </c>
      <c r="J248" s="82">
        <v>15</v>
      </c>
      <c r="K248" s="82">
        <v>22</v>
      </c>
      <c r="L248" s="82">
        <v>6</v>
      </c>
      <c r="M248" s="82">
        <v>6</v>
      </c>
      <c r="N248" s="82">
        <v>2</v>
      </c>
      <c r="O248" s="82">
        <v>0</v>
      </c>
      <c r="P248" s="82">
        <v>24</v>
      </c>
      <c r="Q248" s="82">
        <v>367</v>
      </c>
      <c r="R248" s="12" t="s">
        <v>25</v>
      </c>
      <c r="S248" s="12" t="s">
        <v>25</v>
      </c>
      <c r="T248" s="12" t="s">
        <v>25</v>
      </c>
    </row>
    <row r="249" spans="1:20" hidden="1" x14ac:dyDescent="0.3">
      <c r="A249" s="13">
        <v>43896.708333333336</v>
      </c>
      <c r="B249" s="12" t="s">
        <v>22</v>
      </c>
      <c r="C249" s="82">
        <v>9</v>
      </c>
      <c r="D249" s="12" t="s">
        <v>57</v>
      </c>
      <c r="E249" s="82">
        <v>4376923077</v>
      </c>
      <c r="F249" s="82">
        <v>1125588885</v>
      </c>
      <c r="G249" s="82">
        <v>35</v>
      </c>
      <c r="H249" s="82">
        <v>5</v>
      </c>
      <c r="I249" s="82">
        <v>40</v>
      </c>
      <c r="J249" s="82">
        <v>38</v>
      </c>
      <c r="K249" s="82">
        <v>78</v>
      </c>
      <c r="L249" s="82">
        <v>18</v>
      </c>
      <c r="M249" s="82">
        <v>18</v>
      </c>
      <c r="N249" s="82">
        <v>1</v>
      </c>
      <c r="O249" s="82">
        <v>0</v>
      </c>
      <c r="P249" s="82">
        <v>79</v>
      </c>
      <c r="Q249" s="82">
        <v>1097</v>
      </c>
      <c r="R249" s="12" t="s">
        <v>25</v>
      </c>
      <c r="S249" s="12" t="s">
        <v>25</v>
      </c>
      <c r="T249" s="12" t="s">
        <v>25</v>
      </c>
    </row>
    <row r="250" spans="1:20" hidden="1" x14ac:dyDescent="0.3">
      <c r="A250" s="13">
        <v>43896.708333333336</v>
      </c>
      <c r="B250" s="12" t="s">
        <v>22</v>
      </c>
      <c r="C250" s="82">
        <v>22</v>
      </c>
      <c r="D250" s="12" t="s">
        <v>58</v>
      </c>
      <c r="E250" s="82">
        <v>4606893511</v>
      </c>
      <c r="F250" s="82">
        <v>1112123097</v>
      </c>
      <c r="G250" s="82">
        <v>4</v>
      </c>
      <c r="H250" s="82">
        <v>0</v>
      </c>
      <c r="I250" s="82">
        <v>4</v>
      </c>
      <c r="J250" s="82">
        <v>6</v>
      </c>
      <c r="K250" s="82">
        <v>10</v>
      </c>
      <c r="L250" s="82">
        <v>3</v>
      </c>
      <c r="M250" s="82">
        <v>3</v>
      </c>
      <c r="N250" s="82">
        <v>0</v>
      </c>
      <c r="O250" s="82">
        <v>0</v>
      </c>
      <c r="P250" s="82">
        <v>10</v>
      </c>
      <c r="Q250" s="82">
        <v>122</v>
      </c>
      <c r="R250" s="12" t="s">
        <v>25</v>
      </c>
      <c r="S250" s="12" t="s">
        <v>25</v>
      </c>
      <c r="T250" s="12" t="s">
        <v>25</v>
      </c>
    </row>
    <row r="251" spans="1:20" hidden="1" x14ac:dyDescent="0.3">
      <c r="A251" s="13">
        <v>43896.708333333336</v>
      </c>
      <c r="B251" s="12" t="s">
        <v>22</v>
      </c>
      <c r="C251" s="82">
        <v>10</v>
      </c>
      <c r="D251" s="12" t="s">
        <v>59</v>
      </c>
      <c r="E251" s="82">
        <v>4310675841</v>
      </c>
      <c r="F251" s="82">
        <v>1238824698</v>
      </c>
      <c r="G251" s="82">
        <v>2</v>
      </c>
      <c r="H251" s="82">
        <v>2</v>
      </c>
      <c r="I251" s="82">
        <v>4</v>
      </c>
      <c r="J251" s="82">
        <v>12</v>
      </c>
      <c r="K251" s="82">
        <v>16</v>
      </c>
      <c r="L251" s="82">
        <v>7</v>
      </c>
      <c r="M251" s="82">
        <v>7</v>
      </c>
      <c r="N251" s="82">
        <v>0</v>
      </c>
      <c r="O251" s="82">
        <v>0</v>
      </c>
      <c r="P251" s="82">
        <v>16</v>
      </c>
      <c r="Q251" s="82">
        <v>110</v>
      </c>
      <c r="R251" s="12" t="s">
        <v>25</v>
      </c>
      <c r="S251" s="12" t="s">
        <v>25</v>
      </c>
      <c r="T251" s="12" t="s">
        <v>25</v>
      </c>
    </row>
    <row r="252" spans="1:20" hidden="1" x14ac:dyDescent="0.3">
      <c r="A252" s="13">
        <v>43896.708333333336</v>
      </c>
      <c r="B252" s="12" t="s">
        <v>22</v>
      </c>
      <c r="C252" s="82">
        <v>2</v>
      </c>
      <c r="D252" s="12" t="s">
        <v>60</v>
      </c>
      <c r="E252" s="82">
        <v>4573750286</v>
      </c>
      <c r="F252" s="82">
        <v>7320149366</v>
      </c>
      <c r="G252" s="82">
        <v>0</v>
      </c>
      <c r="H252" s="82">
        <v>0</v>
      </c>
      <c r="I252" s="82">
        <v>0</v>
      </c>
      <c r="J252" s="82">
        <v>7</v>
      </c>
      <c r="K252" s="82">
        <v>7</v>
      </c>
      <c r="L252" s="82">
        <v>5</v>
      </c>
      <c r="M252" s="82">
        <v>5</v>
      </c>
      <c r="N252" s="82">
        <v>0</v>
      </c>
      <c r="O252" s="82">
        <v>0</v>
      </c>
      <c r="P252" s="82">
        <v>7</v>
      </c>
      <c r="Q252" s="82">
        <v>28</v>
      </c>
      <c r="R252" s="12" t="s">
        <v>25</v>
      </c>
      <c r="S252" s="12" t="s">
        <v>25</v>
      </c>
      <c r="T252" s="12" t="s">
        <v>25</v>
      </c>
    </row>
    <row r="253" spans="1:20" hidden="1" x14ac:dyDescent="0.3">
      <c r="A253" s="13">
        <v>43896.708333333336</v>
      </c>
      <c r="B253" s="12" t="s">
        <v>22</v>
      </c>
      <c r="C253" s="82">
        <v>5</v>
      </c>
      <c r="D253" s="12" t="s">
        <v>61</v>
      </c>
      <c r="E253" s="82">
        <v>4543490485</v>
      </c>
      <c r="F253" s="82">
        <v>1233845213</v>
      </c>
      <c r="G253" s="82">
        <v>117</v>
      </c>
      <c r="H253" s="82">
        <v>27</v>
      </c>
      <c r="I253" s="82">
        <v>144</v>
      </c>
      <c r="J253" s="82">
        <v>310</v>
      </c>
      <c r="K253" s="82">
        <v>454</v>
      </c>
      <c r="L253" s="82">
        <v>74</v>
      </c>
      <c r="M253" s="82">
        <v>81</v>
      </c>
      <c r="N253" s="82">
        <v>22</v>
      </c>
      <c r="O253" s="82">
        <v>12</v>
      </c>
      <c r="P253" s="82">
        <v>488</v>
      </c>
      <c r="Q253" s="82">
        <v>13023</v>
      </c>
      <c r="R253" s="12" t="s">
        <v>25</v>
      </c>
      <c r="S253" s="12" t="s">
        <v>25</v>
      </c>
      <c r="T253" s="12" t="s">
        <v>25</v>
      </c>
    </row>
    <row r="254" spans="1:20" hidden="1" x14ac:dyDescent="0.3">
      <c r="A254" s="13">
        <v>43897.75</v>
      </c>
      <c r="B254" s="12" t="s">
        <v>22</v>
      </c>
      <c r="C254" s="82">
        <v>13</v>
      </c>
      <c r="D254" s="12" t="s">
        <v>42</v>
      </c>
      <c r="E254" s="82">
        <v>4235122196</v>
      </c>
      <c r="F254" s="82">
        <v>1339843823</v>
      </c>
      <c r="G254" s="82">
        <v>11</v>
      </c>
      <c r="H254" s="82">
        <v>0</v>
      </c>
      <c r="I254" s="82">
        <v>11</v>
      </c>
      <c r="J254" s="82">
        <v>0</v>
      </c>
      <c r="K254" s="82">
        <v>11</v>
      </c>
      <c r="L254" s="82">
        <v>2</v>
      </c>
      <c r="M254" s="82">
        <v>2</v>
      </c>
      <c r="N254" s="82">
        <v>0</v>
      </c>
      <c r="O254" s="82">
        <v>0</v>
      </c>
      <c r="P254" s="82">
        <v>11</v>
      </c>
      <c r="Q254" s="82">
        <v>123</v>
      </c>
      <c r="R254" s="12" t="s">
        <v>25</v>
      </c>
      <c r="S254" s="12" t="s">
        <v>25</v>
      </c>
      <c r="T254" s="12" t="s">
        <v>25</v>
      </c>
    </row>
    <row r="255" spans="1:20" hidden="1" x14ac:dyDescent="0.3">
      <c r="A255" s="13">
        <v>43897.75</v>
      </c>
      <c r="B255" s="12" t="s">
        <v>22</v>
      </c>
      <c r="C255" s="82">
        <v>17</v>
      </c>
      <c r="D255" s="12" t="s">
        <v>43</v>
      </c>
      <c r="E255" s="82">
        <v>4063947052</v>
      </c>
      <c r="F255" s="82">
        <v>1580514834</v>
      </c>
      <c r="G255" s="82">
        <v>1</v>
      </c>
      <c r="H255" s="82">
        <v>0</v>
      </c>
      <c r="I255" s="82">
        <v>1</v>
      </c>
      <c r="J255" s="82">
        <v>2</v>
      </c>
      <c r="K255" s="82">
        <v>3</v>
      </c>
      <c r="L255" s="82">
        <v>0</v>
      </c>
      <c r="M255" s="82">
        <v>0</v>
      </c>
      <c r="N255" s="82">
        <v>0</v>
      </c>
      <c r="O255" s="82">
        <v>0</v>
      </c>
      <c r="P255" s="82">
        <v>3</v>
      </c>
      <c r="Q255" s="82">
        <v>75</v>
      </c>
      <c r="R255" s="12" t="s">
        <v>25</v>
      </c>
      <c r="S255" s="12" t="s">
        <v>25</v>
      </c>
      <c r="T255" s="12" t="s">
        <v>25</v>
      </c>
    </row>
    <row r="256" spans="1:20" hidden="1" x14ac:dyDescent="0.3">
      <c r="A256" s="13">
        <v>43897.75</v>
      </c>
      <c r="B256" s="12" t="s">
        <v>22</v>
      </c>
      <c r="C256" s="82">
        <v>21</v>
      </c>
      <c r="D256" s="12" t="s">
        <v>44</v>
      </c>
      <c r="E256" s="82">
        <v>4649933453</v>
      </c>
      <c r="F256" s="82">
        <v>1135662422</v>
      </c>
      <c r="G256" s="82">
        <v>8</v>
      </c>
      <c r="H256" s="82">
        <v>0</v>
      </c>
      <c r="I256" s="82">
        <v>8</v>
      </c>
      <c r="J256" s="82">
        <v>1</v>
      </c>
      <c r="K256" s="82">
        <v>9</v>
      </c>
      <c r="L256" s="82">
        <v>5</v>
      </c>
      <c r="M256" s="82">
        <v>5</v>
      </c>
      <c r="N256" s="82">
        <v>0</v>
      </c>
      <c r="O256" s="82">
        <v>0</v>
      </c>
      <c r="P256" s="82">
        <v>9</v>
      </c>
      <c r="Q256" s="82">
        <v>36</v>
      </c>
      <c r="R256" s="12" t="s">
        <v>25</v>
      </c>
      <c r="S256" s="12" t="s">
        <v>25</v>
      </c>
      <c r="T256" s="12" t="s">
        <v>25</v>
      </c>
    </row>
    <row r="257" spans="1:20" hidden="1" x14ac:dyDescent="0.3">
      <c r="A257" s="13">
        <v>43897.75</v>
      </c>
      <c r="B257" s="12" t="s">
        <v>22</v>
      </c>
      <c r="C257" s="82">
        <v>18</v>
      </c>
      <c r="D257" s="12" t="s">
        <v>45</v>
      </c>
      <c r="E257" s="82">
        <v>3890597598</v>
      </c>
      <c r="F257" s="82">
        <v>1659440194</v>
      </c>
      <c r="G257" s="82">
        <v>2</v>
      </c>
      <c r="H257" s="82">
        <v>0</v>
      </c>
      <c r="I257" s="82">
        <v>2</v>
      </c>
      <c r="J257" s="82">
        <v>2</v>
      </c>
      <c r="K257" s="82">
        <v>4</v>
      </c>
      <c r="L257" s="82">
        <v>0</v>
      </c>
      <c r="M257" s="82">
        <v>0</v>
      </c>
      <c r="N257" s="82">
        <v>0</v>
      </c>
      <c r="O257" s="82">
        <v>0</v>
      </c>
      <c r="P257" s="82">
        <v>4</v>
      </c>
      <c r="Q257" s="82">
        <v>113</v>
      </c>
      <c r="R257" s="12" t="s">
        <v>25</v>
      </c>
      <c r="S257" s="12" t="s">
        <v>25</v>
      </c>
      <c r="T257" s="12" t="s">
        <v>25</v>
      </c>
    </row>
    <row r="258" spans="1:20" hidden="1" x14ac:dyDescent="0.3">
      <c r="A258" s="13">
        <v>43897.75</v>
      </c>
      <c r="B258" s="12" t="s">
        <v>22</v>
      </c>
      <c r="C258" s="82">
        <v>15</v>
      </c>
      <c r="D258" s="12" t="s">
        <v>46</v>
      </c>
      <c r="E258" s="82">
        <v>4083956555</v>
      </c>
      <c r="F258" s="82">
        <v>1425084984</v>
      </c>
      <c r="G258" s="82">
        <v>16</v>
      </c>
      <c r="H258" s="82">
        <v>0</v>
      </c>
      <c r="I258" s="82">
        <v>16</v>
      </c>
      <c r="J258" s="82">
        <v>45</v>
      </c>
      <c r="K258" s="82">
        <v>61</v>
      </c>
      <c r="L258" s="82">
        <v>4</v>
      </c>
      <c r="M258" s="82">
        <v>4</v>
      </c>
      <c r="N258" s="82">
        <v>0</v>
      </c>
      <c r="O258" s="82">
        <v>0</v>
      </c>
      <c r="P258" s="82">
        <v>61</v>
      </c>
      <c r="Q258" s="82">
        <v>612</v>
      </c>
      <c r="R258" s="12" t="s">
        <v>25</v>
      </c>
      <c r="S258" s="12" t="s">
        <v>25</v>
      </c>
      <c r="T258" s="12" t="s">
        <v>25</v>
      </c>
    </row>
    <row r="259" spans="1:20" hidden="1" x14ac:dyDescent="0.3">
      <c r="A259" s="13">
        <v>43897.75</v>
      </c>
      <c r="B259" s="12" t="s">
        <v>22</v>
      </c>
      <c r="C259" s="82">
        <v>8</v>
      </c>
      <c r="D259" s="12" t="s">
        <v>95</v>
      </c>
      <c r="E259" s="82">
        <v>4449436681</v>
      </c>
      <c r="F259" s="82">
        <v>113417208</v>
      </c>
      <c r="G259" s="82">
        <v>464</v>
      </c>
      <c r="H259" s="82">
        <v>64</v>
      </c>
      <c r="I259" s="82">
        <v>528</v>
      </c>
      <c r="J259" s="82">
        <v>409</v>
      </c>
      <c r="K259" s="82">
        <v>937</v>
      </c>
      <c r="L259" s="82">
        <v>121</v>
      </c>
      <c r="M259" s="82">
        <v>140</v>
      </c>
      <c r="N259" s="82">
        <v>25</v>
      </c>
      <c r="O259" s="82">
        <v>48</v>
      </c>
      <c r="P259" s="82">
        <v>1010</v>
      </c>
      <c r="Q259" s="82">
        <v>3604</v>
      </c>
      <c r="R259" s="12" t="s">
        <v>25</v>
      </c>
      <c r="S259" s="12" t="s">
        <v>25</v>
      </c>
      <c r="T259" s="12" t="s">
        <v>25</v>
      </c>
    </row>
    <row r="260" spans="1:20" hidden="1" x14ac:dyDescent="0.3">
      <c r="A260" s="13">
        <v>43897.75</v>
      </c>
      <c r="B260" s="12" t="s">
        <v>22</v>
      </c>
      <c r="C260" s="82">
        <v>6</v>
      </c>
      <c r="D260" s="12" t="s">
        <v>47</v>
      </c>
      <c r="E260" s="82">
        <v>456494354</v>
      </c>
      <c r="F260" s="82">
        <v>1376813649</v>
      </c>
      <c r="G260" s="82">
        <v>7</v>
      </c>
      <c r="H260" s="82">
        <v>1</v>
      </c>
      <c r="I260" s="82">
        <v>8</v>
      </c>
      <c r="J260" s="82">
        <v>31</v>
      </c>
      <c r="K260" s="82">
        <v>39</v>
      </c>
      <c r="L260" s="82">
        <v>11</v>
      </c>
      <c r="M260" s="82">
        <v>11</v>
      </c>
      <c r="N260" s="82">
        <v>3</v>
      </c>
      <c r="O260" s="82">
        <v>0</v>
      </c>
      <c r="P260" s="82">
        <v>42</v>
      </c>
      <c r="Q260" s="82">
        <v>577</v>
      </c>
      <c r="R260" s="12" t="s">
        <v>25</v>
      </c>
      <c r="S260" s="12" t="s">
        <v>25</v>
      </c>
      <c r="T260" s="12" t="s">
        <v>25</v>
      </c>
    </row>
    <row r="261" spans="1:20" hidden="1" x14ac:dyDescent="0.3">
      <c r="A261" s="13">
        <v>43897.75</v>
      </c>
      <c r="B261" s="12" t="s">
        <v>22</v>
      </c>
      <c r="C261" s="82">
        <v>12</v>
      </c>
      <c r="D261" s="12" t="s">
        <v>48</v>
      </c>
      <c r="E261" s="82">
        <v>4189277044</v>
      </c>
      <c r="F261" s="82">
        <v>1248366722</v>
      </c>
      <c r="G261" s="82">
        <v>43</v>
      </c>
      <c r="H261" s="82">
        <v>8</v>
      </c>
      <c r="I261" s="82">
        <v>51</v>
      </c>
      <c r="J261" s="82">
        <v>21</v>
      </c>
      <c r="K261" s="82">
        <v>72</v>
      </c>
      <c r="L261" s="82">
        <v>22</v>
      </c>
      <c r="M261" s="82">
        <v>22</v>
      </c>
      <c r="N261" s="82">
        <v>3</v>
      </c>
      <c r="O261" s="82">
        <v>1</v>
      </c>
      <c r="P261" s="82">
        <v>76</v>
      </c>
      <c r="Q261" s="82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82">
        <v>7</v>
      </c>
      <c r="D262" s="12" t="s">
        <v>49</v>
      </c>
      <c r="E262" s="82">
        <v>4441149315</v>
      </c>
      <c r="F262" s="82">
        <v>89326992</v>
      </c>
      <c r="G262" s="82">
        <v>26</v>
      </c>
      <c r="H262" s="82">
        <v>6</v>
      </c>
      <c r="I262" s="82">
        <v>32</v>
      </c>
      <c r="J262" s="82">
        <v>10</v>
      </c>
      <c r="K262" s="82">
        <v>42</v>
      </c>
      <c r="L262" s="82">
        <v>18</v>
      </c>
      <c r="M262" s="82">
        <v>19</v>
      </c>
      <c r="N262" s="82">
        <v>5</v>
      </c>
      <c r="O262" s="82">
        <v>4</v>
      </c>
      <c r="P262" s="82">
        <v>51</v>
      </c>
      <c r="Q262" s="82">
        <v>331</v>
      </c>
      <c r="R262" s="12" t="s">
        <v>25</v>
      </c>
      <c r="S262" s="12" t="s">
        <v>25</v>
      </c>
      <c r="T262" s="12" t="s">
        <v>25</v>
      </c>
    </row>
    <row r="263" spans="1:20" hidden="1" x14ac:dyDescent="0.3">
      <c r="A263" s="13">
        <v>43897.75</v>
      </c>
      <c r="B263" s="12" t="s">
        <v>22</v>
      </c>
      <c r="C263" s="82">
        <v>3</v>
      </c>
      <c r="D263" s="12" t="s">
        <v>50</v>
      </c>
      <c r="E263" s="82">
        <v>4546679409</v>
      </c>
      <c r="F263" s="82">
        <v>9190347404</v>
      </c>
      <c r="G263" s="82">
        <v>1661</v>
      </c>
      <c r="H263" s="82">
        <v>359</v>
      </c>
      <c r="I263" s="82">
        <v>2020</v>
      </c>
      <c r="J263" s="82">
        <v>722</v>
      </c>
      <c r="K263" s="82">
        <v>2742</v>
      </c>
      <c r="L263" s="82">
        <v>734</v>
      </c>
      <c r="M263" s="82">
        <v>808</v>
      </c>
      <c r="N263" s="82">
        <v>524</v>
      </c>
      <c r="O263" s="82">
        <v>154</v>
      </c>
      <c r="P263" s="82">
        <v>3420</v>
      </c>
      <c r="Q263" s="82">
        <v>15778</v>
      </c>
      <c r="R263" s="12" t="s">
        <v>25</v>
      </c>
      <c r="S263" s="12" t="s">
        <v>62</v>
      </c>
      <c r="T263" s="12" t="s">
        <v>63</v>
      </c>
    </row>
    <row r="264" spans="1:20" hidden="1" x14ac:dyDescent="0.3">
      <c r="A264" s="13">
        <v>43897.75</v>
      </c>
      <c r="B264" s="12" t="s">
        <v>22</v>
      </c>
      <c r="C264" s="82">
        <v>11</v>
      </c>
      <c r="D264" s="12" t="s">
        <v>51</v>
      </c>
      <c r="E264" s="82">
        <v>4361675973</v>
      </c>
      <c r="F264" s="82">
        <v>135188753</v>
      </c>
      <c r="G264" s="82">
        <v>94</v>
      </c>
      <c r="H264" s="82">
        <v>36</v>
      </c>
      <c r="I264" s="82">
        <v>130</v>
      </c>
      <c r="J264" s="82">
        <v>71</v>
      </c>
      <c r="K264" s="82">
        <v>201</v>
      </c>
      <c r="L264" s="82">
        <v>46</v>
      </c>
      <c r="M264" s="82">
        <v>48</v>
      </c>
      <c r="N264" s="82">
        <v>0</v>
      </c>
      <c r="O264" s="82">
        <v>6</v>
      </c>
      <c r="P264" s="82">
        <v>207</v>
      </c>
      <c r="Q264" s="82">
        <v>816</v>
      </c>
      <c r="R264" s="12" t="s">
        <v>25</v>
      </c>
      <c r="S264" s="12" t="s">
        <v>25</v>
      </c>
      <c r="T264" s="12" t="s">
        <v>25</v>
      </c>
    </row>
    <row r="265" spans="1:20" hidden="1" x14ac:dyDescent="0.3">
      <c r="A265" s="13">
        <v>43897.75</v>
      </c>
      <c r="B265" s="12" t="s">
        <v>22</v>
      </c>
      <c r="C265" s="82">
        <v>14</v>
      </c>
      <c r="D265" s="12" t="s">
        <v>52</v>
      </c>
      <c r="E265" s="82">
        <v>4155774754</v>
      </c>
      <c r="F265" s="82">
        <v>1465916051</v>
      </c>
      <c r="G265" s="82">
        <v>3</v>
      </c>
      <c r="H265" s="82">
        <v>2</v>
      </c>
      <c r="I265" s="82">
        <v>5</v>
      </c>
      <c r="J265" s="82">
        <v>9</v>
      </c>
      <c r="K265" s="82">
        <v>14</v>
      </c>
      <c r="L265" s="82">
        <v>2</v>
      </c>
      <c r="M265" s="82">
        <v>2</v>
      </c>
      <c r="N265" s="82">
        <v>0</v>
      </c>
      <c r="O265" s="82">
        <v>0</v>
      </c>
      <c r="P265" s="82">
        <v>14</v>
      </c>
      <c r="Q265" s="82">
        <v>112</v>
      </c>
      <c r="R265" s="12" t="s">
        <v>25</v>
      </c>
      <c r="S265" s="12" t="s">
        <v>25</v>
      </c>
      <c r="T265" s="12" t="s">
        <v>25</v>
      </c>
    </row>
    <row r="266" spans="1:20" hidden="1" x14ac:dyDescent="0.3">
      <c r="A266" s="13">
        <v>43897.75</v>
      </c>
      <c r="B266" s="12" t="s">
        <v>22</v>
      </c>
      <c r="C266" s="82">
        <v>1</v>
      </c>
      <c r="D266" s="12" t="s">
        <v>53</v>
      </c>
      <c r="E266" s="82">
        <v>450732745</v>
      </c>
      <c r="F266" s="82">
        <v>7680687483</v>
      </c>
      <c r="G266" s="82">
        <v>110</v>
      </c>
      <c r="H266" s="82">
        <v>38</v>
      </c>
      <c r="I266" s="82">
        <v>148</v>
      </c>
      <c r="J266" s="82">
        <v>54</v>
      </c>
      <c r="K266" s="82">
        <v>202</v>
      </c>
      <c r="L266" s="82">
        <v>63</v>
      </c>
      <c r="M266" s="82">
        <v>64</v>
      </c>
      <c r="N266" s="82">
        <v>0</v>
      </c>
      <c r="O266" s="82">
        <v>5</v>
      </c>
      <c r="P266" s="82">
        <v>207</v>
      </c>
      <c r="Q266" s="82">
        <v>1046</v>
      </c>
      <c r="R266" s="12" t="s">
        <v>25</v>
      </c>
      <c r="S266" s="12" t="s">
        <v>25</v>
      </c>
      <c r="T266" s="12" t="s">
        <v>25</v>
      </c>
    </row>
    <row r="267" spans="1:20" hidden="1" x14ac:dyDescent="0.3">
      <c r="A267" s="13">
        <v>43897.75</v>
      </c>
      <c r="B267" s="12" t="s">
        <v>22</v>
      </c>
      <c r="C267" s="82">
        <v>16</v>
      </c>
      <c r="D267" s="12" t="s">
        <v>54</v>
      </c>
      <c r="E267" s="82">
        <v>4112559576</v>
      </c>
      <c r="F267" s="82">
        <v>1686736689</v>
      </c>
      <c r="G267" s="82">
        <v>9</v>
      </c>
      <c r="H267" s="82">
        <v>2</v>
      </c>
      <c r="I267" s="82">
        <v>11</v>
      </c>
      <c r="J267" s="82">
        <v>12</v>
      </c>
      <c r="K267" s="82">
        <v>23</v>
      </c>
      <c r="L267" s="82">
        <v>8</v>
      </c>
      <c r="M267" s="82">
        <v>9</v>
      </c>
      <c r="N267" s="82">
        <v>1</v>
      </c>
      <c r="O267" s="82">
        <v>2</v>
      </c>
      <c r="P267" s="82">
        <v>26</v>
      </c>
      <c r="Q267" s="82">
        <v>395</v>
      </c>
      <c r="R267" s="12" t="s">
        <v>25</v>
      </c>
      <c r="S267" s="12" t="s">
        <v>25</v>
      </c>
      <c r="T267" s="12" t="s">
        <v>25</v>
      </c>
    </row>
    <row r="268" spans="1:20" hidden="1" x14ac:dyDescent="0.3">
      <c r="A268" s="13">
        <v>43897.75</v>
      </c>
      <c r="B268" s="12" t="s">
        <v>22</v>
      </c>
      <c r="C268" s="82">
        <v>20</v>
      </c>
      <c r="D268" s="12" t="s">
        <v>55</v>
      </c>
      <c r="E268" s="82">
        <v>3921531192</v>
      </c>
      <c r="F268" s="82">
        <v>9110616306</v>
      </c>
      <c r="G268" s="82">
        <v>2</v>
      </c>
      <c r="H268" s="82">
        <v>0</v>
      </c>
      <c r="I268" s="82">
        <v>2</v>
      </c>
      <c r="J268" s="82">
        <v>3</v>
      </c>
      <c r="K268" s="82">
        <v>5</v>
      </c>
      <c r="L268" s="82">
        <v>0</v>
      </c>
      <c r="M268" s="82">
        <v>0</v>
      </c>
      <c r="N268" s="82">
        <v>0</v>
      </c>
      <c r="O268" s="82">
        <v>0</v>
      </c>
      <c r="P268" s="82">
        <v>5</v>
      </c>
      <c r="Q268" s="82">
        <v>99</v>
      </c>
      <c r="R268" s="12" t="s">
        <v>25</v>
      </c>
      <c r="S268" s="12" t="s">
        <v>25</v>
      </c>
      <c r="T268" s="12" t="s">
        <v>25</v>
      </c>
    </row>
    <row r="269" spans="1:20" hidden="1" x14ac:dyDescent="0.3">
      <c r="A269" s="13">
        <v>43897.75</v>
      </c>
      <c r="B269" s="12" t="s">
        <v>22</v>
      </c>
      <c r="C269" s="82">
        <v>19</v>
      </c>
      <c r="D269" s="12" t="s">
        <v>56</v>
      </c>
      <c r="E269" s="82">
        <v>3811569725</v>
      </c>
      <c r="F269" s="82">
        <v>133623567</v>
      </c>
      <c r="G269" s="82">
        <v>8</v>
      </c>
      <c r="H269" s="82">
        <v>0</v>
      </c>
      <c r="I269" s="82">
        <v>8</v>
      </c>
      <c r="J269" s="82">
        <v>25</v>
      </c>
      <c r="K269" s="82">
        <v>33</v>
      </c>
      <c r="L269" s="82">
        <v>11</v>
      </c>
      <c r="M269" s="82">
        <v>11</v>
      </c>
      <c r="N269" s="82">
        <v>2</v>
      </c>
      <c r="O269" s="82">
        <v>0</v>
      </c>
      <c r="P269" s="82">
        <v>35</v>
      </c>
      <c r="Q269" s="82">
        <v>643</v>
      </c>
      <c r="R269" s="12" t="s">
        <v>25</v>
      </c>
      <c r="S269" s="12" t="s">
        <v>25</v>
      </c>
      <c r="T269" s="12" t="s">
        <v>25</v>
      </c>
    </row>
    <row r="270" spans="1:20" hidden="1" x14ac:dyDescent="0.3">
      <c r="A270" s="13">
        <v>43897.75</v>
      </c>
      <c r="B270" s="12" t="s">
        <v>22</v>
      </c>
      <c r="C270" s="82">
        <v>9</v>
      </c>
      <c r="D270" s="12" t="s">
        <v>57</v>
      </c>
      <c r="E270" s="82">
        <v>4376923077</v>
      </c>
      <c r="F270" s="82">
        <v>1125588885</v>
      </c>
      <c r="G270" s="82">
        <v>54</v>
      </c>
      <c r="H270" s="82">
        <v>7</v>
      </c>
      <c r="I270" s="82">
        <v>61</v>
      </c>
      <c r="J270" s="82">
        <v>51</v>
      </c>
      <c r="K270" s="82">
        <v>112</v>
      </c>
      <c r="L270" s="82">
        <v>34</v>
      </c>
      <c r="M270" s="82">
        <v>34</v>
      </c>
      <c r="N270" s="82">
        <v>1</v>
      </c>
      <c r="O270" s="82">
        <v>0</v>
      </c>
      <c r="P270" s="82">
        <v>113</v>
      </c>
      <c r="Q270" s="82">
        <v>1331</v>
      </c>
      <c r="R270" s="12" t="s">
        <v>25</v>
      </c>
      <c r="S270" s="12" t="s">
        <v>25</v>
      </c>
      <c r="T270" s="12" t="s">
        <v>25</v>
      </c>
    </row>
    <row r="271" spans="1:20" hidden="1" x14ac:dyDescent="0.3">
      <c r="A271" s="13">
        <v>43897.75</v>
      </c>
      <c r="B271" s="12" t="s">
        <v>22</v>
      </c>
      <c r="C271" s="82">
        <v>22</v>
      </c>
      <c r="D271" s="12" t="s">
        <v>58</v>
      </c>
      <c r="E271" s="82">
        <v>4606893511</v>
      </c>
      <c r="F271" s="82">
        <v>1112123097</v>
      </c>
      <c r="G271" s="82">
        <v>6</v>
      </c>
      <c r="H271" s="82">
        <v>1</v>
      </c>
      <c r="I271" s="82">
        <v>7</v>
      </c>
      <c r="J271" s="82">
        <v>7</v>
      </c>
      <c r="K271" s="82">
        <v>14</v>
      </c>
      <c r="L271" s="82">
        <v>4</v>
      </c>
      <c r="M271" s="82">
        <v>4</v>
      </c>
      <c r="N271" s="82">
        <v>0</v>
      </c>
      <c r="O271" s="82">
        <v>0</v>
      </c>
      <c r="P271" s="82">
        <v>14</v>
      </c>
      <c r="Q271" s="82">
        <v>194</v>
      </c>
      <c r="R271" s="12" t="s">
        <v>25</v>
      </c>
      <c r="S271" s="12" t="s">
        <v>25</v>
      </c>
      <c r="T271" s="12" t="s">
        <v>25</v>
      </c>
    </row>
    <row r="272" spans="1:20" hidden="1" x14ac:dyDescent="0.3">
      <c r="A272" s="13">
        <v>43897.75</v>
      </c>
      <c r="B272" s="12" t="s">
        <v>22</v>
      </c>
      <c r="C272" s="82">
        <v>10</v>
      </c>
      <c r="D272" s="12" t="s">
        <v>59</v>
      </c>
      <c r="E272" s="82">
        <v>4310675841</v>
      </c>
      <c r="F272" s="82">
        <v>1238824698</v>
      </c>
      <c r="G272" s="82">
        <v>2</v>
      </c>
      <c r="H272" s="82">
        <v>2</v>
      </c>
      <c r="I272" s="82">
        <v>4</v>
      </c>
      <c r="J272" s="82">
        <v>20</v>
      </c>
      <c r="K272" s="82">
        <v>24</v>
      </c>
      <c r="L272" s="82">
        <v>8</v>
      </c>
      <c r="M272" s="82">
        <v>8</v>
      </c>
      <c r="N272" s="82">
        <v>0</v>
      </c>
      <c r="O272" s="82">
        <v>0</v>
      </c>
      <c r="P272" s="82">
        <v>24</v>
      </c>
      <c r="Q272" s="82">
        <v>134</v>
      </c>
      <c r="R272" s="12" t="s">
        <v>25</v>
      </c>
      <c r="S272" s="12" t="s">
        <v>25</v>
      </c>
      <c r="T272" s="12" t="s">
        <v>25</v>
      </c>
    </row>
    <row r="273" spans="1:20" hidden="1" x14ac:dyDescent="0.3">
      <c r="A273" s="13">
        <v>43897.75</v>
      </c>
      <c r="B273" s="12" t="s">
        <v>22</v>
      </c>
      <c r="C273" s="82">
        <v>2</v>
      </c>
      <c r="D273" s="12" t="s">
        <v>60</v>
      </c>
      <c r="E273" s="82">
        <v>4573750286</v>
      </c>
      <c r="F273" s="82">
        <v>7320149366</v>
      </c>
      <c r="G273" s="82">
        <v>1</v>
      </c>
      <c r="H273" s="82">
        <v>0</v>
      </c>
      <c r="I273" s="82">
        <v>1</v>
      </c>
      <c r="J273" s="82">
        <v>7</v>
      </c>
      <c r="K273" s="82">
        <v>8</v>
      </c>
      <c r="L273" s="82">
        <v>1</v>
      </c>
      <c r="M273" s="82">
        <v>1</v>
      </c>
      <c r="N273" s="82">
        <v>0</v>
      </c>
      <c r="O273" s="82">
        <v>0</v>
      </c>
      <c r="P273" s="82">
        <v>8</v>
      </c>
      <c r="Q273" s="82">
        <v>32</v>
      </c>
      <c r="R273" s="12" t="s">
        <v>25</v>
      </c>
      <c r="S273" s="12" t="s">
        <v>25</v>
      </c>
      <c r="T273" s="12" t="s">
        <v>25</v>
      </c>
    </row>
    <row r="274" spans="1:20" hidden="1" x14ac:dyDescent="0.3">
      <c r="A274" s="13">
        <v>43897.75</v>
      </c>
      <c r="B274" s="12" t="s">
        <v>22</v>
      </c>
      <c r="C274" s="82">
        <v>5</v>
      </c>
      <c r="D274" s="12" t="s">
        <v>61</v>
      </c>
      <c r="E274" s="82">
        <v>4543490485</v>
      </c>
      <c r="F274" s="82">
        <v>1233845213</v>
      </c>
      <c r="G274" s="82">
        <v>123</v>
      </c>
      <c r="H274" s="82">
        <v>41</v>
      </c>
      <c r="I274" s="82">
        <v>164</v>
      </c>
      <c r="J274" s="82">
        <v>341</v>
      </c>
      <c r="K274" s="82">
        <v>505</v>
      </c>
      <c r="L274" s="82">
        <v>51</v>
      </c>
      <c r="M274" s="82">
        <v>55</v>
      </c>
      <c r="N274" s="82">
        <v>25</v>
      </c>
      <c r="O274" s="82">
        <v>13</v>
      </c>
      <c r="P274" s="82">
        <v>543</v>
      </c>
      <c r="Q274" s="82">
        <v>14429</v>
      </c>
      <c r="R274" s="12" t="s">
        <v>25</v>
      </c>
      <c r="S274" s="12" t="s">
        <v>25</v>
      </c>
      <c r="T274" s="12" t="s">
        <v>25</v>
      </c>
    </row>
    <row r="275" spans="1:20" hidden="1" x14ac:dyDescent="0.3">
      <c r="A275" s="13">
        <v>43898.75</v>
      </c>
      <c r="B275" s="12" t="s">
        <v>22</v>
      </c>
      <c r="C275" s="82">
        <v>13</v>
      </c>
      <c r="D275" s="12" t="s">
        <v>42</v>
      </c>
      <c r="E275" s="82">
        <v>4235122196</v>
      </c>
      <c r="F275" s="82">
        <v>1339843823</v>
      </c>
      <c r="G275" s="82">
        <v>14</v>
      </c>
      <c r="H275" s="82">
        <v>0</v>
      </c>
      <c r="I275" s="82">
        <v>14</v>
      </c>
      <c r="J275" s="82">
        <v>3</v>
      </c>
      <c r="K275" s="82">
        <v>17</v>
      </c>
      <c r="L275" s="82">
        <v>6</v>
      </c>
      <c r="M275" s="82">
        <v>6</v>
      </c>
      <c r="N275" s="82">
        <v>0</v>
      </c>
      <c r="O275" s="82">
        <v>0</v>
      </c>
      <c r="P275" s="82">
        <v>17</v>
      </c>
      <c r="Q275" s="82">
        <v>163</v>
      </c>
      <c r="R275" s="12" t="s">
        <v>25</v>
      </c>
      <c r="S275" s="12" t="s">
        <v>25</v>
      </c>
      <c r="T275" s="12" t="s">
        <v>25</v>
      </c>
    </row>
    <row r="276" spans="1:20" hidden="1" x14ac:dyDescent="0.3">
      <c r="A276" s="13">
        <v>43898.75</v>
      </c>
      <c r="B276" s="12" t="s">
        <v>22</v>
      </c>
      <c r="C276" s="82">
        <v>17</v>
      </c>
      <c r="D276" s="12" t="s">
        <v>43</v>
      </c>
      <c r="E276" s="82">
        <v>4063947052</v>
      </c>
      <c r="F276" s="82">
        <v>1580514834</v>
      </c>
      <c r="G276" s="82">
        <v>2</v>
      </c>
      <c r="H276" s="82">
        <v>0</v>
      </c>
      <c r="I276" s="82">
        <v>2</v>
      </c>
      <c r="J276" s="82">
        <v>2</v>
      </c>
      <c r="K276" s="82">
        <v>4</v>
      </c>
      <c r="L276" s="82">
        <v>1</v>
      </c>
      <c r="M276" s="82">
        <v>1</v>
      </c>
      <c r="N276" s="82">
        <v>0</v>
      </c>
      <c r="O276" s="82">
        <v>0</v>
      </c>
      <c r="P276" s="82">
        <v>4</v>
      </c>
      <c r="Q276" s="82">
        <v>123</v>
      </c>
      <c r="R276" s="12" t="s">
        <v>25</v>
      </c>
      <c r="S276" s="12" t="s">
        <v>25</v>
      </c>
      <c r="T276" s="12" t="s">
        <v>25</v>
      </c>
    </row>
    <row r="277" spans="1:20" hidden="1" x14ac:dyDescent="0.3">
      <c r="A277" s="13">
        <v>43898.75</v>
      </c>
      <c r="B277" s="12" t="s">
        <v>22</v>
      </c>
      <c r="C277" s="82">
        <v>21</v>
      </c>
      <c r="D277" s="12" t="s">
        <v>44</v>
      </c>
      <c r="E277" s="82">
        <v>4649933453</v>
      </c>
      <c r="F277" s="82">
        <v>1135662422</v>
      </c>
      <c r="G277" s="82">
        <v>8</v>
      </c>
      <c r="H277" s="82">
        <v>0</v>
      </c>
      <c r="I277" s="82">
        <v>8</v>
      </c>
      <c r="J277" s="82">
        <v>1</v>
      </c>
      <c r="K277" s="82">
        <v>9</v>
      </c>
      <c r="L277" s="82">
        <v>0</v>
      </c>
      <c r="M277" s="82">
        <v>0</v>
      </c>
      <c r="N277" s="82">
        <v>0</v>
      </c>
      <c r="O277" s="82">
        <v>0</v>
      </c>
      <c r="P277" s="82">
        <v>9</v>
      </c>
      <c r="Q277" s="82">
        <v>36</v>
      </c>
      <c r="R277" s="12" t="s">
        <v>25</v>
      </c>
      <c r="S277" s="12" t="s">
        <v>25</v>
      </c>
      <c r="T277" s="12" t="s">
        <v>25</v>
      </c>
    </row>
    <row r="278" spans="1:20" hidden="1" x14ac:dyDescent="0.3">
      <c r="A278" s="13">
        <v>43898.75</v>
      </c>
      <c r="B278" s="12" t="s">
        <v>22</v>
      </c>
      <c r="C278" s="82">
        <v>18</v>
      </c>
      <c r="D278" s="12" t="s">
        <v>45</v>
      </c>
      <c r="E278" s="82">
        <v>3890597598</v>
      </c>
      <c r="F278" s="82">
        <v>1659440194</v>
      </c>
      <c r="G278" s="82">
        <v>5</v>
      </c>
      <c r="H278" s="82">
        <v>0</v>
      </c>
      <c r="I278" s="82">
        <v>5</v>
      </c>
      <c r="J278" s="82">
        <v>4</v>
      </c>
      <c r="K278" s="82">
        <v>9</v>
      </c>
      <c r="L278" s="82">
        <v>5</v>
      </c>
      <c r="M278" s="82">
        <v>5</v>
      </c>
      <c r="N278" s="82">
        <v>0</v>
      </c>
      <c r="O278" s="82">
        <v>0</v>
      </c>
      <c r="P278" s="82">
        <v>9</v>
      </c>
      <c r="Q278" s="82">
        <v>113</v>
      </c>
      <c r="R278" s="12" t="s">
        <v>25</v>
      </c>
      <c r="S278" s="12" t="s">
        <v>25</v>
      </c>
      <c r="T278" s="12" t="s">
        <v>25</v>
      </c>
    </row>
    <row r="279" spans="1:20" hidden="1" x14ac:dyDescent="0.3">
      <c r="A279" s="13">
        <v>43898.75</v>
      </c>
      <c r="B279" s="12" t="s">
        <v>22</v>
      </c>
      <c r="C279" s="82">
        <v>15</v>
      </c>
      <c r="D279" s="12" t="s">
        <v>46</v>
      </c>
      <c r="E279" s="82">
        <v>4083956555</v>
      </c>
      <c r="F279" s="82">
        <v>1425084984</v>
      </c>
      <c r="G279" s="82">
        <v>30</v>
      </c>
      <c r="H279" s="82">
        <v>7</v>
      </c>
      <c r="I279" s="82">
        <v>37</v>
      </c>
      <c r="J279" s="82">
        <v>63</v>
      </c>
      <c r="K279" s="82">
        <v>100</v>
      </c>
      <c r="L279" s="82">
        <v>39</v>
      </c>
      <c r="M279" s="82">
        <v>40</v>
      </c>
      <c r="N279" s="82">
        <v>1</v>
      </c>
      <c r="O279" s="82">
        <v>0</v>
      </c>
      <c r="P279" s="82">
        <v>101</v>
      </c>
      <c r="Q279" s="82">
        <v>980</v>
      </c>
      <c r="R279" s="12" t="s">
        <v>25</v>
      </c>
      <c r="S279" s="12" t="s">
        <v>25</v>
      </c>
      <c r="T279" s="12" t="s">
        <v>25</v>
      </c>
    </row>
    <row r="280" spans="1:20" hidden="1" x14ac:dyDescent="0.3">
      <c r="A280" s="13">
        <v>43898.75</v>
      </c>
      <c r="B280" s="12" t="s">
        <v>22</v>
      </c>
      <c r="C280" s="82">
        <v>8</v>
      </c>
      <c r="D280" s="12" t="s">
        <v>95</v>
      </c>
      <c r="E280" s="82">
        <v>4449436681</v>
      </c>
      <c r="F280" s="82">
        <v>113417208</v>
      </c>
      <c r="G280" s="82">
        <v>542</v>
      </c>
      <c r="H280" s="82">
        <v>75</v>
      </c>
      <c r="I280" s="82">
        <v>617</v>
      </c>
      <c r="J280" s="82">
        <v>480</v>
      </c>
      <c r="K280" s="82">
        <v>1097</v>
      </c>
      <c r="L280" s="82">
        <v>160</v>
      </c>
      <c r="M280" s="82">
        <v>170</v>
      </c>
      <c r="N280" s="82">
        <v>27</v>
      </c>
      <c r="O280" s="82">
        <v>56</v>
      </c>
      <c r="P280" s="82">
        <v>1180</v>
      </c>
      <c r="Q280" s="82">
        <v>4344</v>
      </c>
      <c r="R280" s="12" t="s">
        <v>25</v>
      </c>
      <c r="S280" s="12" t="s">
        <v>25</v>
      </c>
      <c r="T280" s="12" t="s">
        <v>25</v>
      </c>
    </row>
    <row r="281" spans="1:20" hidden="1" x14ac:dyDescent="0.3">
      <c r="A281" s="13">
        <v>43898.75</v>
      </c>
      <c r="B281" s="12" t="s">
        <v>22</v>
      </c>
      <c r="C281" s="82">
        <v>6</v>
      </c>
      <c r="D281" s="12" t="s">
        <v>47</v>
      </c>
      <c r="E281" s="82">
        <v>456494354</v>
      </c>
      <c r="F281" s="82">
        <v>1376813649</v>
      </c>
      <c r="G281" s="82">
        <v>7</v>
      </c>
      <c r="H281" s="82">
        <v>1</v>
      </c>
      <c r="I281" s="82">
        <v>8</v>
      </c>
      <c r="J281" s="82">
        <v>45</v>
      </c>
      <c r="K281" s="82">
        <v>53</v>
      </c>
      <c r="L281" s="82">
        <v>14</v>
      </c>
      <c r="M281" s="82">
        <v>15</v>
      </c>
      <c r="N281" s="82">
        <v>3</v>
      </c>
      <c r="O281" s="82">
        <v>1</v>
      </c>
      <c r="P281" s="82">
        <v>57</v>
      </c>
      <c r="Q281" s="82">
        <v>997</v>
      </c>
      <c r="R281" s="12" t="s">
        <v>25</v>
      </c>
      <c r="S281" s="12" t="s">
        <v>25</v>
      </c>
      <c r="T281" s="12" t="s">
        <v>25</v>
      </c>
    </row>
    <row r="282" spans="1:20" hidden="1" x14ac:dyDescent="0.3">
      <c r="A282" s="13">
        <v>43898.75</v>
      </c>
      <c r="B282" s="12" t="s">
        <v>22</v>
      </c>
      <c r="C282" s="82">
        <v>12</v>
      </c>
      <c r="D282" s="12" t="s">
        <v>48</v>
      </c>
      <c r="E282" s="82">
        <v>4189277044</v>
      </c>
      <c r="F282" s="82">
        <v>1248366722</v>
      </c>
      <c r="G282" s="82">
        <v>47</v>
      </c>
      <c r="H282" s="82">
        <v>8</v>
      </c>
      <c r="I282" s="82">
        <v>55</v>
      </c>
      <c r="J282" s="82">
        <v>26</v>
      </c>
      <c r="K282" s="82">
        <v>81</v>
      </c>
      <c r="L282" s="82">
        <v>9</v>
      </c>
      <c r="M282" s="82">
        <v>11</v>
      </c>
      <c r="N282" s="82">
        <v>3</v>
      </c>
      <c r="O282" s="82">
        <v>3</v>
      </c>
      <c r="P282" s="82">
        <v>87</v>
      </c>
      <c r="Q282" s="82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82">
        <v>7</v>
      </c>
      <c r="D283" s="12" t="s">
        <v>49</v>
      </c>
      <c r="E283" s="82">
        <v>4441149315</v>
      </c>
      <c r="F283" s="82">
        <v>89326992</v>
      </c>
      <c r="G283" s="82">
        <v>39</v>
      </c>
      <c r="H283" s="82">
        <v>11</v>
      </c>
      <c r="I283" s="82">
        <v>50</v>
      </c>
      <c r="J283" s="82">
        <v>17</v>
      </c>
      <c r="K283" s="82">
        <v>67</v>
      </c>
      <c r="L283" s="82">
        <v>25</v>
      </c>
      <c r="M283" s="82">
        <v>27</v>
      </c>
      <c r="N283" s="82">
        <v>5</v>
      </c>
      <c r="O283" s="82">
        <v>6</v>
      </c>
      <c r="P283" s="82">
        <v>78</v>
      </c>
      <c r="Q283" s="82">
        <v>401</v>
      </c>
      <c r="R283" s="12" t="s">
        <v>25</v>
      </c>
      <c r="S283" s="12" t="s">
        <v>25</v>
      </c>
      <c r="T283" s="12" t="s">
        <v>25</v>
      </c>
    </row>
    <row r="284" spans="1:20" hidden="1" x14ac:dyDescent="0.3">
      <c r="A284" s="13">
        <v>43898.75</v>
      </c>
      <c r="B284" s="12" t="s">
        <v>22</v>
      </c>
      <c r="C284" s="82">
        <v>3</v>
      </c>
      <c r="D284" s="12" t="s">
        <v>50</v>
      </c>
      <c r="E284" s="82">
        <v>4546679409</v>
      </c>
      <c r="F284" s="82">
        <v>9190347404</v>
      </c>
      <c r="G284" s="82">
        <v>2217</v>
      </c>
      <c r="H284" s="82">
        <v>399</v>
      </c>
      <c r="I284" s="82">
        <v>2616</v>
      </c>
      <c r="J284" s="82">
        <v>756</v>
      </c>
      <c r="K284" s="82">
        <v>3372</v>
      </c>
      <c r="L284" s="82">
        <v>630</v>
      </c>
      <c r="M284" s="82">
        <v>769</v>
      </c>
      <c r="N284" s="82">
        <v>550</v>
      </c>
      <c r="O284" s="82">
        <v>267</v>
      </c>
      <c r="P284" s="82">
        <v>4189</v>
      </c>
      <c r="Q284" s="82">
        <v>18534</v>
      </c>
      <c r="R284" s="12" t="s">
        <v>25</v>
      </c>
      <c r="S284" s="12" t="s">
        <v>25</v>
      </c>
      <c r="T284" s="12" t="s">
        <v>25</v>
      </c>
    </row>
    <row r="285" spans="1:20" hidden="1" x14ac:dyDescent="0.3">
      <c r="A285" s="13">
        <v>43898.75</v>
      </c>
      <c r="B285" s="12" t="s">
        <v>22</v>
      </c>
      <c r="C285" s="82">
        <v>11</v>
      </c>
      <c r="D285" s="12" t="s">
        <v>51</v>
      </c>
      <c r="E285" s="82">
        <v>4361675973</v>
      </c>
      <c r="F285" s="82">
        <v>135188753</v>
      </c>
      <c r="G285" s="82">
        <v>110</v>
      </c>
      <c r="H285" s="82">
        <v>41</v>
      </c>
      <c r="I285" s="82">
        <v>151</v>
      </c>
      <c r="J285" s="82">
        <v>114</v>
      </c>
      <c r="K285" s="82">
        <v>265</v>
      </c>
      <c r="L285" s="82">
        <v>64</v>
      </c>
      <c r="M285" s="82">
        <v>65</v>
      </c>
      <c r="N285" s="82">
        <v>0</v>
      </c>
      <c r="O285" s="82">
        <v>7</v>
      </c>
      <c r="P285" s="82">
        <v>272</v>
      </c>
      <c r="Q285" s="82">
        <v>1025</v>
      </c>
      <c r="R285" s="12" t="s">
        <v>25</v>
      </c>
      <c r="S285" s="12" t="s">
        <v>25</v>
      </c>
      <c r="T285" s="12" t="s">
        <v>25</v>
      </c>
    </row>
    <row r="286" spans="1:20" hidden="1" x14ac:dyDescent="0.3">
      <c r="A286" s="13">
        <v>43898.75</v>
      </c>
      <c r="B286" s="12" t="s">
        <v>22</v>
      </c>
      <c r="C286" s="82">
        <v>14</v>
      </c>
      <c r="D286" s="12" t="s">
        <v>52</v>
      </c>
      <c r="E286" s="82">
        <v>4155774754</v>
      </c>
      <c r="F286" s="82">
        <v>1465916051</v>
      </c>
      <c r="G286" s="82">
        <v>4</v>
      </c>
      <c r="H286" s="82">
        <v>2</v>
      </c>
      <c r="I286" s="82">
        <v>6</v>
      </c>
      <c r="J286" s="82">
        <v>8</v>
      </c>
      <c r="K286" s="82">
        <v>14</v>
      </c>
      <c r="L286" s="82">
        <v>0</v>
      </c>
      <c r="M286" s="82">
        <v>0</v>
      </c>
      <c r="N286" s="82">
        <v>0</v>
      </c>
      <c r="O286" s="82">
        <v>0</v>
      </c>
      <c r="P286" s="82">
        <v>14</v>
      </c>
      <c r="Q286" s="82">
        <v>116</v>
      </c>
      <c r="R286" s="12" t="s">
        <v>25</v>
      </c>
      <c r="S286" s="12" t="s">
        <v>25</v>
      </c>
      <c r="T286" s="12" t="s">
        <v>25</v>
      </c>
    </row>
    <row r="287" spans="1:20" hidden="1" x14ac:dyDescent="0.3">
      <c r="A287" s="13">
        <v>43898.75</v>
      </c>
      <c r="B287" s="12" t="s">
        <v>22</v>
      </c>
      <c r="C287" s="82">
        <v>1</v>
      </c>
      <c r="D287" s="12" t="s">
        <v>53</v>
      </c>
      <c r="E287" s="82">
        <v>450732745</v>
      </c>
      <c r="F287" s="82">
        <v>7680687483</v>
      </c>
      <c r="G287" s="82">
        <v>245</v>
      </c>
      <c r="H287" s="82">
        <v>45</v>
      </c>
      <c r="I287" s="82">
        <v>290</v>
      </c>
      <c r="J287" s="82">
        <v>65</v>
      </c>
      <c r="K287" s="82">
        <v>355</v>
      </c>
      <c r="L287" s="82">
        <v>153</v>
      </c>
      <c r="M287" s="82">
        <v>153</v>
      </c>
      <c r="N287" s="82">
        <v>0</v>
      </c>
      <c r="O287" s="82">
        <v>5</v>
      </c>
      <c r="P287" s="82">
        <v>360</v>
      </c>
      <c r="Q287" s="82">
        <v>1636</v>
      </c>
      <c r="R287" s="12" t="s">
        <v>25</v>
      </c>
      <c r="S287" s="12" t="s">
        <v>25</v>
      </c>
      <c r="T287" s="12" t="s">
        <v>25</v>
      </c>
    </row>
    <row r="288" spans="1:20" hidden="1" x14ac:dyDescent="0.3">
      <c r="A288" s="13">
        <v>43898.75</v>
      </c>
      <c r="B288" s="12" t="s">
        <v>22</v>
      </c>
      <c r="C288" s="82">
        <v>16</v>
      </c>
      <c r="D288" s="12" t="s">
        <v>54</v>
      </c>
      <c r="E288" s="82">
        <v>4112559576</v>
      </c>
      <c r="F288" s="82">
        <v>1686736689</v>
      </c>
      <c r="G288" s="82">
        <v>17</v>
      </c>
      <c r="H288" s="82">
        <v>3</v>
      </c>
      <c r="I288" s="82">
        <v>20</v>
      </c>
      <c r="J288" s="82">
        <v>16</v>
      </c>
      <c r="K288" s="82">
        <v>36</v>
      </c>
      <c r="L288" s="82">
        <v>13</v>
      </c>
      <c r="M288" s="82">
        <v>14</v>
      </c>
      <c r="N288" s="82">
        <v>1</v>
      </c>
      <c r="O288" s="82">
        <v>3</v>
      </c>
      <c r="P288" s="82">
        <v>40</v>
      </c>
      <c r="Q288" s="82">
        <v>627</v>
      </c>
      <c r="R288" s="12" t="s">
        <v>25</v>
      </c>
      <c r="S288" s="12" t="s">
        <v>25</v>
      </c>
      <c r="T288" s="12" t="s">
        <v>25</v>
      </c>
    </row>
    <row r="289" spans="1:20" hidden="1" x14ac:dyDescent="0.3">
      <c r="A289" s="13">
        <v>43898.75</v>
      </c>
      <c r="B289" s="12" t="s">
        <v>22</v>
      </c>
      <c r="C289" s="82">
        <v>20</v>
      </c>
      <c r="D289" s="12" t="s">
        <v>55</v>
      </c>
      <c r="E289" s="82">
        <v>3921531192</v>
      </c>
      <c r="F289" s="82">
        <v>9110616306</v>
      </c>
      <c r="G289" s="82">
        <v>5</v>
      </c>
      <c r="H289" s="82">
        <v>0</v>
      </c>
      <c r="I289" s="82">
        <v>5</v>
      </c>
      <c r="J289" s="82">
        <v>6</v>
      </c>
      <c r="K289" s="82">
        <v>11</v>
      </c>
      <c r="L289" s="82">
        <v>6</v>
      </c>
      <c r="M289" s="82">
        <v>6</v>
      </c>
      <c r="N289" s="82">
        <v>0</v>
      </c>
      <c r="O289" s="82">
        <v>0</v>
      </c>
      <c r="P289" s="82">
        <v>11</v>
      </c>
      <c r="Q289" s="82">
        <v>149</v>
      </c>
      <c r="R289" s="12" t="s">
        <v>25</v>
      </c>
      <c r="S289" s="12" t="s">
        <v>25</v>
      </c>
      <c r="T289" s="12" t="s">
        <v>25</v>
      </c>
    </row>
    <row r="290" spans="1:20" hidden="1" x14ac:dyDescent="0.3">
      <c r="A290" s="13">
        <v>43898.75</v>
      </c>
      <c r="B290" s="12" t="s">
        <v>22</v>
      </c>
      <c r="C290" s="82">
        <v>19</v>
      </c>
      <c r="D290" s="12" t="s">
        <v>56</v>
      </c>
      <c r="E290" s="82">
        <v>3811569725</v>
      </c>
      <c r="F290" s="82">
        <v>133623567</v>
      </c>
      <c r="G290" s="82">
        <v>18</v>
      </c>
      <c r="H290" s="82">
        <v>0</v>
      </c>
      <c r="I290" s="82">
        <v>18</v>
      </c>
      <c r="J290" s="82">
        <v>33</v>
      </c>
      <c r="K290" s="82">
        <v>51</v>
      </c>
      <c r="L290" s="82">
        <v>18</v>
      </c>
      <c r="M290" s="82">
        <v>18</v>
      </c>
      <c r="N290" s="82">
        <v>2</v>
      </c>
      <c r="O290" s="82">
        <v>0</v>
      </c>
      <c r="P290" s="82">
        <v>53</v>
      </c>
      <c r="Q290" s="82">
        <v>791</v>
      </c>
      <c r="R290" s="12" t="s">
        <v>25</v>
      </c>
      <c r="S290" s="12" t="s">
        <v>25</v>
      </c>
      <c r="T290" s="12" t="s">
        <v>25</v>
      </c>
    </row>
    <row r="291" spans="1:20" hidden="1" x14ac:dyDescent="0.3">
      <c r="A291" s="13">
        <v>43898.75</v>
      </c>
      <c r="B291" s="12" t="s">
        <v>22</v>
      </c>
      <c r="C291" s="82">
        <v>9</v>
      </c>
      <c r="D291" s="12" t="s">
        <v>57</v>
      </c>
      <c r="E291" s="82">
        <v>4376923077</v>
      </c>
      <c r="F291" s="82">
        <v>1125588885</v>
      </c>
      <c r="G291" s="82">
        <v>91</v>
      </c>
      <c r="H291" s="82">
        <v>7</v>
      </c>
      <c r="I291" s="82">
        <v>98</v>
      </c>
      <c r="J291" s="82">
        <v>67</v>
      </c>
      <c r="K291" s="82">
        <v>165</v>
      </c>
      <c r="L291" s="82">
        <v>53</v>
      </c>
      <c r="M291" s="82">
        <v>53</v>
      </c>
      <c r="N291" s="82">
        <v>1</v>
      </c>
      <c r="O291" s="82">
        <v>0</v>
      </c>
      <c r="P291" s="82">
        <v>166</v>
      </c>
      <c r="Q291" s="82">
        <v>1618</v>
      </c>
      <c r="R291" s="12" t="s">
        <v>25</v>
      </c>
      <c r="S291" s="12" t="s">
        <v>25</v>
      </c>
      <c r="T291" s="12" t="s">
        <v>25</v>
      </c>
    </row>
    <row r="292" spans="1:20" hidden="1" x14ac:dyDescent="0.3">
      <c r="A292" s="13">
        <v>43898.75</v>
      </c>
      <c r="B292" s="12" t="s">
        <v>22</v>
      </c>
      <c r="C292" s="82">
        <v>22</v>
      </c>
      <c r="D292" s="12" t="s">
        <v>58</v>
      </c>
      <c r="E292" s="82">
        <v>4606893511</v>
      </c>
      <c r="F292" s="82">
        <v>1112123097</v>
      </c>
      <c r="G292" s="82">
        <v>7</v>
      </c>
      <c r="H292" s="82">
        <v>2</v>
      </c>
      <c r="I292" s="82">
        <v>9</v>
      </c>
      <c r="J292" s="82">
        <v>14</v>
      </c>
      <c r="K292" s="82">
        <v>23</v>
      </c>
      <c r="L292" s="82">
        <v>9</v>
      </c>
      <c r="M292" s="82">
        <v>9</v>
      </c>
      <c r="N292" s="82">
        <v>0</v>
      </c>
      <c r="O292" s="82">
        <v>0</v>
      </c>
      <c r="P292" s="82">
        <v>23</v>
      </c>
      <c r="Q292" s="82">
        <v>228</v>
      </c>
      <c r="R292" s="12" t="s">
        <v>25</v>
      </c>
      <c r="S292" s="12" t="s">
        <v>25</v>
      </c>
      <c r="T292" s="12" t="s">
        <v>25</v>
      </c>
    </row>
    <row r="293" spans="1:20" hidden="1" x14ac:dyDescent="0.3">
      <c r="A293" s="13">
        <v>43898.75</v>
      </c>
      <c r="B293" s="12" t="s">
        <v>22</v>
      </c>
      <c r="C293" s="82">
        <v>10</v>
      </c>
      <c r="D293" s="12" t="s">
        <v>59</v>
      </c>
      <c r="E293" s="82">
        <v>4310675841</v>
      </c>
      <c r="F293" s="82">
        <v>1238824698</v>
      </c>
      <c r="G293" s="82">
        <v>2</v>
      </c>
      <c r="H293" s="82">
        <v>2</v>
      </c>
      <c r="I293" s="82">
        <v>4</v>
      </c>
      <c r="J293" s="82">
        <v>22</v>
      </c>
      <c r="K293" s="82">
        <v>26</v>
      </c>
      <c r="L293" s="82">
        <v>2</v>
      </c>
      <c r="M293" s="82">
        <v>2</v>
      </c>
      <c r="N293" s="82">
        <v>0</v>
      </c>
      <c r="O293" s="82">
        <v>0</v>
      </c>
      <c r="P293" s="82">
        <v>26</v>
      </c>
      <c r="Q293" s="82">
        <v>168</v>
      </c>
      <c r="R293" s="12" t="s">
        <v>25</v>
      </c>
      <c r="S293" s="12" t="s">
        <v>25</v>
      </c>
      <c r="T293" s="12" t="s">
        <v>25</v>
      </c>
    </row>
    <row r="294" spans="1:20" hidden="1" x14ac:dyDescent="0.3">
      <c r="A294" s="13">
        <v>43898.75</v>
      </c>
      <c r="B294" s="12" t="s">
        <v>22</v>
      </c>
      <c r="C294" s="82">
        <v>2</v>
      </c>
      <c r="D294" s="12" t="s">
        <v>60</v>
      </c>
      <c r="E294" s="82">
        <v>4573750286</v>
      </c>
      <c r="F294" s="82">
        <v>7320149366</v>
      </c>
      <c r="G294" s="82">
        <v>1</v>
      </c>
      <c r="H294" s="82">
        <v>0</v>
      </c>
      <c r="I294" s="82">
        <v>1</v>
      </c>
      <c r="J294" s="82">
        <v>8</v>
      </c>
      <c r="K294" s="82">
        <v>9</v>
      </c>
      <c r="L294" s="82">
        <v>1</v>
      </c>
      <c r="M294" s="82">
        <v>1</v>
      </c>
      <c r="N294" s="82">
        <v>0</v>
      </c>
      <c r="O294" s="82">
        <v>0</v>
      </c>
      <c r="P294" s="82">
        <v>9</v>
      </c>
      <c r="Q294" s="82">
        <v>41</v>
      </c>
      <c r="R294" s="12" t="s">
        <v>25</v>
      </c>
      <c r="S294" s="12" t="s">
        <v>25</v>
      </c>
      <c r="T294" s="12" t="s">
        <v>25</v>
      </c>
    </row>
    <row r="295" spans="1:20" hidden="1" x14ac:dyDescent="0.3">
      <c r="A295" s="13">
        <v>43898.75</v>
      </c>
      <c r="B295" s="12" t="s">
        <v>22</v>
      </c>
      <c r="C295" s="82">
        <v>5</v>
      </c>
      <c r="D295" s="12" t="s">
        <v>61</v>
      </c>
      <c r="E295" s="82">
        <v>4543490485</v>
      </c>
      <c r="F295" s="82">
        <v>1233845213</v>
      </c>
      <c r="G295" s="82">
        <v>146</v>
      </c>
      <c r="H295" s="82">
        <v>47</v>
      </c>
      <c r="I295" s="82">
        <v>193</v>
      </c>
      <c r="J295" s="82">
        <v>430</v>
      </c>
      <c r="K295" s="82">
        <v>623</v>
      </c>
      <c r="L295" s="82">
        <v>118</v>
      </c>
      <c r="M295" s="82">
        <v>127</v>
      </c>
      <c r="N295" s="82">
        <v>29</v>
      </c>
      <c r="O295" s="82">
        <v>18</v>
      </c>
      <c r="P295" s="82">
        <v>670</v>
      </c>
      <c r="Q295" s="82">
        <v>15918</v>
      </c>
      <c r="R295" s="12" t="s">
        <v>25</v>
      </c>
      <c r="S295" s="12" t="s">
        <v>25</v>
      </c>
      <c r="T295" s="12" t="s">
        <v>25</v>
      </c>
    </row>
    <row r="296" spans="1:20" hidden="1" x14ac:dyDescent="0.3">
      <c r="A296" s="13">
        <v>43899.75</v>
      </c>
      <c r="B296" s="12" t="s">
        <v>22</v>
      </c>
      <c r="C296" s="82">
        <v>13</v>
      </c>
      <c r="D296" s="12" t="s">
        <v>42</v>
      </c>
      <c r="E296" s="82">
        <v>4235122196</v>
      </c>
      <c r="F296" s="82">
        <v>1339843823</v>
      </c>
      <c r="G296" s="82">
        <v>25</v>
      </c>
      <c r="H296" s="82">
        <v>0</v>
      </c>
      <c r="I296" s="82">
        <v>25</v>
      </c>
      <c r="J296" s="82">
        <v>5</v>
      </c>
      <c r="K296" s="82">
        <v>30</v>
      </c>
      <c r="L296" s="82">
        <v>13</v>
      </c>
      <c r="M296" s="82">
        <v>13</v>
      </c>
      <c r="N296" s="82">
        <v>0</v>
      </c>
      <c r="O296" s="82">
        <v>0</v>
      </c>
      <c r="P296" s="82">
        <v>30</v>
      </c>
      <c r="Q296" s="82">
        <v>237</v>
      </c>
      <c r="R296" s="12" t="s">
        <v>25</v>
      </c>
      <c r="S296" s="12" t="s">
        <v>25</v>
      </c>
      <c r="T296" s="12" t="s">
        <v>25</v>
      </c>
    </row>
    <row r="297" spans="1:20" hidden="1" x14ac:dyDescent="0.3">
      <c r="A297" s="13">
        <v>43899.75</v>
      </c>
      <c r="B297" s="12" t="s">
        <v>22</v>
      </c>
      <c r="C297" s="82">
        <v>17</v>
      </c>
      <c r="D297" s="12" t="s">
        <v>43</v>
      </c>
      <c r="E297" s="82">
        <v>4063947052</v>
      </c>
      <c r="F297" s="82">
        <v>1580514834</v>
      </c>
      <c r="G297" s="82">
        <v>2</v>
      </c>
      <c r="H297" s="82">
        <v>0</v>
      </c>
      <c r="I297" s="82">
        <v>2</v>
      </c>
      <c r="J297" s="82">
        <v>3</v>
      </c>
      <c r="K297" s="82">
        <v>5</v>
      </c>
      <c r="L297" s="82">
        <v>1</v>
      </c>
      <c r="M297" s="82">
        <v>1</v>
      </c>
      <c r="N297" s="82">
        <v>0</v>
      </c>
      <c r="O297" s="82">
        <v>0</v>
      </c>
      <c r="P297" s="82">
        <v>5</v>
      </c>
      <c r="Q297" s="82">
        <v>135</v>
      </c>
      <c r="R297" s="12" t="s">
        <v>25</v>
      </c>
      <c r="S297" s="12" t="s">
        <v>25</v>
      </c>
      <c r="T297" s="12" t="s">
        <v>25</v>
      </c>
    </row>
    <row r="298" spans="1:20" hidden="1" x14ac:dyDescent="0.3">
      <c r="A298" s="13">
        <v>43899.75</v>
      </c>
      <c r="B298" s="12" t="s">
        <v>22</v>
      </c>
      <c r="C298" s="82">
        <v>21</v>
      </c>
      <c r="D298" s="12" t="s">
        <v>44</v>
      </c>
      <c r="E298" s="82">
        <v>4649933453</v>
      </c>
      <c r="F298" s="82">
        <v>1135662422</v>
      </c>
      <c r="G298" s="82">
        <v>8</v>
      </c>
      <c r="H298" s="82">
        <v>0</v>
      </c>
      <c r="I298" s="82">
        <v>8</v>
      </c>
      <c r="J298" s="82">
        <v>1</v>
      </c>
      <c r="K298" s="82">
        <v>9</v>
      </c>
      <c r="L298" s="82">
        <v>0</v>
      </c>
      <c r="M298" s="82">
        <v>0</v>
      </c>
      <c r="N298" s="82">
        <v>0</v>
      </c>
      <c r="O298" s="82">
        <v>0</v>
      </c>
      <c r="P298" s="82">
        <v>9</v>
      </c>
      <c r="Q298" s="82">
        <v>36</v>
      </c>
      <c r="R298" s="12" t="s">
        <v>25</v>
      </c>
      <c r="S298" s="12" t="s">
        <v>25</v>
      </c>
      <c r="T298" s="12" t="s">
        <v>25</v>
      </c>
    </row>
    <row r="299" spans="1:20" hidden="1" x14ac:dyDescent="0.3">
      <c r="A299" s="13">
        <v>43899.75</v>
      </c>
      <c r="B299" s="12" t="s">
        <v>22</v>
      </c>
      <c r="C299" s="82">
        <v>18</v>
      </c>
      <c r="D299" s="12" t="s">
        <v>45</v>
      </c>
      <c r="E299" s="82">
        <v>3890597598</v>
      </c>
      <c r="F299" s="82">
        <v>1659440194</v>
      </c>
      <c r="G299" s="82">
        <v>8</v>
      </c>
      <c r="H299" s="82">
        <v>0</v>
      </c>
      <c r="I299" s="82">
        <v>8</v>
      </c>
      <c r="J299" s="82">
        <v>1</v>
      </c>
      <c r="K299" s="82">
        <v>9</v>
      </c>
      <c r="L299" s="82">
        <v>0</v>
      </c>
      <c r="M299" s="82">
        <v>2</v>
      </c>
      <c r="N299" s="82">
        <v>2</v>
      </c>
      <c r="O299" s="82">
        <v>0</v>
      </c>
      <c r="P299" s="82">
        <v>11</v>
      </c>
      <c r="Q299" s="82">
        <v>173</v>
      </c>
      <c r="R299" s="12" t="s">
        <v>25</v>
      </c>
      <c r="S299" s="12" t="s">
        <v>25</v>
      </c>
      <c r="T299" s="12" t="s">
        <v>25</v>
      </c>
    </row>
    <row r="300" spans="1:20" hidden="1" x14ac:dyDescent="0.3">
      <c r="A300" s="13">
        <v>43899.75</v>
      </c>
      <c r="B300" s="12" t="s">
        <v>22</v>
      </c>
      <c r="C300" s="82">
        <v>15</v>
      </c>
      <c r="D300" s="12" t="s">
        <v>46</v>
      </c>
      <c r="E300" s="82">
        <v>4083956555</v>
      </c>
      <c r="F300" s="82">
        <v>1425084984</v>
      </c>
      <c r="G300" s="82">
        <v>42</v>
      </c>
      <c r="H300" s="82">
        <v>8</v>
      </c>
      <c r="I300" s="82">
        <v>50</v>
      </c>
      <c r="J300" s="82">
        <v>69</v>
      </c>
      <c r="K300" s="82">
        <v>119</v>
      </c>
      <c r="L300" s="82">
        <v>19</v>
      </c>
      <c r="M300" s="82">
        <v>19</v>
      </c>
      <c r="N300" s="82">
        <v>1</v>
      </c>
      <c r="O300" s="82">
        <v>0</v>
      </c>
      <c r="P300" s="82">
        <v>120</v>
      </c>
      <c r="Q300" s="82">
        <v>980</v>
      </c>
      <c r="R300" s="12" t="s">
        <v>25</v>
      </c>
      <c r="S300" s="12" t="s">
        <v>25</v>
      </c>
      <c r="T300" s="12" t="s">
        <v>25</v>
      </c>
    </row>
    <row r="301" spans="1:20" hidden="1" x14ac:dyDescent="0.3">
      <c r="A301" s="13">
        <v>43899.75</v>
      </c>
      <c r="B301" s="12" t="s">
        <v>22</v>
      </c>
      <c r="C301" s="82">
        <v>8</v>
      </c>
      <c r="D301" s="12" t="s">
        <v>95</v>
      </c>
      <c r="E301" s="82">
        <v>4449436681</v>
      </c>
      <c r="F301" s="82">
        <v>113417208</v>
      </c>
      <c r="G301" s="82">
        <v>576</v>
      </c>
      <c r="H301" s="82">
        <v>90</v>
      </c>
      <c r="I301" s="82">
        <v>666</v>
      </c>
      <c r="J301" s="82">
        <v>620</v>
      </c>
      <c r="K301" s="82">
        <v>1286</v>
      </c>
      <c r="L301" s="82">
        <v>189</v>
      </c>
      <c r="M301" s="82">
        <v>206</v>
      </c>
      <c r="N301" s="82">
        <v>30</v>
      </c>
      <c r="O301" s="82">
        <v>70</v>
      </c>
      <c r="P301" s="82">
        <v>1386</v>
      </c>
      <c r="Q301" s="82">
        <v>4906</v>
      </c>
      <c r="R301" s="12" t="s">
        <v>25</v>
      </c>
      <c r="S301" s="12" t="s">
        <v>25</v>
      </c>
      <c r="T301" s="12" t="s">
        <v>25</v>
      </c>
    </row>
    <row r="302" spans="1:20" hidden="1" x14ac:dyDescent="0.3">
      <c r="A302" s="13">
        <v>43899.75</v>
      </c>
      <c r="B302" s="12" t="s">
        <v>22</v>
      </c>
      <c r="C302" s="82">
        <v>6</v>
      </c>
      <c r="D302" s="12" t="s">
        <v>47</v>
      </c>
      <c r="E302" s="82">
        <v>456494354</v>
      </c>
      <c r="F302" s="82">
        <v>1376813649</v>
      </c>
      <c r="G302" s="82">
        <v>18</v>
      </c>
      <c r="H302" s="82">
        <v>1</v>
      </c>
      <c r="I302" s="82">
        <v>19</v>
      </c>
      <c r="J302" s="82">
        <v>70</v>
      </c>
      <c r="K302" s="82">
        <v>89</v>
      </c>
      <c r="L302" s="82">
        <v>36</v>
      </c>
      <c r="M302" s="82">
        <v>36</v>
      </c>
      <c r="N302" s="82">
        <v>3</v>
      </c>
      <c r="O302" s="82">
        <v>1</v>
      </c>
      <c r="P302" s="82">
        <v>93</v>
      </c>
      <c r="Q302" s="82">
        <v>1344</v>
      </c>
      <c r="R302" s="12" t="s">
        <v>25</v>
      </c>
      <c r="S302" s="12" t="s">
        <v>25</v>
      </c>
      <c r="T302" s="12" t="s">
        <v>25</v>
      </c>
    </row>
    <row r="303" spans="1:20" hidden="1" x14ac:dyDescent="0.3">
      <c r="A303" s="13">
        <v>43899.75</v>
      </c>
      <c r="B303" s="12" t="s">
        <v>22</v>
      </c>
      <c r="C303" s="82">
        <v>12</v>
      </c>
      <c r="D303" s="12" t="s">
        <v>48</v>
      </c>
      <c r="E303" s="82">
        <v>4189277044</v>
      </c>
      <c r="F303" s="82">
        <v>1248366722</v>
      </c>
      <c r="G303" s="82">
        <v>55</v>
      </c>
      <c r="H303" s="82">
        <v>8</v>
      </c>
      <c r="I303" s="82">
        <v>63</v>
      </c>
      <c r="J303" s="82">
        <v>31</v>
      </c>
      <c r="K303" s="82">
        <v>94</v>
      </c>
      <c r="L303" s="82">
        <v>13</v>
      </c>
      <c r="M303" s="82">
        <v>15</v>
      </c>
      <c r="N303" s="82">
        <v>3</v>
      </c>
      <c r="O303" s="82">
        <v>5</v>
      </c>
      <c r="P303" s="82">
        <v>102</v>
      </c>
      <c r="Q303" s="82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82">
        <v>7</v>
      </c>
      <c r="D304" s="12" t="s">
        <v>49</v>
      </c>
      <c r="E304" s="82">
        <v>4441149315</v>
      </c>
      <c r="F304" s="82">
        <v>89326992</v>
      </c>
      <c r="G304" s="82">
        <v>60</v>
      </c>
      <c r="H304" s="82">
        <v>17</v>
      </c>
      <c r="I304" s="82">
        <v>77</v>
      </c>
      <c r="J304" s="82">
        <v>20</v>
      </c>
      <c r="K304" s="82">
        <v>97</v>
      </c>
      <c r="L304" s="82">
        <v>30</v>
      </c>
      <c r="M304" s="82">
        <v>31</v>
      </c>
      <c r="N304" s="82">
        <v>5</v>
      </c>
      <c r="O304" s="82">
        <v>7</v>
      </c>
      <c r="P304" s="82">
        <v>109</v>
      </c>
      <c r="Q304" s="82">
        <v>611</v>
      </c>
      <c r="R304" s="12" t="s">
        <v>25</v>
      </c>
      <c r="S304" s="12" t="s">
        <v>25</v>
      </c>
      <c r="T304" s="12" t="s">
        <v>25</v>
      </c>
    </row>
    <row r="305" spans="1:20" hidden="1" x14ac:dyDescent="0.3">
      <c r="A305" s="13">
        <v>43899.75</v>
      </c>
      <c r="B305" s="12" t="s">
        <v>22</v>
      </c>
      <c r="C305" s="82">
        <v>3</v>
      </c>
      <c r="D305" s="12" t="s">
        <v>50</v>
      </c>
      <c r="E305" s="82">
        <v>4546679409</v>
      </c>
      <c r="F305" s="82">
        <v>9190347404</v>
      </c>
      <c r="G305" s="82">
        <v>2802</v>
      </c>
      <c r="H305" s="82">
        <v>440</v>
      </c>
      <c r="I305" s="82">
        <v>3242</v>
      </c>
      <c r="J305" s="82">
        <v>1248</v>
      </c>
      <c r="K305" s="82">
        <v>4490</v>
      </c>
      <c r="L305" s="82">
        <v>1118</v>
      </c>
      <c r="M305" s="82">
        <v>1280</v>
      </c>
      <c r="N305" s="82">
        <v>646</v>
      </c>
      <c r="O305" s="82">
        <v>333</v>
      </c>
      <c r="P305" s="82">
        <v>5469</v>
      </c>
      <c r="Q305" s="82">
        <v>20135</v>
      </c>
      <c r="R305" s="12" t="s">
        <v>25</v>
      </c>
      <c r="S305" s="12" t="s">
        <v>25</v>
      </c>
      <c r="T305" s="12" t="s">
        <v>25</v>
      </c>
    </row>
    <row r="306" spans="1:20" hidden="1" x14ac:dyDescent="0.3">
      <c r="A306" s="13">
        <v>43899.75</v>
      </c>
      <c r="B306" s="12" t="s">
        <v>22</v>
      </c>
      <c r="C306" s="82">
        <v>11</v>
      </c>
      <c r="D306" s="12" t="s">
        <v>51</v>
      </c>
      <c r="E306" s="82">
        <v>4361675973</v>
      </c>
      <c r="F306" s="82">
        <v>135188753</v>
      </c>
      <c r="G306" s="82">
        <v>136</v>
      </c>
      <c r="H306" s="82">
        <v>47</v>
      </c>
      <c r="I306" s="82">
        <v>183</v>
      </c>
      <c r="J306" s="82">
        <v>130</v>
      </c>
      <c r="K306" s="82">
        <v>313</v>
      </c>
      <c r="L306" s="82">
        <v>48</v>
      </c>
      <c r="M306" s="82">
        <v>51</v>
      </c>
      <c r="N306" s="82">
        <v>0</v>
      </c>
      <c r="O306" s="82">
        <v>10</v>
      </c>
      <c r="P306" s="82">
        <v>323</v>
      </c>
      <c r="Q306" s="82">
        <v>1250</v>
      </c>
      <c r="R306" s="12" t="s">
        <v>25</v>
      </c>
      <c r="S306" s="12" t="s">
        <v>25</v>
      </c>
      <c r="T306" s="12" t="s">
        <v>25</v>
      </c>
    </row>
    <row r="307" spans="1:20" hidden="1" x14ac:dyDescent="0.3">
      <c r="A307" s="13">
        <v>43899.75</v>
      </c>
      <c r="B307" s="12" t="s">
        <v>22</v>
      </c>
      <c r="C307" s="82">
        <v>14</v>
      </c>
      <c r="D307" s="12" t="s">
        <v>52</v>
      </c>
      <c r="E307" s="82">
        <v>4155774754</v>
      </c>
      <c r="F307" s="82">
        <v>1465916051</v>
      </c>
      <c r="G307" s="82">
        <v>4</v>
      </c>
      <c r="H307" s="82">
        <v>2</v>
      </c>
      <c r="I307" s="82">
        <v>6</v>
      </c>
      <c r="J307" s="82">
        <v>8</v>
      </c>
      <c r="K307" s="82">
        <v>14</v>
      </c>
      <c r="L307" s="82">
        <v>0</v>
      </c>
      <c r="M307" s="82">
        <v>0</v>
      </c>
      <c r="N307" s="82">
        <v>0</v>
      </c>
      <c r="O307" s="82">
        <v>0</v>
      </c>
      <c r="P307" s="82">
        <v>14</v>
      </c>
      <c r="Q307" s="82">
        <v>212</v>
      </c>
      <c r="R307" s="12" t="s">
        <v>25</v>
      </c>
      <c r="S307" s="12" t="s">
        <v>25</v>
      </c>
      <c r="T307" s="12" t="s">
        <v>25</v>
      </c>
    </row>
    <row r="308" spans="1:20" hidden="1" x14ac:dyDescent="0.3">
      <c r="A308" s="13">
        <v>43899.75</v>
      </c>
      <c r="B308" s="12" t="s">
        <v>22</v>
      </c>
      <c r="C308" s="82">
        <v>1</v>
      </c>
      <c r="D308" s="12" t="s">
        <v>53</v>
      </c>
      <c r="E308" s="82">
        <v>450732745</v>
      </c>
      <c r="F308" s="82">
        <v>7680687483</v>
      </c>
      <c r="G308" s="82">
        <v>222</v>
      </c>
      <c r="H308" s="82">
        <v>50</v>
      </c>
      <c r="I308" s="82">
        <v>272</v>
      </c>
      <c r="J308" s="82">
        <v>65</v>
      </c>
      <c r="K308" s="82">
        <v>337</v>
      </c>
      <c r="L308" s="82">
        <v>-18</v>
      </c>
      <c r="M308" s="82">
        <v>-10</v>
      </c>
      <c r="N308" s="82">
        <v>0</v>
      </c>
      <c r="O308" s="82">
        <v>13</v>
      </c>
      <c r="P308" s="82">
        <v>350</v>
      </c>
      <c r="Q308" s="82">
        <v>1681</v>
      </c>
      <c r="R308" s="12" t="s">
        <v>25</v>
      </c>
      <c r="S308" s="12" t="s">
        <v>25</v>
      </c>
      <c r="T308" s="12" t="s">
        <v>25</v>
      </c>
    </row>
    <row r="309" spans="1:20" hidden="1" x14ac:dyDescent="0.3">
      <c r="A309" s="13">
        <v>43899.75</v>
      </c>
      <c r="B309" s="12" t="s">
        <v>22</v>
      </c>
      <c r="C309" s="82">
        <v>16</v>
      </c>
      <c r="D309" s="12" t="s">
        <v>54</v>
      </c>
      <c r="E309" s="82">
        <v>4112559576</v>
      </c>
      <c r="F309" s="82">
        <v>1686736689</v>
      </c>
      <c r="G309" s="82">
        <v>20</v>
      </c>
      <c r="H309" s="82">
        <v>6</v>
      </c>
      <c r="I309" s="82">
        <v>26</v>
      </c>
      <c r="J309" s="82">
        <v>20</v>
      </c>
      <c r="K309" s="82">
        <v>46</v>
      </c>
      <c r="L309" s="82">
        <v>10</v>
      </c>
      <c r="M309" s="82">
        <v>10</v>
      </c>
      <c r="N309" s="82">
        <v>1</v>
      </c>
      <c r="O309" s="82">
        <v>3</v>
      </c>
      <c r="P309" s="82">
        <v>50</v>
      </c>
      <c r="Q309" s="82">
        <v>685</v>
      </c>
      <c r="R309" s="12" t="s">
        <v>25</v>
      </c>
      <c r="S309" s="12" t="s">
        <v>25</v>
      </c>
      <c r="T309" s="12" t="s">
        <v>25</v>
      </c>
    </row>
    <row r="310" spans="1:20" hidden="1" x14ac:dyDescent="0.3">
      <c r="A310" s="13">
        <v>43899.75</v>
      </c>
      <c r="B310" s="12" t="s">
        <v>22</v>
      </c>
      <c r="C310" s="82">
        <v>20</v>
      </c>
      <c r="D310" s="12" t="s">
        <v>55</v>
      </c>
      <c r="E310" s="82">
        <v>3921531192</v>
      </c>
      <c r="F310" s="82">
        <v>9110616306</v>
      </c>
      <c r="G310" s="82">
        <v>8</v>
      </c>
      <c r="H310" s="82">
        <v>0</v>
      </c>
      <c r="I310" s="82">
        <v>8</v>
      </c>
      <c r="J310" s="82">
        <v>11</v>
      </c>
      <c r="K310" s="82">
        <v>19</v>
      </c>
      <c r="L310" s="82">
        <v>8</v>
      </c>
      <c r="M310" s="82">
        <v>8</v>
      </c>
      <c r="N310" s="82">
        <v>0</v>
      </c>
      <c r="O310" s="82">
        <v>0</v>
      </c>
      <c r="P310" s="82">
        <v>19</v>
      </c>
      <c r="Q310" s="82">
        <v>185</v>
      </c>
      <c r="R310" s="12" t="s">
        <v>25</v>
      </c>
      <c r="S310" s="12" t="s">
        <v>25</v>
      </c>
      <c r="T310" s="12" t="s">
        <v>25</v>
      </c>
    </row>
    <row r="311" spans="1:20" hidden="1" x14ac:dyDescent="0.3">
      <c r="A311" s="13">
        <v>43899.75</v>
      </c>
      <c r="B311" s="12" t="s">
        <v>22</v>
      </c>
      <c r="C311" s="82">
        <v>19</v>
      </c>
      <c r="D311" s="12" t="s">
        <v>56</v>
      </c>
      <c r="E311" s="82">
        <v>3811569725</v>
      </c>
      <c r="F311" s="82">
        <v>133623567</v>
      </c>
      <c r="G311" s="82">
        <v>19</v>
      </c>
      <c r="H311" s="82">
        <v>0</v>
      </c>
      <c r="I311" s="82">
        <v>19</v>
      </c>
      <c r="J311" s="82">
        <v>33</v>
      </c>
      <c r="K311" s="82">
        <v>52</v>
      </c>
      <c r="L311" s="82">
        <v>1</v>
      </c>
      <c r="M311" s="82">
        <v>1</v>
      </c>
      <c r="N311" s="82">
        <v>2</v>
      </c>
      <c r="O311" s="82">
        <v>0</v>
      </c>
      <c r="P311" s="82">
        <v>54</v>
      </c>
      <c r="Q311" s="82">
        <v>836</v>
      </c>
      <c r="R311" s="12" t="s">
        <v>25</v>
      </c>
      <c r="S311" s="12" t="s">
        <v>25</v>
      </c>
      <c r="T311" s="12" t="s">
        <v>25</v>
      </c>
    </row>
    <row r="312" spans="1:20" hidden="1" x14ac:dyDescent="0.3">
      <c r="A312" s="13">
        <v>43899.75</v>
      </c>
      <c r="B312" s="12" t="s">
        <v>22</v>
      </c>
      <c r="C312" s="82">
        <v>9</v>
      </c>
      <c r="D312" s="12" t="s">
        <v>57</v>
      </c>
      <c r="E312" s="82">
        <v>4376923077</v>
      </c>
      <c r="F312" s="82">
        <v>1125588885</v>
      </c>
      <c r="G312" s="82">
        <v>107</v>
      </c>
      <c r="H312" s="82">
        <v>9</v>
      </c>
      <c r="I312" s="82">
        <v>116</v>
      </c>
      <c r="J312" s="82">
        <v>90</v>
      </c>
      <c r="K312" s="82">
        <v>206</v>
      </c>
      <c r="L312" s="82">
        <v>41</v>
      </c>
      <c r="M312" s="82">
        <v>42</v>
      </c>
      <c r="N312" s="82">
        <v>1</v>
      </c>
      <c r="O312" s="82">
        <v>1</v>
      </c>
      <c r="P312" s="82">
        <v>208</v>
      </c>
      <c r="Q312" s="82">
        <v>2018</v>
      </c>
      <c r="R312" s="12" t="s">
        <v>25</v>
      </c>
      <c r="S312" s="12" t="s">
        <v>25</v>
      </c>
      <c r="T312" s="12" t="s">
        <v>25</v>
      </c>
    </row>
    <row r="313" spans="1:20" hidden="1" x14ac:dyDescent="0.3">
      <c r="A313" s="13">
        <v>43899.75</v>
      </c>
      <c r="B313" s="12" t="s">
        <v>22</v>
      </c>
      <c r="C313" s="82">
        <v>22</v>
      </c>
      <c r="D313" s="12" t="s">
        <v>58</v>
      </c>
      <c r="E313" s="82">
        <v>4606893511</v>
      </c>
      <c r="F313" s="82">
        <v>1112123097</v>
      </c>
      <c r="G313" s="82">
        <v>10</v>
      </c>
      <c r="H313" s="82">
        <v>2</v>
      </c>
      <c r="I313" s="82">
        <v>12</v>
      </c>
      <c r="J313" s="82">
        <v>21</v>
      </c>
      <c r="K313" s="82">
        <v>33</v>
      </c>
      <c r="L313" s="82">
        <v>10</v>
      </c>
      <c r="M313" s="82">
        <v>10</v>
      </c>
      <c r="N313" s="82">
        <v>0</v>
      </c>
      <c r="O313" s="82">
        <v>0</v>
      </c>
      <c r="P313" s="82">
        <v>33</v>
      </c>
      <c r="Q313" s="82">
        <v>267</v>
      </c>
      <c r="R313" s="12" t="s">
        <v>25</v>
      </c>
      <c r="S313" s="12" t="s">
        <v>25</v>
      </c>
      <c r="T313" s="12" t="s">
        <v>25</v>
      </c>
    </row>
    <row r="314" spans="1:20" hidden="1" x14ac:dyDescent="0.3">
      <c r="A314" s="13">
        <v>43899.75</v>
      </c>
      <c r="B314" s="12" t="s">
        <v>22</v>
      </c>
      <c r="C314" s="82">
        <v>10</v>
      </c>
      <c r="D314" s="12" t="s">
        <v>59</v>
      </c>
      <c r="E314" s="82">
        <v>4310675841</v>
      </c>
      <c r="F314" s="82">
        <v>1238824698</v>
      </c>
      <c r="G314" s="82">
        <v>4</v>
      </c>
      <c r="H314" s="82">
        <v>2</v>
      </c>
      <c r="I314" s="82">
        <v>6</v>
      </c>
      <c r="J314" s="82">
        <v>22</v>
      </c>
      <c r="K314" s="82">
        <v>28</v>
      </c>
      <c r="L314" s="82">
        <v>2</v>
      </c>
      <c r="M314" s="82">
        <v>2</v>
      </c>
      <c r="N314" s="82">
        <v>0</v>
      </c>
      <c r="O314" s="82">
        <v>0</v>
      </c>
      <c r="P314" s="82">
        <v>28</v>
      </c>
      <c r="Q314" s="82">
        <v>183</v>
      </c>
      <c r="R314" s="12" t="s">
        <v>25</v>
      </c>
      <c r="S314" s="12" t="s">
        <v>25</v>
      </c>
      <c r="T314" s="12" t="s">
        <v>25</v>
      </c>
    </row>
    <row r="315" spans="1:20" hidden="1" x14ac:dyDescent="0.3">
      <c r="A315" s="13">
        <v>43899.75</v>
      </c>
      <c r="B315" s="12" t="s">
        <v>22</v>
      </c>
      <c r="C315" s="82">
        <v>2</v>
      </c>
      <c r="D315" s="12" t="s">
        <v>60</v>
      </c>
      <c r="E315" s="82">
        <v>4573750286</v>
      </c>
      <c r="F315" s="82">
        <v>7320149366</v>
      </c>
      <c r="G315" s="82">
        <v>4</v>
      </c>
      <c r="H315" s="82">
        <v>0</v>
      </c>
      <c r="I315" s="82">
        <v>4</v>
      </c>
      <c r="J315" s="82">
        <v>11</v>
      </c>
      <c r="K315" s="82">
        <v>15</v>
      </c>
      <c r="L315" s="82">
        <v>6</v>
      </c>
      <c r="M315" s="82">
        <v>6</v>
      </c>
      <c r="N315" s="82">
        <v>0</v>
      </c>
      <c r="O315" s="82">
        <v>0</v>
      </c>
      <c r="P315" s="82">
        <v>15</v>
      </c>
      <c r="Q315" s="82">
        <v>67</v>
      </c>
      <c r="R315" s="12" t="s">
        <v>25</v>
      </c>
      <c r="S315" s="12" t="s">
        <v>25</v>
      </c>
      <c r="T315" s="12" t="s">
        <v>25</v>
      </c>
    </row>
    <row r="316" spans="1:20" hidden="1" x14ac:dyDescent="0.3">
      <c r="A316" s="13">
        <v>43899.75</v>
      </c>
      <c r="B316" s="12" t="s">
        <v>22</v>
      </c>
      <c r="C316" s="82">
        <v>5</v>
      </c>
      <c r="D316" s="12" t="s">
        <v>61</v>
      </c>
      <c r="E316" s="82">
        <v>4543490485</v>
      </c>
      <c r="F316" s="82">
        <v>1233845213</v>
      </c>
      <c r="G316" s="82">
        <v>186</v>
      </c>
      <c r="H316" s="82">
        <v>51</v>
      </c>
      <c r="I316" s="82">
        <v>237</v>
      </c>
      <c r="J316" s="82">
        <v>457</v>
      </c>
      <c r="K316" s="82">
        <v>694</v>
      </c>
      <c r="L316" s="82">
        <v>71</v>
      </c>
      <c r="M316" s="82">
        <v>74</v>
      </c>
      <c r="N316" s="82">
        <v>30</v>
      </c>
      <c r="O316" s="82">
        <v>20</v>
      </c>
      <c r="P316" s="82">
        <v>744</v>
      </c>
      <c r="Q316" s="82">
        <v>15956</v>
      </c>
      <c r="R316" s="12" t="s">
        <v>25</v>
      </c>
      <c r="S316" s="12" t="s">
        <v>25</v>
      </c>
      <c r="T316" s="12" t="s">
        <v>25</v>
      </c>
    </row>
    <row r="317" spans="1:20" hidden="1" x14ac:dyDescent="0.3">
      <c r="A317" s="13">
        <v>43900.75</v>
      </c>
      <c r="B317" s="12" t="s">
        <v>22</v>
      </c>
      <c r="C317" s="82">
        <v>13</v>
      </c>
      <c r="D317" s="12" t="s">
        <v>42</v>
      </c>
      <c r="E317" s="82">
        <v>4235122196</v>
      </c>
      <c r="F317" s="82">
        <v>1339843823</v>
      </c>
      <c r="G317" s="82">
        <v>17</v>
      </c>
      <c r="H317" s="82">
        <v>9</v>
      </c>
      <c r="I317" s="82">
        <v>26</v>
      </c>
      <c r="J317" s="82">
        <v>11</v>
      </c>
      <c r="K317" s="82">
        <v>37</v>
      </c>
      <c r="L317" s="82">
        <v>7</v>
      </c>
      <c r="M317" s="82">
        <v>8</v>
      </c>
      <c r="N317" s="82">
        <v>0</v>
      </c>
      <c r="O317" s="82">
        <v>1</v>
      </c>
      <c r="P317" s="82">
        <v>38</v>
      </c>
      <c r="Q317" s="82">
        <v>310</v>
      </c>
      <c r="R317" s="12" t="s">
        <v>25</v>
      </c>
      <c r="S317" s="12" t="s">
        <v>25</v>
      </c>
      <c r="T317" s="12" t="s">
        <v>25</v>
      </c>
    </row>
    <row r="318" spans="1:20" hidden="1" x14ac:dyDescent="0.3">
      <c r="A318" s="13">
        <v>43900.75</v>
      </c>
      <c r="B318" s="12" t="s">
        <v>22</v>
      </c>
      <c r="C318" s="82">
        <v>17</v>
      </c>
      <c r="D318" s="12" t="s">
        <v>43</v>
      </c>
      <c r="E318" s="82">
        <v>4063947052</v>
      </c>
      <c r="F318" s="82">
        <v>1580514834</v>
      </c>
      <c r="G318" s="82">
        <v>2</v>
      </c>
      <c r="H318" s="82">
        <v>0</v>
      </c>
      <c r="I318" s="82">
        <v>2</v>
      </c>
      <c r="J318" s="82">
        <v>5</v>
      </c>
      <c r="K318" s="82">
        <v>7</v>
      </c>
      <c r="L318" s="82">
        <v>2</v>
      </c>
      <c r="M318" s="82">
        <v>2</v>
      </c>
      <c r="N318" s="82">
        <v>0</v>
      </c>
      <c r="O318" s="82">
        <v>0</v>
      </c>
      <c r="P318" s="82">
        <v>7</v>
      </c>
      <c r="Q318" s="82">
        <v>148</v>
      </c>
      <c r="R318" s="12" t="s">
        <v>25</v>
      </c>
      <c r="S318" s="12" t="s">
        <v>25</v>
      </c>
      <c r="T318" s="12" t="s">
        <v>25</v>
      </c>
    </row>
    <row r="319" spans="1:20" hidden="1" x14ac:dyDescent="0.3">
      <c r="A319" s="13">
        <v>43900.75</v>
      </c>
      <c r="B319" s="12" t="s">
        <v>22</v>
      </c>
      <c r="C319" s="82">
        <v>21</v>
      </c>
      <c r="D319" s="12" t="s">
        <v>44</v>
      </c>
      <c r="E319" s="82">
        <v>4649933453</v>
      </c>
      <c r="F319" s="82">
        <v>1135662422</v>
      </c>
      <c r="G319" s="82">
        <v>17</v>
      </c>
      <c r="H319" s="82">
        <v>1</v>
      </c>
      <c r="I319" s="82">
        <v>18</v>
      </c>
      <c r="J319" s="82">
        <v>20</v>
      </c>
      <c r="K319" s="82">
        <v>38</v>
      </c>
      <c r="L319" s="82">
        <v>29</v>
      </c>
      <c r="M319" s="82">
        <v>29</v>
      </c>
      <c r="N319" s="82">
        <v>0</v>
      </c>
      <c r="O319" s="82">
        <v>0</v>
      </c>
      <c r="P319" s="82">
        <v>38</v>
      </c>
      <c r="Q319" s="82">
        <v>36</v>
      </c>
      <c r="R319" s="12" t="s">
        <v>25</v>
      </c>
      <c r="S319" s="12" t="s">
        <v>25</v>
      </c>
      <c r="T319" s="12" t="s">
        <v>25</v>
      </c>
    </row>
    <row r="320" spans="1:20" hidden="1" x14ac:dyDescent="0.3">
      <c r="A320" s="13">
        <v>43900.75</v>
      </c>
      <c r="B320" s="12" t="s">
        <v>22</v>
      </c>
      <c r="C320" s="82">
        <v>18</v>
      </c>
      <c r="D320" s="12" t="s">
        <v>45</v>
      </c>
      <c r="E320" s="82">
        <v>3890597598</v>
      </c>
      <c r="F320" s="82">
        <v>1659440194</v>
      </c>
      <c r="G320" s="82">
        <v>8</v>
      </c>
      <c r="H320" s="82">
        <v>2</v>
      </c>
      <c r="I320" s="82">
        <v>10</v>
      </c>
      <c r="J320" s="82">
        <v>1</v>
      </c>
      <c r="K320" s="82">
        <v>11</v>
      </c>
      <c r="L320" s="82">
        <v>2</v>
      </c>
      <c r="M320" s="82">
        <v>2</v>
      </c>
      <c r="N320" s="82">
        <v>2</v>
      </c>
      <c r="O320" s="82">
        <v>0</v>
      </c>
      <c r="P320" s="82">
        <v>13</v>
      </c>
      <c r="Q320" s="82">
        <v>360</v>
      </c>
      <c r="R320" s="12" t="s">
        <v>25</v>
      </c>
      <c r="S320" s="12" t="s">
        <v>25</v>
      </c>
      <c r="T320" s="12" t="s">
        <v>25</v>
      </c>
    </row>
    <row r="321" spans="1:20" hidden="1" x14ac:dyDescent="0.3">
      <c r="A321" s="13">
        <v>43900.75</v>
      </c>
      <c r="B321" s="12" t="s">
        <v>22</v>
      </c>
      <c r="C321" s="82">
        <v>15</v>
      </c>
      <c r="D321" s="12" t="s">
        <v>46</v>
      </c>
      <c r="E321" s="82">
        <v>4083956555</v>
      </c>
      <c r="F321" s="82">
        <v>1425084984</v>
      </c>
      <c r="G321" s="82">
        <v>33</v>
      </c>
      <c r="H321" s="82">
        <v>8</v>
      </c>
      <c r="I321" s="82">
        <v>41</v>
      </c>
      <c r="J321" s="82">
        <v>85</v>
      </c>
      <c r="K321" s="82">
        <v>126</v>
      </c>
      <c r="L321" s="82">
        <v>7</v>
      </c>
      <c r="M321" s="82">
        <v>7</v>
      </c>
      <c r="N321" s="82">
        <v>1</v>
      </c>
      <c r="O321" s="82">
        <v>0</v>
      </c>
      <c r="P321" s="82">
        <v>127</v>
      </c>
      <c r="Q321" s="82">
        <v>1141</v>
      </c>
      <c r="R321" s="12" t="s">
        <v>25</v>
      </c>
      <c r="S321" s="12" t="s">
        <v>25</v>
      </c>
      <c r="T321" s="12" t="s">
        <v>25</v>
      </c>
    </row>
    <row r="322" spans="1:20" hidden="1" x14ac:dyDescent="0.3">
      <c r="A322" s="13">
        <v>43900.75</v>
      </c>
      <c r="B322" s="12" t="s">
        <v>22</v>
      </c>
      <c r="C322" s="82">
        <v>8</v>
      </c>
      <c r="D322" s="12" t="s">
        <v>95</v>
      </c>
      <c r="E322" s="82">
        <v>4449436681</v>
      </c>
      <c r="F322" s="82">
        <v>113417208</v>
      </c>
      <c r="G322" s="82">
        <v>669</v>
      </c>
      <c r="H322" s="82">
        <v>98</v>
      </c>
      <c r="I322" s="82">
        <v>767</v>
      </c>
      <c r="J322" s="82">
        <v>650</v>
      </c>
      <c r="K322" s="82">
        <v>1417</v>
      </c>
      <c r="L322" s="82">
        <v>131</v>
      </c>
      <c r="M322" s="82">
        <v>147</v>
      </c>
      <c r="N322" s="82">
        <v>31</v>
      </c>
      <c r="O322" s="82">
        <v>85</v>
      </c>
      <c r="P322" s="82">
        <v>1533</v>
      </c>
      <c r="Q322" s="82">
        <v>5494</v>
      </c>
      <c r="R322" s="12" t="s">
        <v>25</v>
      </c>
      <c r="S322" s="12" t="s">
        <v>25</v>
      </c>
      <c r="T322" s="12" t="s">
        <v>25</v>
      </c>
    </row>
    <row r="323" spans="1:20" hidden="1" x14ac:dyDescent="0.3">
      <c r="A323" s="13">
        <v>43900.75</v>
      </c>
      <c r="B323" s="12" t="s">
        <v>22</v>
      </c>
      <c r="C323" s="82">
        <v>6</v>
      </c>
      <c r="D323" s="12" t="s">
        <v>47</v>
      </c>
      <c r="E323" s="82">
        <v>456494354</v>
      </c>
      <c r="F323" s="82">
        <v>1376813649</v>
      </c>
      <c r="G323" s="82">
        <v>27</v>
      </c>
      <c r="H323" s="82">
        <v>6</v>
      </c>
      <c r="I323" s="82">
        <v>33</v>
      </c>
      <c r="J323" s="82">
        <v>77</v>
      </c>
      <c r="K323" s="82">
        <v>110</v>
      </c>
      <c r="L323" s="82">
        <v>21</v>
      </c>
      <c r="M323" s="82">
        <v>23</v>
      </c>
      <c r="N323" s="82">
        <v>3</v>
      </c>
      <c r="O323" s="82">
        <v>3</v>
      </c>
      <c r="P323" s="82">
        <v>116</v>
      </c>
      <c r="Q323" s="82">
        <v>1602</v>
      </c>
      <c r="R323" s="12" t="s">
        <v>25</v>
      </c>
      <c r="S323" s="12" t="s">
        <v>25</v>
      </c>
      <c r="T323" s="12" t="s">
        <v>25</v>
      </c>
    </row>
    <row r="324" spans="1:20" hidden="1" x14ac:dyDescent="0.3">
      <c r="A324" s="13">
        <v>43900.75</v>
      </c>
      <c r="B324" s="12" t="s">
        <v>22</v>
      </c>
      <c r="C324" s="82">
        <v>12</v>
      </c>
      <c r="D324" s="12" t="s">
        <v>48</v>
      </c>
      <c r="E324" s="82">
        <v>4189277044</v>
      </c>
      <c r="F324" s="82">
        <v>1248366722</v>
      </c>
      <c r="G324" s="82">
        <v>50</v>
      </c>
      <c r="H324" s="82">
        <v>15</v>
      </c>
      <c r="I324" s="82">
        <v>65</v>
      </c>
      <c r="J324" s="82">
        <v>34</v>
      </c>
      <c r="K324" s="82">
        <v>99</v>
      </c>
      <c r="L324" s="82">
        <v>5</v>
      </c>
      <c r="M324" s="82">
        <v>14</v>
      </c>
      <c r="N324" s="82">
        <v>11</v>
      </c>
      <c r="O324" s="82">
        <v>6</v>
      </c>
      <c r="P324" s="82">
        <v>116</v>
      </c>
      <c r="Q324" s="82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82">
        <v>7</v>
      </c>
      <c r="D325" s="12" t="s">
        <v>49</v>
      </c>
      <c r="E325" s="82">
        <v>4441149315</v>
      </c>
      <c r="F325" s="82">
        <v>89326992</v>
      </c>
      <c r="G325" s="82">
        <v>57</v>
      </c>
      <c r="H325" s="82">
        <v>29</v>
      </c>
      <c r="I325" s="82">
        <v>86</v>
      </c>
      <c r="J325" s="82">
        <v>42</v>
      </c>
      <c r="K325" s="82">
        <v>128</v>
      </c>
      <c r="L325" s="82">
        <v>31</v>
      </c>
      <c r="M325" s="82">
        <v>32</v>
      </c>
      <c r="N325" s="82">
        <v>5</v>
      </c>
      <c r="O325" s="82">
        <v>8</v>
      </c>
      <c r="P325" s="82">
        <v>141</v>
      </c>
      <c r="Q325" s="82">
        <v>694</v>
      </c>
      <c r="R325" s="12" t="s">
        <v>25</v>
      </c>
      <c r="S325" s="12" t="s">
        <v>25</v>
      </c>
      <c r="T325" s="12" t="s">
        <v>25</v>
      </c>
    </row>
    <row r="326" spans="1:20" hidden="1" x14ac:dyDescent="0.3">
      <c r="A326" s="13">
        <v>43900.75</v>
      </c>
      <c r="B326" s="12" t="s">
        <v>22</v>
      </c>
      <c r="C326" s="82">
        <v>3</v>
      </c>
      <c r="D326" s="12" t="s">
        <v>50</v>
      </c>
      <c r="E326" s="82">
        <v>4546679409</v>
      </c>
      <c r="F326" s="82">
        <v>9190347404</v>
      </c>
      <c r="G326" s="82">
        <v>3319</v>
      </c>
      <c r="H326" s="82">
        <v>466</v>
      </c>
      <c r="I326" s="82">
        <v>3785</v>
      </c>
      <c r="J326" s="82">
        <v>642</v>
      </c>
      <c r="K326" s="82">
        <v>4427</v>
      </c>
      <c r="L326" s="82">
        <v>-63</v>
      </c>
      <c r="M326" s="82">
        <v>322</v>
      </c>
      <c r="N326" s="82">
        <v>896</v>
      </c>
      <c r="O326" s="82">
        <v>468</v>
      </c>
      <c r="P326" s="82">
        <v>5791</v>
      </c>
      <c r="Q326" s="82">
        <v>21479</v>
      </c>
      <c r="R326" s="12" t="s">
        <v>25</v>
      </c>
      <c r="S326" s="12" t="s">
        <v>64</v>
      </c>
      <c r="T326" s="12" t="s">
        <v>65</v>
      </c>
    </row>
    <row r="327" spans="1:20" hidden="1" x14ac:dyDescent="0.3">
      <c r="A327" s="13">
        <v>43900.75</v>
      </c>
      <c r="B327" s="12" t="s">
        <v>22</v>
      </c>
      <c r="C327" s="82">
        <v>11</v>
      </c>
      <c r="D327" s="12" t="s">
        <v>51</v>
      </c>
      <c r="E327" s="82">
        <v>4361675973</v>
      </c>
      <c r="F327" s="82">
        <v>135188753</v>
      </c>
      <c r="G327" s="82">
        <v>152</v>
      </c>
      <c r="H327" s="82">
        <v>54</v>
      </c>
      <c r="I327" s="82">
        <v>206</v>
      </c>
      <c r="J327" s="82">
        <v>175</v>
      </c>
      <c r="K327" s="82">
        <v>381</v>
      </c>
      <c r="L327" s="82">
        <v>68</v>
      </c>
      <c r="M327" s="82">
        <v>71</v>
      </c>
      <c r="N327" s="82">
        <v>0</v>
      </c>
      <c r="O327" s="82">
        <v>13</v>
      </c>
      <c r="P327" s="82">
        <v>394</v>
      </c>
      <c r="Q327" s="82">
        <v>1437</v>
      </c>
      <c r="R327" s="12" t="s">
        <v>25</v>
      </c>
      <c r="S327" s="12" t="s">
        <v>25</v>
      </c>
      <c r="T327" s="12" t="s">
        <v>25</v>
      </c>
    </row>
    <row r="328" spans="1:20" hidden="1" x14ac:dyDescent="0.3">
      <c r="A328" s="13">
        <v>43900.75</v>
      </c>
      <c r="B328" s="12" t="s">
        <v>22</v>
      </c>
      <c r="C328" s="82">
        <v>14</v>
      </c>
      <c r="D328" s="12" t="s">
        <v>52</v>
      </c>
      <c r="E328" s="82">
        <v>4155774754</v>
      </c>
      <c r="F328" s="82">
        <v>1465916051</v>
      </c>
      <c r="G328" s="82">
        <v>3</v>
      </c>
      <c r="H328" s="82">
        <v>3</v>
      </c>
      <c r="I328" s="82">
        <v>6</v>
      </c>
      <c r="J328" s="82">
        <v>9</v>
      </c>
      <c r="K328" s="82">
        <v>15</v>
      </c>
      <c r="L328" s="82">
        <v>1</v>
      </c>
      <c r="M328" s="82">
        <v>1</v>
      </c>
      <c r="N328" s="82">
        <v>0</v>
      </c>
      <c r="O328" s="82">
        <v>0</v>
      </c>
      <c r="P328" s="82">
        <v>15</v>
      </c>
      <c r="Q328" s="82">
        <v>225</v>
      </c>
      <c r="R328" s="12" t="s">
        <v>25</v>
      </c>
      <c r="S328" s="12" t="s">
        <v>25</v>
      </c>
      <c r="T328" s="12" t="s">
        <v>25</v>
      </c>
    </row>
    <row r="329" spans="1:20" hidden="1" x14ac:dyDescent="0.3">
      <c r="A329" s="13">
        <v>43900.75</v>
      </c>
      <c r="B329" s="12" t="s">
        <v>22</v>
      </c>
      <c r="C329" s="82">
        <v>1</v>
      </c>
      <c r="D329" s="12" t="s">
        <v>53</v>
      </c>
      <c r="E329" s="82">
        <v>450732745</v>
      </c>
      <c r="F329" s="82">
        <v>7680687483</v>
      </c>
      <c r="G329" s="82">
        <v>306</v>
      </c>
      <c r="H329" s="82">
        <v>66</v>
      </c>
      <c r="I329" s="82">
        <v>372</v>
      </c>
      <c r="J329" s="82">
        <v>64</v>
      </c>
      <c r="K329" s="82">
        <v>436</v>
      </c>
      <c r="L329" s="82">
        <v>99</v>
      </c>
      <c r="M329" s="82">
        <v>103</v>
      </c>
      <c r="N329" s="82">
        <v>0</v>
      </c>
      <c r="O329" s="82">
        <v>17</v>
      </c>
      <c r="P329" s="82">
        <v>453</v>
      </c>
      <c r="Q329" s="82">
        <v>2374</v>
      </c>
      <c r="R329" s="12" t="s">
        <v>25</v>
      </c>
      <c r="S329" s="12" t="s">
        <v>25</v>
      </c>
      <c r="T329" s="12" t="s">
        <v>25</v>
      </c>
    </row>
    <row r="330" spans="1:20" hidden="1" x14ac:dyDescent="0.3">
      <c r="A330" s="13">
        <v>43900.75</v>
      </c>
      <c r="B330" s="12" t="s">
        <v>22</v>
      </c>
      <c r="C330" s="82">
        <v>16</v>
      </c>
      <c r="D330" s="12" t="s">
        <v>54</v>
      </c>
      <c r="E330" s="82">
        <v>4112559576</v>
      </c>
      <c r="F330" s="82">
        <v>1686736689</v>
      </c>
      <c r="G330" s="82">
        <v>28</v>
      </c>
      <c r="H330" s="82">
        <v>6</v>
      </c>
      <c r="I330" s="82">
        <v>34</v>
      </c>
      <c r="J330" s="82">
        <v>21</v>
      </c>
      <c r="K330" s="82">
        <v>55</v>
      </c>
      <c r="L330" s="82">
        <v>9</v>
      </c>
      <c r="M330" s="82">
        <v>9</v>
      </c>
      <c r="N330" s="82">
        <v>1</v>
      </c>
      <c r="O330" s="82">
        <v>3</v>
      </c>
      <c r="P330" s="82">
        <v>59</v>
      </c>
      <c r="Q330" s="82">
        <v>747</v>
      </c>
      <c r="R330" s="12" t="s">
        <v>25</v>
      </c>
      <c r="S330" s="12" t="s">
        <v>25</v>
      </c>
      <c r="T330" s="12" t="s">
        <v>25</v>
      </c>
    </row>
    <row r="331" spans="1:20" hidden="1" x14ac:dyDescent="0.3">
      <c r="A331" s="13">
        <v>43900.75</v>
      </c>
      <c r="B331" s="12" t="s">
        <v>22</v>
      </c>
      <c r="C331" s="82">
        <v>20</v>
      </c>
      <c r="D331" s="12" t="s">
        <v>55</v>
      </c>
      <c r="E331" s="82">
        <v>3921531192</v>
      </c>
      <c r="F331" s="82">
        <v>9110616306</v>
      </c>
      <c r="G331" s="82">
        <v>9</v>
      </c>
      <c r="H331" s="82">
        <v>0</v>
      </c>
      <c r="I331" s="82">
        <v>9</v>
      </c>
      <c r="J331" s="82">
        <v>11</v>
      </c>
      <c r="K331" s="82">
        <v>20</v>
      </c>
      <c r="L331" s="82">
        <v>1</v>
      </c>
      <c r="M331" s="82">
        <v>1</v>
      </c>
      <c r="N331" s="82">
        <v>0</v>
      </c>
      <c r="O331" s="82">
        <v>0</v>
      </c>
      <c r="P331" s="82">
        <v>20</v>
      </c>
      <c r="Q331" s="82">
        <v>204</v>
      </c>
      <c r="R331" s="12" t="s">
        <v>25</v>
      </c>
      <c r="S331" s="12" t="s">
        <v>25</v>
      </c>
      <c r="T331" s="12" t="s">
        <v>25</v>
      </c>
    </row>
    <row r="332" spans="1:20" hidden="1" x14ac:dyDescent="0.3">
      <c r="A332" s="13">
        <v>43900.75</v>
      </c>
      <c r="B332" s="12" t="s">
        <v>22</v>
      </c>
      <c r="C332" s="82">
        <v>19</v>
      </c>
      <c r="D332" s="12" t="s">
        <v>56</v>
      </c>
      <c r="E332" s="82">
        <v>3811569725</v>
      </c>
      <c r="F332" s="82">
        <v>133623567</v>
      </c>
      <c r="G332" s="82">
        <v>17</v>
      </c>
      <c r="H332" s="82">
        <v>2</v>
      </c>
      <c r="I332" s="82">
        <v>19</v>
      </c>
      <c r="J332" s="82">
        <v>41</v>
      </c>
      <c r="K332" s="82">
        <v>60</v>
      </c>
      <c r="L332" s="82">
        <v>8</v>
      </c>
      <c r="M332" s="82">
        <v>8</v>
      </c>
      <c r="N332" s="82">
        <v>2</v>
      </c>
      <c r="O332" s="82">
        <v>0</v>
      </c>
      <c r="P332" s="82">
        <v>62</v>
      </c>
      <c r="Q332" s="82">
        <v>955</v>
      </c>
      <c r="R332" s="12" t="s">
        <v>25</v>
      </c>
      <c r="S332" s="12" t="s">
        <v>25</v>
      </c>
      <c r="T332" s="12" t="s">
        <v>25</v>
      </c>
    </row>
    <row r="333" spans="1:20" hidden="1" x14ac:dyDescent="0.3">
      <c r="A333" s="13">
        <v>43900.75</v>
      </c>
      <c r="B333" s="12" t="s">
        <v>22</v>
      </c>
      <c r="C333" s="82">
        <v>9</v>
      </c>
      <c r="D333" s="12" t="s">
        <v>57</v>
      </c>
      <c r="E333" s="82">
        <v>4376923077</v>
      </c>
      <c r="F333" s="82">
        <v>1125588885</v>
      </c>
      <c r="G333" s="82">
        <v>91</v>
      </c>
      <c r="H333" s="82">
        <v>40</v>
      </c>
      <c r="I333" s="82">
        <v>131</v>
      </c>
      <c r="J333" s="82">
        <v>129</v>
      </c>
      <c r="K333" s="82">
        <v>260</v>
      </c>
      <c r="L333" s="82">
        <v>54</v>
      </c>
      <c r="M333" s="82">
        <v>56</v>
      </c>
      <c r="N333" s="82">
        <v>3</v>
      </c>
      <c r="O333" s="82">
        <v>1</v>
      </c>
      <c r="P333" s="82">
        <v>264</v>
      </c>
      <c r="Q333" s="82">
        <v>2573</v>
      </c>
      <c r="R333" s="12" t="s">
        <v>25</v>
      </c>
      <c r="S333" s="12" t="s">
        <v>25</v>
      </c>
      <c r="T333" s="12" t="s">
        <v>25</v>
      </c>
    </row>
    <row r="334" spans="1:20" hidden="1" x14ac:dyDescent="0.3">
      <c r="A334" s="13">
        <v>43900.75</v>
      </c>
      <c r="B334" s="12" t="s">
        <v>22</v>
      </c>
      <c r="C334" s="82">
        <v>22</v>
      </c>
      <c r="D334" s="12" t="s">
        <v>58</v>
      </c>
      <c r="E334" s="82">
        <v>4606893511</v>
      </c>
      <c r="F334" s="82">
        <v>1112123097</v>
      </c>
      <c r="G334" s="82">
        <v>19</v>
      </c>
      <c r="H334" s="82">
        <v>3</v>
      </c>
      <c r="I334" s="82">
        <v>22</v>
      </c>
      <c r="J334" s="82">
        <v>28</v>
      </c>
      <c r="K334" s="82">
        <v>50</v>
      </c>
      <c r="L334" s="82">
        <v>17</v>
      </c>
      <c r="M334" s="82">
        <v>19</v>
      </c>
      <c r="N334" s="82">
        <v>2</v>
      </c>
      <c r="O334" s="82">
        <v>0</v>
      </c>
      <c r="P334" s="82">
        <v>52</v>
      </c>
      <c r="Q334" s="82">
        <v>399</v>
      </c>
      <c r="R334" s="12" t="s">
        <v>25</v>
      </c>
      <c r="S334" s="12" t="s">
        <v>25</v>
      </c>
      <c r="T334" s="12" t="s">
        <v>25</v>
      </c>
    </row>
    <row r="335" spans="1:20" hidden="1" x14ac:dyDescent="0.3">
      <c r="A335" s="13">
        <v>43900.75</v>
      </c>
      <c r="B335" s="12" t="s">
        <v>22</v>
      </c>
      <c r="C335" s="82">
        <v>10</v>
      </c>
      <c r="D335" s="12" t="s">
        <v>59</v>
      </c>
      <c r="E335" s="82">
        <v>4310675841</v>
      </c>
      <c r="F335" s="82">
        <v>1238824698</v>
      </c>
      <c r="G335" s="82">
        <v>8</v>
      </c>
      <c r="H335" s="82">
        <v>2</v>
      </c>
      <c r="I335" s="82">
        <v>10</v>
      </c>
      <c r="J335" s="82">
        <v>27</v>
      </c>
      <c r="K335" s="82">
        <v>37</v>
      </c>
      <c r="L335" s="82">
        <v>9</v>
      </c>
      <c r="M335" s="82">
        <v>9</v>
      </c>
      <c r="N335" s="82">
        <v>0</v>
      </c>
      <c r="O335" s="82">
        <v>0</v>
      </c>
      <c r="P335" s="82">
        <v>37</v>
      </c>
      <c r="Q335" s="82">
        <v>260</v>
      </c>
      <c r="R335" s="12" t="s">
        <v>25</v>
      </c>
      <c r="S335" s="12" t="s">
        <v>25</v>
      </c>
      <c r="T335" s="12" t="s">
        <v>25</v>
      </c>
    </row>
    <row r="336" spans="1:20" hidden="1" x14ac:dyDescent="0.3">
      <c r="A336" s="13">
        <v>43900.75</v>
      </c>
      <c r="B336" s="12" t="s">
        <v>22</v>
      </c>
      <c r="C336" s="82">
        <v>2</v>
      </c>
      <c r="D336" s="12" t="s">
        <v>60</v>
      </c>
      <c r="E336" s="82">
        <v>4573750286</v>
      </c>
      <c r="F336" s="82">
        <v>7320149366</v>
      </c>
      <c r="G336" s="82">
        <v>2</v>
      </c>
      <c r="H336" s="82">
        <v>0</v>
      </c>
      <c r="I336" s="82">
        <v>2</v>
      </c>
      <c r="J336" s="82">
        <v>15</v>
      </c>
      <c r="K336" s="82">
        <v>17</v>
      </c>
      <c r="L336" s="82">
        <v>2</v>
      </c>
      <c r="M336" s="82">
        <v>2</v>
      </c>
      <c r="N336" s="82">
        <v>0</v>
      </c>
      <c r="O336" s="82">
        <v>0</v>
      </c>
      <c r="P336" s="82">
        <v>17</v>
      </c>
      <c r="Q336" s="82">
        <v>89</v>
      </c>
      <c r="R336" s="12" t="s">
        <v>25</v>
      </c>
      <c r="S336" s="12" t="s">
        <v>25</v>
      </c>
      <c r="T336" s="12" t="s">
        <v>25</v>
      </c>
    </row>
    <row r="337" spans="1:20" hidden="1" x14ac:dyDescent="0.3">
      <c r="A337" s="13">
        <v>43900.75</v>
      </c>
      <c r="B337" s="12" t="s">
        <v>22</v>
      </c>
      <c r="C337" s="82">
        <v>5</v>
      </c>
      <c r="D337" s="12" t="s">
        <v>61</v>
      </c>
      <c r="E337" s="82">
        <v>4543490485</v>
      </c>
      <c r="F337" s="82">
        <v>1233845213</v>
      </c>
      <c r="G337" s="82">
        <v>204</v>
      </c>
      <c r="H337" s="82">
        <v>67</v>
      </c>
      <c r="I337" s="82">
        <v>271</v>
      </c>
      <c r="J337" s="82">
        <v>512</v>
      </c>
      <c r="K337" s="82">
        <v>783</v>
      </c>
      <c r="L337" s="82">
        <v>89</v>
      </c>
      <c r="M337" s="82">
        <v>112</v>
      </c>
      <c r="N337" s="82">
        <v>47</v>
      </c>
      <c r="O337" s="82">
        <v>26</v>
      </c>
      <c r="P337" s="82">
        <v>856</v>
      </c>
      <c r="Q337" s="82">
        <v>16643</v>
      </c>
      <c r="R337" s="12" t="s">
        <v>25</v>
      </c>
      <c r="S337" s="12" t="s">
        <v>25</v>
      </c>
      <c r="T337" s="12" t="s">
        <v>25</v>
      </c>
    </row>
    <row r="338" spans="1:20" hidden="1" x14ac:dyDescent="0.3">
      <c r="A338" s="13">
        <v>43901.708333333336</v>
      </c>
      <c r="B338" s="12" t="s">
        <v>22</v>
      </c>
      <c r="C338" s="82">
        <v>13</v>
      </c>
      <c r="D338" s="12" t="s">
        <v>42</v>
      </c>
      <c r="E338" s="82">
        <v>4235122196</v>
      </c>
      <c r="F338" s="82">
        <v>1339843823</v>
      </c>
      <c r="G338" s="82">
        <v>17</v>
      </c>
      <c r="H338" s="82">
        <v>9</v>
      </c>
      <c r="I338" s="82">
        <v>26</v>
      </c>
      <c r="J338" s="82">
        <v>11</v>
      </c>
      <c r="K338" s="82">
        <v>37</v>
      </c>
      <c r="L338" s="82">
        <v>0</v>
      </c>
      <c r="M338" s="82">
        <v>0</v>
      </c>
      <c r="N338" s="82">
        <v>0</v>
      </c>
      <c r="O338" s="82">
        <v>1</v>
      </c>
      <c r="P338" s="82">
        <v>38</v>
      </c>
      <c r="Q338" s="82">
        <v>310</v>
      </c>
      <c r="R338" s="12" t="s">
        <v>25</v>
      </c>
      <c r="S338" s="12" t="s">
        <v>66</v>
      </c>
      <c r="T338" s="12" t="s">
        <v>67</v>
      </c>
    </row>
    <row r="339" spans="1:20" hidden="1" x14ac:dyDescent="0.3">
      <c r="A339" s="13">
        <v>43901.708333333336</v>
      </c>
      <c r="B339" s="12" t="s">
        <v>22</v>
      </c>
      <c r="C339" s="82">
        <v>17</v>
      </c>
      <c r="D339" s="12" t="s">
        <v>43</v>
      </c>
      <c r="E339" s="82">
        <v>4063947052</v>
      </c>
      <c r="F339" s="82">
        <v>1580514834</v>
      </c>
      <c r="G339" s="82">
        <v>1</v>
      </c>
      <c r="H339" s="82">
        <v>1</v>
      </c>
      <c r="I339" s="82">
        <v>2</v>
      </c>
      <c r="J339" s="82">
        <v>6</v>
      </c>
      <c r="K339" s="82">
        <v>8</v>
      </c>
      <c r="L339" s="82">
        <v>1</v>
      </c>
      <c r="M339" s="82">
        <v>1</v>
      </c>
      <c r="N339" s="82">
        <v>0</v>
      </c>
      <c r="O339" s="82">
        <v>0</v>
      </c>
      <c r="P339" s="82">
        <v>8</v>
      </c>
      <c r="Q339" s="82">
        <v>155</v>
      </c>
      <c r="R339" s="12" t="s">
        <v>25</v>
      </c>
      <c r="S339" s="12" t="s">
        <v>25</v>
      </c>
      <c r="T339" s="12" t="s">
        <v>25</v>
      </c>
    </row>
    <row r="340" spans="1:20" hidden="1" x14ac:dyDescent="0.3">
      <c r="A340" s="13">
        <v>43901.708333333336</v>
      </c>
      <c r="B340" s="12" t="s">
        <v>22</v>
      </c>
      <c r="C340" s="82">
        <v>21</v>
      </c>
      <c r="D340" s="12" t="s">
        <v>44</v>
      </c>
      <c r="E340" s="82">
        <v>4649933453</v>
      </c>
      <c r="F340" s="82">
        <v>1135662422</v>
      </c>
      <c r="G340" s="82">
        <v>8</v>
      </c>
      <c r="H340" s="82">
        <v>4</v>
      </c>
      <c r="I340" s="82">
        <v>12</v>
      </c>
      <c r="J340" s="82">
        <v>63</v>
      </c>
      <c r="K340" s="82">
        <v>75</v>
      </c>
      <c r="L340" s="82">
        <v>37</v>
      </c>
      <c r="M340" s="82">
        <v>37</v>
      </c>
      <c r="N340" s="82">
        <v>0</v>
      </c>
      <c r="O340" s="82">
        <v>0</v>
      </c>
      <c r="P340" s="82">
        <v>75</v>
      </c>
      <c r="Q340" s="82">
        <v>75</v>
      </c>
      <c r="R340" s="12" t="s">
        <v>25</v>
      </c>
      <c r="S340" s="12" t="s">
        <v>25</v>
      </c>
      <c r="T340" s="12" t="s">
        <v>25</v>
      </c>
    </row>
    <row r="341" spans="1:20" hidden="1" x14ac:dyDescent="0.3">
      <c r="A341" s="13">
        <v>43901.708333333336</v>
      </c>
      <c r="B341" s="12" t="s">
        <v>22</v>
      </c>
      <c r="C341" s="82">
        <v>18</v>
      </c>
      <c r="D341" s="12" t="s">
        <v>45</v>
      </c>
      <c r="E341" s="82">
        <v>3890597598</v>
      </c>
      <c r="F341" s="82">
        <v>1659440194</v>
      </c>
      <c r="G341" s="82">
        <v>10</v>
      </c>
      <c r="H341" s="82">
        <v>2</v>
      </c>
      <c r="I341" s="82">
        <v>12</v>
      </c>
      <c r="J341" s="82">
        <v>5</v>
      </c>
      <c r="K341" s="82">
        <v>17</v>
      </c>
      <c r="L341" s="82">
        <v>6</v>
      </c>
      <c r="M341" s="82">
        <v>6</v>
      </c>
      <c r="N341" s="82">
        <v>2</v>
      </c>
      <c r="O341" s="82">
        <v>0</v>
      </c>
      <c r="P341" s="82">
        <v>19</v>
      </c>
      <c r="Q341" s="82">
        <v>405</v>
      </c>
      <c r="R341" s="12" t="s">
        <v>25</v>
      </c>
      <c r="S341" s="12" t="s">
        <v>25</v>
      </c>
      <c r="T341" s="12" t="s">
        <v>25</v>
      </c>
    </row>
    <row r="342" spans="1:20" hidden="1" x14ac:dyDescent="0.3">
      <c r="A342" s="13">
        <v>43901.708333333336</v>
      </c>
      <c r="B342" s="12" t="s">
        <v>22</v>
      </c>
      <c r="C342" s="82">
        <v>15</v>
      </c>
      <c r="D342" s="12" t="s">
        <v>46</v>
      </c>
      <c r="E342" s="82">
        <v>4083956555</v>
      </c>
      <c r="F342" s="82">
        <v>1425084984</v>
      </c>
      <c r="G342" s="82">
        <v>56</v>
      </c>
      <c r="H342" s="82">
        <v>11</v>
      </c>
      <c r="I342" s="82">
        <v>67</v>
      </c>
      <c r="J342" s="82">
        <v>82</v>
      </c>
      <c r="K342" s="82">
        <v>149</v>
      </c>
      <c r="L342" s="82">
        <v>23</v>
      </c>
      <c r="M342" s="82">
        <v>27</v>
      </c>
      <c r="N342" s="82">
        <v>4</v>
      </c>
      <c r="O342" s="82">
        <v>1</v>
      </c>
      <c r="P342" s="82">
        <v>154</v>
      </c>
      <c r="Q342" s="82">
        <v>1375</v>
      </c>
      <c r="R342" s="12" t="s">
        <v>25</v>
      </c>
      <c r="S342" s="12" t="s">
        <v>25</v>
      </c>
      <c r="T342" s="12" t="s">
        <v>25</v>
      </c>
    </row>
    <row r="343" spans="1:20" hidden="1" x14ac:dyDescent="0.3">
      <c r="A343" s="13">
        <v>43901.708333333336</v>
      </c>
      <c r="B343" s="12" t="s">
        <v>22</v>
      </c>
      <c r="C343" s="82">
        <v>8</v>
      </c>
      <c r="D343" s="12" t="s">
        <v>95</v>
      </c>
      <c r="E343" s="82">
        <v>4449436681</v>
      </c>
      <c r="F343" s="82">
        <v>113417208</v>
      </c>
      <c r="G343" s="82">
        <v>745</v>
      </c>
      <c r="H343" s="82">
        <v>104</v>
      </c>
      <c r="I343" s="82">
        <v>849</v>
      </c>
      <c r="J343" s="82">
        <v>739</v>
      </c>
      <c r="K343" s="82">
        <v>1588</v>
      </c>
      <c r="L343" s="82">
        <v>171</v>
      </c>
      <c r="M343" s="82">
        <v>206</v>
      </c>
      <c r="N343" s="82">
        <v>38</v>
      </c>
      <c r="O343" s="82">
        <v>113</v>
      </c>
      <c r="P343" s="82">
        <v>1739</v>
      </c>
      <c r="Q343" s="82">
        <v>6640</v>
      </c>
      <c r="R343" s="12" t="s">
        <v>25</v>
      </c>
      <c r="S343" s="12" t="s">
        <v>25</v>
      </c>
      <c r="T343" s="12" t="s">
        <v>25</v>
      </c>
    </row>
    <row r="344" spans="1:20" hidden="1" x14ac:dyDescent="0.3">
      <c r="A344" s="13">
        <v>43901.708333333336</v>
      </c>
      <c r="B344" s="12" t="s">
        <v>22</v>
      </c>
      <c r="C344" s="82">
        <v>6</v>
      </c>
      <c r="D344" s="12" t="s">
        <v>47</v>
      </c>
      <c r="E344" s="82">
        <v>456494354</v>
      </c>
      <c r="F344" s="82">
        <v>1376813649</v>
      </c>
      <c r="G344" s="82">
        <v>16</v>
      </c>
      <c r="H344" s="82">
        <v>5</v>
      </c>
      <c r="I344" s="82">
        <v>21</v>
      </c>
      <c r="J344" s="82">
        <v>89</v>
      </c>
      <c r="K344" s="82">
        <v>110</v>
      </c>
      <c r="L344" s="82">
        <v>0</v>
      </c>
      <c r="M344" s="82">
        <v>10</v>
      </c>
      <c r="N344" s="82">
        <v>10</v>
      </c>
      <c r="O344" s="82">
        <v>6</v>
      </c>
      <c r="P344" s="82">
        <v>126</v>
      </c>
      <c r="Q344" s="82">
        <v>2073</v>
      </c>
      <c r="R344" s="12" t="s">
        <v>25</v>
      </c>
      <c r="S344" s="12" t="s">
        <v>25</v>
      </c>
      <c r="T344" s="12" t="s">
        <v>25</v>
      </c>
    </row>
    <row r="345" spans="1:20" hidden="1" x14ac:dyDescent="0.3">
      <c r="A345" s="13">
        <v>43901.708333333336</v>
      </c>
      <c r="B345" s="12" t="s">
        <v>22</v>
      </c>
      <c r="C345" s="82">
        <v>12</v>
      </c>
      <c r="D345" s="12" t="s">
        <v>48</v>
      </c>
      <c r="E345" s="82">
        <v>4189277044</v>
      </c>
      <c r="F345" s="82">
        <v>1248366722</v>
      </c>
      <c r="G345" s="82">
        <v>67</v>
      </c>
      <c r="H345" s="82">
        <v>18</v>
      </c>
      <c r="I345" s="82">
        <v>85</v>
      </c>
      <c r="J345" s="82">
        <v>40</v>
      </c>
      <c r="K345" s="82">
        <v>125</v>
      </c>
      <c r="L345" s="82">
        <v>26</v>
      </c>
      <c r="M345" s="82">
        <v>34</v>
      </c>
      <c r="N345" s="82">
        <v>19</v>
      </c>
      <c r="O345" s="82">
        <v>6</v>
      </c>
      <c r="P345" s="82">
        <v>150</v>
      </c>
      <c r="Q345" s="82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82">
        <v>7</v>
      </c>
      <c r="D346" s="12" t="s">
        <v>49</v>
      </c>
      <c r="E346" s="82">
        <v>4441149315</v>
      </c>
      <c r="F346" s="82">
        <v>89326992</v>
      </c>
      <c r="G346" s="82">
        <v>74</v>
      </c>
      <c r="H346" s="82">
        <v>34</v>
      </c>
      <c r="I346" s="82">
        <v>108</v>
      </c>
      <c r="J346" s="82">
        <v>73</v>
      </c>
      <c r="K346" s="82">
        <v>181</v>
      </c>
      <c r="L346" s="82">
        <v>53</v>
      </c>
      <c r="M346" s="82">
        <v>53</v>
      </c>
      <c r="N346" s="82">
        <v>5</v>
      </c>
      <c r="O346" s="82">
        <v>8</v>
      </c>
      <c r="P346" s="82">
        <v>194</v>
      </c>
      <c r="Q346" s="82">
        <v>1025</v>
      </c>
      <c r="R346" s="12" t="s">
        <v>25</v>
      </c>
      <c r="S346" s="12" t="s">
        <v>25</v>
      </c>
      <c r="T346" s="12" t="s">
        <v>25</v>
      </c>
    </row>
    <row r="347" spans="1:20" hidden="1" x14ac:dyDescent="0.3">
      <c r="A347" s="13">
        <v>43901.708333333336</v>
      </c>
      <c r="B347" s="12" t="s">
        <v>22</v>
      </c>
      <c r="C347" s="82">
        <v>3</v>
      </c>
      <c r="D347" s="12" t="s">
        <v>50</v>
      </c>
      <c r="E347" s="82">
        <v>4546679409</v>
      </c>
      <c r="F347" s="82">
        <v>9190347404</v>
      </c>
      <c r="G347" s="82">
        <v>3852</v>
      </c>
      <c r="H347" s="82">
        <v>560</v>
      </c>
      <c r="I347" s="82">
        <v>4412</v>
      </c>
      <c r="J347" s="82">
        <v>1351</v>
      </c>
      <c r="K347" s="82">
        <v>5763</v>
      </c>
      <c r="L347" s="82">
        <v>1336</v>
      </c>
      <c r="M347" s="82">
        <v>1489</v>
      </c>
      <c r="N347" s="82">
        <v>900</v>
      </c>
      <c r="O347" s="82">
        <v>617</v>
      </c>
      <c r="P347" s="82">
        <v>7280</v>
      </c>
      <c r="Q347" s="82">
        <v>25629</v>
      </c>
      <c r="R347" s="12" t="s">
        <v>25</v>
      </c>
      <c r="S347" s="12" t="s">
        <v>25</v>
      </c>
      <c r="T347" s="12" t="s">
        <v>25</v>
      </c>
    </row>
    <row r="348" spans="1:20" hidden="1" x14ac:dyDescent="0.3">
      <c r="A348" s="13">
        <v>43901.708333333336</v>
      </c>
      <c r="B348" s="12" t="s">
        <v>22</v>
      </c>
      <c r="C348" s="82">
        <v>11</v>
      </c>
      <c r="D348" s="12" t="s">
        <v>51</v>
      </c>
      <c r="E348" s="82">
        <v>4361675973</v>
      </c>
      <c r="F348" s="82">
        <v>135188753</v>
      </c>
      <c r="G348" s="82">
        <v>212</v>
      </c>
      <c r="H348" s="82">
        <v>66</v>
      </c>
      <c r="I348" s="82">
        <v>278</v>
      </c>
      <c r="J348" s="82">
        <v>183</v>
      </c>
      <c r="K348" s="82">
        <v>461</v>
      </c>
      <c r="L348" s="82">
        <v>80</v>
      </c>
      <c r="M348" s="82">
        <v>85</v>
      </c>
      <c r="N348" s="82">
        <v>0</v>
      </c>
      <c r="O348" s="82">
        <v>18</v>
      </c>
      <c r="P348" s="82">
        <v>479</v>
      </c>
      <c r="Q348" s="82">
        <v>1656</v>
      </c>
      <c r="R348" s="12" t="s">
        <v>25</v>
      </c>
      <c r="S348" s="12" t="s">
        <v>25</v>
      </c>
      <c r="T348" s="12" t="s">
        <v>25</v>
      </c>
    </row>
    <row r="349" spans="1:20" hidden="1" x14ac:dyDescent="0.3">
      <c r="A349" s="13">
        <v>43901.708333333336</v>
      </c>
      <c r="B349" s="12" t="s">
        <v>22</v>
      </c>
      <c r="C349" s="82">
        <v>14</v>
      </c>
      <c r="D349" s="12" t="s">
        <v>52</v>
      </c>
      <c r="E349" s="82">
        <v>4155774754</v>
      </c>
      <c r="F349" s="82">
        <v>1465916051</v>
      </c>
      <c r="G349" s="82">
        <v>4</v>
      </c>
      <c r="H349" s="82">
        <v>3</v>
      </c>
      <c r="I349" s="82">
        <v>7</v>
      </c>
      <c r="J349" s="82">
        <v>9</v>
      </c>
      <c r="K349" s="82">
        <v>16</v>
      </c>
      <c r="L349" s="82">
        <v>1</v>
      </c>
      <c r="M349" s="82">
        <v>1</v>
      </c>
      <c r="N349" s="82">
        <v>0</v>
      </c>
      <c r="O349" s="82">
        <v>0</v>
      </c>
      <c r="P349" s="82">
        <v>16</v>
      </c>
      <c r="Q349" s="82">
        <v>233</v>
      </c>
      <c r="R349" s="12" t="s">
        <v>25</v>
      </c>
      <c r="S349" s="12" t="s">
        <v>25</v>
      </c>
      <c r="T349" s="12" t="s">
        <v>25</v>
      </c>
    </row>
    <row r="350" spans="1:20" hidden="1" x14ac:dyDescent="0.3">
      <c r="A350" s="13">
        <v>43901.708333333336</v>
      </c>
      <c r="B350" s="12" t="s">
        <v>22</v>
      </c>
      <c r="C350" s="82">
        <v>1</v>
      </c>
      <c r="D350" s="12" t="s">
        <v>53</v>
      </c>
      <c r="E350" s="82">
        <v>450732745</v>
      </c>
      <c r="F350" s="82">
        <v>7680687483</v>
      </c>
      <c r="G350" s="82">
        <v>319</v>
      </c>
      <c r="H350" s="82">
        <v>75</v>
      </c>
      <c r="I350" s="82">
        <v>394</v>
      </c>
      <c r="J350" s="82">
        <v>86</v>
      </c>
      <c r="K350" s="82">
        <v>480</v>
      </c>
      <c r="L350" s="82">
        <v>44</v>
      </c>
      <c r="M350" s="82">
        <v>48</v>
      </c>
      <c r="N350" s="82">
        <v>0</v>
      </c>
      <c r="O350" s="82">
        <v>21</v>
      </c>
      <c r="P350" s="82">
        <v>501</v>
      </c>
      <c r="Q350" s="82">
        <v>2431</v>
      </c>
      <c r="R350" s="12" t="s">
        <v>25</v>
      </c>
      <c r="S350" s="12" t="s">
        <v>25</v>
      </c>
      <c r="T350" s="12" t="s">
        <v>25</v>
      </c>
    </row>
    <row r="351" spans="1:20" hidden="1" x14ac:dyDescent="0.3">
      <c r="A351" s="13">
        <v>43901.708333333336</v>
      </c>
      <c r="B351" s="12" t="s">
        <v>22</v>
      </c>
      <c r="C351" s="82">
        <v>16</v>
      </c>
      <c r="D351" s="12" t="s">
        <v>54</v>
      </c>
      <c r="E351" s="82">
        <v>4112559576</v>
      </c>
      <c r="F351" s="82">
        <v>1686736689</v>
      </c>
      <c r="G351" s="82">
        <v>38</v>
      </c>
      <c r="H351" s="82">
        <v>4</v>
      </c>
      <c r="I351" s="82">
        <v>42</v>
      </c>
      <c r="J351" s="82">
        <v>29</v>
      </c>
      <c r="K351" s="82">
        <v>71</v>
      </c>
      <c r="L351" s="82">
        <v>16</v>
      </c>
      <c r="M351" s="82">
        <v>18</v>
      </c>
      <c r="N351" s="82">
        <v>1</v>
      </c>
      <c r="O351" s="82">
        <v>5</v>
      </c>
      <c r="P351" s="82">
        <v>77</v>
      </c>
      <c r="Q351" s="82">
        <v>909</v>
      </c>
      <c r="R351" s="12" t="s">
        <v>25</v>
      </c>
      <c r="S351" s="12" t="s">
        <v>25</v>
      </c>
      <c r="T351" s="12" t="s">
        <v>25</v>
      </c>
    </row>
    <row r="352" spans="1:20" hidden="1" x14ac:dyDescent="0.3">
      <c r="A352" s="13">
        <v>43901.708333333336</v>
      </c>
      <c r="B352" s="12" t="s">
        <v>22</v>
      </c>
      <c r="C352" s="82">
        <v>20</v>
      </c>
      <c r="D352" s="12" t="s">
        <v>55</v>
      </c>
      <c r="E352" s="82">
        <v>3921531192</v>
      </c>
      <c r="F352" s="82">
        <v>9110616306</v>
      </c>
      <c r="G352" s="82">
        <v>10</v>
      </c>
      <c r="H352" s="82">
        <v>0</v>
      </c>
      <c r="I352" s="82">
        <v>10</v>
      </c>
      <c r="J352" s="82">
        <v>27</v>
      </c>
      <c r="K352" s="82">
        <v>37</v>
      </c>
      <c r="L352" s="82">
        <v>17</v>
      </c>
      <c r="M352" s="82">
        <v>17</v>
      </c>
      <c r="N352" s="82">
        <v>0</v>
      </c>
      <c r="O352" s="82">
        <v>0</v>
      </c>
      <c r="P352" s="82">
        <v>37</v>
      </c>
      <c r="Q352" s="82">
        <v>283</v>
      </c>
      <c r="R352" s="12" t="s">
        <v>25</v>
      </c>
      <c r="S352" s="12" t="s">
        <v>25</v>
      </c>
      <c r="T352" s="12" t="s">
        <v>25</v>
      </c>
    </row>
    <row r="353" spans="1:20" hidden="1" x14ac:dyDescent="0.3">
      <c r="A353" s="13">
        <v>43901.708333333336</v>
      </c>
      <c r="B353" s="12" t="s">
        <v>22</v>
      </c>
      <c r="C353" s="82">
        <v>19</v>
      </c>
      <c r="D353" s="12" t="s">
        <v>56</v>
      </c>
      <c r="E353" s="82">
        <v>3811569725</v>
      </c>
      <c r="F353" s="82">
        <v>133623567</v>
      </c>
      <c r="G353" s="82">
        <v>23</v>
      </c>
      <c r="H353" s="82">
        <v>1</v>
      </c>
      <c r="I353" s="82">
        <v>24</v>
      </c>
      <c r="J353" s="82">
        <v>57</v>
      </c>
      <c r="K353" s="82">
        <v>81</v>
      </c>
      <c r="L353" s="82">
        <v>21</v>
      </c>
      <c r="M353" s="82">
        <v>21</v>
      </c>
      <c r="N353" s="82">
        <v>2</v>
      </c>
      <c r="O353" s="82">
        <v>0</v>
      </c>
      <c r="P353" s="82">
        <v>83</v>
      </c>
      <c r="Q353" s="82">
        <v>1194</v>
      </c>
      <c r="R353" s="12" t="s">
        <v>25</v>
      </c>
      <c r="S353" s="12" t="s">
        <v>25</v>
      </c>
      <c r="T353" s="12" t="s">
        <v>25</v>
      </c>
    </row>
    <row r="354" spans="1:20" hidden="1" x14ac:dyDescent="0.3">
      <c r="A354" s="13">
        <v>43901.708333333336</v>
      </c>
      <c r="B354" s="12" t="s">
        <v>22</v>
      </c>
      <c r="C354" s="82">
        <v>9</v>
      </c>
      <c r="D354" s="12" t="s">
        <v>57</v>
      </c>
      <c r="E354" s="82">
        <v>4376923077</v>
      </c>
      <c r="F354" s="82">
        <v>1125588885</v>
      </c>
      <c r="G354" s="82">
        <v>87</v>
      </c>
      <c r="H354" s="82">
        <v>54</v>
      </c>
      <c r="I354" s="82">
        <v>141</v>
      </c>
      <c r="J354" s="82">
        <v>173</v>
      </c>
      <c r="K354" s="82">
        <v>314</v>
      </c>
      <c r="L354" s="82">
        <v>54</v>
      </c>
      <c r="M354" s="82">
        <v>56</v>
      </c>
      <c r="N354" s="82">
        <v>5</v>
      </c>
      <c r="O354" s="82">
        <v>1</v>
      </c>
      <c r="P354" s="82">
        <v>320</v>
      </c>
      <c r="Q354" s="82">
        <v>2804</v>
      </c>
      <c r="R354" s="12" t="s">
        <v>25</v>
      </c>
      <c r="S354" s="12" t="s">
        <v>25</v>
      </c>
      <c r="T354" s="12" t="s">
        <v>25</v>
      </c>
    </row>
    <row r="355" spans="1:20" hidden="1" x14ac:dyDescent="0.3">
      <c r="A355" s="13">
        <v>43901.708333333336</v>
      </c>
      <c r="B355" s="12" t="s">
        <v>22</v>
      </c>
      <c r="C355" s="82">
        <v>22</v>
      </c>
      <c r="D355" s="12" t="s">
        <v>58</v>
      </c>
      <c r="E355" s="82">
        <v>4606893511</v>
      </c>
      <c r="F355" s="82">
        <v>1112123097</v>
      </c>
      <c r="G355" s="82">
        <v>28</v>
      </c>
      <c r="H355" s="82">
        <v>4</v>
      </c>
      <c r="I355" s="82">
        <v>32</v>
      </c>
      <c r="J355" s="82">
        <v>42</v>
      </c>
      <c r="K355" s="82">
        <v>74</v>
      </c>
      <c r="L355" s="82">
        <v>24</v>
      </c>
      <c r="M355" s="82">
        <v>25</v>
      </c>
      <c r="N355" s="82">
        <v>3</v>
      </c>
      <c r="O355" s="82">
        <v>0</v>
      </c>
      <c r="P355" s="82">
        <v>77</v>
      </c>
      <c r="Q355" s="82">
        <v>527</v>
      </c>
      <c r="R355" s="12" t="s">
        <v>25</v>
      </c>
      <c r="S355" s="12" t="s">
        <v>25</v>
      </c>
      <c r="T355" s="12" t="s">
        <v>25</v>
      </c>
    </row>
    <row r="356" spans="1:20" hidden="1" x14ac:dyDescent="0.3">
      <c r="A356" s="13">
        <v>43901.708333333336</v>
      </c>
      <c r="B356" s="12" t="s">
        <v>22</v>
      </c>
      <c r="C356" s="82">
        <v>10</v>
      </c>
      <c r="D356" s="12" t="s">
        <v>59</v>
      </c>
      <c r="E356" s="82">
        <v>4310675841</v>
      </c>
      <c r="F356" s="82">
        <v>1238824698</v>
      </c>
      <c r="G356" s="82">
        <v>7</v>
      </c>
      <c r="H356" s="82">
        <v>5</v>
      </c>
      <c r="I356" s="82">
        <v>12</v>
      </c>
      <c r="J356" s="82">
        <v>32</v>
      </c>
      <c r="K356" s="82">
        <v>44</v>
      </c>
      <c r="L356" s="82">
        <v>7</v>
      </c>
      <c r="M356" s="82">
        <v>9</v>
      </c>
      <c r="N356" s="82">
        <v>2</v>
      </c>
      <c r="O356" s="82">
        <v>0</v>
      </c>
      <c r="P356" s="82">
        <v>46</v>
      </c>
      <c r="Q356" s="82">
        <v>340</v>
      </c>
      <c r="R356" s="12" t="s">
        <v>25</v>
      </c>
      <c r="S356" s="12" t="s">
        <v>25</v>
      </c>
      <c r="T356" s="12" t="s">
        <v>25</v>
      </c>
    </row>
    <row r="357" spans="1:20" hidden="1" x14ac:dyDescent="0.3">
      <c r="A357" s="13">
        <v>43901.708333333336</v>
      </c>
      <c r="B357" s="12" t="s">
        <v>22</v>
      </c>
      <c r="C357" s="82">
        <v>2</v>
      </c>
      <c r="D357" s="12" t="s">
        <v>60</v>
      </c>
      <c r="E357" s="82">
        <v>4573750286</v>
      </c>
      <c r="F357" s="82">
        <v>7320149366</v>
      </c>
      <c r="G357" s="82">
        <v>2</v>
      </c>
      <c r="H357" s="82">
        <v>0</v>
      </c>
      <c r="I357" s="82">
        <v>2</v>
      </c>
      <c r="J357" s="82">
        <v>17</v>
      </c>
      <c r="K357" s="82">
        <v>19</v>
      </c>
      <c r="L357" s="82">
        <v>2</v>
      </c>
      <c r="M357" s="82">
        <v>3</v>
      </c>
      <c r="N357" s="82">
        <v>0</v>
      </c>
      <c r="O357" s="82">
        <v>1</v>
      </c>
      <c r="P357" s="82">
        <v>20</v>
      </c>
      <c r="Q357" s="82">
        <v>99</v>
      </c>
      <c r="R357" s="12" t="s">
        <v>25</v>
      </c>
      <c r="S357" s="12" t="s">
        <v>25</v>
      </c>
      <c r="T357" s="12" t="s">
        <v>25</v>
      </c>
    </row>
    <row r="358" spans="1:20" hidden="1" x14ac:dyDescent="0.3">
      <c r="A358" s="13">
        <v>43901.708333333336</v>
      </c>
      <c r="B358" s="12" t="s">
        <v>22</v>
      </c>
      <c r="C358" s="82">
        <v>5</v>
      </c>
      <c r="D358" s="12" t="s">
        <v>61</v>
      </c>
      <c r="E358" s="82">
        <v>4543490485</v>
      </c>
      <c r="F358" s="82">
        <v>1233845213</v>
      </c>
      <c r="G358" s="82">
        <v>262</v>
      </c>
      <c r="H358" s="82">
        <v>68</v>
      </c>
      <c r="I358" s="82">
        <v>330</v>
      </c>
      <c r="J358" s="82">
        <v>610</v>
      </c>
      <c r="K358" s="82">
        <v>940</v>
      </c>
      <c r="L358" s="82">
        <v>157</v>
      </c>
      <c r="M358" s="82">
        <v>167</v>
      </c>
      <c r="N358" s="82">
        <v>54</v>
      </c>
      <c r="O358" s="82">
        <v>29</v>
      </c>
      <c r="P358" s="82">
        <v>1023</v>
      </c>
      <c r="Q358" s="82">
        <v>21400</v>
      </c>
      <c r="R358" s="12" t="s">
        <v>25</v>
      </c>
      <c r="S358" s="12" t="s">
        <v>25</v>
      </c>
      <c r="T358" s="12" t="s">
        <v>25</v>
      </c>
    </row>
    <row r="359" spans="1:20" hidden="1" x14ac:dyDescent="0.3">
      <c r="A359" s="13">
        <v>43902.708333333336</v>
      </c>
      <c r="B359" s="12" t="s">
        <v>22</v>
      </c>
      <c r="C359" s="82">
        <v>13</v>
      </c>
      <c r="D359" s="12" t="s">
        <v>42</v>
      </c>
      <c r="E359" s="82">
        <v>4235122196</v>
      </c>
      <c r="F359" s="82">
        <v>1339843823</v>
      </c>
      <c r="G359" s="82">
        <v>47</v>
      </c>
      <c r="H359" s="82">
        <v>12</v>
      </c>
      <c r="I359" s="82">
        <v>59</v>
      </c>
      <c r="J359" s="82">
        <v>19</v>
      </c>
      <c r="K359" s="82">
        <v>78</v>
      </c>
      <c r="L359" s="82">
        <v>41</v>
      </c>
      <c r="M359" s="82">
        <v>46</v>
      </c>
      <c r="N359" s="82">
        <v>4</v>
      </c>
      <c r="O359" s="82">
        <v>2</v>
      </c>
      <c r="P359" s="82">
        <v>84</v>
      </c>
      <c r="Q359" s="82">
        <v>867</v>
      </c>
      <c r="R359" s="12" t="s">
        <v>25</v>
      </c>
      <c r="S359" s="12" t="s">
        <v>25</v>
      </c>
      <c r="T359" s="12" t="s">
        <v>25</v>
      </c>
    </row>
    <row r="360" spans="1:20" hidden="1" x14ac:dyDescent="0.3">
      <c r="A360" s="13">
        <v>43902.708333333336</v>
      </c>
      <c r="B360" s="12" t="s">
        <v>22</v>
      </c>
      <c r="C360" s="82">
        <v>17</v>
      </c>
      <c r="D360" s="12" t="s">
        <v>43</v>
      </c>
      <c r="E360" s="82">
        <v>4063947052</v>
      </c>
      <c r="F360" s="82">
        <v>1580514834</v>
      </c>
      <c r="G360" s="82">
        <v>1</v>
      </c>
      <c r="H360" s="82">
        <v>1</v>
      </c>
      <c r="I360" s="82">
        <v>2</v>
      </c>
      <c r="J360" s="82">
        <v>6</v>
      </c>
      <c r="K360" s="82">
        <v>8</v>
      </c>
      <c r="L360" s="82">
        <v>0</v>
      </c>
      <c r="M360" s="82">
        <v>0</v>
      </c>
      <c r="N360" s="82">
        <v>0</v>
      </c>
      <c r="O360" s="82">
        <v>0</v>
      </c>
      <c r="P360" s="82">
        <v>8</v>
      </c>
      <c r="Q360" s="82">
        <v>155</v>
      </c>
      <c r="R360" s="12" t="s">
        <v>25</v>
      </c>
      <c r="S360" s="12" t="s">
        <v>25</v>
      </c>
      <c r="T360" s="12" t="s">
        <v>25</v>
      </c>
    </row>
    <row r="361" spans="1:20" hidden="1" x14ac:dyDescent="0.3">
      <c r="A361" s="13">
        <v>43902.708333333336</v>
      </c>
      <c r="B361" s="12" t="s">
        <v>22</v>
      </c>
      <c r="C361" s="82">
        <v>21</v>
      </c>
      <c r="D361" s="12" t="s">
        <v>44</v>
      </c>
      <c r="E361" s="82">
        <v>4649933453</v>
      </c>
      <c r="F361" s="82">
        <v>1135662422</v>
      </c>
      <c r="G361" s="82">
        <v>21</v>
      </c>
      <c r="H361" s="82">
        <v>4</v>
      </c>
      <c r="I361" s="82">
        <v>25</v>
      </c>
      <c r="J361" s="82">
        <v>78</v>
      </c>
      <c r="K361" s="82">
        <v>103</v>
      </c>
      <c r="L361" s="82">
        <v>28</v>
      </c>
      <c r="M361" s="82">
        <v>29</v>
      </c>
      <c r="N361" s="82">
        <v>0</v>
      </c>
      <c r="O361" s="82">
        <v>1</v>
      </c>
      <c r="P361" s="82">
        <v>104</v>
      </c>
      <c r="Q361" s="82">
        <v>607</v>
      </c>
      <c r="R361" s="12" t="s">
        <v>25</v>
      </c>
      <c r="S361" s="12" t="s">
        <v>25</v>
      </c>
      <c r="T361" s="12" t="s">
        <v>25</v>
      </c>
    </row>
    <row r="362" spans="1:20" hidden="1" x14ac:dyDescent="0.3">
      <c r="A362" s="13">
        <v>43902.708333333336</v>
      </c>
      <c r="B362" s="12" t="s">
        <v>22</v>
      </c>
      <c r="C362" s="82">
        <v>18</v>
      </c>
      <c r="D362" s="12" t="s">
        <v>45</v>
      </c>
      <c r="E362" s="82">
        <v>3890597598</v>
      </c>
      <c r="F362" s="82">
        <v>1659440194</v>
      </c>
      <c r="G362" s="82">
        <v>14</v>
      </c>
      <c r="H362" s="82">
        <v>2</v>
      </c>
      <c r="I362" s="82">
        <v>16</v>
      </c>
      <c r="J362" s="82">
        <v>16</v>
      </c>
      <c r="K362" s="82">
        <v>32</v>
      </c>
      <c r="L362" s="82">
        <v>15</v>
      </c>
      <c r="M362" s="82">
        <v>14</v>
      </c>
      <c r="N362" s="82">
        <v>1</v>
      </c>
      <c r="O362" s="82">
        <v>0</v>
      </c>
      <c r="P362" s="82">
        <v>33</v>
      </c>
      <c r="Q362" s="82">
        <v>483</v>
      </c>
      <c r="R362" s="12" t="s">
        <v>25</v>
      </c>
      <c r="S362" s="12" t="s">
        <v>25</v>
      </c>
      <c r="T362" s="12" t="s">
        <v>25</v>
      </c>
    </row>
    <row r="363" spans="1:20" hidden="1" x14ac:dyDescent="0.3">
      <c r="A363" s="13">
        <v>43902.708333333336</v>
      </c>
      <c r="B363" s="12" t="s">
        <v>22</v>
      </c>
      <c r="C363" s="82">
        <v>15</v>
      </c>
      <c r="D363" s="12" t="s">
        <v>46</v>
      </c>
      <c r="E363" s="82">
        <v>4083956555</v>
      </c>
      <c r="F363" s="82">
        <v>1425084984</v>
      </c>
      <c r="G363" s="82">
        <v>56</v>
      </c>
      <c r="H363" s="82">
        <v>11</v>
      </c>
      <c r="I363" s="82">
        <v>67</v>
      </c>
      <c r="J363" s="82">
        <v>107</v>
      </c>
      <c r="K363" s="82">
        <v>174</v>
      </c>
      <c r="L363" s="82">
        <v>25</v>
      </c>
      <c r="M363" s="82">
        <v>25</v>
      </c>
      <c r="N363" s="82">
        <v>4</v>
      </c>
      <c r="O363" s="82">
        <v>1</v>
      </c>
      <c r="P363" s="82">
        <v>179</v>
      </c>
      <c r="Q363" s="82">
        <v>1551</v>
      </c>
      <c r="R363" s="12" t="s">
        <v>25</v>
      </c>
      <c r="S363" s="12" t="s">
        <v>25</v>
      </c>
      <c r="T363" s="12" t="s">
        <v>25</v>
      </c>
    </row>
    <row r="364" spans="1:20" hidden="1" x14ac:dyDescent="0.3">
      <c r="A364" s="13">
        <v>43902.708333333336</v>
      </c>
      <c r="B364" s="12" t="s">
        <v>22</v>
      </c>
      <c r="C364" s="82">
        <v>8</v>
      </c>
      <c r="D364" s="12" t="s">
        <v>95</v>
      </c>
      <c r="E364" s="82">
        <v>4449436681</v>
      </c>
      <c r="F364" s="82">
        <v>113417208</v>
      </c>
      <c r="G364" s="82">
        <v>814</v>
      </c>
      <c r="H364" s="82">
        <v>112</v>
      </c>
      <c r="I364" s="82">
        <v>926</v>
      </c>
      <c r="J364" s="82">
        <v>832</v>
      </c>
      <c r="K364" s="82">
        <v>1758</v>
      </c>
      <c r="L364" s="82">
        <v>170</v>
      </c>
      <c r="M364" s="82">
        <v>208</v>
      </c>
      <c r="N364" s="82">
        <v>43</v>
      </c>
      <c r="O364" s="82">
        <v>146</v>
      </c>
      <c r="P364" s="82">
        <v>1947</v>
      </c>
      <c r="Q364" s="82">
        <v>7600</v>
      </c>
      <c r="R364" s="12" t="s">
        <v>25</v>
      </c>
      <c r="S364" s="12" t="s">
        <v>25</v>
      </c>
      <c r="T364" s="12" t="s">
        <v>25</v>
      </c>
    </row>
    <row r="365" spans="1:20" hidden="1" x14ac:dyDescent="0.3">
      <c r="A365" s="13">
        <v>43902.708333333336</v>
      </c>
      <c r="B365" s="12" t="s">
        <v>22</v>
      </c>
      <c r="C365" s="82">
        <v>6</v>
      </c>
      <c r="D365" s="12" t="s">
        <v>47</v>
      </c>
      <c r="E365" s="82">
        <v>456494354</v>
      </c>
      <c r="F365" s="82">
        <v>1376813649</v>
      </c>
      <c r="G365" s="82">
        <v>23</v>
      </c>
      <c r="H365" s="82">
        <v>10</v>
      </c>
      <c r="I365" s="82">
        <v>33</v>
      </c>
      <c r="J365" s="82">
        <v>115</v>
      </c>
      <c r="K365" s="82">
        <v>148</v>
      </c>
      <c r="L365" s="82">
        <v>38</v>
      </c>
      <c r="M365" s="82">
        <v>41</v>
      </c>
      <c r="N365" s="82">
        <v>11</v>
      </c>
      <c r="O365" s="82">
        <v>8</v>
      </c>
      <c r="P365" s="82">
        <v>167</v>
      </c>
      <c r="Q365" s="82">
        <v>2604</v>
      </c>
      <c r="R365" s="12" t="s">
        <v>25</v>
      </c>
      <c r="S365" s="12" t="s">
        <v>25</v>
      </c>
      <c r="T365" s="12" t="s">
        <v>25</v>
      </c>
    </row>
    <row r="366" spans="1:20" hidden="1" x14ac:dyDescent="0.3">
      <c r="A366" s="13">
        <v>43902.708333333336</v>
      </c>
      <c r="B366" s="12" t="s">
        <v>22</v>
      </c>
      <c r="C366" s="82">
        <v>12</v>
      </c>
      <c r="D366" s="12" t="s">
        <v>48</v>
      </c>
      <c r="E366" s="82">
        <v>4189277044</v>
      </c>
      <c r="F366" s="82">
        <v>1248366722</v>
      </c>
      <c r="G366" s="82">
        <v>85</v>
      </c>
      <c r="H366" s="82">
        <v>20</v>
      </c>
      <c r="I366" s="82">
        <v>105</v>
      </c>
      <c r="J366" s="82">
        <v>67</v>
      </c>
      <c r="K366" s="82">
        <v>172</v>
      </c>
      <c r="L366" s="82">
        <v>47</v>
      </c>
      <c r="M366" s="82">
        <v>50</v>
      </c>
      <c r="N366" s="82">
        <v>19</v>
      </c>
      <c r="O366" s="82">
        <v>9</v>
      </c>
      <c r="P366" s="82">
        <v>200</v>
      </c>
      <c r="Q366" s="82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82">
        <v>7</v>
      </c>
      <c r="D367" s="12" t="s">
        <v>49</v>
      </c>
      <c r="E367" s="82">
        <v>4441149315</v>
      </c>
      <c r="F367" s="82">
        <v>89326992</v>
      </c>
      <c r="G367" s="82">
        <v>100</v>
      </c>
      <c r="H367" s="82">
        <v>36</v>
      </c>
      <c r="I367" s="82">
        <v>136</v>
      </c>
      <c r="J367" s="82">
        <v>107</v>
      </c>
      <c r="K367" s="82">
        <v>243</v>
      </c>
      <c r="L367" s="82">
        <v>62</v>
      </c>
      <c r="M367" s="82">
        <v>80</v>
      </c>
      <c r="N367" s="82">
        <v>20</v>
      </c>
      <c r="O367" s="82">
        <v>11</v>
      </c>
      <c r="P367" s="82">
        <v>274</v>
      </c>
      <c r="Q367" s="82">
        <v>1174</v>
      </c>
      <c r="R367" s="12" t="s">
        <v>25</v>
      </c>
      <c r="S367" s="12" t="s">
        <v>25</v>
      </c>
      <c r="T367" s="12" t="s">
        <v>25</v>
      </c>
    </row>
    <row r="368" spans="1:20" hidden="1" x14ac:dyDescent="0.3">
      <c r="A368" s="13">
        <v>43902.708333333336</v>
      </c>
      <c r="B368" s="12" t="s">
        <v>22</v>
      </c>
      <c r="C368" s="82">
        <v>3</v>
      </c>
      <c r="D368" s="12" t="s">
        <v>50</v>
      </c>
      <c r="E368" s="82">
        <v>4546679409</v>
      </c>
      <c r="F368" s="82">
        <v>9190347404</v>
      </c>
      <c r="G368" s="82">
        <v>4247</v>
      </c>
      <c r="H368" s="82">
        <v>605</v>
      </c>
      <c r="I368" s="82">
        <v>4852</v>
      </c>
      <c r="J368" s="82">
        <v>2044</v>
      </c>
      <c r="K368" s="82">
        <v>6896</v>
      </c>
      <c r="L368" s="82">
        <v>1133</v>
      </c>
      <c r="M368" s="82">
        <v>1445</v>
      </c>
      <c r="N368" s="82">
        <v>1085</v>
      </c>
      <c r="O368" s="82">
        <v>744</v>
      </c>
      <c r="P368" s="82">
        <v>8725</v>
      </c>
      <c r="Q368" s="82">
        <v>29534</v>
      </c>
      <c r="R368" s="12" t="s">
        <v>25</v>
      </c>
      <c r="S368" s="12" t="s">
        <v>25</v>
      </c>
      <c r="T368" s="12" t="s">
        <v>25</v>
      </c>
    </row>
    <row r="369" spans="1:20" hidden="1" x14ac:dyDescent="0.3">
      <c r="A369" s="13">
        <v>43902.708333333336</v>
      </c>
      <c r="B369" s="12" t="s">
        <v>22</v>
      </c>
      <c r="C369" s="82">
        <v>11</v>
      </c>
      <c r="D369" s="12" t="s">
        <v>51</v>
      </c>
      <c r="E369" s="82">
        <v>4361675973</v>
      </c>
      <c r="F369" s="82">
        <v>135188753</v>
      </c>
      <c r="G369" s="82">
        <v>254</v>
      </c>
      <c r="H369" s="82">
        <v>76</v>
      </c>
      <c r="I369" s="82">
        <v>330</v>
      </c>
      <c r="J369" s="82">
        <v>240</v>
      </c>
      <c r="K369" s="82">
        <v>570</v>
      </c>
      <c r="L369" s="82">
        <v>109</v>
      </c>
      <c r="M369" s="82">
        <v>113</v>
      </c>
      <c r="N369" s="82">
        <v>0</v>
      </c>
      <c r="O369" s="82">
        <v>22</v>
      </c>
      <c r="P369" s="82">
        <v>592</v>
      </c>
      <c r="Q369" s="82">
        <v>1907</v>
      </c>
      <c r="R369" s="12" t="s">
        <v>25</v>
      </c>
      <c r="S369" s="12" t="s">
        <v>25</v>
      </c>
      <c r="T369" s="12" t="s">
        <v>25</v>
      </c>
    </row>
    <row r="370" spans="1:20" hidden="1" x14ac:dyDescent="0.3">
      <c r="A370" s="13">
        <v>43902.708333333336</v>
      </c>
      <c r="B370" s="12" t="s">
        <v>22</v>
      </c>
      <c r="C370" s="82">
        <v>14</v>
      </c>
      <c r="D370" s="12" t="s">
        <v>52</v>
      </c>
      <c r="E370" s="82">
        <v>4155774754</v>
      </c>
      <c r="F370" s="82">
        <v>1465916051</v>
      </c>
      <c r="G370" s="82">
        <v>4</v>
      </c>
      <c r="H370" s="82">
        <v>3</v>
      </c>
      <c r="I370" s="82">
        <v>7</v>
      </c>
      <c r="J370" s="82">
        <v>9</v>
      </c>
      <c r="K370" s="82">
        <v>16</v>
      </c>
      <c r="L370" s="82">
        <v>0</v>
      </c>
      <c r="M370" s="82">
        <v>0</v>
      </c>
      <c r="N370" s="82">
        <v>0</v>
      </c>
      <c r="O370" s="82">
        <v>0</v>
      </c>
      <c r="P370" s="82">
        <v>16</v>
      </c>
      <c r="Q370" s="82">
        <v>238</v>
      </c>
      <c r="R370" s="12" t="s">
        <v>25</v>
      </c>
      <c r="S370" s="12" t="s">
        <v>25</v>
      </c>
      <c r="T370" s="12" t="s">
        <v>25</v>
      </c>
    </row>
    <row r="371" spans="1:20" hidden="1" x14ac:dyDescent="0.3">
      <c r="A371" s="13">
        <v>43902.708333333336</v>
      </c>
      <c r="B371" s="12" t="s">
        <v>22</v>
      </c>
      <c r="C371" s="82">
        <v>1</v>
      </c>
      <c r="D371" s="12" t="s">
        <v>53</v>
      </c>
      <c r="E371" s="82">
        <v>450732745</v>
      </c>
      <c r="F371" s="82">
        <v>7680687483</v>
      </c>
      <c r="G371" s="82">
        <v>368</v>
      </c>
      <c r="H371" s="82">
        <v>97</v>
      </c>
      <c r="I371" s="82">
        <v>465</v>
      </c>
      <c r="J371" s="82">
        <v>89</v>
      </c>
      <c r="K371" s="82">
        <v>554</v>
      </c>
      <c r="L371" s="82">
        <v>74</v>
      </c>
      <c r="M371" s="82">
        <v>79</v>
      </c>
      <c r="N371" s="82">
        <v>0</v>
      </c>
      <c r="O371" s="82">
        <v>26</v>
      </c>
      <c r="P371" s="82">
        <v>580</v>
      </c>
      <c r="Q371" s="82">
        <v>2879</v>
      </c>
      <c r="R371" s="12" t="s">
        <v>25</v>
      </c>
      <c r="S371" s="12" t="s">
        <v>25</v>
      </c>
      <c r="T371" s="12" t="s">
        <v>25</v>
      </c>
    </row>
    <row r="372" spans="1:20" hidden="1" x14ac:dyDescent="0.3">
      <c r="A372" s="13">
        <v>43902.708333333336</v>
      </c>
      <c r="B372" s="12" t="s">
        <v>22</v>
      </c>
      <c r="C372" s="82">
        <v>16</v>
      </c>
      <c r="D372" s="12" t="s">
        <v>54</v>
      </c>
      <c r="E372" s="82">
        <v>4112559576</v>
      </c>
      <c r="F372" s="82">
        <v>1686736689</v>
      </c>
      <c r="G372" s="82">
        <v>58</v>
      </c>
      <c r="H372" s="82">
        <v>2</v>
      </c>
      <c r="I372" s="82">
        <v>60</v>
      </c>
      <c r="J372" s="82">
        <v>38</v>
      </c>
      <c r="K372" s="82">
        <v>98</v>
      </c>
      <c r="L372" s="82">
        <v>27</v>
      </c>
      <c r="M372" s="82">
        <v>27</v>
      </c>
      <c r="N372" s="82">
        <v>1</v>
      </c>
      <c r="O372" s="82">
        <v>5</v>
      </c>
      <c r="P372" s="82">
        <v>104</v>
      </c>
      <c r="Q372" s="82">
        <v>1269</v>
      </c>
      <c r="R372" s="12" t="s">
        <v>25</v>
      </c>
      <c r="S372" s="12" t="s">
        <v>25</v>
      </c>
      <c r="T372" s="12" t="s">
        <v>25</v>
      </c>
    </row>
    <row r="373" spans="1:20" hidden="1" x14ac:dyDescent="0.3">
      <c r="A373" s="13">
        <v>43902.708333333336</v>
      </c>
      <c r="B373" s="12" t="s">
        <v>22</v>
      </c>
      <c r="C373" s="82">
        <v>20</v>
      </c>
      <c r="D373" s="12" t="s">
        <v>55</v>
      </c>
      <c r="E373" s="82">
        <v>3921531192</v>
      </c>
      <c r="F373" s="82">
        <v>9110616306</v>
      </c>
      <c r="G373" s="82">
        <v>12</v>
      </c>
      <c r="H373" s="82">
        <v>0</v>
      </c>
      <c r="I373" s="82">
        <v>12</v>
      </c>
      <c r="J373" s="82">
        <v>27</v>
      </c>
      <c r="K373" s="82">
        <v>39</v>
      </c>
      <c r="L373" s="82">
        <v>2</v>
      </c>
      <c r="M373" s="82">
        <v>2</v>
      </c>
      <c r="N373" s="82">
        <v>0</v>
      </c>
      <c r="O373" s="82">
        <v>0</v>
      </c>
      <c r="P373" s="82">
        <v>39</v>
      </c>
      <c r="Q373" s="82">
        <v>302</v>
      </c>
      <c r="R373" s="12" t="s">
        <v>25</v>
      </c>
      <c r="S373" s="12" t="s">
        <v>25</v>
      </c>
      <c r="T373" s="12" t="s">
        <v>25</v>
      </c>
    </row>
    <row r="374" spans="1:20" hidden="1" x14ac:dyDescent="0.3">
      <c r="A374" s="13">
        <v>43902.708333333336</v>
      </c>
      <c r="B374" s="12" t="s">
        <v>22</v>
      </c>
      <c r="C374" s="82">
        <v>19</v>
      </c>
      <c r="D374" s="12" t="s">
        <v>56</v>
      </c>
      <c r="E374" s="82">
        <v>3811569725</v>
      </c>
      <c r="F374" s="82">
        <v>133623567</v>
      </c>
      <c r="G374" s="82">
        <v>28</v>
      </c>
      <c r="H374" s="82">
        <v>5</v>
      </c>
      <c r="I374" s="82">
        <v>33</v>
      </c>
      <c r="J374" s="82">
        <v>78</v>
      </c>
      <c r="K374" s="82">
        <v>111</v>
      </c>
      <c r="L374" s="82">
        <v>30</v>
      </c>
      <c r="M374" s="82">
        <v>32</v>
      </c>
      <c r="N374" s="82">
        <v>2</v>
      </c>
      <c r="O374" s="82">
        <v>2</v>
      </c>
      <c r="P374" s="82">
        <v>115</v>
      </c>
      <c r="Q374" s="82">
        <v>1477</v>
      </c>
      <c r="R374" s="12" t="s">
        <v>25</v>
      </c>
      <c r="S374" s="12" t="s">
        <v>25</v>
      </c>
      <c r="T374" s="12" t="s">
        <v>25</v>
      </c>
    </row>
    <row r="375" spans="1:20" hidden="1" x14ac:dyDescent="0.3">
      <c r="A375" s="13">
        <v>43902.708333333336</v>
      </c>
      <c r="B375" s="12" t="s">
        <v>22</v>
      </c>
      <c r="C375" s="82">
        <v>9</v>
      </c>
      <c r="D375" s="12" t="s">
        <v>57</v>
      </c>
      <c r="E375" s="82">
        <v>4376923077</v>
      </c>
      <c r="F375" s="82">
        <v>1125588885</v>
      </c>
      <c r="G375" s="82">
        <v>100</v>
      </c>
      <c r="H375" s="82">
        <v>59</v>
      </c>
      <c r="I375" s="82">
        <v>159</v>
      </c>
      <c r="J375" s="82">
        <v>193</v>
      </c>
      <c r="K375" s="82">
        <v>352</v>
      </c>
      <c r="L375" s="82">
        <v>38</v>
      </c>
      <c r="M375" s="82">
        <v>44</v>
      </c>
      <c r="N375" s="82">
        <v>7</v>
      </c>
      <c r="O375" s="82">
        <v>5</v>
      </c>
      <c r="P375" s="82">
        <v>364</v>
      </c>
      <c r="Q375" s="82">
        <v>3165</v>
      </c>
      <c r="R375" s="12" t="s">
        <v>25</v>
      </c>
      <c r="S375" s="12" t="s">
        <v>25</v>
      </c>
      <c r="T375" s="12" t="s">
        <v>25</v>
      </c>
    </row>
    <row r="376" spans="1:20" hidden="1" x14ac:dyDescent="0.3">
      <c r="A376" s="13">
        <v>43902.708333333336</v>
      </c>
      <c r="B376" s="12" t="s">
        <v>22</v>
      </c>
      <c r="C376" s="82">
        <v>22</v>
      </c>
      <c r="D376" s="12" t="s">
        <v>58</v>
      </c>
      <c r="E376" s="82">
        <v>4606893511</v>
      </c>
      <c r="F376" s="82">
        <v>1112123097</v>
      </c>
      <c r="G376" s="82">
        <v>43</v>
      </c>
      <c r="H376" s="82">
        <v>5</v>
      </c>
      <c r="I376" s="82">
        <v>48</v>
      </c>
      <c r="J376" s="82">
        <v>54</v>
      </c>
      <c r="K376" s="82">
        <v>102</v>
      </c>
      <c r="L376" s="82">
        <v>28</v>
      </c>
      <c r="M376" s="82">
        <v>30</v>
      </c>
      <c r="N376" s="82">
        <v>4</v>
      </c>
      <c r="O376" s="82">
        <v>1</v>
      </c>
      <c r="P376" s="82">
        <v>107</v>
      </c>
      <c r="Q376" s="82">
        <v>593</v>
      </c>
      <c r="R376" s="12" t="s">
        <v>25</v>
      </c>
      <c r="S376" s="12" t="s">
        <v>25</v>
      </c>
      <c r="T376" s="12" t="s">
        <v>25</v>
      </c>
    </row>
    <row r="377" spans="1:20" hidden="1" x14ac:dyDescent="0.3">
      <c r="A377" s="13">
        <v>43902.708333333336</v>
      </c>
      <c r="B377" s="12" t="s">
        <v>22</v>
      </c>
      <c r="C377" s="82">
        <v>10</v>
      </c>
      <c r="D377" s="12" t="s">
        <v>59</v>
      </c>
      <c r="E377" s="82">
        <v>4310675841</v>
      </c>
      <c r="F377" s="82">
        <v>1238824698</v>
      </c>
      <c r="G377" s="82">
        <v>8</v>
      </c>
      <c r="H377" s="82">
        <v>8</v>
      </c>
      <c r="I377" s="82">
        <v>16</v>
      </c>
      <c r="J377" s="82">
        <v>46</v>
      </c>
      <c r="K377" s="82">
        <v>62</v>
      </c>
      <c r="L377" s="82">
        <v>18</v>
      </c>
      <c r="M377" s="82">
        <v>18</v>
      </c>
      <c r="N377" s="82">
        <v>2</v>
      </c>
      <c r="O377" s="82">
        <v>0</v>
      </c>
      <c r="P377" s="82">
        <v>64</v>
      </c>
      <c r="Q377" s="82">
        <v>458</v>
      </c>
      <c r="R377" s="12" t="s">
        <v>25</v>
      </c>
      <c r="S377" s="12" t="s">
        <v>25</v>
      </c>
      <c r="T377" s="12" t="s">
        <v>25</v>
      </c>
    </row>
    <row r="378" spans="1:20" hidden="1" x14ac:dyDescent="0.3">
      <c r="A378" s="13">
        <v>43902.708333333336</v>
      </c>
      <c r="B378" s="12" t="s">
        <v>22</v>
      </c>
      <c r="C378" s="82">
        <v>2</v>
      </c>
      <c r="D378" s="12" t="s">
        <v>60</v>
      </c>
      <c r="E378" s="82">
        <v>4573750286</v>
      </c>
      <c r="F378" s="82">
        <v>7320149366</v>
      </c>
      <c r="G378" s="82">
        <v>7</v>
      </c>
      <c r="H378" s="82">
        <v>0</v>
      </c>
      <c r="I378" s="82">
        <v>7</v>
      </c>
      <c r="J378" s="82">
        <v>19</v>
      </c>
      <c r="K378" s="82">
        <v>26</v>
      </c>
      <c r="L378" s="82">
        <v>7</v>
      </c>
      <c r="M378" s="82">
        <v>7</v>
      </c>
      <c r="N378" s="82">
        <v>0</v>
      </c>
      <c r="O378" s="82">
        <v>1</v>
      </c>
      <c r="P378" s="82">
        <v>27</v>
      </c>
      <c r="Q378" s="82">
        <v>118</v>
      </c>
      <c r="R378" s="12" t="s">
        <v>25</v>
      </c>
      <c r="S378" s="12" t="s">
        <v>25</v>
      </c>
      <c r="T378" s="12" t="s">
        <v>25</v>
      </c>
    </row>
    <row r="379" spans="1:20" hidden="1" x14ac:dyDescent="0.3">
      <c r="A379" s="13">
        <v>43902.708333333336</v>
      </c>
      <c r="B379" s="12" t="s">
        <v>22</v>
      </c>
      <c r="C379" s="82">
        <v>5</v>
      </c>
      <c r="D379" s="12" t="s">
        <v>61</v>
      </c>
      <c r="E379" s="82">
        <v>4543490485</v>
      </c>
      <c r="F379" s="82">
        <v>1233845213</v>
      </c>
      <c r="G379" s="82">
        <v>360</v>
      </c>
      <c r="H379" s="82">
        <v>85</v>
      </c>
      <c r="I379" s="82">
        <v>445</v>
      </c>
      <c r="J379" s="82">
        <v>852</v>
      </c>
      <c r="K379" s="82">
        <v>1297</v>
      </c>
      <c r="L379" s="82">
        <v>357</v>
      </c>
      <c r="M379" s="82">
        <v>361</v>
      </c>
      <c r="N379" s="82">
        <v>55</v>
      </c>
      <c r="O379" s="82">
        <v>32</v>
      </c>
      <c r="P379" s="82">
        <v>1384</v>
      </c>
      <c r="Q379" s="82">
        <v>23438</v>
      </c>
      <c r="R379" s="12" t="s">
        <v>25</v>
      </c>
      <c r="S379" s="12" t="s">
        <v>25</v>
      </c>
      <c r="T379" s="12" t="s">
        <v>25</v>
      </c>
    </row>
    <row r="380" spans="1:20" hidden="1" x14ac:dyDescent="0.3">
      <c r="A380" s="13">
        <v>43903.708333333336</v>
      </c>
      <c r="B380" s="12" t="s">
        <v>22</v>
      </c>
      <c r="C380" s="82">
        <v>13</v>
      </c>
      <c r="D380" s="12" t="s">
        <v>42</v>
      </c>
      <c r="E380" s="82">
        <v>4235122196</v>
      </c>
      <c r="F380" s="82">
        <v>1339843823</v>
      </c>
      <c r="G380" s="82">
        <v>42</v>
      </c>
      <c r="H380" s="82">
        <v>14</v>
      </c>
      <c r="I380" s="82">
        <v>56</v>
      </c>
      <c r="J380" s="82">
        <v>27</v>
      </c>
      <c r="K380" s="82">
        <v>83</v>
      </c>
      <c r="L380" s="82">
        <v>5</v>
      </c>
      <c r="M380" s="82">
        <v>5</v>
      </c>
      <c r="N380" s="82">
        <v>4</v>
      </c>
      <c r="O380" s="82">
        <v>2</v>
      </c>
      <c r="P380" s="82">
        <v>89</v>
      </c>
      <c r="Q380" s="82">
        <v>958</v>
      </c>
      <c r="R380" s="12" t="s">
        <v>25</v>
      </c>
      <c r="S380" s="12" t="s">
        <v>25</v>
      </c>
      <c r="T380" s="12" t="s">
        <v>25</v>
      </c>
    </row>
    <row r="381" spans="1:20" hidden="1" x14ac:dyDescent="0.3">
      <c r="A381" s="13">
        <v>43903.708333333336</v>
      </c>
      <c r="B381" s="12" t="s">
        <v>22</v>
      </c>
      <c r="C381" s="82">
        <v>17</v>
      </c>
      <c r="D381" s="12" t="s">
        <v>43</v>
      </c>
      <c r="E381" s="82">
        <v>4063947052</v>
      </c>
      <c r="F381" s="82">
        <v>1580514834</v>
      </c>
      <c r="G381" s="82">
        <v>1</v>
      </c>
      <c r="H381" s="82">
        <v>1</v>
      </c>
      <c r="I381" s="82">
        <v>2</v>
      </c>
      <c r="J381" s="82">
        <v>8</v>
      </c>
      <c r="K381" s="82">
        <v>10</v>
      </c>
      <c r="L381" s="82">
        <v>2</v>
      </c>
      <c r="M381" s="82">
        <v>2</v>
      </c>
      <c r="N381" s="82">
        <v>0</v>
      </c>
      <c r="O381" s="82">
        <v>0</v>
      </c>
      <c r="P381" s="82">
        <v>10</v>
      </c>
      <c r="Q381" s="82">
        <v>155</v>
      </c>
      <c r="R381" s="12" t="s">
        <v>25</v>
      </c>
      <c r="S381" s="12" t="s">
        <v>25</v>
      </c>
      <c r="T381" s="12" t="s">
        <v>25</v>
      </c>
    </row>
    <row r="382" spans="1:20" hidden="1" x14ac:dyDescent="0.3">
      <c r="A382" s="13">
        <v>43903.708333333336</v>
      </c>
      <c r="B382" s="12" t="s">
        <v>22</v>
      </c>
      <c r="C382" s="82">
        <v>21</v>
      </c>
      <c r="D382" s="12" t="s">
        <v>44</v>
      </c>
      <c r="E382" s="82">
        <v>4649933453</v>
      </c>
      <c r="F382" s="82">
        <v>1135662422</v>
      </c>
      <c r="G382" s="82">
        <v>20</v>
      </c>
      <c r="H382" s="82">
        <v>5</v>
      </c>
      <c r="I382" s="82">
        <v>25</v>
      </c>
      <c r="J382" s="82">
        <v>98</v>
      </c>
      <c r="K382" s="82">
        <v>123</v>
      </c>
      <c r="L382" s="82">
        <v>20</v>
      </c>
      <c r="M382" s="82">
        <v>21</v>
      </c>
      <c r="N382" s="82">
        <v>0</v>
      </c>
      <c r="O382" s="82">
        <v>2</v>
      </c>
      <c r="P382" s="82">
        <v>125</v>
      </c>
      <c r="Q382" s="82">
        <v>811</v>
      </c>
      <c r="R382" s="12" t="s">
        <v>25</v>
      </c>
      <c r="S382" s="12" t="s">
        <v>25</v>
      </c>
      <c r="T382" s="12" t="s">
        <v>25</v>
      </c>
    </row>
    <row r="383" spans="1:20" hidden="1" x14ac:dyDescent="0.3">
      <c r="A383" s="13">
        <v>43903.708333333336</v>
      </c>
      <c r="B383" s="12" t="s">
        <v>22</v>
      </c>
      <c r="C383" s="82">
        <v>18</v>
      </c>
      <c r="D383" s="12" t="s">
        <v>45</v>
      </c>
      <c r="E383" s="82">
        <v>3890597598</v>
      </c>
      <c r="F383" s="82">
        <v>1659440194</v>
      </c>
      <c r="G383" s="82">
        <v>18</v>
      </c>
      <c r="H383" s="82">
        <v>3</v>
      </c>
      <c r="I383" s="82">
        <v>21</v>
      </c>
      <c r="J383" s="82">
        <v>16</v>
      </c>
      <c r="K383" s="82">
        <v>37</v>
      </c>
      <c r="L383" s="82">
        <v>5</v>
      </c>
      <c r="M383" s="82">
        <v>5</v>
      </c>
      <c r="N383" s="82">
        <v>1</v>
      </c>
      <c r="O383" s="82">
        <v>0</v>
      </c>
      <c r="P383" s="82">
        <v>38</v>
      </c>
      <c r="Q383" s="82">
        <v>504</v>
      </c>
      <c r="R383" s="12" t="s">
        <v>25</v>
      </c>
      <c r="S383" s="12" t="s">
        <v>25</v>
      </c>
      <c r="T383" s="12" t="s">
        <v>25</v>
      </c>
    </row>
    <row r="384" spans="1:20" hidden="1" x14ac:dyDescent="0.3">
      <c r="A384" s="13">
        <v>43903.708333333336</v>
      </c>
      <c r="B384" s="12" t="s">
        <v>22</v>
      </c>
      <c r="C384" s="82">
        <v>15</v>
      </c>
      <c r="D384" s="12" t="s">
        <v>46</v>
      </c>
      <c r="E384" s="82">
        <v>4083956555</v>
      </c>
      <c r="F384" s="82">
        <v>1425084984</v>
      </c>
      <c r="G384" s="82">
        <v>60</v>
      </c>
      <c r="H384" s="82">
        <v>19</v>
      </c>
      <c r="I384" s="82">
        <v>79</v>
      </c>
      <c r="J384" s="82">
        <v>134</v>
      </c>
      <c r="K384" s="82">
        <v>213</v>
      </c>
      <c r="L384" s="82">
        <v>39</v>
      </c>
      <c r="M384" s="82">
        <v>41</v>
      </c>
      <c r="N384" s="82">
        <v>5</v>
      </c>
      <c r="O384" s="82">
        <v>2</v>
      </c>
      <c r="P384" s="82">
        <v>220</v>
      </c>
      <c r="Q384" s="82">
        <v>1671</v>
      </c>
      <c r="R384" s="12" t="s">
        <v>25</v>
      </c>
      <c r="S384" s="12" t="s">
        <v>25</v>
      </c>
      <c r="T384" s="12" t="s">
        <v>25</v>
      </c>
    </row>
    <row r="385" spans="1:20" hidden="1" x14ac:dyDescent="0.3">
      <c r="A385" s="13">
        <v>43903.708333333336</v>
      </c>
      <c r="B385" s="12" t="s">
        <v>22</v>
      </c>
      <c r="C385" s="82">
        <v>8</v>
      </c>
      <c r="D385" s="12" t="s">
        <v>95</v>
      </c>
      <c r="E385" s="82">
        <v>4449436681</v>
      </c>
      <c r="F385" s="82">
        <v>113417208</v>
      </c>
      <c r="G385" s="82">
        <v>942</v>
      </c>
      <c r="H385" s="82">
        <v>128</v>
      </c>
      <c r="I385" s="82">
        <v>1070</v>
      </c>
      <c r="J385" s="82">
        <v>941</v>
      </c>
      <c r="K385" s="82">
        <v>2011</v>
      </c>
      <c r="L385" s="82">
        <v>253</v>
      </c>
      <c r="M385" s="82">
        <v>316</v>
      </c>
      <c r="N385" s="82">
        <v>51</v>
      </c>
      <c r="O385" s="82">
        <v>201</v>
      </c>
      <c r="P385" s="82">
        <v>2263</v>
      </c>
      <c r="Q385" s="82">
        <v>8787</v>
      </c>
      <c r="R385" s="12" t="s">
        <v>25</v>
      </c>
      <c r="S385" s="12" t="s">
        <v>25</v>
      </c>
      <c r="T385" s="12" t="s">
        <v>25</v>
      </c>
    </row>
    <row r="386" spans="1:20" hidden="1" x14ac:dyDescent="0.3">
      <c r="A386" s="13">
        <v>43903.708333333336</v>
      </c>
      <c r="B386" s="12" t="s">
        <v>22</v>
      </c>
      <c r="C386" s="82">
        <v>6</v>
      </c>
      <c r="D386" s="12" t="s">
        <v>47</v>
      </c>
      <c r="E386" s="82">
        <v>456494354</v>
      </c>
      <c r="F386" s="82">
        <v>1376813649</v>
      </c>
      <c r="G386" s="82">
        <v>59</v>
      </c>
      <c r="H386" s="82">
        <v>8</v>
      </c>
      <c r="I386" s="82">
        <v>67</v>
      </c>
      <c r="J386" s="82">
        <v>169</v>
      </c>
      <c r="K386" s="82">
        <v>236</v>
      </c>
      <c r="L386" s="82">
        <v>88</v>
      </c>
      <c r="M386" s="82">
        <v>90</v>
      </c>
      <c r="N386" s="82">
        <v>11</v>
      </c>
      <c r="O386" s="82">
        <v>10</v>
      </c>
      <c r="P386" s="82">
        <v>257</v>
      </c>
      <c r="Q386" s="82">
        <v>3149</v>
      </c>
      <c r="R386" s="12" t="s">
        <v>25</v>
      </c>
      <c r="S386" s="12" t="s">
        <v>25</v>
      </c>
      <c r="T386" s="12" t="s">
        <v>25</v>
      </c>
    </row>
    <row r="387" spans="1:20" hidden="1" x14ac:dyDescent="0.3">
      <c r="A387" s="13">
        <v>43903.708333333336</v>
      </c>
      <c r="B387" s="12" t="s">
        <v>22</v>
      </c>
      <c r="C387" s="82">
        <v>12</v>
      </c>
      <c r="D387" s="12" t="s">
        <v>48</v>
      </c>
      <c r="E387" s="82">
        <v>4189277044</v>
      </c>
      <c r="F387" s="82">
        <v>1248366722</v>
      </c>
      <c r="G387" s="82">
        <v>122</v>
      </c>
      <c r="H387" s="82">
        <v>24</v>
      </c>
      <c r="I387" s="82">
        <v>146</v>
      </c>
      <c r="J387" s="82">
        <v>96</v>
      </c>
      <c r="K387" s="82">
        <v>242</v>
      </c>
      <c r="L387" s="82">
        <v>70</v>
      </c>
      <c r="M387" s="82">
        <v>77</v>
      </c>
      <c r="N387" s="82">
        <v>24</v>
      </c>
      <c r="O387" s="82">
        <v>11</v>
      </c>
      <c r="P387" s="82">
        <v>277</v>
      </c>
      <c r="Q387" s="82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82">
        <v>7</v>
      </c>
      <c r="D388" s="12" t="s">
        <v>49</v>
      </c>
      <c r="E388" s="82">
        <v>4441149315</v>
      </c>
      <c r="F388" s="82">
        <v>89326992</v>
      </c>
      <c r="G388" s="82">
        <v>128</v>
      </c>
      <c r="H388" s="82">
        <v>44</v>
      </c>
      <c r="I388" s="82">
        <v>172</v>
      </c>
      <c r="J388" s="82">
        <v>132</v>
      </c>
      <c r="K388" s="82">
        <v>304</v>
      </c>
      <c r="L388" s="82">
        <v>61</v>
      </c>
      <c r="M388" s="82">
        <v>71</v>
      </c>
      <c r="N388" s="82">
        <v>24</v>
      </c>
      <c r="O388" s="82">
        <v>17</v>
      </c>
      <c r="P388" s="82">
        <v>345</v>
      </c>
      <c r="Q388" s="82">
        <v>1442</v>
      </c>
      <c r="R388" s="12" t="s">
        <v>25</v>
      </c>
      <c r="S388" s="12" t="s">
        <v>25</v>
      </c>
      <c r="T388" s="12" t="s">
        <v>25</v>
      </c>
    </row>
    <row r="389" spans="1:20" hidden="1" x14ac:dyDescent="0.3">
      <c r="A389" s="13">
        <v>43903.708333333336</v>
      </c>
      <c r="B389" s="12" t="s">
        <v>22</v>
      </c>
      <c r="C389" s="82">
        <v>3</v>
      </c>
      <c r="D389" s="12" t="s">
        <v>50</v>
      </c>
      <c r="E389" s="82">
        <v>4546679409</v>
      </c>
      <c r="F389" s="82">
        <v>9190347404</v>
      </c>
      <c r="G389" s="82">
        <v>4435</v>
      </c>
      <c r="H389" s="82">
        <v>650</v>
      </c>
      <c r="I389" s="82">
        <v>5085</v>
      </c>
      <c r="J389" s="82">
        <v>2647</v>
      </c>
      <c r="K389" s="82">
        <v>7732</v>
      </c>
      <c r="L389" s="82">
        <v>836</v>
      </c>
      <c r="M389" s="82">
        <v>1095</v>
      </c>
      <c r="N389" s="82">
        <v>1198</v>
      </c>
      <c r="O389" s="82">
        <v>890</v>
      </c>
      <c r="P389" s="82">
        <v>9820</v>
      </c>
      <c r="Q389" s="82">
        <v>32700</v>
      </c>
      <c r="R389" s="12" t="s">
        <v>25</v>
      </c>
      <c r="S389" s="12" t="s">
        <v>25</v>
      </c>
      <c r="T389" s="12" t="s">
        <v>25</v>
      </c>
    </row>
    <row r="390" spans="1:20" hidden="1" x14ac:dyDescent="0.3">
      <c r="A390" s="13">
        <v>43903.708333333336</v>
      </c>
      <c r="B390" s="12" t="s">
        <v>22</v>
      </c>
      <c r="C390" s="82">
        <v>11</v>
      </c>
      <c r="D390" s="12" t="s">
        <v>51</v>
      </c>
      <c r="E390" s="82">
        <v>4361675973</v>
      </c>
      <c r="F390" s="82">
        <v>135188753</v>
      </c>
      <c r="G390" s="82">
        <v>337</v>
      </c>
      <c r="H390" s="82">
        <v>85</v>
      </c>
      <c r="I390" s="82">
        <v>422</v>
      </c>
      <c r="J390" s="82">
        <v>276</v>
      </c>
      <c r="K390" s="82">
        <v>698</v>
      </c>
      <c r="L390" s="82">
        <v>128</v>
      </c>
      <c r="M390" s="82">
        <v>133</v>
      </c>
      <c r="N390" s="82">
        <v>0</v>
      </c>
      <c r="O390" s="82">
        <v>27</v>
      </c>
      <c r="P390" s="82">
        <v>725</v>
      </c>
      <c r="Q390" s="82">
        <v>2218</v>
      </c>
      <c r="R390" s="12" t="s">
        <v>25</v>
      </c>
      <c r="S390" s="12" t="s">
        <v>25</v>
      </c>
      <c r="T390" s="12" t="s">
        <v>25</v>
      </c>
    </row>
    <row r="391" spans="1:20" hidden="1" x14ac:dyDescent="0.3">
      <c r="A391" s="13">
        <v>43903.708333333336</v>
      </c>
      <c r="B391" s="12" t="s">
        <v>22</v>
      </c>
      <c r="C391" s="82">
        <v>14</v>
      </c>
      <c r="D391" s="12" t="s">
        <v>52</v>
      </c>
      <c r="E391" s="82">
        <v>4155774754</v>
      </c>
      <c r="F391" s="82">
        <v>1465916051</v>
      </c>
      <c r="G391" s="82">
        <v>5</v>
      </c>
      <c r="H391" s="82">
        <v>3</v>
      </c>
      <c r="I391" s="82">
        <v>8</v>
      </c>
      <c r="J391" s="82">
        <v>9</v>
      </c>
      <c r="K391" s="82">
        <v>17</v>
      </c>
      <c r="L391" s="82">
        <v>1</v>
      </c>
      <c r="M391" s="82">
        <v>1</v>
      </c>
      <c r="N391" s="82">
        <v>0</v>
      </c>
      <c r="O391" s="82">
        <v>0</v>
      </c>
      <c r="P391" s="82">
        <v>17</v>
      </c>
      <c r="Q391" s="82">
        <v>243</v>
      </c>
      <c r="R391" s="12" t="s">
        <v>25</v>
      </c>
      <c r="S391" s="12" t="s">
        <v>25</v>
      </c>
      <c r="T391" s="12" t="s">
        <v>25</v>
      </c>
    </row>
    <row r="392" spans="1:20" hidden="1" x14ac:dyDescent="0.3">
      <c r="A392" s="13">
        <v>43903.708333333336</v>
      </c>
      <c r="B392" s="12" t="s">
        <v>22</v>
      </c>
      <c r="C392" s="82">
        <v>1</v>
      </c>
      <c r="D392" s="12" t="s">
        <v>53</v>
      </c>
      <c r="E392" s="82">
        <v>450732745</v>
      </c>
      <c r="F392" s="82">
        <v>7680687483</v>
      </c>
      <c r="G392" s="82">
        <v>556</v>
      </c>
      <c r="H392" s="82">
        <v>135</v>
      </c>
      <c r="I392" s="82">
        <v>691</v>
      </c>
      <c r="J392" s="82">
        <v>103</v>
      </c>
      <c r="K392" s="82">
        <v>794</v>
      </c>
      <c r="L392" s="82">
        <v>240</v>
      </c>
      <c r="M392" s="82">
        <v>260</v>
      </c>
      <c r="N392" s="82">
        <v>0</v>
      </c>
      <c r="O392" s="82">
        <v>46</v>
      </c>
      <c r="P392" s="82">
        <v>840</v>
      </c>
      <c r="Q392" s="82">
        <v>3105</v>
      </c>
      <c r="R392" s="12" t="s">
        <v>25</v>
      </c>
      <c r="S392" s="12" t="s">
        <v>25</v>
      </c>
      <c r="T392" s="12" t="s">
        <v>25</v>
      </c>
    </row>
    <row r="393" spans="1:20" hidden="1" x14ac:dyDescent="0.3">
      <c r="A393" s="13">
        <v>43903.708333333336</v>
      </c>
      <c r="B393" s="12" t="s">
        <v>22</v>
      </c>
      <c r="C393" s="82">
        <v>16</v>
      </c>
      <c r="D393" s="12" t="s">
        <v>54</v>
      </c>
      <c r="E393" s="82">
        <v>4112559576</v>
      </c>
      <c r="F393" s="82">
        <v>1686736689</v>
      </c>
      <c r="G393" s="82">
        <v>77</v>
      </c>
      <c r="H393" s="82">
        <v>2</v>
      </c>
      <c r="I393" s="82">
        <v>79</v>
      </c>
      <c r="J393" s="82">
        <v>42</v>
      </c>
      <c r="K393" s="82">
        <v>121</v>
      </c>
      <c r="L393" s="82">
        <v>23</v>
      </c>
      <c r="M393" s="82">
        <v>25</v>
      </c>
      <c r="N393" s="82">
        <v>3</v>
      </c>
      <c r="O393" s="82">
        <v>5</v>
      </c>
      <c r="P393" s="82">
        <v>129</v>
      </c>
      <c r="Q393" s="82">
        <v>1449</v>
      </c>
      <c r="R393" s="12" t="s">
        <v>25</v>
      </c>
      <c r="S393" s="12" t="s">
        <v>25</v>
      </c>
      <c r="T393" s="12" t="s">
        <v>25</v>
      </c>
    </row>
    <row r="394" spans="1:20" hidden="1" x14ac:dyDescent="0.3">
      <c r="A394" s="13">
        <v>43903.708333333336</v>
      </c>
      <c r="B394" s="12" t="s">
        <v>22</v>
      </c>
      <c r="C394" s="82">
        <v>20</v>
      </c>
      <c r="D394" s="12" t="s">
        <v>55</v>
      </c>
      <c r="E394" s="82">
        <v>3921531192</v>
      </c>
      <c r="F394" s="82">
        <v>9110616306</v>
      </c>
      <c r="G394" s="82">
        <v>12</v>
      </c>
      <c r="H394" s="82">
        <v>0</v>
      </c>
      <c r="I394" s="82">
        <v>12</v>
      </c>
      <c r="J394" s="82">
        <v>31</v>
      </c>
      <c r="K394" s="82">
        <v>43</v>
      </c>
      <c r="L394" s="82">
        <v>4</v>
      </c>
      <c r="M394" s="82">
        <v>4</v>
      </c>
      <c r="N394" s="82">
        <v>0</v>
      </c>
      <c r="O394" s="82">
        <v>0</v>
      </c>
      <c r="P394" s="82">
        <v>43</v>
      </c>
      <c r="Q394" s="82">
        <v>504</v>
      </c>
      <c r="R394" s="12" t="s">
        <v>25</v>
      </c>
      <c r="S394" s="12" t="s">
        <v>25</v>
      </c>
      <c r="T394" s="12" t="s">
        <v>25</v>
      </c>
    </row>
    <row r="395" spans="1:20" hidden="1" x14ac:dyDescent="0.3">
      <c r="A395" s="13">
        <v>43903.708333333336</v>
      </c>
      <c r="B395" s="12" t="s">
        <v>22</v>
      </c>
      <c r="C395" s="82">
        <v>19</v>
      </c>
      <c r="D395" s="12" t="s">
        <v>56</v>
      </c>
      <c r="E395" s="82">
        <v>3811569725</v>
      </c>
      <c r="F395" s="82">
        <v>133623567</v>
      </c>
      <c r="G395" s="82">
        <v>37</v>
      </c>
      <c r="H395" s="82">
        <v>7</v>
      </c>
      <c r="I395" s="82">
        <v>44</v>
      </c>
      <c r="J395" s="82">
        <v>82</v>
      </c>
      <c r="K395" s="82">
        <v>126</v>
      </c>
      <c r="L395" s="82">
        <v>15</v>
      </c>
      <c r="M395" s="82">
        <v>15</v>
      </c>
      <c r="N395" s="82">
        <v>2</v>
      </c>
      <c r="O395" s="82">
        <v>2</v>
      </c>
      <c r="P395" s="82">
        <v>130</v>
      </c>
      <c r="Q395" s="82">
        <v>1950</v>
      </c>
      <c r="R395" s="12" t="s">
        <v>25</v>
      </c>
      <c r="S395" s="12" t="s">
        <v>25</v>
      </c>
      <c r="T395" s="12" t="s">
        <v>25</v>
      </c>
    </row>
    <row r="396" spans="1:20" hidden="1" x14ac:dyDescent="0.3">
      <c r="A396" s="13">
        <v>43903.708333333336</v>
      </c>
      <c r="B396" s="12" t="s">
        <v>22</v>
      </c>
      <c r="C396" s="82">
        <v>9</v>
      </c>
      <c r="D396" s="12" t="s">
        <v>57</v>
      </c>
      <c r="E396" s="82">
        <v>4376923077</v>
      </c>
      <c r="F396" s="82">
        <v>1125588885</v>
      </c>
      <c r="G396" s="82">
        <v>134</v>
      </c>
      <c r="H396" s="82">
        <v>77</v>
      </c>
      <c r="I396" s="82">
        <v>211</v>
      </c>
      <c r="J396" s="82">
        <v>244</v>
      </c>
      <c r="K396" s="82">
        <v>455</v>
      </c>
      <c r="L396" s="82">
        <v>103</v>
      </c>
      <c r="M396" s="82">
        <v>106</v>
      </c>
      <c r="N396" s="82">
        <v>10</v>
      </c>
      <c r="O396" s="82">
        <v>5</v>
      </c>
      <c r="P396" s="82">
        <v>470</v>
      </c>
      <c r="Q396" s="82">
        <v>4049</v>
      </c>
      <c r="R396" s="12" t="s">
        <v>25</v>
      </c>
      <c r="S396" s="12" t="s">
        <v>25</v>
      </c>
      <c r="T396" s="12" t="s">
        <v>25</v>
      </c>
    </row>
    <row r="397" spans="1:20" hidden="1" x14ac:dyDescent="0.3">
      <c r="A397" s="13">
        <v>43903.708333333336</v>
      </c>
      <c r="B397" s="12" t="s">
        <v>22</v>
      </c>
      <c r="C397" s="82">
        <v>22</v>
      </c>
      <c r="D397" s="12" t="s">
        <v>58</v>
      </c>
      <c r="E397" s="82">
        <v>4606893511</v>
      </c>
      <c r="F397" s="82">
        <v>1112123097</v>
      </c>
      <c r="G397" s="82">
        <v>58</v>
      </c>
      <c r="H397" s="82">
        <v>6</v>
      </c>
      <c r="I397" s="82">
        <v>64</v>
      </c>
      <c r="J397" s="82">
        <v>93</v>
      </c>
      <c r="K397" s="82">
        <v>157</v>
      </c>
      <c r="L397" s="82">
        <v>55</v>
      </c>
      <c r="M397" s="82">
        <v>56</v>
      </c>
      <c r="N397" s="82">
        <v>4</v>
      </c>
      <c r="O397" s="82">
        <v>2</v>
      </c>
      <c r="P397" s="82">
        <v>163</v>
      </c>
      <c r="Q397" s="82">
        <v>846</v>
      </c>
      <c r="R397" s="12" t="s">
        <v>25</v>
      </c>
      <c r="S397" s="12" t="s">
        <v>25</v>
      </c>
      <c r="T397" s="12" t="s">
        <v>25</v>
      </c>
    </row>
    <row r="398" spans="1:20" hidden="1" x14ac:dyDescent="0.3">
      <c r="A398" s="13">
        <v>43903.708333333336</v>
      </c>
      <c r="B398" s="12" t="s">
        <v>22</v>
      </c>
      <c r="C398" s="82">
        <v>10</v>
      </c>
      <c r="D398" s="12" t="s">
        <v>59</v>
      </c>
      <c r="E398" s="82">
        <v>4310675841</v>
      </c>
      <c r="F398" s="82">
        <v>1238824698</v>
      </c>
      <c r="G398" s="82">
        <v>11</v>
      </c>
      <c r="H398" s="82">
        <v>10</v>
      </c>
      <c r="I398" s="82">
        <v>21</v>
      </c>
      <c r="J398" s="82">
        <v>52</v>
      </c>
      <c r="K398" s="82">
        <v>73</v>
      </c>
      <c r="L398" s="82">
        <v>11</v>
      </c>
      <c r="M398" s="82">
        <v>12</v>
      </c>
      <c r="N398" s="82">
        <v>2</v>
      </c>
      <c r="O398" s="82">
        <v>1</v>
      </c>
      <c r="P398" s="82">
        <v>76</v>
      </c>
      <c r="Q398" s="82">
        <v>576</v>
      </c>
      <c r="R398" s="12" t="s">
        <v>25</v>
      </c>
      <c r="S398" s="12" t="s">
        <v>25</v>
      </c>
      <c r="T398" s="12" t="s">
        <v>25</v>
      </c>
    </row>
    <row r="399" spans="1:20" hidden="1" x14ac:dyDescent="0.3">
      <c r="A399" s="13">
        <v>43903.708333333336</v>
      </c>
      <c r="B399" s="12" t="s">
        <v>22</v>
      </c>
      <c r="C399" s="82">
        <v>2</v>
      </c>
      <c r="D399" s="12" t="s">
        <v>60</v>
      </c>
      <c r="E399" s="82">
        <v>4573750286</v>
      </c>
      <c r="F399" s="82">
        <v>7320149366</v>
      </c>
      <c r="G399" s="82">
        <v>6</v>
      </c>
      <c r="H399" s="82">
        <v>0</v>
      </c>
      <c r="I399" s="82">
        <v>6</v>
      </c>
      <c r="J399" s="82">
        <v>21</v>
      </c>
      <c r="K399" s="82">
        <v>27</v>
      </c>
      <c r="L399" s="82">
        <v>1</v>
      </c>
      <c r="M399" s="82">
        <v>1</v>
      </c>
      <c r="N399" s="82">
        <v>0</v>
      </c>
      <c r="O399" s="82">
        <v>1</v>
      </c>
      <c r="P399" s="82">
        <v>28</v>
      </c>
      <c r="Q399" s="82">
        <v>189</v>
      </c>
      <c r="R399" s="12" t="s">
        <v>25</v>
      </c>
      <c r="S399" s="12" t="s">
        <v>25</v>
      </c>
      <c r="T399" s="12" t="s">
        <v>25</v>
      </c>
    </row>
    <row r="400" spans="1:20" hidden="1" x14ac:dyDescent="0.3">
      <c r="A400" s="13">
        <v>43903.708333333336</v>
      </c>
      <c r="B400" s="12" t="s">
        <v>22</v>
      </c>
      <c r="C400" s="82">
        <v>5</v>
      </c>
      <c r="D400" s="12" t="s">
        <v>61</v>
      </c>
      <c r="E400" s="82">
        <v>4543490485</v>
      </c>
      <c r="F400" s="82">
        <v>1233845213</v>
      </c>
      <c r="G400" s="82">
        <v>366</v>
      </c>
      <c r="H400" s="82">
        <v>107</v>
      </c>
      <c r="I400" s="82">
        <v>473</v>
      </c>
      <c r="J400" s="82">
        <v>980</v>
      </c>
      <c r="K400" s="82">
        <v>1453</v>
      </c>
      <c r="L400" s="82">
        <v>156</v>
      </c>
      <c r="M400" s="82">
        <v>211</v>
      </c>
      <c r="N400" s="82">
        <v>100</v>
      </c>
      <c r="O400" s="82">
        <v>42</v>
      </c>
      <c r="P400" s="82">
        <v>1595</v>
      </c>
      <c r="Q400" s="82">
        <v>25691</v>
      </c>
      <c r="R400" s="12" t="s">
        <v>25</v>
      </c>
      <c r="S400" s="12" t="s">
        <v>25</v>
      </c>
      <c r="T400" s="12" t="s">
        <v>25</v>
      </c>
    </row>
    <row r="401" spans="1:20" hidden="1" x14ac:dyDescent="0.3">
      <c r="A401" s="13">
        <v>43904.708333333336</v>
      </c>
      <c r="B401" s="12" t="s">
        <v>22</v>
      </c>
      <c r="C401" s="82">
        <v>13</v>
      </c>
      <c r="D401" s="12" t="s">
        <v>42</v>
      </c>
      <c r="E401" s="82">
        <v>4235122196</v>
      </c>
      <c r="F401" s="82">
        <v>1339843823</v>
      </c>
      <c r="G401" s="82">
        <v>51</v>
      </c>
      <c r="H401" s="82">
        <v>14</v>
      </c>
      <c r="I401" s="82">
        <v>65</v>
      </c>
      <c r="J401" s="82">
        <v>41</v>
      </c>
      <c r="K401" s="82">
        <v>106</v>
      </c>
      <c r="L401" s="82">
        <v>23</v>
      </c>
      <c r="M401" s="82">
        <v>23</v>
      </c>
      <c r="N401" s="82">
        <v>4</v>
      </c>
      <c r="O401" s="82">
        <v>2</v>
      </c>
      <c r="P401" s="82">
        <v>112</v>
      </c>
      <c r="Q401" s="82">
        <v>1232</v>
      </c>
      <c r="R401" s="12" t="s">
        <v>25</v>
      </c>
      <c r="S401" s="12" t="s">
        <v>25</v>
      </c>
      <c r="T401" s="12" t="s">
        <v>25</v>
      </c>
    </row>
    <row r="402" spans="1:20" hidden="1" x14ac:dyDescent="0.3">
      <c r="A402" s="13">
        <v>43904.708333333336</v>
      </c>
      <c r="B402" s="12" t="s">
        <v>22</v>
      </c>
      <c r="C402" s="82">
        <v>17</v>
      </c>
      <c r="D402" s="12" t="s">
        <v>43</v>
      </c>
      <c r="E402" s="82">
        <v>4063947052</v>
      </c>
      <c r="F402" s="82">
        <v>1580514834</v>
      </c>
      <c r="G402" s="82">
        <v>0</v>
      </c>
      <c r="H402" s="82">
        <v>2</v>
      </c>
      <c r="I402" s="82">
        <v>2</v>
      </c>
      <c r="J402" s="82">
        <v>8</v>
      </c>
      <c r="K402" s="82">
        <v>10</v>
      </c>
      <c r="L402" s="82">
        <v>0</v>
      </c>
      <c r="M402" s="82">
        <v>0</v>
      </c>
      <c r="N402" s="82">
        <v>0</v>
      </c>
      <c r="O402" s="82">
        <v>0</v>
      </c>
      <c r="P402" s="82">
        <v>10</v>
      </c>
      <c r="Q402" s="82">
        <v>155</v>
      </c>
      <c r="R402" s="12" t="s">
        <v>25</v>
      </c>
      <c r="S402" s="12" t="s">
        <v>25</v>
      </c>
      <c r="T402" s="12" t="s">
        <v>25</v>
      </c>
    </row>
    <row r="403" spans="1:20" hidden="1" x14ac:dyDescent="0.3">
      <c r="A403" s="13">
        <v>43904.708333333336</v>
      </c>
      <c r="B403" s="12" t="s">
        <v>22</v>
      </c>
      <c r="C403" s="82">
        <v>21</v>
      </c>
      <c r="D403" s="12" t="s">
        <v>44</v>
      </c>
      <c r="E403" s="82">
        <v>4649933453</v>
      </c>
      <c r="F403" s="82">
        <v>1135662422</v>
      </c>
      <c r="G403" s="82">
        <v>26</v>
      </c>
      <c r="H403" s="82">
        <v>7</v>
      </c>
      <c r="I403" s="82">
        <v>33</v>
      </c>
      <c r="J403" s="82">
        <v>137</v>
      </c>
      <c r="K403" s="82">
        <v>170</v>
      </c>
      <c r="L403" s="82">
        <v>47</v>
      </c>
      <c r="M403" s="82">
        <v>48</v>
      </c>
      <c r="N403" s="82">
        <v>0</v>
      </c>
      <c r="O403" s="82">
        <v>3</v>
      </c>
      <c r="P403" s="82">
        <v>173</v>
      </c>
      <c r="Q403" s="82">
        <v>1135</v>
      </c>
      <c r="R403" s="12" t="s">
        <v>25</v>
      </c>
      <c r="S403" s="12" t="s">
        <v>25</v>
      </c>
      <c r="T403" s="12" t="s">
        <v>25</v>
      </c>
    </row>
    <row r="404" spans="1:20" hidden="1" x14ac:dyDescent="0.3">
      <c r="A404" s="13">
        <v>43904.708333333336</v>
      </c>
      <c r="B404" s="12" t="s">
        <v>22</v>
      </c>
      <c r="C404" s="82">
        <v>18</v>
      </c>
      <c r="D404" s="12" t="s">
        <v>45</v>
      </c>
      <c r="E404" s="82">
        <v>3890597598</v>
      </c>
      <c r="F404" s="82">
        <v>1659440194</v>
      </c>
      <c r="G404" s="82">
        <v>22</v>
      </c>
      <c r="H404" s="82">
        <v>4</v>
      </c>
      <c r="I404" s="82">
        <v>26</v>
      </c>
      <c r="J404" s="82">
        <v>33</v>
      </c>
      <c r="K404" s="82">
        <v>59</v>
      </c>
      <c r="L404" s="82">
        <v>22</v>
      </c>
      <c r="M404" s="82">
        <v>22</v>
      </c>
      <c r="N404" s="82">
        <v>1</v>
      </c>
      <c r="O404" s="82">
        <v>0</v>
      </c>
      <c r="P404" s="82">
        <v>60</v>
      </c>
      <c r="Q404" s="82">
        <v>711</v>
      </c>
      <c r="R404" s="12" t="s">
        <v>25</v>
      </c>
      <c r="S404" s="12" t="s">
        <v>25</v>
      </c>
      <c r="T404" s="12" t="s">
        <v>25</v>
      </c>
    </row>
    <row r="405" spans="1:20" hidden="1" x14ac:dyDescent="0.3">
      <c r="A405" s="13">
        <v>43904.708333333336</v>
      </c>
      <c r="B405" s="12" t="s">
        <v>22</v>
      </c>
      <c r="C405" s="82">
        <v>15</v>
      </c>
      <c r="D405" s="12" t="s">
        <v>46</v>
      </c>
      <c r="E405" s="82">
        <v>4083956555</v>
      </c>
      <c r="F405" s="82">
        <v>1425084984</v>
      </c>
      <c r="G405" s="82">
        <v>72</v>
      </c>
      <c r="H405" s="82">
        <v>17</v>
      </c>
      <c r="I405" s="82">
        <v>89</v>
      </c>
      <c r="J405" s="82">
        <v>154</v>
      </c>
      <c r="K405" s="82">
        <v>243</v>
      </c>
      <c r="L405" s="82">
        <v>30</v>
      </c>
      <c r="M405" s="82">
        <v>52</v>
      </c>
      <c r="N405" s="82">
        <v>23</v>
      </c>
      <c r="O405" s="82">
        <v>6</v>
      </c>
      <c r="P405" s="82">
        <v>272</v>
      </c>
      <c r="Q405" s="82">
        <v>1936</v>
      </c>
      <c r="R405" s="12" t="s">
        <v>25</v>
      </c>
      <c r="S405" s="12" t="s">
        <v>25</v>
      </c>
      <c r="T405" s="12" t="s">
        <v>25</v>
      </c>
    </row>
    <row r="406" spans="1:20" hidden="1" x14ac:dyDescent="0.3">
      <c r="A406" s="13">
        <v>43904.708333333336</v>
      </c>
      <c r="B406" s="12" t="s">
        <v>22</v>
      </c>
      <c r="C406" s="82">
        <v>8</v>
      </c>
      <c r="D406" s="12" t="s">
        <v>95</v>
      </c>
      <c r="E406" s="82">
        <v>4449436681</v>
      </c>
      <c r="F406" s="82">
        <v>113417208</v>
      </c>
      <c r="G406" s="82">
        <v>1076</v>
      </c>
      <c r="H406" s="82">
        <v>152</v>
      </c>
      <c r="I406" s="82">
        <v>1228</v>
      </c>
      <c r="J406" s="82">
        <v>1121</v>
      </c>
      <c r="K406" s="82">
        <v>2349</v>
      </c>
      <c r="L406" s="82">
        <v>338</v>
      </c>
      <c r="M406" s="82">
        <v>381</v>
      </c>
      <c r="N406" s="82">
        <v>54</v>
      </c>
      <c r="O406" s="82">
        <v>241</v>
      </c>
      <c r="P406" s="82">
        <v>2644</v>
      </c>
      <c r="Q406" s="82">
        <v>10043</v>
      </c>
      <c r="R406" s="12" t="s">
        <v>25</v>
      </c>
      <c r="S406" s="12" t="s">
        <v>25</v>
      </c>
      <c r="T406" s="12" t="s">
        <v>25</v>
      </c>
    </row>
    <row r="407" spans="1:20" hidden="1" x14ac:dyDescent="0.3">
      <c r="A407" s="13">
        <v>43904.708333333336</v>
      </c>
      <c r="B407" s="12" t="s">
        <v>22</v>
      </c>
      <c r="C407" s="82">
        <v>6</v>
      </c>
      <c r="D407" s="12" t="s">
        <v>47</v>
      </c>
      <c r="E407" s="82">
        <v>456494354</v>
      </c>
      <c r="F407" s="82">
        <v>1376813649</v>
      </c>
      <c r="G407" s="82">
        <v>67</v>
      </c>
      <c r="H407" s="82">
        <v>11</v>
      </c>
      <c r="I407" s="82">
        <v>78</v>
      </c>
      <c r="J407" s="82">
        <v>193</v>
      </c>
      <c r="K407" s="82">
        <v>271</v>
      </c>
      <c r="L407" s="82">
        <v>35</v>
      </c>
      <c r="M407" s="82">
        <v>44</v>
      </c>
      <c r="N407" s="82">
        <v>17</v>
      </c>
      <c r="O407" s="82">
        <v>13</v>
      </c>
      <c r="P407" s="82">
        <v>301</v>
      </c>
      <c r="Q407" s="82">
        <v>3376</v>
      </c>
      <c r="R407" s="12" t="s">
        <v>25</v>
      </c>
      <c r="S407" s="12" t="s">
        <v>25</v>
      </c>
      <c r="T407" s="12" t="s">
        <v>25</v>
      </c>
    </row>
    <row r="408" spans="1:20" hidden="1" x14ac:dyDescent="0.3">
      <c r="A408" s="13">
        <v>43904.708333333336</v>
      </c>
      <c r="B408" s="12" t="s">
        <v>22</v>
      </c>
      <c r="C408" s="82">
        <v>12</v>
      </c>
      <c r="D408" s="12" t="s">
        <v>48</v>
      </c>
      <c r="E408" s="82">
        <v>4189277044</v>
      </c>
      <c r="F408" s="82">
        <v>1248366722</v>
      </c>
      <c r="G408" s="82">
        <v>181</v>
      </c>
      <c r="H408" s="82">
        <v>25</v>
      </c>
      <c r="I408" s="82">
        <v>206</v>
      </c>
      <c r="J408" s="82">
        <v>114</v>
      </c>
      <c r="K408" s="82">
        <v>320</v>
      </c>
      <c r="L408" s="82">
        <v>78</v>
      </c>
      <c r="M408" s="82">
        <v>80</v>
      </c>
      <c r="N408" s="82">
        <v>24</v>
      </c>
      <c r="O408" s="82">
        <v>13</v>
      </c>
      <c r="P408" s="82">
        <v>357</v>
      </c>
      <c r="Q408" s="82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82">
        <v>7</v>
      </c>
      <c r="D409" s="12" t="s">
        <v>49</v>
      </c>
      <c r="E409" s="82">
        <v>4441149315</v>
      </c>
      <c r="F409" s="82">
        <v>89326992</v>
      </c>
      <c r="G409" s="82">
        <v>213</v>
      </c>
      <c r="H409" s="82">
        <v>62</v>
      </c>
      <c r="I409" s="82">
        <v>275</v>
      </c>
      <c r="J409" s="82">
        <v>109</v>
      </c>
      <c r="K409" s="82">
        <v>384</v>
      </c>
      <c r="L409" s="82">
        <v>80</v>
      </c>
      <c r="M409" s="82">
        <v>118</v>
      </c>
      <c r="N409" s="82">
        <v>52</v>
      </c>
      <c r="O409" s="82">
        <v>27</v>
      </c>
      <c r="P409" s="82">
        <v>463</v>
      </c>
      <c r="Q409" s="82">
        <v>1750</v>
      </c>
      <c r="R409" s="12" t="s">
        <v>25</v>
      </c>
      <c r="S409" s="12" t="s">
        <v>25</v>
      </c>
      <c r="T409" s="12" t="s">
        <v>25</v>
      </c>
    </row>
    <row r="410" spans="1:20" hidden="1" x14ac:dyDescent="0.3">
      <c r="A410" s="13">
        <v>43904.708333333336</v>
      </c>
      <c r="B410" s="12" t="s">
        <v>22</v>
      </c>
      <c r="C410" s="82">
        <v>3</v>
      </c>
      <c r="D410" s="12" t="s">
        <v>50</v>
      </c>
      <c r="E410" s="82">
        <v>4546679409</v>
      </c>
      <c r="F410" s="82">
        <v>9190347404</v>
      </c>
      <c r="G410" s="82">
        <v>4898</v>
      </c>
      <c r="H410" s="82">
        <v>732</v>
      </c>
      <c r="I410" s="82">
        <v>5630</v>
      </c>
      <c r="J410" s="82">
        <v>3429</v>
      </c>
      <c r="K410" s="82">
        <v>9059</v>
      </c>
      <c r="L410" s="82">
        <v>1327</v>
      </c>
      <c r="M410" s="82">
        <v>1865</v>
      </c>
      <c r="N410" s="82">
        <v>1660</v>
      </c>
      <c r="O410" s="82">
        <v>966</v>
      </c>
      <c r="P410" s="82">
        <v>11685</v>
      </c>
      <c r="Q410" s="82">
        <v>37138</v>
      </c>
      <c r="R410" s="12" t="s">
        <v>25</v>
      </c>
      <c r="S410" s="12" t="s">
        <v>25</v>
      </c>
      <c r="T410" s="12" t="s">
        <v>25</v>
      </c>
    </row>
    <row r="411" spans="1:20" hidden="1" x14ac:dyDescent="0.3">
      <c r="A411" s="13">
        <v>43904.708333333336</v>
      </c>
      <c r="B411" s="12" t="s">
        <v>22</v>
      </c>
      <c r="C411" s="82">
        <v>11</v>
      </c>
      <c r="D411" s="12" t="s">
        <v>51</v>
      </c>
      <c r="E411" s="82">
        <v>4361675973</v>
      </c>
      <c r="F411" s="82">
        <v>135188753</v>
      </c>
      <c r="G411" s="82">
        <v>449</v>
      </c>
      <c r="H411" s="82">
        <v>93</v>
      </c>
      <c r="I411" s="82">
        <v>542</v>
      </c>
      <c r="J411" s="82">
        <v>321</v>
      </c>
      <c r="K411" s="82">
        <v>863</v>
      </c>
      <c r="L411" s="82">
        <v>165</v>
      </c>
      <c r="M411" s="82">
        <v>174</v>
      </c>
      <c r="N411" s="82">
        <v>0</v>
      </c>
      <c r="O411" s="82">
        <v>36</v>
      </c>
      <c r="P411" s="82">
        <v>899</v>
      </c>
      <c r="Q411" s="82">
        <v>2561</v>
      </c>
      <c r="R411" s="12" t="s">
        <v>25</v>
      </c>
      <c r="S411" s="12" t="s">
        <v>25</v>
      </c>
      <c r="T411" s="12" t="s">
        <v>25</v>
      </c>
    </row>
    <row r="412" spans="1:20" hidden="1" x14ac:dyDescent="0.3">
      <c r="A412" s="13">
        <v>43904.708333333336</v>
      </c>
      <c r="B412" s="12" t="s">
        <v>22</v>
      </c>
      <c r="C412" s="82">
        <v>14</v>
      </c>
      <c r="D412" s="12" t="s">
        <v>52</v>
      </c>
      <c r="E412" s="82">
        <v>4155774754</v>
      </c>
      <c r="F412" s="82">
        <v>1465916051</v>
      </c>
      <c r="G412" s="82">
        <v>5</v>
      </c>
      <c r="H412" s="82">
        <v>3</v>
      </c>
      <c r="I412" s="82">
        <v>8</v>
      </c>
      <c r="J412" s="82">
        <v>9</v>
      </c>
      <c r="K412" s="82">
        <v>17</v>
      </c>
      <c r="L412" s="82">
        <v>0</v>
      </c>
      <c r="M412" s="82">
        <v>0</v>
      </c>
      <c r="N412" s="82">
        <v>0</v>
      </c>
      <c r="O412" s="82">
        <v>0</v>
      </c>
      <c r="P412" s="82">
        <v>17</v>
      </c>
      <c r="Q412" s="82">
        <v>247</v>
      </c>
      <c r="R412" s="12" t="s">
        <v>25</v>
      </c>
      <c r="S412" s="12" t="s">
        <v>25</v>
      </c>
      <c r="T412" s="12" t="s">
        <v>25</v>
      </c>
    </row>
    <row r="413" spans="1:20" hidden="1" x14ac:dyDescent="0.3">
      <c r="A413" s="13">
        <v>43904.708333333336</v>
      </c>
      <c r="B413" s="12" t="s">
        <v>22</v>
      </c>
      <c r="C413" s="82">
        <v>1</v>
      </c>
      <c r="D413" s="12" t="s">
        <v>53</v>
      </c>
      <c r="E413" s="82">
        <v>450732745</v>
      </c>
      <c r="F413" s="82">
        <v>7680687483</v>
      </c>
      <c r="G413" s="82">
        <v>538</v>
      </c>
      <c r="H413" s="82">
        <v>150</v>
      </c>
      <c r="I413" s="82">
        <v>688</v>
      </c>
      <c r="J413" s="82">
        <v>126</v>
      </c>
      <c r="K413" s="82">
        <v>814</v>
      </c>
      <c r="L413" s="82">
        <v>20</v>
      </c>
      <c r="M413" s="82">
        <v>33</v>
      </c>
      <c r="N413" s="82">
        <v>0</v>
      </c>
      <c r="O413" s="82">
        <v>59</v>
      </c>
      <c r="P413" s="82">
        <v>873</v>
      </c>
      <c r="Q413" s="82">
        <v>3680</v>
      </c>
      <c r="R413" s="12" t="s">
        <v>25</v>
      </c>
      <c r="S413" s="12" t="s">
        <v>25</v>
      </c>
      <c r="T413" s="12" t="s">
        <v>25</v>
      </c>
    </row>
    <row r="414" spans="1:20" hidden="1" x14ac:dyDescent="0.3">
      <c r="A414" s="13">
        <v>43904.708333333336</v>
      </c>
      <c r="B414" s="12" t="s">
        <v>22</v>
      </c>
      <c r="C414" s="82">
        <v>16</v>
      </c>
      <c r="D414" s="12" t="s">
        <v>54</v>
      </c>
      <c r="E414" s="82">
        <v>4112559576</v>
      </c>
      <c r="F414" s="82">
        <v>1686736689</v>
      </c>
      <c r="G414" s="82">
        <v>91</v>
      </c>
      <c r="H414" s="82">
        <v>6</v>
      </c>
      <c r="I414" s="82">
        <v>97</v>
      </c>
      <c r="J414" s="82">
        <v>59</v>
      </c>
      <c r="K414" s="82">
        <v>156</v>
      </c>
      <c r="L414" s="82">
        <v>35</v>
      </c>
      <c r="M414" s="82">
        <v>37</v>
      </c>
      <c r="N414" s="82">
        <v>2</v>
      </c>
      <c r="O414" s="82">
        <v>8</v>
      </c>
      <c r="P414" s="82">
        <v>166</v>
      </c>
      <c r="Q414" s="82">
        <v>1681</v>
      </c>
      <c r="R414" s="12" t="s">
        <v>25</v>
      </c>
      <c r="S414" s="12" t="s">
        <v>25</v>
      </c>
      <c r="T414" s="12" t="s">
        <v>25</v>
      </c>
    </row>
    <row r="415" spans="1:20" hidden="1" x14ac:dyDescent="0.3">
      <c r="A415" s="13">
        <v>43904.708333333336</v>
      </c>
      <c r="B415" s="12" t="s">
        <v>22</v>
      </c>
      <c r="C415" s="82">
        <v>20</v>
      </c>
      <c r="D415" s="12" t="s">
        <v>55</v>
      </c>
      <c r="E415" s="82">
        <v>3921531192</v>
      </c>
      <c r="F415" s="82">
        <v>9110616306</v>
      </c>
      <c r="G415" s="82">
        <v>14</v>
      </c>
      <c r="H415" s="82">
        <v>0</v>
      </c>
      <c r="I415" s="82">
        <v>14</v>
      </c>
      <c r="J415" s="82">
        <v>33</v>
      </c>
      <c r="K415" s="82">
        <v>47</v>
      </c>
      <c r="L415" s="82">
        <v>4</v>
      </c>
      <c r="M415" s="82">
        <v>4</v>
      </c>
      <c r="N415" s="82">
        <v>0</v>
      </c>
      <c r="O415" s="82">
        <v>0</v>
      </c>
      <c r="P415" s="82">
        <v>47</v>
      </c>
      <c r="Q415" s="82">
        <v>530</v>
      </c>
      <c r="R415" s="12" t="s">
        <v>25</v>
      </c>
      <c r="S415" s="12" t="s">
        <v>25</v>
      </c>
      <c r="T415" s="12" t="s">
        <v>25</v>
      </c>
    </row>
    <row r="416" spans="1:20" hidden="1" x14ac:dyDescent="0.3">
      <c r="A416" s="13">
        <v>43904.708333333336</v>
      </c>
      <c r="B416" s="12" t="s">
        <v>22</v>
      </c>
      <c r="C416" s="82">
        <v>19</v>
      </c>
      <c r="D416" s="12" t="s">
        <v>56</v>
      </c>
      <c r="E416" s="82">
        <v>3811569725</v>
      </c>
      <c r="F416" s="82">
        <v>133623567</v>
      </c>
      <c r="G416" s="82">
        <v>42</v>
      </c>
      <c r="H416" s="82">
        <v>11</v>
      </c>
      <c r="I416" s="82">
        <v>53</v>
      </c>
      <c r="J416" s="82">
        <v>97</v>
      </c>
      <c r="K416" s="82">
        <v>150</v>
      </c>
      <c r="L416" s="82">
        <v>24</v>
      </c>
      <c r="M416" s="82">
        <v>26</v>
      </c>
      <c r="N416" s="82">
        <v>4</v>
      </c>
      <c r="O416" s="82">
        <v>2</v>
      </c>
      <c r="P416" s="82">
        <v>156</v>
      </c>
      <c r="Q416" s="82">
        <v>2100</v>
      </c>
      <c r="R416" s="12" t="s">
        <v>25</v>
      </c>
      <c r="S416" s="12" t="s">
        <v>25</v>
      </c>
      <c r="T416" s="12" t="s">
        <v>25</v>
      </c>
    </row>
    <row r="417" spans="1:20" hidden="1" x14ac:dyDescent="0.3">
      <c r="A417" s="13">
        <v>43904.708333333336</v>
      </c>
      <c r="B417" s="12" t="s">
        <v>22</v>
      </c>
      <c r="C417" s="82">
        <v>9</v>
      </c>
      <c r="D417" s="12" t="s">
        <v>57</v>
      </c>
      <c r="E417" s="82">
        <v>4376923077</v>
      </c>
      <c r="F417" s="82">
        <v>1125588885</v>
      </c>
      <c r="G417" s="82">
        <v>160</v>
      </c>
      <c r="H417" s="82">
        <v>87</v>
      </c>
      <c r="I417" s="82">
        <v>247</v>
      </c>
      <c r="J417" s="82">
        <v>367</v>
      </c>
      <c r="K417" s="82">
        <v>614</v>
      </c>
      <c r="L417" s="82">
        <v>159</v>
      </c>
      <c r="M417" s="82">
        <v>160</v>
      </c>
      <c r="N417" s="82">
        <v>10</v>
      </c>
      <c r="O417" s="82">
        <v>6</v>
      </c>
      <c r="P417" s="82">
        <v>630</v>
      </c>
      <c r="Q417" s="82">
        <v>4595</v>
      </c>
      <c r="R417" s="12" t="s">
        <v>25</v>
      </c>
      <c r="S417" s="12" t="s">
        <v>25</v>
      </c>
      <c r="T417" s="12" t="s">
        <v>25</v>
      </c>
    </row>
    <row r="418" spans="1:20" hidden="1" x14ac:dyDescent="0.3">
      <c r="A418" s="13">
        <v>43904.708333333336</v>
      </c>
      <c r="B418" s="12" t="s">
        <v>22</v>
      </c>
      <c r="C418" s="82">
        <v>22</v>
      </c>
      <c r="D418" s="12" t="s">
        <v>58</v>
      </c>
      <c r="E418" s="82">
        <v>4606893511</v>
      </c>
      <c r="F418" s="82">
        <v>1112123097</v>
      </c>
      <c r="G418" s="82">
        <v>68</v>
      </c>
      <c r="H418" s="82">
        <v>12</v>
      </c>
      <c r="I418" s="82">
        <v>80</v>
      </c>
      <c r="J418" s="82">
        <v>119</v>
      </c>
      <c r="K418" s="82">
        <v>199</v>
      </c>
      <c r="L418" s="82">
        <v>42</v>
      </c>
      <c r="M418" s="82">
        <v>43</v>
      </c>
      <c r="N418" s="82">
        <v>5</v>
      </c>
      <c r="O418" s="82">
        <v>2</v>
      </c>
      <c r="P418" s="82">
        <v>206</v>
      </c>
      <c r="Q418" s="82">
        <v>1006</v>
      </c>
      <c r="R418" s="12" t="s">
        <v>25</v>
      </c>
      <c r="S418" s="12" t="s">
        <v>25</v>
      </c>
      <c r="T418" s="12" t="s">
        <v>25</v>
      </c>
    </row>
    <row r="419" spans="1:20" hidden="1" x14ac:dyDescent="0.3">
      <c r="A419" s="13">
        <v>43904.708333333336</v>
      </c>
      <c r="B419" s="12" t="s">
        <v>22</v>
      </c>
      <c r="C419" s="82">
        <v>10</v>
      </c>
      <c r="D419" s="12" t="s">
        <v>59</v>
      </c>
      <c r="E419" s="82">
        <v>4310675841</v>
      </c>
      <c r="F419" s="82">
        <v>1238824698</v>
      </c>
      <c r="G419" s="82">
        <v>21</v>
      </c>
      <c r="H419" s="82">
        <v>11</v>
      </c>
      <c r="I419" s="82">
        <v>32</v>
      </c>
      <c r="J419" s="82">
        <v>71</v>
      </c>
      <c r="K419" s="82">
        <v>103</v>
      </c>
      <c r="L419" s="82">
        <v>30</v>
      </c>
      <c r="M419" s="82">
        <v>31</v>
      </c>
      <c r="N419" s="82">
        <v>3</v>
      </c>
      <c r="O419" s="82">
        <v>1</v>
      </c>
      <c r="P419" s="82">
        <v>107</v>
      </c>
      <c r="Q419" s="82">
        <v>748</v>
      </c>
      <c r="R419" s="12" t="s">
        <v>25</v>
      </c>
      <c r="S419" s="12" t="s">
        <v>25</v>
      </c>
      <c r="T419" s="12" t="s">
        <v>25</v>
      </c>
    </row>
    <row r="420" spans="1:20" hidden="1" x14ac:dyDescent="0.3">
      <c r="A420" s="13">
        <v>43904.708333333336</v>
      </c>
      <c r="B420" s="12" t="s">
        <v>22</v>
      </c>
      <c r="C420" s="82">
        <v>2</v>
      </c>
      <c r="D420" s="12" t="s">
        <v>60</v>
      </c>
      <c r="E420" s="82">
        <v>4573750286</v>
      </c>
      <c r="F420" s="82">
        <v>7320149366</v>
      </c>
      <c r="G420" s="82">
        <v>12</v>
      </c>
      <c r="H420" s="82">
        <v>0</v>
      </c>
      <c r="I420" s="82">
        <v>12</v>
      </c>
      <c r="J420" s="82">
        <v>29</v>
      </c>
      <c r="K420" s="82">
        <v>41</v>
      </c>
      <c r="L420" s="82">
        <v>14</v>
      </c>
      <c r="M420" s="82">
        <v>14</v>
      </c>
      <c r="N420" s="82">
        <v>0</v>
      </c>
      <c r="O420" s="82">
        <v>1</v>
      </c>
      <c r="P420" s="82">
        <v>42</v>
      </c>
      <c r="Q420" s="82">
        <v>231</v>
      </c>
      <c r="R420" s="12" t="s">
        <v>25</v>
      </c>
      <c r="S420" s="12" t="s">
        <v>25</v>
      </c>
      <c r="T420" s="12" t="s">
        <v>25</v>
      </c>
    </row>
    <row r="421" spans="1:20" hidden="1" x14ac:dyDescent="0.3">
      <c r="A421" s="13">
        <v>43904.708333333336</v>
      </c>
      <c r="B421" s="12" t="s">
        <v>22</v>
      </c>
      <c r="C421" s="82">
        <v>5</v>
      </c>
      <c r="D421" s="12" t="s">
        <v>61</v>
      </c>
      <c r="E421" s="82">
        <v>4543490485</v>
      </c>
      <c r="F421" s="82">
        <v>1233845213</v>
      </c>
      <c r="G421" s="82">
        <v>366</v>
      </c>
      <c r="H421" s="82">
        <v>119</v>
      </c>
      <c r="I421" s="82">
        <v>485</v>
      </c>
      <c r="J421" s="82">
        <v>1290</v>
      </c>
      <c r="K421" s="82">
        <v>1775</v>
      </c>
      <c r="L421" s="82">
        <v>322</v>
      </c>
      <c r="M421" s="82">
        <v>342</v>
      </c>
      <c r="N421" s="82">
        <v>107</v>
      </c>
      <c r="O421" s="82">
        <v>55</v>
      </c>
      <c r="P421" s="82">
        <v>1937</v>
      </c>
      <c r="Q421" s="82">
        <v>26980</v>
      </c>
      <c r="R421" s="12" t="s">
        <v>25</v>
      </c>
      <c r="S421" s="12" t="s">
        <v>25</v>
      </c>
      <c r="T421" s="12" t="s">
        <v>25</v>
      </c>
    </row>
    <row r="422" spans="1:20" hidden="1" x14ac:dyDescent="0.3">
      <c r="A422" s="13">
        <v>43905.708333333336</v>
      </c>
      <c r="B422" s="12" t="s">
        <v>22</v>
      </c>
      <c r="C422" s="82">
        <v>13</v>
      </c>
      <c r="D422" s="12" t="s">
        <v>42</v>
      </c>
      <c r="E422" s="82">
        <v>4235122196</v>
      </c>
      <c r="F422" s="82">
        <v>1339843823</v>
      </c>
      <c r="G422" s="82">
        <v>72</v>
      </c>
      <c r="H422" s="82">
        <v>28</v>
      </c>
      <c r="I422" s="82">
        <v>100</v>
      </c>
      <c r="J422" s="82">
        <v>28</v>
      </c>
      <c r="K422" s="82">
        <v>128</v>
      </c>
      <c r="L422" s="82">
        <v>22</v>
      </c>
      <c r="M422" s="82">
        <v>25</v>
      </c>
      <c r="N422" s="82">
        <v>6</v>
      </c>
      <c r="O422" s="82">
        <v>3</v>
      </c>
      <c r="P422" s="82">
        <v>137</v>
      </c>
      <c r="Q422" s="82">
        <v>1419</v>
      </c>
      <c r="R422" s="12" t="s">
        <v>25</v>
      </c>
      <c r="S422" s="12" t="s">
        <v>25</v>
      </c>
      <c r="T422" s="12" t="s">
        <v>25</v>
      </c>
    </row>
    <row r="423" spans="1:20" hidden="1" x14ac:dyDescent="0.3">
      <c r="A423" s="13">
        <v>43905.708333333336</v>
      </c>
      <c r="B423" s="12" t="s">
        <v>22</v>
      </c>
      <c r="C423" s="82">
        <v>17</v>
      </c>
      <c r="D423" s="12" t="s">
        <v>43</v>
      </c>
      <c r="E423" s="82">
        <v>4063947052</v>
      </c>
      <c r="F423" s="82">
        <v>1580514834</v>
      </c>
      <c r="G423" s="82">
        <v>0</v>
      </c>
      <c r="H423" s="82">
        <v>2</v>
      </c>
      <c r="I423" s="82">
        <v>2</v>
      </c>
      <c r="J423" s="82">
        <v>9</v>
      </c>
      <c r="K423" s="82">
        <v>11</v>
      </c>
      <c r="L423" s="82">
        <v>1</v>
      </c>
      <c r="M423" s="82">
        <v>1</v>
      </c>
      <c r="N423" s="82">
        <v>0</v>
      </c>
      <c r="O423" s="82">
        <v>0</v>
      </c>
      <c r="P423" s="82">
        <v>11</v>
      </c>
      <c r="Q423" s="82">
        <v>208</v>
      </c>
      <c r="R423" s="12" t="s">
        <v>25</v>
      </c>
      <c r="S423" s="12" t="s">
        <v>25</v>
      </c>
      <c r="T423" s="12" t="s">
        <v>25</v>
      </c>
    </row>
    <row r="424" spans="1:20" hidden="1" x14ac:dyDescent="0.3">
      <c r="A424" s="13">
        <v>43905.708333333336</v>
      </c>
      <c r="B424" s="12" t="s">
        <v>22</v>
      </c>
      <c r="C424" s="82">
        <v>21</v>
      </c>
      <c r="D424" s="12" t="s">
        <v>44</v>
      </c>
      <c r="E424" s="82">
        <v>4649933453</v>
      </c>
      <c r="F424" s="82">
        <v>1135662422</v>
      </c>
      <c r="G424" s="82">
        <v>50</v>
      </c>
      <c r="H424" s="82">
        <v>4</v>
      </c>
      <c r="I424" s="82">
        <v>54</v>
      </c>
      <c r="J424" s="82">
        <v>145</v>
      </c>
      <c r="K424" s="82">
        <v>199</v>
      </c>
      <c r="L424" s="82">
        <v>29</v>
      </c>
      <c r="M424" s="82">
        <v>31</v>
      </c>
      <c r="N424" s="82">
        <v>0</v>
      </c>
      <c r="O424" s="82">
        <v>5</v>
      </c>
      <c r="P424" s="82">
        <v>204</v>
      </c>
      <c r="Q424" s="82">
        <v>1497</v>
      </c>
      <c r="R424" s="12" t="s">
        <v>25</v>
      </c>
      <c r="S424" s="12" t="s">
        <v>25</v>
      </c>
      <c r="T424" s="12" t="s">
        <v>25</v>
      </c>
    </row>
    <row r="425" spans="1:20" hidden="1" x14ac:dyDescent="0.3">
      <c r="A425" s="13">
        <v>43905.708333333336</v>
      </c>
      <c r="B425" s="12" t="s">
        <v>22</v>
      </c>
      <c r="C425" s="82">
        <v>18</v>
      </c>
      <c r="D425" s="12" t="s">
        <v>45</v>
      </c>
      <c r="E425" s="82">
        <v>3890597598</v>
      </c>
      <c r="F425" s="82">
        <v>1659440194</v>
      </c>
      <c r="G425" s="82">
        <v>32</v>
      </c>
      <c r="H425" s="82">
        <v>6</v>
      </c>
      <c r="I425" s="82">
        <v>38</v>
      </c>
      <c r="J425" s="82">
        <v>28</v>
      </c>
      <c r="K425" s="82">
        <v>66</v>
      </c>
      <c r="L425" s="82">
        <v>7</v>
      </c>
      <c r="M425" s="82">
        <v>8</v>
      </c>
      <c r="N425" s="82">
        <v>1</v>
      </c>
      <c r="O425" s="82">
        <v>1</v>
      </c>
      <c r="P425" s="82">
        <v>68</v>
      </c>
      <c r="Q425" s="82">
        <v>884</v>
      </c>
      <c r="R425" s="12" t="s">
        <v>25</v>
      </c>
      <c r="S425" s="12" t="s">
        <v>25</v>
      </c>
      <c r="T425" s="12" t="s">
        <v>25</v>
      </c>
    </row>
    <row r="426" spans="1:20" hidden="1" x14ac:dyDescent="0.3">
      <c r="A426" s="13">
        <v>43905.708333333336</v>
      </c>
      <c r="B426" s="12" t="s">
        <v>22</v>
      </c>
      <c r="C426" s="82">
        <v>15</v>
      </c>
      <c r="D426" s="12" t="s">
        <v>46</v>
      </c>
      <c r="E426" s="82">
        <v>4083956555</v>
      </c>
      <c r="F426" s="82">
        <v>1425084984</v>
      </c>
      <c r="G426" s="82">
        <v>73</v>
      </c>
      <c r="H426" s="82">
        <v>22</v>
      </c>
      <c r="I426" s="82">
        <v>95</v>
      </c>
      <c r="J426" s="82">
        <v>201</v>
      </c>
      <c r="K426" s="82">
        <v>296</v>
      </c>
      <c r="L426" s="82">
        <v>53</v>
      </c>
      <c r="M426" s="82">
        <v>61</v>
      </c>
      <c r="N426" s="82">
        <v>28</v>
      </c>
      <c r="O426" s="82">
        <v>9</v>
      </c>
      <c r="P426" s="82">
        <v>333</v>
      </c>
      <c r="Q426" s="82">
        <v>2213</v>
      </c>
      <c r="R426" s="12" t="s">
        <v>25</v>
      </c>
      <c r="S426" s="12" t="s">
        <v>25</v>
      </c>
      <c r="T426" s="12" t="s">
        <v>25</v>
      </c>
    </row>
    <row r="427" spans="1:20" hidden="1" x14ac:dyDescent="0.3">
      <c r="A427" s="13">
        <v>43905.708333333336</v>
      </c>
      <c r="B427" s="12" t="s">
        <v>22</v>
      </c>
      <c r="C427" s="82">
        <v>8</v>
      </c>
      <c r="D427" s="12" t="s">
        <v>95</v>
      </c>
      <c r="E427" s="82">
        <v>4449436681</v>
      </c>
      <c r="F427" s="82">
        <v>113417208</v>
      </c>
      <c r="G427" s="82">
        <v>1215</v>
      </c>
      <c r="H427" s="82">
        <v>169</v>
      </c>
      <c r="I427" s="82">
        <v>1384</v>
      </c>
      <c r="J427" s="82">
        <v>1357</v>
      </c>
      <c r="K427" s="82">
        <v>2741</v>
      </c>
      <c r="L427" s="82">
        <v>392</v>
      </c>
      <c r="M427" s="82">
        <v>449</v>
      </c>
      <c r="N427" s="82">
        <v>68</v>
      </c>
      <c r="O427" s="82">
        <v>284</v>
      </c>
      <c r="P427" s="82">
        <v>3093</v>
      </c>
      <c r="Q427" s="82">
        <v>12054</v>
      </c>
      <c r="R427" s="12" t="s">
        <v>25</v>
      </c>
      <c r="S427" s="12" t="s">
        <v>25</v>
      </c>
      <c r="T427" s="12" t="s">
        <v>25</v>
      </c>
    </row>
    <row r="428" spans="1:20" hidden="1" x14ac:dyDescent="0.3">
      <c r="A428" s="13">
        <v>43905.708333333336</v>
      </c>
      <c r="B428" s="12" t="s">
        <v>22</v>
      </c>
      <c r="C428" s="82">
        <v>6</v>
      </c>
      <c r="D428" s="12" t="s">
        <v>47</v>
      </c>
      <c r="E428" s="82">
        <v>456494354</v>
      </c>
      <c r="F428" s="82">
        <v>1376813649</v>
      </c>
      <c r="G428" s="82">
        <v>98</v>
      </c>
      <c r="H428" s="82">
        <v>12</v>
      </c>
      <c r="I428" s="82">
        <v>110</v>
      </c>
      <c r="J428" s="82">
        <v>206</v>
      </c>
      <c r="K428" s="82">
        <v>316</v>
      </c>
      <c r="L428" s="82">
        <v>45</v>
      </c>
      <c r="M428" s="82">
        <v>46</v>
      </c>
      <c r="N428" s="82">
        <v>17</v>
      </c>
      <c r="O428" s="82">
        <v>14</v>
      </c>
      <c r="P428" s="82">
        <v>347</v>
      </c>
      <c r="Q428" s="82">
        <v>3407</v>
      </c>
      <c r="R428" s="12" t="s">
        <v>25</v>
      </c>
      <c r="S428" s="12" t="s">
        <v>25</v>
      </c>
      <c r="T428" s="12" t="s">
        <v>25</v>
      </c>
    </row>
    <row r="429" spans="1:20" hidden="1" x14ac:dyDescent="0.3">
      <c r="A429" s="13">
        <v>43905.708333333336</v>
      </c>
      <c r="B429" s="12" t="s">
        <v>22</v>
      </c>
      <c r="C429" s="82">
        <v>12</v>
      </c>
      <c r="D429" s="12" t="s">
        <v>48</v>
      </c>
      <c r="E429" s="82">
        <v>4189277044</v>
      </c>
      <c r="F429" s="82">
        <v>1248366722</v>
      </c>
      <c r="G429" s="82">
        <v>223</v>
      </c>
      <c r="H429" s="82">
        <v>31</v>
      </c>
      <c r="I429" s="82">
        <v>254</v>
      </c>
      <c r="J429" s="82">
        <v>142</v>
      </c>
      <c r="K429" s="82">
        <v>396</v>
      </c>
      <c r="L429" s="82">
        <v>76</v>
      </c>
      <c r="M429" s="82">
        <v>79</v>
      </c>
      <c r="N429" s="82">
        <v>24</v>
      </c>
      <c r="O429" s="82">
        <v>16</v>
      </c>
      <c r="P429" s="82">
        <v>436</v>
      </c>
      <c r="Q429" s="82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82">
        <v>7</v>
      </c>
      <c r="D430" s="12" t="s">
        <v>49</v>
      </c>
      <c r="E430" s="82">
        <v>4441149315</v>
      </c>
      <c r="F430" s="82">
        <v>89326992</v>
      </c>
      <c r="G430" s="82">
        <v>253</v>
      </c>
      <c r="H430" s="82">
        <v>66</v>
      </c>
      <c r="I430" s="82">
        <v>319</v>
      </c>
      <c r="J430" s="82">
        <v>174</v>
      </c>
      <c r="K430" s="82">
        <v>493</v>
      </c>
      <c r="L430" s="82">
        <v>109</v>
      </c>
      <c r="M430" s="82">
        <v>96</v>
      </c>
      <c r="N430" s="82">
        <v>33</v>
      </c>
      <c r="O430" s="82">
        <v>33</v>
      </c>
      <c r="P430" s="82">
        <v>559</v>
      </c>
      <c r="Q430" s="82">
        <v>1973</v>
      </c>
      <c r="R430" s="12" t="s">
        <v>25</v>
      </c>
      <c r="S430" s="12" t="s">
        <v>25</v>
      </c>
      <c r="T430" s="12" t="s">
        <v>25</v>
      </c>
    </row>
    <row r="431" spans="1:20" hidden="1" x14ac:dyDescent="0.3">
      <c r="A431" s="13">
        <v>43905.708333333336</v>
      </c>
      <c r="B431" s="12" t="s">
        <v>22</v>
      </c>
      <c r="C431" s="82">
        <v>3</v>
      </c>
      <c r="D431" s="12" t="s">
        <v>50</v>
      </c>
      <c r="E431" s="82">
        <v>4546679409</v>
      </c>
      <c r="F431" s="82">
        <v>9190347404</v>
      </c>
      <c r="G431" s="82">
        <v>5500</v>
      </c>
      <c r="H431" s="82">
        <v>767</v>
      </c>
      <c r="I431" s="82">
        <v>6267</v>
      </c>
      <c r="J431" s="82">
        <v>3776</v>
      </c>
      <c r="K431" s="82">
        <v>10043</v>
      </c>
      <c r="L431" s="82">
        <v>984</v>
      </c>
      <c r="M431" s="82">
        <v>1587</v>
      </c>
      <c r="N431" s="82">
        <v>2011</v>
      </c>
      <c r="O431" s="82">
        <v>1218</v>
      </c>
      <c r="P431" s="82">
        <v>13272</v>
      </c>
      <c r="Q431" s="82">
        <v>40369</v>
      </c>
      <c r="R431" s="12" t="s">
        <v>25</v>
      </c>
      <c r="S431" s="12" t="s">
        <v>25</v>
      </c>
      <c r="T431" s="12" t="s">
        <v>25</v>
      </c>
    </row>
    <row r="432" spans="1:20" hidden="1" x14ac:dyDescent="0.3">
      <c r="A432" s="13">
        <v>43905.708333333336</v>
      </c>
      <c r="B432" s="12" t="s">
        <v>22</v>
      </c>
      <c r="C432" s="82">
        <v>11</v>
      </c>
      <c r="D432" s="12" t="s">
        <v>51</v>
      </c>
      <c r="E432" s="82">
        <v>4361675973</v>
      </c>
      <c r="F432" s="82">
        <v>135188753</v>
      </c>
      <c r="G432" s="82">
        <v>521</v>
      </c>
      <c r="H432" s="82">
        <v>98</v>
      </c>
      <c r="I432" s="82">
        <v>619</v>
      </c>
      <c r="J432" s="82">
        <v>468</v>
      </c>
      <c r="K432" s="82">
        <v>1087</v>
      </c>
      <c r="L432" s="82">
        <v>224</v>
      </c>
      <c r="M432" s="82">
        <v>234</v>
      </c>
      <c r="N432" s="82">
        <v>0</v>
      </c>
      <c r="O432" s="82">
        <v>46</v>
      </c>
      <c r="P432" s="82">
        <v>1133</v>
      </c>
      <c r="Q432" s="82">
        <v>2946</v>
      </c>
      <c r="R432" s="12" t="s">
        <v>25</v>
      </c>
      <c r="S432" s="12" t="s">
        <v>25</v>
      </c>
      <c r="T432" s="12" t="s">
        <v>25</v>
      </c>
    </row>
    <row r="433" spans="1:20" hidden="1" x14ac:dyDescent="0.3">
      <c r="A433" s="13">
        <v>43905.708333333336</v>
      </c>
      <c r="B433" s="12" t="s">
        <v>22</v>
      </c>
      <c r="C433" s="82">
        <v>14</v>
      </c>
      <c r="D433" s="12" t="s">
        <v>52</v>
      </c>
      <c r="E433" s="82">
        <v>4155774754</v>
      </c>
      <c r="F433" s="82">
        <v>1465916051</v>
      </c>
      <c r="G433" s="82">
        <v>3</v>
      </c>
      <c r="H433" s="82">
        <v>4</v>
      </c>
      <c r="I433" s="82">
        <v>7</v>
      </c>
      <c r="J433" s="82">
        <v>10</v>
      </c>
      <c r="K433" s="82">
        <v>17</v>
      </c>
      <c r="L433" s="82">
        <v>0</v>
      </c>
      <c r="M433" s="82">
        <v>0</v>
      </c>
      <c r="N433" s="82">
        <v>0</v>
      </c>
      <c r="O433" s="82">
        <v>0</v>
      </c>
      <c r="P433" s="82">
        <v>17</v>
      </c>
      <c r="Q433" s="82">
        <v>248</v>
      </c>
      <c r="R433" s="12" t="s">
        <v>25</v>
      </c>
      <c r="S433" s="12" t="s">
        <v>25</v>
      </c>
      <c r="T433" s="12" t="s">
        <v>25</v>
      </c>
    </row>
    <row r="434" spans="1:20" hidden="1" x14ac:dyDescent="0.3">
      <c r="A434" s="13">
        <v>43905.708333333336</v>
      </c>
      <c r="B434" s="12" t="s">
        <v>22</v>
      </c>
      <c r="C434" s="82">
        <v>1</v>
      </c>
      <c r="D434" s="12" t="s">
        <v>53</v>
      </c>
      <c r="E434" s="82">
        <v>450732745</v>
      </c>
      <c r="F434" s="82">
        <v>7680687483</v>
      </c>
      <c r="G434" s="82">
        <v>726</v>
      </c>
      <c r="H434" s="82">
        <v>171</v>
      </c>
      <c r="I434" s="82">
        <v>897</v>
      </c>
      <c r="J434" s="82">
        <v>133</v>
      </c>
      <c r="K434" s="82">
        <v>1030</v>
      </c>
      <c r="L434" s="82">
        <v>216</v>
      </c>
      <c r="M434" s="82">
        <v>238</v>
      </c>
      <c r="N434" s="82">
        <v>0</v>
      </c>
      <c r="O434" s="82">
        <v>81</v>
      </c>
      <c r="P434" s="82">
        <v>1111</v>
      </c>
      <c r="Q434" s="82">
        <v>4375</v>
      </c>
      <c r="R434" s="12" t="s">
        <v>25</v>
      </c>
      <c r="S434" s="12" t="s">
        <v>25</v>
      </c>
      <c r="T434" s="12" t="s">
        <v>25</v>
      </c>
    </row>
    <row r="435" spans="1:20" hidden="1" x14ac:dyDescent="0.3">
      <c r="A435" s="13">
        <v>43905.708333333336</v>
      </c>
      <c r="B435" s="12" t="s">
        <v>22</v>
      </c>
      <c r="C435" s="82">
        <v>16</v>
      </c>
      <c r="D435" s="12" t="s">
        <v>54</v>
      </c>
      <c r="E435" s="82">
        <v>4112559576</v>
      </c>
      <c r="F435" s="82">
        <v>1686736689</v>
      </c>
      <c r="G435" s="82">
        <v>116</v>
      </c>
      <c r="H435" s="82">
        <v>6</v>
      </c>
      <c r="I435" s="82">
        <v>122</v>
      </c>
      <c r="J435" s="82">
        <v>90</v>
      </c>
      <c r="K435" s="82">
        <v>212</v>
      </c>
      <c r="L435" s="82">
        <v>56</v>
      </c>
      <c r="M435" s="82">
        <v>64</v>
      </c>
      <c r="N435" s="82">
        <v>2</v>
      </c>
      <c r="O435" s="82">
        <v>16</v>
      </c>
      <c r="P435" s="82">
        <v>230</v>
      </c>
      <c r="Q435" s="82">
        <v>2017</v>
      </c>
      <c r="R435" s="12" t="s">
        <v>25</v>
      </c>
      <c r="S435" s="12" t="s">
        <v>25</v>
      </c>
      <c r="T435" s="12" t="s">
        <v>25</v>
      </c>
    </row>
    <row r="436" spans="1:20" hidden="1" x14ac:dyDescent="0.3">
      <c r="A436" s="13">
        <v>43905.708333333336</v>
      </c>
      <c r="B436" s="12" t="s">
        <v>22</v>
      </c>
      <c r="C436" s="82">
        <v>20</v>
      </c>
      <c r="D436" s="12" t="s">
        <v>55</v>
      </c>
      <c r="E436" s="82">
        <v>3921531192</v>
      </c>
      <c r="F436" s="82">
        <v>9110616306</v>
      </c>
      <c r="G436" s="82">
        <v>16</v>
      </c>
      <c r="H436" s="82">
        <v>0</v>
      </c>
      <c r="I436" s="82">
        <v>16</v>
      </c>
      <c r="J436" s="82">
        <v>59</v>
      </c>
      <c r="K436" s="82">
        <v>75</v>
      </c>
      <c r="L436" s="82">
        <v>28</v>
      </c>
      <c r="M436" s="82">
        <v>30</v>
      </c>
      <c r="N436" s="82">
        <v>0</v>
      </c>
      <c r="O436" s="82">
        <v>2</v>
      </c>
      <c r="P436" s="82">
        <v>77</v>
      </c>
      <c r="Q436" s="82">
        <v>613</v>
      </c>
      <c r="R436" s="12" t="s">
        <v>25</v>
      </c>
      <c r="S436" s="12" t="s">
        <v>25</v>
      </c>
      <c r="T436" s="12" t="s">
        <v>25</v>
      </c>
    </row>
    <row r="437" spans="1:20" hidden="1" x14ac:dyDescent="0.3">
      <c r="A437" s="13">
        <v>43905.708333333336</v>
      </c>
      <c r="B437" s="12" t="s">
        <v>22</v>
      </c>
      <c r="C437" s="82">
        <v>19</v>
      </c>
      <c r="D437" s="12" t="s">
        <v>56</v>
      </c>
      <c r="E437" s="82">
        <v>3811569725</v>
      </c>
      <c r="F437" s="82">
        <v>133623567</v>
      </c>
      <c r="G437" s="82">
        <v>56</v>
      </c>
      <c r="H437" s="82">
        <v>15</v>
      </c>
      <c r="I437" s="82">
        <v>71</v>
      </c>
      <c r="J437" s="82">
        <v>108</v>
      </c>
      <c r="K437" s="82">
        <v>179</v>
      </c>
      <c r="L437" s="82">
        <v>29</v>
      </c>
      <c r="M437" s="82">
        <v>32</v>
      </c>
      <c r="N437" s="82">
        <v>7</v>
      </c>
      <c r="O437" s="82">
        <v>2</v>
      </c>
      <c r="P437" s="82">
        <v>188</v>
      </c>
      <c r="Q437" s="82">
        <v>2452</v>
      </c>
      <c r="R437" s="12" t="s">
        <v>25</v>
      </c>
      <c r="S437" s="12" t="s">
        <v>25</v>
      </c>
      <c r="T437" s="12" t="s">
        <v>25</v>
      </c>
    </row>
    <row r="438" spans="1:20" hidden="1" x14ac:dyDescent="0.3">
      <c r="A438" s="13">
        <v>43905.708333333336</v>
      </c>
      <c r="B438" s="12" t="s">
        <v>22</v>
      </c>
      <c r="C438" s="82">
        <v>9</v>
      </c>
      <c r="D438" s="12" t="s">
        <v>57</v>
      </c>
      <c r="E438" s="82">
        <v>4376923077</v>
      </c>
      <c r="F438" s="82">
        <v>1125588885</v>
      </c>
      <c r="G438" s="82">
        <v>175</v>
      </c>
      <c r="H438" s="82">
        <v>107</v>
      </c>
      <c r="I438" s="82">
        <v>282</v>
      </c>
      <c r="J438" s="82">
        <v>481</v>
      </c>
      <c r="K438" s="82">
        <v>763</v>
      </c>
      <c r="L438" s="82">
        <v>149</v>
      </c>
      <c r="M438" s="82">
        <v>151</v>
      </c>
      <c r="N438" s="82">
        <v>10</v>
      </c>
      <c r="O438" s="82">
        <v>8</v>
      </c>
      <c r="P438" s="82">
        <v>781</v>
      </c>
      <c r="Q438" s="82">
        <v>5132</v>
      </c>
      <c r="R438" s="12" t="s">
        <v>25</v>
      </c>
      <c r="S438" s="12" t="s">
        <v>25</v>
      </c>
      <c r="T438" s="12" t="s">
        <v>25</v>
      </c>
    </row>
    <row r="439" spans="1:20" hidden="1" x14ac:dyDescent="0.3">
      <c r="A439" s="13">
        <v>43905.708333333336</v>
      </c>
      <c r="B439" s="12" t="s">
        <v>22</v>
      </c>
      <c r="C439" s="82">
        <v>22</v>
      </c>
      <c r="D439" s="12" t="s">
        <v>58</v>
      </c>
      <c r="E439" s="82">
        <v>4606893511</v>
      </c>
      <c r="F439" s="82">
        <v>1112123097</v>
      </c>
      <c r="G439" s="82">
        <v>73</v>
      </c>
      <c r="H439" s="82">
        <v>19</v>
      </c>
      <c r="I439" s="82">
        <v>92</v>
      </c>
      <c r="J439" s="82">
        <v>275</v>
      </c>
      <c r="K439" s="82">
        <v>367</v>
      </c>
      <c r="L439" s="82">
        <v>168</v>
      </c>
      <c r="M439" s="82">
        <v>172</v>
      </c>
      <c r="N439" s="82">
        <v>5</v>
      </c>
      <c r="O439" s="82">
        <v>6</v>
      </c>
      <c r="P439" s="82">
        <v>378</v>
      </c>
      <c r="Q439" s="82">
        <v>1006</v>
      </c>
      <c r="R439" s="12" t="s">
        <v>25</v>
      </c>
      <c r="S439" s="12" t="s">
        <v>25</v>
      </c>
      <c r="T439" s="12" t="s">
        <v>25</v>
      </c>
    </row>
    <row r="440" spans="1:20" hidden="1" x14ac:dyDescent="0.3">
      <c r="A440" s="13">
        <v>43905.708333333336</v>
      </c>
      <c r="B440" s="12" t="s">
        <v>22</v>
      </c>
      <c r="C440" s="82">
        <v>10</v>
      </c>
      <c r="D440" s="12" t="s">
        <v>59</v>
      </c>
      <c r="E440" s="82">
        <v>4310675841</v>
      </c>
      <c r="F440" s="82">
        <v>1238824698</v>
      </c>
      <c r="G440" s="82">
        <v>25</v>
      </c>
      <c r="H440" s="82">
        <v>13</v>
      </c>
      <c r="I440" s="82">
        <v>38</v>
      </c>
      <c r="J440" s="82">
        <v>101</v>
      </c>
      <c r="K440" s="82">
        <v>139</v>
      </c>
      <c r="L440" s="82">
        <v>36</v>
      </c>
      <c r="M440" s="82">
        <v>36</v>
      </c>
      <c r="N440" s="82">
        <v>3</v>
      </c>
      <c r="O440" s="82">
        <v>1</v>
      </c>
      <c r="P440" s="82">
        <v>143</v>
      </c>
      <c r="Q440" s="82">
        <v>965</v>
      </c>
      <c r="R440" s="12" t="s">
        <v>25</v>
      </c>
      <c r="S440" s="12" t="s">
        <v>25</v>
      </c>
      <c r="T440" s="12" t="s">
        <v>25</v>
      </c>
    </row>
    <row r="441" spans="1:20" hidden="1" x14ac:dyDescent="0.3">
      <c r="A441" s="13">
        <v>43905.708333333336</v>
      </c>
      <c r="B441" s="12" t="s">
        <v>22</v>
      </c>
      <c r="C441" s="82">
        <v>2</v>
      </c>
      <c r="D441" s="12" t="s">
        <v>60</v>
      </c>
      <c r="E441" s="82">
        <v>4573750286</v>
      </c>
      <c r="F441" s="82">
        <v>7320149366</v>
      </c>
      <c r="G441" s="82">
        <v>10</v>
      </c>
      <c r="H441" s="82">
        <v>3</v>
      </c>
      <c r="I441" s="82">
        <v>13</v>
      </c>
      <c r="J441" s="82">
        <v>43</v>
      </c>
      <c r="K441" s="82">
        <v>56</v>
      </c>
      <c r="L441" s="82">
        <v>15</v>
      </c>
      <c r="M441" s="82">
        <v>15</v>
      </c>
      <c r="N441" s="82">
        <v>0</v>
      </c>
      <c r="O441" s="82">
        <v>1</v>
      </c>
      <c r="P441" s="82">
        <v>57</v>
      </c>
      <c r="Q441" s="82">
        <v>230</v>
      </c>
      <c r="R441" s="12" t="s">
        <v>25</v>
      </c>
      <c r="S441" s="12" t="s">
        <v>25</v>
      </c>
      <c r="T441" s="12" t="s">
        <v>25</v>
      </c>
    </row>
    <row r="442" spans="1:20" hidden="1" x14ac:dyDescent="0.3">
      <c r="A442" s="13">
        <v>43905.708333333336</v>
      </c>
      <c r="B442" s="12" t="s">
        <v>22</v>
      </c>
      <c r="C442" s="82">
        <v>5</v>
      </c>
      <c r="D442" s="12" t="s">
        <v>61</v>
      </c>
      <c r="E442" s="82">
        <v>4543490485</v>
      </c>
      <c r="F442" s="82">
        <v>1233845213</v>
      </c>
      <c r="G442" s="82">
        <v>426</v>
      </c>
      <c r="H442" s="82">
        <v>129</v>
      </c>
      <c r="I442" s="82">
        <v>555</v>
      </c>
      <c r="J442" s="82">
        <v>1434</v>
      </c>
      <c r="K442" s="82">
        <v>1989</v>
      </c>
      <c r="L442" s="82">
        <v>214</v>
      </c>
      <c r="M442" s="82">
        <v>235</v>
      </c>
      <c r="N442" s="82">
        <v>120</v>
      </c>
      <c r="O442" s="82">
        <v>63</v>
      </c>
      <c r="P442" s="82">
        <v>2172</v>
      </c>
      <c r="Q442" s="82">
        <v>32546</v>
      </c>
      <c r="R442" s="12" t="s">
        <v>25</v>
      </c>
      <c r="S442" s="12" t="s">
        <v>25</v>
      </c>
      <c r="T442" s="12" t="s">
        <v>25</v>
      </c>
    </row>
    <row r="443" spans="1:20" hidden="1" x14ac:dyDescent="0.3">
      <c r="A443" s="13">
        <v>43906.708333333336</v>
      </c>
      <c r="B443" s="12" t="s">
        <v>22</v>
      </c>
      <c r="C443" s="82">
        <v>13</v>
      </c>
      <c r="D443" s="12" t="s">
        <v>42</v>
      </c>
      <c r="E443" s="82">
        <v>4235122196</v>
      </c>
      <c r="F443" s="82">
        <v>1339843823</v>
      </c>
      <c r="G443" s="82">
        <v>71</v>
      </c>
      <c r="H443" s="82">
        <v>37</v>
      </c>
      <c r="I443" s="82">
        <v>108</v>
      </c>
      <c r="J443" s="82">
        <v>57</v>
      </c>
      <c r="K443" s="82">
        <v>165</v>
      </c>
      <c r="L443" s="82">
        <v>37</v>
      </c>
      <c r="M443" s="82">
        <v>39</v>
      </c>
      <c r="N443" s="82">
        <v>7</v>
      </c>
      <c r="O443" s="82">
        <v>4</v>
      </c>
      <c r="P443" s="82">
        <v>176</v>
      </c>
      <c r="Q443" s="82">
        <v>1533</v>
      </c>
      <c r="R443" s="12" t="s">
        <v>25</v>
      </c>
      <c r="S443" s="12" t="s">
        <v>25</v>
      </c>
      <c r="T443" s="12" t="s">
        <v>25</v>
      </c>
    </row>
    <row r="444" spans="1:20" hidden="1" x14ac:dyDescent="0.3">
      <c r="A444" s="13">
        <v>43906.708333333336</v>
      </c>
      <c r="B444" s="12" t="s">
        <v>22</v>
      </c>
      <c r="C444" s="82">
        <v>17</v>
      </c>
      <c r="D444" s="12" t="s">
        <v>43</v>
      </c>
      <c r="E444" s="82">
        <v>4063947052</v>
      </c>
      <c r="F444" s="82">
        <v>1580514834</v>
      </c>
      <c r="G444" s="82">
        <v>1</v>
      </c>
      <c r="H444" s="82">
        <v>2</v>
      </c>
      <c r="I444" s="82">
        <v>3</v>
      </c>
      <c r="J444" s="82">
        <v>9</v>
      </c>
      <c r="K444" s="82">
        <v>12</v>
      </c>
      <c r="L444" s="82">
        <v>1</v>
      </c>
      <c r="M444" s="82">
        <v>1</v>
      </c>
      <c r="N444" s="82">
        <v>0</v>
      </c>
      <c r="O444" s="82">
        <v>0</v>
      </c>
      <c r="P444" s="82">
        <v>12</v>
      </c>
      <c r="Q444" s="82">
        <v>230</v>
      </c>
      <c r="R444" s="12" t="s">
        <v>25</v>
      </c>
      <c r="S444" s="12" t="s">
        <v>25</v>
      </c>
      <c r="T444" s="12" t="s">
        <v>25</v>
      </c>
    </row>
    <row r="445" spans="1:20" hidden="1" x14ac:dyDescent="0.3">
      <c r="A445" s="13">
        <v>43906.708333333336</v>
      </c>
      <c r="B445" s="12" t="s">
        <v>22</v>
      </c>
      <c r="C445" s="82">
        <v>21</v>
      </c>
      <c r="D445" s="12" t="s">
        <v>44</v>
      </c>
      <c r="E445" s="82">
        <v>4649933453</v>
      </c>
      <c r="F445" s="82">
        <v>1135662422</v>
      </c>
      <c r="G445" s="82">
        <v>53</v>
      </c>
      <c r="H445" s="82">
        <v>11</v>
      </c>
      <c r="I445" s="82">
        <v>64</v>
      </c>
      <c r="J445" s="82">
        <v>171</v>
      </c>
      <c r="K445" s="82">
        <v>235</v>
      </c>
      <c r="L445" s="82">
        <v>36</v>
      </c>
      <c r="M445" s="82">
        <v>37</v>
      </c>
      <c r="N445" s="82">
        <v>0</v>
      </c>
      <c r="O445" s="82">
        <v>6</v>
      </c>
      <c r="P445" s="82">
        <v>241</v>
      </c>
      <c r="Q445" s="82">
        <v>1740</v>
      </c>
      <c r="R445" s="12" t="s">
        <v>25</v>
      </c>
      <c r="S445" s="12" t="s">
        <v>25</v>
      </c>
      <c r="T445" s="12" t="s">
        <v>25</v>
      </c>
    </row>
    <row r="446" spans="1:20" hidden="1" x14ac:dyDescent="0.3">
      <c r="A446" s="13">
        <v>43906.708333333336</v>
      </c>
      <c r="B446" s="12" t="s">
        <v>22</v>
      </c>
      <c r="C446" s="82">
        <v>18</v>
      </c>
      <c r="D446" s="12" t="s">
        <v>45</v>
      </c>
      <c r="E446" s="82">
        <v>3890597598</v>
      </c>
      <c r="F446" s="82">
        <v>1659440194</v>
      </c>
      <c r="G446" s="82">
        <v>36</v>
      </c>
      <c r="H446" s="82">
        <v>7</v>
      </c>
      <c r="I446" s="82">
        <v>43</v>
      </c>
      <c r="J446" s="82">
        <v>44</v>
      </c>
      <c r="K446" s="82">
        <v>87</v>
      </c>
      <c r="L446" s="82">
        <v>21</v>
      </c>
      <c r="M446" s="82">
        <v>21</v>
      </c>
      <c r="N446" s="82">
        <v>1</v>
      </c>
      <c r="O446" s="82">
        <v>1</v>
      </c>
      <c r="P446" s="82">
        <v>89</v>
      </c>
      <c r="Q446" s="82">
        <v>1030</v>
      </c>
      <c r="R446" s="12" t="s">
        <v>25</v>
      </c>
      <c r="S446" s="12" t="s">
        <v>25</v>
      </c>
      <c r="T446" s="12" t="s">
        <v>25</v>
      </c>
    </row>
    <row r="447" spans="1:20" hidden="1" x14ac:dyDescent="0.3">
      <c r="A447" s="13">
        <v>43906.708333333336</v>
      </c>
      <c r="B447" s="12" t="s">
        <v>22</v>
      </c>
      <c r="C447" s="82">
        <v>15</v>
      </c>
      <c r="D447" s="12" t="s">
        <v>46</v>
      </c>
      <c r="E447" s="82">
        <v>4083956555</v>
      </c>
      <c r="F447" s="82">
        <v>1425084984</v>
      </c>
      <c r="G447" s="82">
        <v>103</v>
      </c>
      <c r="H447" s="82">
        <v>22</v>
      </c>
      <c r="I447" s="82">
        <v>125</v>
      </c>
      <c r="J447" s="82">
        <v>238</v>
      </c>
      <c r="K447" s="82">
        <v>363</v>
      </c>
      <c r="L447" s="82">
        <v>67</v>
      </c>
      <c r="M447" s="82">
        <v>67</v>
      </c>
      <c r="N447" s="82">
        <v>28</v>
      </c>
      <c r="O447" s="82">
        <v>9</v>
      </c>
      <c r="P447" s="82">
        <v>400</v>
      </c>
      <c r="Q447" s="82">
        <v>2517</v>
      </c>
      <c r="R447" s="12" t="s">
        <v>25</v>
      </c>
      <c r="S447" s="12" t="s">
        <v>25</v>
      </c>
      <c r="T447" s="12" t="s">
        <v>25</v>
      </c>
    </row>
    <row r="448" spans="1:20" hidden="1" x14ac:dyDescent="0.3">
      <c r="A448" s="13">
        <v>43906.708333333336</v>
      </c>
      <c r="B448" s="12" t="s">
        <v>22</v>
      </c>
      <c r="C448" s="82">
        <v>8</v>
      </c>
      <c r="D448" s="12" t="s">
        <v>95</v>
      </c>
      <c r="E448" s="82">
        <v>4449436681</v>
      </c>
      <c r="F448" s="82">
        <v>113417208</v>
      </c>
      <c r="G448" s="82">
        <v>1362</v>
      </c>
      <c r="H448" s="82">
        <v>197</v>
      </c>
      <c r="I448" s="82">
        <v>1559</v>
      </c>
      <c r="J448" s="82">
        <v>1529</v>
      </c>
      <c r="K448" s="82">
        <v>3088</v>
      </c>
      <c r="L448" s="82">
        <v>347</v>
      </c>
      <c r="M448" s="82">
        <v>429</v>
      </c>
      <c r="N448" s="82">
        <v>88</v>
      </c>
      <c r="O448" s="82">
        <v>346</v>
      </c>
      <c r="P448" s="82">
        <v>3522</v>
      </c>
      <c r="Q448" s="82">
        <v>13096</v>
      </c>
      <c r="R448" s="12" t="s">
        <v>25</v>
      </c>
      <c r="S448" s="12" t="s">
        <v>25</v>
      </c>
      <c r="T448" s="12" t="s">
        <v>25</v>
      </c>
    </row>
    <row r="449" spans="1:20" hidden="1" x14ac:dyDescent="0.3">
      <c r="A449" s="13">
        <v>43906.708333333336</v>
      </c>
      <c r="B449" s="12" t="s">
        <v>22</v>
      </c>
      <c r="C449" s="82">
        <v>6</v>
      </c>
      <c r="D449" s="12" t="s">
        <v>47</v>
      </c>
      <c r="E449" s="82">
        <v>456494354</v>
      </c>
      <c r="F449" s="82">
        <v>1376813649</v>
      </c>
      <c r="G449" s="82">
        <v>96</v>
      </c>
      <c r="H449" s="82">
        <v>19</v>
      </c>
      <c r="I449" s="82">
        <v>115</v>
      </c>
      <c r="J449" s="82">
        <v>231</v>
      </c>
      <c r="K449" s="82">
        <v>346</v>
      </c>
      <c r="L449" s="82">
        <v>30</v>
      </c>
      <c r="M449" s="82">
        <v>39</v>
      </c>
      <c r="N449" s="82">
        <v>18</v>
      </c>
      <c r="O449" s="82">
        <v>22</v>
      </c>
      <c r="P449" s="82">
        <v>386</v>
      </c>
      <c r="Q449" s="82">
        <v>4851</v>
      </c>
      <c r="R449" s="12" t="s">
        <v>25</v>
      </c>
      <c r="S449" s="12" t="s">
        <v>25</v>
      </c>
      <c r="T449" s="12" t="s">
        <v>25</v>
      </c>
    </row>
    <row r="450" spans="1:20" hidden="1" x14ac:dyDescent="0.3">
      <c r="A450" s="13">
        <v>43906.708333333336</v>
      </c>
      <c r="B450" s="12" t="s">
        <v>22</v>
      </c>
      <c r="C450" s="82">
        <v>12</v>
      </c>
      <c r="D450" s="12" t="s">
        <v>48</v>
      </c>
      <c r="E450" s="82">
        <v>4189277044</v>
      </c>
      <c r="F450" s="82">
        <v>1248366722</v>
      </c>
      <c r="G450" s="82">
        <v>267</v>
      </c>
      <c r="H450" s="82">
        <v>31</v>
      </c>
      <c r="I450" s="82">
        <v>298</v>
      </c>
      <c r="J450" s="82">
        <v>174</v>
      </c>
      <c r="K450" s="82">
        <v>472</v>
      </c>
      <c r="L450" s="82">
        <v>76</v>
      </c>
      <c r="M450" s="82">
        <v>87</v>
      </c>
      <c r="N450" s="82">
        <v>32</v>
      </c>
      <c r="O450" s="82">
        <v>19</v>
      </c>
      <c r="P450" s="82">
        <v>523</v>
      </c>
      <c r="Q450" s="82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82">
        <v>7</v>
      </c>
      <c r="D451" s="12" t="s">
        <v>49</v>
      </c>
      <c r="E451" s="82">
        <v>4441149315</v>
      </c>
      <c r="F451" s="82">
        <v>89326992</v>
      </c>
      <c r="G451" s="82">
        <v>255</v>
      </c>
      <c r="H451" s="82">
        <v>73</v>
      </c>
      <c r="I451" s="82">
        <v>328</v>
      </c>
      <c r="J451" s="82">
        <v>247</v>
      </c>
      <c r="K451" s="82">
        <v>575</v>
      </c>
      <c r="L451" s="82">
        <v>82</v>
      </c>
      <c r="M451" s="82">
        <v>108</v>
      </c>
      <c r="N451" s="82">
        <v>42</v>
      </c>
      <c r="O451" s="82">
        <v>50</v>
      </c>
      <c r="P451" s="82">
        <v>667</v>
      </c>
      <c r="Q451" s="82">
        <v>2189</v>
      </c>
      <c r="R451" s="12" t="s">
        <v>25</v>
      </c>
      <c r="S451" s="12" t="s">
        <v>25</v>
      </c>
      <c r="T451" s="12" t="s">
        <v>25</v>
      </c>
    </row>
    <row r="452" spans="1:20" hidden="1" x14ac:dyDescent="0.3">
      <c r="A452" s="13">
        <v>43906.708333333336</v>
      </c>
      <c r="B452" s="12" t="s">
        <v>22</v>
      </c>
      <c r="C452" s="82">
        <v>3</v>
      </c>
      <c r="D452" s="12" t="s">
        <v>50</v>
      </c>
      <c r="E452" s="82">
        <v>4546679409</v>
      </c>
      <c r="F452" s="82">
        <v>9190347404</v>
      </c>
      <c r="G452" s="82">
        <v>6171</v>
      </c>
      <c r="H452" s="82">
        <v>823</v>
      </c>
      <c r="I452" s="82">
        <v>6994</v>
      </c>
      <c r="J452" s="82">
        <v>3867</v>
      </c>
      <c r="K452" s="82">
        <v>10861</v>
      </c>
      <c r="L452" s="82">
        <v>818</v>
      </c>
      <c r="M452" s="82">
        <v>1377</v>
      </c>
      <c r="N452" s="82">
        <v>2368</v>
      </c>
      <c r="O452" s="82">
        <v>1420</v>
      </c>
      <c r="P452" s="82">
        <v>14649</v>
      </c>
      <c r="Q452" s="82">
        <v>43565</v>
      </c>
      <c r="R452" s="12" t="s">
        <v>25</v>
      </c>
      <c r="S452" s="12" t="s">
        <v>25</v>
      </c>
      <c r="T452" s="12" t="s">
        <v>25</v>
      </c>
    </row>
    <row r="453" spans="1:20" hidden="1" x14ac:dyDescent="0.3">
      <c r="A453" s="13">
        <v>43906.708333333336</v>
      </c>
      <c r="B453" s="12" t="s">
        <v>22</v>
      </c>
      <c r="C453" s="82">
        <v>11</v>
      </c>
      <c r="D453" s="12" t="s">
        <v>51</v>
      </c>
      <c r="E453" s="82">
        <v>4361675973</v>
      </c>
      <c r="F453" s="82">
        <v>135188753</v>
      </c>
      <c r="G453" s="82">
        <v>528</v>
      </c>
      <c r="H453" s="82">
        <v>110</v>
      </c>
      <c r="I453" s="82">
        <v>638</v>
      </c>
      <c r="J453" s="82">
        <v>547</v>
      </c>
      <c r="K453" s="82">
        <v>1185</v>
      </c>
      <c r="L453" s="82">
        <v>98</v>
      </c>
      <c r="M453" s="82">
        <v>109</v>
      </c>
      <c r="N453" s="82">
        <v>0</v>
      </c>
      <c r="O453" s="82">
        <v>57</v>
      </c>
      <c r="P453" s="82">
        <v>1242</v>
      </c>
      <c r="Q453" s="82">
        <v>3225</v>
      </c>
      <c r="R453" s="12" t="s">
        <v>25</v>
      </c>
      <c r="S453" s="12" t="s">
        <v>25</v>
      </c>
      <c r="T453" s="12" t="s">
        <v>25</v>
      </c>
    </row>
    <row r="454" spans="1:20" hidden="1" x14ac:dyDescent="0.3">
      <c r="A454" s="13">
        <v>43906.708333333336</v>
      </c>
      <c r="B454" s="12" t="s">
        <v>22</v>
      </c>
      <c r="C454" s="82">
        <v>14</v>
      </c>
      <c r="D454" s="12" t="s">
        <v>52</v>
      </c>
      <c r="E454" s="82">
        <v>4155774754</v>
      </c>
      <c r="F454" s="82">
        <v>1465916051</v>
      </c>
      <c r="G454" s="82">
        <v>3</v>
      </c>
      <c r="H454" s="82">
        <v>5</v>
      </c>
      <c r="I454" s="82">
        <v>8</v>
      </c>
      <c r="J454" s="82">
        <v>7</v>
      </c>
      <c r="K454" s="82">
        <v>15</v>
      </c>
      <c r="L454" s="82">
        <v>-2</v>
      </c>
      <c r="M454" s="82">
        <v>4</v>
      </c>
      <c r="N454" s="82">
        <v>5</v>
      </c>
      <c r="O454" s="82">
        <v>1</v>
      </c>
      <c r="P454" s="82">
        <v>21</v>
      </c>
      <c r="Q454" s="82">
        <v>253</v>
      </c>
      <c r="R454" s="12" t="s">
        <v>25</v>
      </c>
      <c r="S454" s="12" t="s">
        <v>25</v>
      </c>
      <c r="T454" s="12" t="s">
        <v>25</v>
      </c>
    </row>
    <row r="455" spans="1:20" hidden="1" x14ac:dyDescent="0.3">
      <c r="A455" s="13">
        <v>43906.708333333336</v>
      </c>
      <c r="B455" s="12" t="s">
        <v>22</v>
      </c>
      <c r="C455" s="82">
        <v>1</v>
      </c>
      <c r="D455" s="12" t="s">
        <v>53</v>
      </c>
      <c r="E455" s="82">
        <v>450732745</v>
      </c>
      <c r="F455" s="82">
        <v>7680687483</v>
      </c>
      <c r="G455" s="82">
        <v>1045</v>
      </c>
      <c r="H455" s="82">
        <v>186</v>
      </c>
      <c r="I455" s="82">
        <v>1231</v>
      </c>
      <c r="J455" s="82">
        <v>174</v>
      </c>
      <c r="K455" s="82">
        <v>1405</v>
      </c>
      <c r="L455" s="82">
        <v>375</v>
      </c>
      <c r="M455" s="82">
        <v>405</v>
      </c>
      <c r="N455" s="82">
        <v>0</v>
      </c>
      <c r="O455" s="82">
        <v>111</v>
      </c>
      <c r="P455" s="82">
        <v>1516</v>
      </c>
      <c r="Q455" s="82">
        <v>5588</v>
      </c>
      <c r="R455" s="12" t="s">
        <v>25</v>
      </c>
      <c r="S455" s="12" t="s">
        <v>25</v>
      </c>
      <c r="T455" s="12" t="s">
        <v>25</v>
      </c>
    </row>
    <row r="456" spans="1:20" hidden="1" x14ac:dyDescent="0.3">
      <c r="A456" s="13">
        <v>43906.708333333336</v>
      </c>
      <c r="B456" s="12" t="s">
        <v>22</v>
      </c>
      <c r="C456" s="82">
        <v>16</v>
      </c>
      <c r="D456" s="12" t="s">
        <v>54</v>
      </c>
      <c r="E456" s="82">
        <v>4112559576</v>
      </c>
      <c r="F456" s="82">
        <v>1686736689</v>
      </c>
      <c r="G456" s="82">
        <v>116</v>
      </c>
      <c r="H456" s="82">
        <v>6</v>
      </c>
      <c r="I456" s="82">
        <v>122</v>
      </c>
      <c r="J456" s="82">
        <v>90</v>
      </c>
      <c r="K456" s="82">
        <v>212</v>
      </c>
      <c r="L456" s="82">
        <v>0</v>
      </c>
      <c r="M456" s="82">
        <v>0</v>
      </c>
      <c r="N456" s="82">
        <v>2</v>
      </c>
      <c r="O456" s="82">
        <v>16</v>
      </c>
      <c r="P456" s="82">
        <v>230</v>
      </c>
      <c r="Q456" s="82">
        <v>2017</v>
      </c>
      <c r="R456" s="12" t="s">
        <v>25</v>
      </c>
      <c r="S456" s="12" t="s">
        <v>68</v>
      </c>
      <c r="T456" s="12" t="s">
        <v>69</v>
      </c>
    </row>
    <row r="457" spans="1:20" hidden="1" x14ac:dyDescent="0.3">
      <c r="A457" s="13">
        <v>43906.708333333336</v>
      </c>
      <c r="B457" s="12" t="s">
        <v>22</v>
      </c>
      <c r="C457" s="82">
        <v>20</v>
      </c>
      <c r="D457" s="12" t="s">
        <v>55</v>
      </c>
      <c r="E457" s="82">
        <v>3921531192</v>
      </c>
      <c r="F457" s="82">
        <v>9110616306</v>
      </c>
      <c r="G457" s="82">
        <v>39</v>
      </c>
      <c r="H457" s="82">
        <v>0</v>
      </c>
      <c r="I457" s="82">
        <v>39</v>
      </c>
      <c r="J457" s="82">
        <v>66</v>
      </c>
      <c r="K457" s="82">
        <v>105</v>
      </c>
      <c r="L457" s="82">
        <v>30</v>
      </c>
      <c r="M457" s="82">
        <v>30</v>
      </c>
      <c r="N457" s="82">
        <v>0</v>
      </c>
      <c r="O457" s="82">
        <v>2</v>
      </c>
      <c r="P457" s="82">
        <v>107</v>
      </c>
      <c r="Q457" s="82">
        <v>797</v>
      </c>
      <c r="R457" s="12" t="s">
        <v>25</v>
      </c>
      <c r="S457" s="12" t="s">
        <v>25</v>
      </c>
      <c r="T457" s="12" t="s">
        <v>25</v>
      </c>
    </row>
    <row r="458" spans="1:20" hidden="1" x14ac:dyDescent="0.3">
      <c r="A458" s="13">
        <v>43906.708333333336</v>
      </c>
      <c r="B458" s="12" t="s">
        <v>22</v>
      </c>
      <c r="C458" s="82">
        <v>19</v>
      </c>
      <c r="D458" s="12" t="s">
        <v>56</v>
      </c>
      <c r="E458" s="82">
        <v>3811569725</v>
      </c>
      <c r="F458" s="82">
        <v>133623567</v>
      </c>
      <c r="G458" s="82">
        <v>75</v>
      </c>
      <c r="H458" s="82">
        <v>20</v>
      </c>
      <c r="I458" s="82">
        <v>95</v>
      </c>
      <c r="J458" s="82">
        <v>108</v>
      </c>
      <c r="K458" s="82">
        <v>203</v>
      </c>
      <c r="L458" s="82">
        <v>24</v>
      </c>
      <c r="M458" s="82">
        <v>25</v>
      </c>
      <c r="N458" s="82">
        <v>8</v>
      </c>
      <c r="O458" s="82">
        <v>2</v>
      </c>
      <c r="P458" s="82">
        <v>213</v>
      </c>
      <c r="Q458" s="82">
        <v>2653</v>
      </c>
      <c r="R458" s="12" t="s">
        <v>25</v>
      </c>
      <c r="S458" s="12" t="s">
        <v>25</v>
      </c>
      <c r="T458" s="12" t="s">
        <v>25</v>
      </c>
    </row>
    <row r="459" spans="1:20" hidden="1" x14ac:dyDescent="0.3">
      <c r="A459" s="13">
        <v>43906.708333333336</v>
      </c>
      <c r="B459" s="12" t="s">
        <v>22</v>
      </c>
      <c r="C459" s="82">
        <v>9</v>
      </c>
      <c r="D459" s="12" t="s">
        <v>57</v>
      </c>
      <c r="E459" s="82">
        <v>4376923077</v>
      </c>
      <c r="F459" s="82">
        <v>1125588885</v>
      </c>
      <c r="G459" s="82">
        <v>175</v>
      </c>
      <c r="H459" s="82">
        <v>107</v>
      </c>
      <c r="I459" s="82">
        <v>282</v>
      </c>
      <c r="J459" s="82">
        <v>559</v>
      </c>
      <c r="K459" s="82">
        <v>841</v>
      </c>
      <c r="L459" s="82">
        <v>78</v>
      </c>
      <c r="M459" s="82">
        <v>85</v>
      </c>
      <c r="N459" s="82">
        <v>11</v>
      </c>
      <c r="O459" s="82">
        <v>14</v>
      </c>
      <c r="P459" s="82">
        <v>866</v>
      </c>
      <c r="Q459" s="82">
        <v>5910</v>
      </c>
      <c r="R459" s="12" t="s">
        <v>25</v>
      </c>
      <c r="S459" s="12" t="s">
        <v>25</v>
      </c>
      <c r="T459" s="12" t="s">
        <v>25</v>
      </c>
    </row>
    <row r="460" spans="1:20" hidden="1" x14ac:dyDescent="0.3">
      <c r="A460" s="13">
        <v>43906.708333333336</v>
      </c>
      <c r="B460" s="12" t="s">
        <v>22</v>
      </c>
      <c r="C460" s="82">
        <v>22</v>
      </c>
      <c r="D460" s="12" t="s">
        <v>58</v>
      </c>
      <c r="E460" s="82">
        <v>4606893511</v>
      </c>
      <c r="F460" s="82">
        <v>1112123097</v>
      </c>
      <c r="G460" s="82">
        <v>73</v>
      </c>
      <c r="H460" s="82">
        <v>19</v>
      </c>
      <c r="I460" s="82">
        <v>92</v>
      </c>
      <c r="J460" s="82">
        <v>275</v>
      </c>
      <c r="K460" s="82">
        <v>367</v>
      </c>
      <c r="L460" s="82">
        <v>0</v>
      </c>
      <c r="M460" s="82">
        <v>0</v>
      </c>
      <c r="N460" s="82">
        <v>5</v>
      </c>
      <c r="O460" s="82">
        <v>6</v>
      </c>
      <c r="P460" s="82">
        <v>378</v>
      </c>
      <c r="Q460" s="82">
        <v>1006</v>
      </c>
      <c r="R460" s="12" t="s">
        <v>25</v>
      </c>
      <c r="S460" s="12" t="s">
        <v>70</v>
      </c>
      <c r="T460" s="12" t="s">
        <v>71</v>
      </c>
    </row>
    <row r="461" spans="1:20" hidden="1" x14ac:dyDescent="0.3">
      <c r="A461" s="13">
        <v>43906.708333333336</v>
      </c>
      <c r="B461" s="12" t="s">
        <v>22</v>
      </c>
      <c r="C461" s="82">
        <v>10</v>
      </c>
      <c r="D461" s="12" t="s">
        <v>59</v>
      </c>
      <c r="E461" s="82">
        <v>4310675841</v>
      </c>
      <c r="F461" s="82">
        <v>1238824698</v>
      </c>
      <c r="G461" s="82">
        <v>30</v>
      </c>
      <c r="H461" s="82">
        <v>15</v>
      </c>
      <c r="I461" s="82">
        <v>45</v>
      </c>
      <c r="J461" s="82">
        <v>114</v>
      </c>
      <c r="K461" s="82">
        <v>159</v>
      </c>
      <c r="L461" s="82">
        <v>20</v>
      </c>
      <c r="M461" s="82">
        <v>21</v>
      </c>
      <c r="N461" s="82">
        <v>4</v>
      </c>
      <c r="O461" s="82">
        <v>1</v>
      </c>
      <c r="P461" s="82">
        <v>164</v>
      </c>
      <c r="Q461" s="82">
        <v>1093</v>
      </c>
      <c r="R461" s="12" t="s">
        <v>25</v>
      </c>
      <c r="S461" s="12" t="s">
        <v>25</v>
      </c>
      <c r="T461" s="12" t="s">
        <v>25</v>
      </c>
    </row>
    <row r="462" spans="1:20" hidden="1" x14ac:dyDescent="0.3">
      <c r="A462" s="13">
        <v>43906.708333333336</v>
      </c>
      <c r="B462" s="12" t="s">
        <v>22</v>
      </c>
      <c r="C462" s="82">
        <v>2</v>
      </c>
      <c r="D462" s="12" t="s">
        <v>60</v>
      </c>
      <c r="E462" s="82">
        <v>4573750286</v>
      </c>
      <c r="F462" s="82">
        <v>7320149366</v>
      </c>
      <c r="G462" s="82">
        <v>28</v>
      </c>
      <c r="H462" s="82">
        <v>5</v>
      </c>
      <c r="I462" s="82">
        <v>33</v>
      </c>
      <c r="J462" s="82">
        <v>70</v>
      </c>
      <c r="K462" s="82">
        <v>103</v>
      </c>
      <c r="L462" s="82">
        <v>47</v>
      </c>
      <c r="M462" s="82">
        <v>48</v>
      </c>
      <c r="N462" s="82">
        <v>0</v>
      </c>
      <c r="O462" s="82">
        <v>2</v>
      </c>
      <c r="P462" s="82">
        <v>105</v>
      </c>
      <c r="Q462" s="82">
        <v>287</v>
      </c>
      <c r="R462" s="12" t="s">
        <v>25</v>
      </c>
      <c r="S462" s="12" t="s">
        <v>25</v>
      </c>
      <c r="T462" s="12" t="s">
        <v>25</v>
      </c>
    </row>
    <row r="463" spans="1:20" hidden="1" x14ac:dyDescent="0.3">
      <c r="A463" s="13">
        <v>43906.708333333336</v>
      </c>
      <c r="B463" s="12" t="s">
        <v>22</v>
      </c>
      <c r="C463" s="82">
        <v>5</v>
      </c>
      <c r="D463" s="12" t="s">
        <v>61</v>
      </c>
      <c r="E463" s="82">
        <v>4543490485</v>
      </c>
      <c r="F463" s="82">
        <v>1233845213</v>
      </c>
      <c r="G463" s="82">
        <v>498</v>
      </c>
      <c r="H463" s="82">
        <v>156</v>
      </c>
      <c r="I463" s="82">
        <v>654</v>
      </c>
      <c r="J463" s="82">
        <v>1620</v>
      </c>
      <c r="K463" s="82">
        <v>2274</v>
      </c>
      <c r="L463" s="82">
        <v>285</v>
      </c>
      <c r="M463" s="82">
        <v>301</v>
      </c>
      <c r="N463" s="82">
        <v>130</v>
      </c>
      <c r="O463" s="82">
        <v>69</v>
      </c>
      <c r="P463" s="82">
        <v>2473</v>
      </c>
      <c r="Q463" s="82">
        <v>35052</v>
      </c>
      <c r="R463" s="12" t="s">
        <v>25</v>
      </c>
      <c r="S463" s="12" t="s">
        <v>25</v>
      </c>
      <c r="T463" s="12" t="s">
        <v>25</v>
      </c>
    </row>
    <row r="464" spans="1:20" hidden="1" x14ac:dyDescent="0.3">
      <c r="A464" s="13">
        <v>43907.708333333336</v>
      </c>
      <c r="B464" s="12" t="s">
        <v>22</v>
      </c>
      <c r="C464" s="82">
        <v>13</v>
      </c>
      <c r="D464" s="12" t="s">
        <v>42</v>
      </c>
      <c r="E464" s="82">
        <v>4235122196</v>
      </c>
      <c r="F464" s="82">
        <v>1339843823</v>
      </c>
      <c r="G464" s="82">
        <v>94</v>
      </c>
      <c r="H464" s="82">
        <v>32</v>
      </c>
      <c r="I464" s="82">
        <v>126</v>
      </c>
      <c r="J464" s="82">
        <v>90</v>
      </c>
      <c r="K464" s="82">
        <v>216</v>
      </c>
      <c r="L464" s="82">
        <v>51</v>
      </c>
      <c r="M464" s="82">
        <v>53</v>
      </c>
      <c r="N464" s="82">
        <v>7</v>
      </c>
      <c r="O464" s="82">
        <v>6</v>
      </c>
      <c r="P464" s="82">
        <v>229</v>
      </c>
      <c r="Q464" s="82">
        <v>1688</v>
      </c>
      <c r="R464" s="12" t="s">
        <v>25</v>
      </c>
      <c r="S464" s="12" t="s">
        <v>25</v>
      </c>
      <c r="T464" s="12" t="s">
        <v>25</v>
      </c>
    </row>
    <row r="465" spans="1:20" hidden="1" x14ac:dyDescent="0.3">
      <c r="A465" s="13">
        <v>43907.708333333336</v>
      </c>
      <c r="B465" s="12" t="s">
        <v>22</v>
      </c>
      <c r="C465" s="82">
        <v>17</v>
      </c>
      <c r="D465" s="12" t="s">
        <v>43</v>
      </c>
      <c r="E465" s="82">
        <v>4063947052</v>
      </c>
      <c r="F465" s="82">
        <v>1580514834</v>
      </c>
      <c r="G465" s="82">
        <v>5</v>
      </c>
      <c r="H465" s="82">
        <v>2</v>
      </c>
      <c r="I465" s="82">
        <v>7</v>
      </c>
      <c r="J465" s="82">
        <v>13</v>
      </c>
      <c r="K465" s="82">
        <v>20</v>
      </c>
      <c r="L465" s="82">
        <v>8</v>
      </c>
      <c r="M465" s="82">
        <v>8</v>
      </c>
      <c r="N465" s="82">
        <v>0</v>
      </c>
      <c r="O465" s="82">
        <v>0</v>
      </c>
      <c r="P465" s="82">
        <v>20</v>
      </c>
      <c r="Q465" s="82">
        <v>262</v>
      </c>
      <c r="R465" s="12" t="s">
        <v>25</v>
      </c>
      <c r="S465" s="12" t="s">
        <v>25</v>
      </c>
      <c r="T465" s="12" t="s">
        <v>25</v>
      </c>
    </row>
    <row r="466" spans="1:20" hidden="1" x14ac:dyDescent="0.3">
      <c r="A466" s="13">
        <v>43907.708333333336</v>
      </c>
      <c r="B466" s="12" t="s">
        <v>22</v>
      </c>
      <c r="C466" s="82">
        <v>21</v>
      </c>
      <c r="D466" s="12" t="s">
        <v>44</v>
      </c>
      <c r="E466" s="82">
        <v>4649933453</v>
      </c>
      <c r="F466" s="82">
        <v>1135662422</v>
      </c>
      <c r="G466" s="82">
        <v>71</v>
      </c>
      <c r="H466" s="82">
        <v>11</v>
      </c>
      <c r="I466" s="82">
        <v>82</v>
      </c>
      <c r="J466" s="82">
        <v>200</v>
      </c>
      <c r="K466" s="82">
        <v>282</v>
      </c>
      <c r="L466" s="82">
        <v>47</v>
      </c>
      <c r="M466" s="82">
        <v>50</v>
      </c>
      <c r="N466" s="82">
        <v>1</v>
      </c>
      <c r="O466" s="82">
        <v>8</v>
      </c>
      <c r="P466" s="82">
        <v>291</v>
      </c>
      <c r="Q466" s="82">
        <v>2149</v>
      </c>
      <c r="R466" s="12" t="s">
        <v>25</v>
      </c>
      <c r="S466" s="12" t="s">
        <v>25</v>
      </c>
      <c r="T466" s="12" t="s">
        <v>25</v>
      </c>
    </row>
    <row r="467" spans="1:20" hidden="1" x14ac:dyDescent="0.3">
      <c r="A467" s="13">
        <v>43907.708333333336</v>
      </c>
      <c r="B467" s="12" t="s">
        <v>22</v>
      </c>
      <c r="C467" s="82">
        <v>18</v>
      </c>
      <c r="D467" s="12" t="s">
        <v>45</v>
      </c>
      <c r="E467" s="82">
        <v>3890597598</v>
      </c>
      <c r="F467" s="82">
        <v>1659440194</v>
      </c>
      <c r="G467" s="82">
        <v>45</v>
      </c>
      <c r="H467" s="82">
        <v>10</v>
      </c>
      <c r="I467" s="82">
        <v>55</v>
      </c>
      <c r="J467" s="82">
        <v>57</v>
      </c>
      <c r="K467" s="82">
        <v>112</v>
      </c>
      <c r="L467" s="82">
        <v>25</v>
      </c>
      <c r="M467" s="82">
        <v>25</v>
      </c>
      <c r="N467" s="82">
        <v>1</v>
      </c>
      <c r="O467" s="82">
        <v>1</v>
      </c>
      <c r="P467" s="82">
        <v>114</v>
      </c>
      <c r="Q467" s="82">
        <v>1293</v>
      </c>
      <c r="R467" s="12" t="s">
        <v>25</v>
      </c>
      <c r="S467" s="12" t="s">
        <v>25</v>
      </c>
      <c r="T467" s="12" t="s">
        <v>25</v>
      </c>
    </row>
    <row r="468" spans="1:20" hidden="1" x14ac:dyDescent="0.3">
      <c r="A468" s="13">
        <v>43907.708333333336</v>
      </c>
      <c r="B468" s="12" t="s">
        <v>22</v>
      </c>
      <c r="C468" s="82">
        <v>15</v>
      </c>
      <c r="D468" s="12" t="s">
        <v>46</v>
      </c>
      <c r="E468" s="82">
        <v>4083956555</v>
      </c>
      <c r="F468" s="82">
        <v>1425084984</v>
      </c>
      <c r="G468" s="82">
        <v>127</v>
      </c>
      <c r="H468" s="82">
        <v>24</v>
      </c>
      <c r="I468" s="82">
        <v>151</v>
      </c>
      <c r="J468" s="82">
        <v>272</v>
      </c>
      <c r="K468" s="82">
        <v>423</v>
      </c>
      <c r="L468" s="82">
        <v>60</v>
      </c>
      <c r="M468" s="82">
        <v>60</v>
      </c>
      <c r="N468" s="82">
        <v>28</v>
      </c>
      <c r="O468" s="82">
        <v>9</v>
      </c>
      <c r="P468" s="82">
        <v>460</v>
      </c>
      <c r="Q468" s="82">
        <v>2685</v>
      </c>
      <c r="R468" s="12" t="s">
        <v>25</v>
      </c>
      <c r="S468" s="12" t="s">
        <v>25</v>
      </c>
      <c r="T468" s="12" t="s">
        <v>25</v>
      </c>
    </row>
    <row r="469" spans="1:20" hidden="1" x14ac:dyDescent="0.3">
      <c r="A469" s="13">
        <v>43907.708333333336</v>
      </c>
      <c r="B469" s="12" t="s">
        <v>22</v>
      </c>
      <c r="C469" s="82">
        <v>8</v>
      </c>
      <c r="D469" s="12" t="s">
        <v>95</v>
      </c>
      <c r="E469" s="82">
        <v>4449436681</v>
      </c>
      <c r="F469" s="82">
        <v>113417208</v>
      </c>
      <c r="G469" s="82">
        <v>1566</v>
      </c>
      <c r="H469" s="82">
        <v>223</v>
      </c>
      <c r="I469" s="82">
        <v>1789</v>
      </c>
      <c r="J469" s="82">
        <v>1615</v>
      </c>
      <c r="K469" s="82">
        <v>3404</v>
      </c>
      <c r="L469" s="82">
        <v>316</v>
      </c>
      <c r="M469" s="82">
        <v>409</v>
      </c>
      <c r="N469" s="82">
        <v>134</v>
      </c>
      <c r="O469" s="82">
        <v>393</v>
      </c>
      <c r="P469" s="82">
        <v>3931</v>
      </c>
      <c r="Q469" s="82">
        <v>14510</v>
      </c>
      <c r="R469" s="12" t="s">
        <v>25</v>
      </c>
      <c r="S469" s="12" t="s">
        <v>72</v>
      </c>
      <c r="T469" s="12" t="s">
        <v>73</v>
      </c>
    </row>
    <row r="470" spans="1:20" hidden="1" x14ac:dyDescent="0.3">
      <c r="A470" s="13">
        <v>43907.708333333336</v>
      </c>
      <c r="B470" s="12" t="s">
        <v>22</v>
      </c>
      <c r="C470" s="82">
        <v>6</v>
      </c>
      <c r="D470" s="12" t="s">
        <v>47</v>
      </c>
      <c r="E470" s="82">
        <v>456494354</v>
      </c>
      <c r="F470" s="82">
        <v>1376813649</v>
      </c>
      <c r="G470" s="82">
        <v>104</v>
      </c>
      <c r="H470" s="82">
        <v>21</v>
      </c>
      <c r="I470" s="82">
        <v>125</v>
      </c>
      <c r="J470" s="82">
        <v>222</v>
      </c>
      <c r="K470" s="82">
        <v>347</v>
      </c>
      <c r="L470" s="82">
        <v>1</v>
      </c>
      <c r="M470" s="82">
        <v>8</v>
      </c>
      <c r="N470" s="82">
        <v>17</v>
      </c>
      <c r="O470" s="82">
        <v>30</v>
      </c>
      <c r="P470" s="82">
        <v>394</v>
      </c>
      <c r="Q470" s="82">
        <v>4958</v>
      </c>
      <c r="R470" s="12" t="s">
        <v>25</v>
      </c>
      <c r="S470" s="12" t="s">
        <v>25</v>
      </c>
      <c r="T470" s="12" t="s">
        <v>25</v>
      </c>
    </row>
    <row r="471" spans="1:20" hidden="1" x14ac:dyDescent="0.3">
      <c r="A471" s="13">
        <v>43907.708333333336</v>
      </c>
      <c r="B471" s="12" t="s">
        <v>22</v>
      </c>
      <c r="C471" s="82">
        <v>12</v>
      </c>
      <c r="D471" s="12" t="s">
        <v>48</v>
      </c>
      <c r="E471" s="82">
        <v>4189277044</v>
      </c>
      <c r="F471" s="82">
        <v>1248366722</v>
      </c>
      <c r="G471" s="82">
        <v>314</v>
      </c>
      <c r="H471" s="82">
        <v>44</v>
      </c>
      <c r="I471" s="82">
        <v>358</v>
      </c>
      <c r="J471" s="82">
        <v>192</v>
      </c>
      <c r="K471" s="82">
        <v>550</v>
      </c>
      <c r="L471" s="82">
        <v>78</v>
      </c>
      <c r="M471" s="82">
        <v>84</v>
      </c>
      <c r="N471" s="82">
        <v>34</v>
      </c>
      <c r="O471" s="82">
        <v>23</v>
      </c>
      <c r="P471" s="82">
        <v>607</v>
      </c>
      <c r="Q471" s="82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82">
        <v>7</v>
      </c>
      <c r="D472" s="12" t="s">
        <v>49</v>
      </c>
      <c r="E472" s="82">
        <v>4441149315</v>
      </c>
      <c r="F472" s="82">
        <v>89326992</v>
      </c>
      <c r="G472" s="82">
        <v>299</v>
      </c>
      <c r="H472" s="82">
        <v>85</v>
      </c>
      <c r="I472" s="82">
        <v>384</v>
      </c>
      <c r="J472" s="82">
        <v>277</v>
      </c>
      <c r="K472" s="82">
        <v>661</v>
      </c>
      <c r="L472" s="82">
        <v>86</v>
      </c>
      <c r="M472" s="82">
        <v>111</v>
      </c>
      <c r="N472" s="82">
        <v>57</v>
      </c>
      <c r="O472" s="82">
        <v>60</v>
      </c>
      <c r="P472" s="82">
        <v>778</v>
      </c>
      <c r="Q472" s="82">
        <v>2509</v>
      </c>
      <c r="R472" s="12" t="s">
        <v>25</v>
      </c>
      <c r="S472" s="12" t="s">
        <v>25</v>
      </c>
      <c r="T472" s="12" t="s">
        <v>25</v>
      </c>
    </row>
    <row r="473" spans="1:20" hidden="1" x14ac:dyDescent="0.3">
      <c r="A473" s="13">
        <v>43907.708333333336</v>
      </c>
      <c r="B473" s="12" t="s">
        <v>22</v>
      </c>
      <c r="C473" s="82">
        <v>3</v>
      </c>
      <c r="D473" s="12" t="s">
        <v>50</v>
      </c>
      <c r="E473" s="82">
        <v>4546679409</v>
      </c>
      <c r="F473" s="82">
        <v>9190347404</v>
      </c>
      <c r="G473" s="82">
        <v>6953</v>
      </c>
      <c r="H473" s="82">
        <v>879</v>
      </c>
      <c r="I473" s="82">
        <v>7832</v>
      </c>
      <c r="J473" s="82">
        <v>4263</v>
      </c>
      <c r="K473" s="82">
        <v>12095</v>
      </c>
      <c r="L473" s="82">
        <v>1234</v>
      </c>
      <c r="M473" s="82">
        <v>1571</v>
      </c>
      <c r="N473" s="82">
        <v>2485</v>
      </c>
      <c r="O473" s="82">
        <v>1640</v>
      </c>
      <c r="P473" s="82">
        <v>16220</v>
      </c>
      <c r="Q473" s="82">
        <v>46449</v>
      </c>
      <c r="R473" s="12" t="s">
        <v>25</v>
      </c>
      <c r="S473" s="12" t="s">
        <v>25</v>
      </c>
      <c r="T473" s="12" t="s">
        <v>25</v>
      </c>
    </row>
    <row r="474" spans="1:20" hidden="1" x14ac:dyDescent="0.3">
      <c r="A474" s="13">
        <v>43907.708333333336</v>
      </c>
      <c r="B474" s="12" t="s">
        <v>22</v>
      </c>
      <c r="C474" s="82">
        <v>11</v>
      </c>
      <c r="D474" s="12" t="s">
        <v>51</v>
      </c>
      <c r="E474" s="82">
        <v>4361675973</v>
      </c>
      <c r="F474" s="82">
        <v>135188753</v>
      </c>
      <c r="G474" s="82">
        <v>599</v>
      </c>
      <c r="H474" s="82">
        <v>109</v>
      </c>
      <c r="I474" s="82">
        <v>708</v>
      </c>
      <c r="J474" s="82">
        <v>594</v>
      </c>
      <c r="K474" s="82">
        <v>1302</v>
      </c>
      <c r="L474" s="82">
        <v>117</v>
      </c>
      <c r="M474" s="82">
        <v>129</v>
      </c>
      <c r="N474" s="82">
        <v>0</v>
      </c>
      <c r="O474" s="82">
        <v>69</v>
      </c>
      <c r="P474" s="82">
        <v>1371</v>
      </c>
      <c r="Q474" s="82">
        <v>3225</v>
      </c>
      <c r="R474" s="12" t="s">
        <v>25</v>
      </c>
      <c r="S474" s="12" t="s">
        <v>25</v>
      </c>
      <c r="T474" s="12" t="s">
        <v>25</v>
      </c>
    </row>
    <row r="475" spans="1:20" hidden="1" x14ac:dyDescent="0.3">
      <c r="A475" s="13">
        <v>43907.708333333336</v>
      </c>
      <c r="B475" s="12" t="s">
        <v>22</v>
      </c>
      <c r="C475" s="82">
        <v>14</v>
      </c>
      <c r="D475" s="12" t="s">
        <v>52</v>
      </c>
      <c r="E475" s="82">
        <v>4155774754</v>
      </c>
      <c r="F475" s="82">
        <v>1465916051</v>
      </c>
      <c r="G475" s="82">
        <v>7</v>
      </c>
      <c r="H475" s="82">
        <v>5</v>
      </c>
      <c r="I475" s="82">
        <v>12</v>
      </c>
      <c r="J475" s="82">
        <v>7</v>
      </c>
      <c r="K475" s="82">
        <v>19</v>
      </c>
      <c r="L475" s="82">
        <v>4</v>
      </c>
      <c r="M475" s="82">
        <v>4</v>
      </c>
      <c r="N475" s="82">
        <v>5</v>
      </c>
      <c r="O475" s="82">
        <v>1</v>
      </c>
      <c r="P475" s="82">
        <v>25</v>
      </c>
      <c r="Q475" s="82">
        <v>301</v>
      </c>
      <c r="R475" s="12" t="s">
        <v>25</v>
      </c>
      <c r="S475" s="12" t="s">
        <v>25</v>
      </c>
      <c r="T475" s="12" t="s">
        <v>25</v>
      </c>
    </row>
    <row r="476" spans="1:20" hidden="1" x14ac:dyDescent="0.3">
      <c r="A476" s="13">
        <v>43907.708333333336</v>
      </c>
      <c r="B476" s="12" t="s">
        <v>22</v>
      </c>
      <c r="C476" s="82">
        <v>1</v>
      </c>
      <c r="D476" s="12" t="s">
        <v>53</v>
      </c>
      <c r="E476" s="82">
        <v>450732745</v>
      </c>
      <c r="F476" s="82">
        <v>7680687483</v>
      </c>
      <c r="G476" s="82">
        <v>1378</v>
      </c>
      <c r="H476" s="82">
        <v>206</v>
      </c>
      <c r="I476" s="82">
        <v>1584</v>
      </c>
      <c r="J476" s="82">
        <v>180</v>
      </c>
      <c r="K476" s="82">
        <v>1764</v>
      </c>
      <c r="L476" s="82">
        <v>359</v>
      </c>
      <c r="M476" s="82">
        <v>381</v>
      </c>
      <c r="N476" s="82">
        <v>0</v>
      </c>
      <c r="O476" s="82">
        <v>133</v>
      </c>
      <c r="P476" s="82">
        <v>1897</v>
      </c>
      <c r="Q476" s="82">
        <v>6543</v>
      </c>
      <c r="R476" s="12" t="s">
        <v>25</v>
      </c>
      <c r="S476" s="12" t="s">
        <v>25</v>
      </c>
      <c r="T476" s="12" t="s">
        <v>25</v>
      </c>
    </row>
    <row r="477" spans="1:20" hidden="1" x14ac:dyDescent="0.3">
      <c r="A477" s="13">
        <v>43907.708333333336</v>
      </c>
      <c r="B477" s="12" t="s">
        <v>22</v>
      </c>
      <c r="C477" s="82">
        <v>16</v>
      </c>
      <c r="D477" s="12" t="s">
        <v>54</v>
      </c>
      <c r="E477" s="82">
        <v>4112559576</v>
      </c>
      <c r="F477" s="82">
        <v>1686736689</v>
      </c>
      <c r="G477" s="82">
        <v>155</v>
      </c>
      <c r="H477" s="82">
        <v>14</v>
      </c>
      <c r="I477" s="82">
        <v>169</v>
      </c>
      <c r="J477" s="82">
        <v>151</v>
      </c>
      <c r="K477" s="82">
        <v>320</v>
      </c>
      <c r="L477" s="82">
        <v>108</v>
      </c>
      <c r="M477" s="82">
        <v>110</v>
      </c>
      <c r="N477" s="82">
        <v>2</v>
      </c>
      <c r="O477" s="82">
        <v>18</v>
      </c>
      <c r="P477" s="82">
        <v>340</v>
      </c>
      <c r="Q477" s="82">
        <v>3077</v>
      </c>
      <c r="R477" s="12" t="s">
        <v>25</v>
      </c>
      <c r="S477" s="12" t="s">
        <v>25</v>
      </c>
      <c r="T477" s="12" t="s">
        <v>25</v>
      </c>
    </row>
    <row r="478" spans="1:20" hidden="1" x14ac:dyDescent="0.3">
      <c r="A478" s="13">
        <v>43907.708333333336</v>
      </c>
      <c r="B478" s="12" t="s">
        <v>22</v>
      </c>
      <c r="C478" s="82">
        <v>20</v>
      </c>
      <c r="D478" s="12" t="s">
        <v>55</v>
      </c>
      <c r="E478" s="82">
        <v>3921531192</v>
      </c>
      <c r="F478" s="82">
        <v>9110616306</v>
      </c>
      <c r="G478" s="82">
        <v>36</v>
      </c>
      <c r="H478" s="82">
        <v>4</v>
      </c>
      <c r="I478" s="82">
        <v>40</v>
      </c>
      <c r="J478" s="82">
        <v>75</v>
      </c>
      <c r="K478" s="82">
        <v>115</v>
      </c>
      <c r="L478" s="82">
        <v>10</v>
      </c>
      <c r="M478" s="82">
        <v>10</v>
      </c>
      <c r="N478" s="82">
        <v>0</v>
      </c>
      <c r="O478" s="82">
        <v>2</v>
      </c>
      <c r="P478" s="82">
        <v>117</v>
      </c>
      <c r="Q478" s="82">
        <v>1003</v>
      </c>
      <c r="R478" s="12" t="s">
        <v>25</v>
      </c>
      <c r="S478" s="12" t="s">
        <v>25</v>
      </c>
      <c r="T478" s="12" t="s">
        <v>25</v>
      </c>
    </row>
    <row r="479" spans="1:20" hidden="1" x14ac:dyDescent="0.3">
      <c r="A479" s="13">
        <v>43907.708333333336</v>
      </c>
      <c r="B479" s="12" t="s">
        <v>22</v>
      </c>
      <c r="C479" s="82">
        <v>19</v>
      </c>
      <c r="D479" s="12" t="s">
        <v>56</v>
      </c>
      <c r="E479" s="82">
        <v>3811569725</v>
      </c>
      <c r="F479" s="82">
        <v>133623567</v>
      </c>
      <c r="G479" s="82">
        <v>86</v>
      </c>
      <c r="H479" s="82">
        <v>28</v>
      </c>
      <c r="I479" s="82">
        <v>114</v>
      </c>
      <c r="J479" s="82">
        <v>112</v>
      </c>
      <c r="K479" s="82">
        <v>226</v>
      </c>
      <c r="L479" s="82">
        <v>23</v>
      </c>
      <c r="M479" s="82">
        <v>24</v>
      </c>
      <c r="N479" s="82">
        <v>8</v>
      </c>
      <c r="O479" s="82">
        <v>3</v>
      </c>
      <c r="P479" s="82">
        <v>237</v>
      </c>
      <c r="Q479" s="82">
        <v>2916</v>
      </c>
      <c r="R479" s="12" t="s">
        <v>25</v>
      </c>
      <c r="S479" s="12" t="s">
        <v>25</v>
      </c>
      <c r="T479" s="12" t="s">
        <v>25</v>
      </c>
    </row>
    <row r="480" spans="1:20" hidden="1" x14ac:dyDescent="0.3">
      <c r="A480" s="13">
        <v>43907.708333333336</v>
      </c>
      <c r="B480" s="12" t="s">
        <v>22</v>
      </c>
      <c r="C480" s="82">
        <v>9</v>
      </c>
      <c r="D480" s="12" t="s">
        <v>57</v>
      </c>
      <c r="E480" s="82">
        <v>4376923077</v>
      </c>
      <c r="F480" s="82">
        <v>1125588885</v>
      </c>
      <c r="G480" s="82">
        <v>329</v>
      </c>
      <c r="H480" s="82">
        <v>143</v>
      </c>
      <c r="I480" s="82">
        <v>472</v>
      </c>
      <c r="J480" s="82">
        <v>552</v>
      </c>
      <c r="K480" s="82">
        <v>1024</v>
      </c>
      <c r="L480" s="82">
        <v>183</v>
      </c>
      <c r="M480" s="82">
        <v>187</v>
      </c>
      <c r="N480" s="82">
        <v>12</v>
      </c>
      <c r="O480" s="82">
        <v>17</v>
      </c>
      <c r="P480" s="82">
        <v>1053</v>
      </c>
      <c r="Q480" s="82">
        <v>6727</v>
      </c>
      <c r="R480" s="12" t="s">
        <v>25</v>
      </c>
      <c r="S480" s="12" t="s">
        <v>25</v>
      </c>
      <c r="T480" s="12" t="s">
        <v>25</v>
      </c>
    </row>
    <row r="481" spans="1:20" hidden="1" x14ac:dyDescent="0.3">
      <c r="A481" s="13">
        <v>43907.708333333336</v>
      </c>
      <c r="B481" s="12" t="s">
        <v>22</v>
      </c>
      <c r="C481" s="82">
        <v>22</v>
      </c>
      <c r="D481" s="12" t="s">
        <v>58</v>
      </c>
      <c r="E481" s="82">
        <v>4606893511</v>
      </c>
      <c r="F481" s="82">
        <v>1112123097</v>
      </c>
      <c r="G481" s="82">
        <v>107</v>
      </c>
      <c r="H481" s="82">
        <v>22</v>
      </c>
      <c r="I481" s="82">
        <v>129</v>
      </c>
      <c r="J481" s="82">
        <v>239</v>
      </c>
      <c r="K481" s="82">
        <v>368</v>
      </c>
      <c r="L481" s="82">
        <v>1</v>
      </c>
      <c r="M481" s="82">
        <v>7</v>
      </c>
      <c r="N481" s="82">
        <v>10</v>
      </c>
      <c r="O481" s="82">
        <v>7</v>
      </c>
      <c r="P481" s="82">
        <v>385</v>
      </c>
      <c r="Q481" s="82">
        <v>1727</v>
      </c>
      <c r="R481" s="12" t="s">
        <v>25</v>
      </c>
      <c r="S481" s="12" t="s">
        <v>25</v>
      </c>
      <c r="T481" s="12" t="s">
        <v>25</v>
      </c>
    </row>
    <row r="482" spans="1:20" hidden="1" x14ac:dyDescent="0.3">
      <c r="A482" s="13">
        <v>43907.708333333336</v>
      </c>
      <c r="B482" s="12" t="s">
        <v>22</v>
      </c>
      <c r="C482" s="82">
        <v>10</v>
      </c>
      <c r="D482" s="12" t="s">
        <v>59</v>
      </c>
      <c r="E482" s="82">
        <v>4310675841</v>
      </c>
      <c r="F482" s="82">
        <v>1238824698</v>
      </c>
      <c r="G482" s="82">
        <v>36</v>
      </c>
      <c r="H482" s="82">
        <v>21</v>
      </c>
      <c r="I482" s="82">
        <v>57</v>
      </c>
      <c r="J482" s="82">
        <v>135</v>
      </c>
      <c r="K482" s="82">
        <v>192</v>
      </c>
      <c r="L482" s="82">
        <v>33</v>
      </c>
      <c r="M482" s="82">
        <v>33</v>
      </c>
      <c r="N482" s="82">
        <v>4</v>
      </c>
      <c r="O482" s="82">
        <v>1</v>
      </c>
      <c r="P482" s="82">
        <v>197</v>
      </c>
      <c r="Q482" s="82">
        <v>1323</v>
      </c>
      <c r="R482" s="12" t="s">
        <v>25</v>
      </c>
      <c r="S482" s="12" t="s">
        <v>25</v>
      </c>
      <c r="T482" s="12" t="s">
        <v>25</v>
      </c>
    </row>
    <row r="483" spans="1:20" hidden="1" x14ac:dyDescent="0.3">
      <c r="A483" s="13">
        <v>43907.708333333336</v>
      </c>
      <c r="B483" s="12" t="s">
        <v>22</v>
      </c>
      <c r="C483" s="82">
        <v>2</v>
      </c>
      <c r="D483" s="12" t="s">
        <v>60</v>
      </c>
      <c r="E483" s="82">
        <v>4573750286</v>
      </c>
      <c r="F483" s="82">
        <v>7320149366</v>
      </c>
      <c r="G483" s="82">
        <v>35</v>
      </c>
      <c r="H483" s="82">
        <v>6</v>
      </c>
      <c r="I483" s="82">
        <v>41</v>
      </c>
      <c r="J483" s="82">
        <v>93</v>
      </c>
      <c r="K483" s="82">
        <v>134</v>
      </c>
      <c r="L483" s="82">
        <v>31</v>
      </c>
      <c r="M483" s="82">
        <v>31</v>
      </c>
      <c r="N483" s="82">
        <v>0</v>
      </c>
      <c r="O483" s="82">
        <v>2</v>
      </c>
      <c r="P483" s="82">
        <v>136</v>
      </c>
      <c r="Q483" s="82">
        <v>398</v>
      </c>
      <c r="R483" s="12" t="s">
        <v>25</v>
      </c>
      <c r="S483" s="12" t="s">
        <v>25</v>
      </c>
      <c r="T483" s="12" t="s">
        <v>25</v>
      </c>
    </row>
    <row r="484" spans="1:20" hidden="1" x14ac:dyDescent="0.3">
      <c r="A484" s="13">
        <v>43907.708333333336</v>
      </c>
      <c r="B484" s="12" t="s">
        <v>22</v>
      </c>
      <c r="C484" s="82">
        <v>5</v>
      </c>
      <c r="D484" s="12" t="s">
        <v>61</v>
      </c>
      <c r="E484" s="82">
        <v>4543490485</v>
      </c>
      <c r="F484" s="82">
        <v>1233845213</v>
      </c>
      <c r="G484" s="82">
        <v>548</v>
      </c>
      <c r="H484" s="82">
        <v>171</v>
      </c>
      <c r="I484" s="82">
        <v>719</v>
      </c>
      <c r="J484" s="82">
        <v>1769</v>
      </c>
      <c r="K484" s="82">
        <v>2488</v>
      </c>
      <c r="L484" s="82">
        <v>214</v>
      </c>
      <c r="M484" s="82">
        <v>231</v>
      </c>
      <c r="N484" s="82">
        <v>136</v>
      </c>
      <c r="O484" s="82">
        <v>80</v>
      </c>
      <c r="P484" s="82">
        <v>2704</v>
      </c>
      <c r="Q484" s="82">
        <v>35478</v>
      </c>
      <c r="R484" s="12" t="s">
        <v>25</v>
      </c>
      <c r="S484" s="12" t="s">
        <v>25</v>
      </c>
      <c r="T484" s="12" t="s">
        <v>25</v>
      </c>
    </row>
    <row r="485" spans="1:20" hidden="1" x14ac:dyDescent="0.3">
      <c r="A485" s="13">
        <v>43908.708333333336</v>
      </c>
      <c r="B485" s="12" t="s">
        <v>22</v>
      </c>
      <c r="C485" s="82">
        <v>13</v>
      </c>
      <c r="D485" s="12" t="s">
        <v>42</v>
      </c>
      <c r="E485" s="82">
        <v>4235122196</v>
      </c>
      <c r="F485" s="82">
        <v>1339843823</v>
      </c>
      <c r="G485" s="82">
        <v>99</v>
      </c>
      <c r="H485" s="82">
        <v>41</v>
      </c>
      <c r="I485" s="82">
        <v>140</v>
      </c>
      <c r="J485" s="82">
        <v>109</v>
      </c>
      <c r="K485" s="82">
        <v>249</v>
      </c>
      <c r="L485" s="82">
        <v>33</v>
      </c>
      <c r="M485" s="82">
        <v>34</v>
      </c>
      <c r="N485" s="82">
        <v>7</v>
      </c>
      <c r="O485" s="82">
        <v>7</v>
      </c>
      <c r="P485" s="82">
        <v>263</v>
      </c>
      <c r="Q485" s="82">
        <v>2054</v>
      </c>
      <c r="R485" s="12" t="s">
        <v>25</v>
      </c>
      <c r="S485" s="12" t="s">
        <v>25</v>
      </c>
      <c r="T485" s="12" t="s">
        <v>25</v>
      </c>
    </row>
    <row r="486" spans="1:20" hidden="1" x14ac:dyDescent="0.3">
      <c r="A486" s="13">
        <v>43908.708333333336</v>
      </c>
      <c r="B486" s="12" t="s">
        <v>22</v>
      </c>
      <c r="C486" s="82">
        <v>17</v>
      </c>
      <c r="D486" s="12" t="s">
        <v>43</v>
      </c>
      <c r="E486" s="82">
        <v>4063947052</v>
      </c>
      <c r="F486" s="82">
        <v>1580514834</v>
      </c>
      <c r="G486" s="82">
        <v>9</v>
      </c>
      <c r="H486" s="82">
        <v>2</v>
      </c>
      <c r="I486" s="82">
        <v>11</v>
      </c>
      <c r="J486" s="82">
        <v>16</v>
      </c>
      <c r="K486" s="82">
        <v>27</v>
      </c>
      <c r="L486" s="82">
        <v>7</v>
      </c>
      <c r="M486" s="82">
        <v>7</v>
      </c>
      <c r="N486" s="82">
        <v>0</v>
      </c>
      <c r="O486" s="82">
        <v>0</v>
      </c>
      <c r="P486" s="82">
        <v>27</v>
      </c>
      <c r="Q486" s="82">
        <v>262</v>
      </c>
      <c r="R486" s="12" t="s">
        <v>25</v>
      </c>
      <c r="S486" s="12" t="s">
        <v>25</v>
      </c>
      <c r="T486" s="12" t="s">
        <v>25</v>
      </c>
    </row>
    <row r="487" spans="1:20" hidden="1" x14ac:dyDescent="0.3">
      <c r="A487" s="13">
        <v>43908.708333333336</v>
      </c>
      <c r="B487" s="12" t="s">
        <v>22</v>
      </c>
      <c r="C487" s="82">
        <v>21</v>
      </c>
      <c r="D487" s="12" t="s">
        <v>44</v>
      </c>
      <c r="E487" s="82">
        <v>4649933453</v>
      </c>
      <c r="F487" s="82">
        <v>1135662422</v>
      </c>
      <c r="G487" s="82">
        <v>79</v>
      </c>
      <c r="H487" s="82">
        <v>18</v>
      </c>
      <c r="I487" s="82">
        <v>97</v>
      </c>
      <c r="J487" s="82">
        <v>269</v>
      </c>
      <c r="K487" s="82">
        <v>366</v>
      </c>
      <c r="L487" s="82">
        <v>84</v>
      </c>
      <c r="M487" s="82">
        <v>85</v>
      </c>
      <c r="N487" s="82">
        <v>1</v>
      </c>
      <c r="O487" s="82">
        <v>9</v>
      </c>
      <c r="P487" s="82">
        <v>376</v>
      </c>
      <c r="Q487" s="82">
        <v>2844</v>
      </c>
      <c r="R487" s="12" t="s">
        <v>25</v>
      </c>
      <c r="S487" s="12" t="s">
        <v>25</v>
      </c>
      <c r="T487" s="12" t="s">
        <v>25</v>
      </c>
    </row>
    <row r="488" spans="1:20" hidden="1" x14ac:dyDescent="0.3">
      <c r="A488" s="13">
        <v>43908.708333333336</v>
      </c>
      <c r="B488" s="12" t="s">
        <v>22</v>
      </c>
      <c r="C488" s="82">
        <v>18</v>
      </c>
      <c r="D488" s="12" t="s">
        <v>45</v>
      </c>
      <c r="E488" s="82">
        <v>3890597598</v>
      </c>
      <c r="F488" s="82">
        <v>1659440194</v>
      </c>
      <c r="G488" s="82">
        <v>45</v>
      </c>
      <c r="H488" s="82">
        <v>11</v>
      </c>
      <c r="I488" s="82">
        <v>56</v>
      </c>
      <c r="J488" s="82">
        <v>70</v>
      </c>
      <c r="K488" s="82">
        <v>126</v>
      </c>
      <c r="L488" s="82">
        <v>14</v>
      </c>
      <c r="M488" s="82">
        <v>15</v>
      </c>
      <c r="N488" s="82">
        <v>2</v>
      </c>
      <c r="O488" s="82">
        <v>1</v>
      </c>
      <c r="P488" s="82">
        <v>129</v>
      </c>
      <c r="Q488" s="82">
        <v>1668</v>
      </c>
      <c r="R488" s="12" t="s">
        <v>25</v>
      </c>
      <c r="S488" s="12" t="s">
        <v>25</v>
      </c>
      <c r="T488" s="12" t="s">
        <v>25</v>
      </c>
    </row>
    <row r="489" spans="1:20" hidden="1" x14ac:dyDescent="0.3">
      <c r="A489" s="13">
        <v>43908.708333333336</v>
      </c>
      <c r="B489" s="12" t="s">
        <v>22</v>
      </c>
      <c r="C489" s="82">
        <v>15</v>
      </c>
      <c r="D489" s="12" t="s">
        <v>46</v>
      </c>
      <c r="E489" s="82">
        <v>4083956555</v>
      </c>
      <c r="F489" s="82">
        <v>1425084984</v>
      </c>
      <c r="G489" s="82">
        <v>127</v>
      </c>
      <c r="H489" s="82">
        <v>24</v>
      </c>
      <c r="I489" s="82">
        <v>151</v>
      </c>
      <c r="J489" s="82">
        <v>272</v>
      </c>
      <c r="K489" s="82">
        <v>423</v>
      </c>
      <c r="L489" s="82">
        <v>0</v>
      </c>
      <c r="M489" s="82">
        <v>0</v>
      </c>
      <c r="N489" s="82">
        <v>28</v>
      </c>
      <c r="O489" s="82">
        <v>9</v>
      </c>
      <c r="P489" s="82">
        <v>460</v>
      </c>
      <c r="Q489" s="82">
        <v>2685</v>
      </c>
      <c r="R489" s="12" t="s">
        <v>25</v>
      </c>
      <c r="S489" s="12" t="s">
        <v>74</v>
      </c>
      <c r="T489" s="12" t="s">
        <v>75</v>
      </c>
    </row>
    <row r="490" spans="1:20" hidden="1" x14ac:dyDescent="0.3">
      <c r="A490" s="13">
        <v>43908.708333333336</v>
      </c>
      <c r="B490" s="12" t="s">
        <v>22</v>
      </c>
      <c r="C490" s="82">
        <v>8</v>
      </c>
      <c r="D490" s="12" t="s">
        <v>95</v>
      </c>
      <c r="E490" s="82">
        <v>4449436681</v>
      </c>
      <c r="F490" s="82">
        <v>113417208</v>
      </c>
      <c r="G490" s="82">
        <v>1784</v>
      </c>
      <c r="H490" s="82">
        <v>247</v>
      </c>
      <c r="I490" s="82">
        <v>2031</v>
      </c>
      <c r="J490" s="82">
        <v>1884</v>
      </c>
      <c r="K490" s="82">
        <v>3915</v>
      </c>
      <c r="L490" s="82">
        <v>511</v>
      </c>
      <c r="M490" s="82">
        <v>594</v>
      </c>
      <c r="N490" s="82">
        <v>152</v>
      </c>
      <c r="O490" s="82">
        <v>458</v>
      </c>
      <c r="P490" s="82">
        <v>4525</v>
      </c>
      <c r="Q490" s="82">
        <v>15461</v>
      </c>
      <c r="R490" s="12" t="s">
        <v>25</v>
      </c>
      <c r="S490" s="12" t="s">
        <v>76</v>
      </c>
      <c r="T490" s="12" t="s">
        <v>77</v>
      </c>
    </row>
    <row r="491" spans="1:20" hidden="1" x14ac:dyDescent="0.3">
      <c r="A491" s="13">
        <v>43908.708333333336</v>
      </c>
      <c r="B491" s="12" t="s">
        <v>22</v>
      </c>
      <c r="C491" s="82">
        <v>6</v>
      </c>
      <c r="D491" s="12" t="s">
        <v>47</v>
      </c>
      <c r="E491" s="82">
        <v>456494354</v>
      </c>
      <c r="F491" s="82">
        <v>1376813649</v>
      </c>
      <c r="G491" s="82">
        <v>128</v>
      </c>
      <c r="H491" s="82">
        <v>27</v>
      </c>
      <c r="I491" s="82">
        <v>155</v>
      </c>
      <c r="J491" s="82">
        <v>261</v>
      </c>
      <c r="K491" s="82">
        <v>416</v>
      </c>
      <c r="L491" s="82">
        <v>69</v>
      </c>
      <c r="M491" s="82">
        <v>68</v>
      </c>
      <c r="N491" s="82">
        <v>15</v>
      </c>
      <c r="O491" s="82">
        <v>31</v>
      </c>
      <c r="P491" s="82">
        <v>462</v>
      </c>
      <c r="Q491" s="82">
        <v>4958</v>
      </c>
      <c r="R491" s="12" t="s">
        <v>25</v>
      </c>
      <c r="S491" s="12" t="s">
        <v>25</v>
      </c>
      <c r="T491" s="12" t="s">
        <v>25</v>
      </c>
    </row>
    <row r="492" spans="1:20" hidden="1" x14ac:dyDescent="0.3">
      <c r="A492" s="13">
        <v>43908.708333333336</v>
      </c>
      <c r="B492" s="12" t="s">
        <v>22</v>
      </c>
      <c r="C492" s="82">
        <v>12</v>
      </c>
      <c r="D492" s="12" t="s">
        <v>48</v>
      </c>
      <c r="E492" s="82">
        <v>4189277044</v>
      </c>
      <c r="F492" s="82">
        <v>1248366722</v>
      </c>
      <c r="G492" s="82">
        <v>374</v>
      </c>
      <c r="H492" s="82">
        <v>44</v>
      </c>
      <c r="I492" s="82">
        <v>418</v>
      </c>
      <c r="J492" s="82">
        <v>232</v>
      </c>
      <c r="K492" s="82">
        <v>650</v>
      </c>
      <c r="L492" s="82">
        <v>100</v>
      </c>
      <c r="M492" s="82">
        <v>117</v>
      </c>
      <c r="N492" s="82">
        <v>42</v>
      </c>
      <c r="O492" s="82">
        <v>32</v>
      </c>
      <c r="P492" s="82">
        <v>724</v>
      </c>
      <c r="Q492" s="82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82">
        <v>7</v>
      </c>
      <c r="D493" s="12" t="s">
        <v>49</v>
      </c>
      <c r="E493" s="82">
        <v>4441149315</v>
      </c>
      <c r="F493" s="82">
        <v>89326992</v>
      </c>
      <c r="G493" s="82">
        <v>401</v>
      </c>
      <c r="H493" s="82">
        <v>100</v>
      </c>
      <c r="I493" s="82">
        <v>501</v>
      </c>
      <c r="J493" s="82">
        <v>243</v>
      </c>
      <c r="K493" s="82">
        <v>744</v>
      </c>
      <c r="L493" s="82">
        <v>83</v>
      </c>
      <c r="M493" s="82">
        <v>109</v>
      </c>
      <c r="N493" s="82">
        <v>70</v>
      </c>
      <c r="O493" s="82">
        <v>73</v>
      </c>
      <c r="P493" s="82">
        <v>887</v>
      </c>
      <c r="Q493" s="82">
        <v>2912</v>
      </c>
      <c r="R493" s="12" t="s">
        <v>25</v>
      </c>
      <c r="S493" s="12" t="s">
        <v>25</v>
      </c>
      <c r="T493" s="12" t="s">
        <v>25</v>
      </c>
    </row>
    <row r="494" spans="1:20" hidden="1" x14ac:dyDescent="0.3">
      <c r="A494" s="13">
        <v>43908.708333333336</v>
      </c>
      <c r="B494" s="12" t="s">
        <v>22</v>
      </c>
      <c r="C494" s="82">
        <v>3</v>
      </c>
      <c r="D494" s="12" t="s">
        <v>50</v>
      </c>
      <c r="E494" s="82">
        <v>4546679409</v>
      </c>
      <c r="F494" s="82">
        <v>9190347404</v>
      </c>
      <c r="G494" s="82">
        <v>7285</v>
      </c>
      <c r="H494" s="82">
        <v>924</v>
      </c>
      <c r="I494" s="82">
        <v>8209</v>
      </c>
      <c r="J494" s="82">
        <v>4057</v>
      </c>
      <c r="K494" s="82">
        <v>12266</v>
      </c>
      <c r="L494" s="82">
        <v>171</v>
      </c>
      <c r="M494" s="82">
        <v>1493</v>
      </c>
      <c r="N494" s="82">
        <v>3488</v>
      </c>
      <c r="O494" s="82">
        <v>1959</v>
      </c>
      <c r="P494" s="82">
        <v>17713</v>
      </c>
      <c r="Q494" s="82">
        <v>48983</v>
      </c>
      <c r="R494" s="12" t="s">
        <v>25</v>
      </c>
      <c r="S494" s="12" t="s">
        <v>25</v>
      </c>
      <c r="T494" s="12" t="s">
        <v>25</v>
      </c>
    </row>
    <row r="495" spans="1:20" hidden="1" x14ac:dyDescent="0.3">
      <c r="A495" s="13">
        <v>43908.708333333336</v>
      </c>
      <c r="B495" s="12" t="s">
        <v>22</v>
      </c>
      <c r="C495" s="82">
        <v>11</v>
      </c>
      <c r="D495" s="12" t="s">
        <v>51</v>
      </c>
      <c r="E495" s="82">
        <v>4361675973</v>
      </c>
      <c r="F495" s="82">
        <v>135188753</v>
      </c>
      <c r="G495" s="82">
        <v>638</v>
      </c>
      <c r="H495" s="82">
        <v>119</v>
      </c>
      <c r="I495" s="82">
        <v>757</v>
      </c>
      <c r="J495" s="82">
        <v>719</v>
      </c>
      <c r="K495" s="82">
        <v>1476</v>
      </c>
      <c r="L495" s="82">
        <v>174</v>
      </c>
      <c r="M495" s="82">
        <v>197</v>
      </c>
      <c r="N495" s="82">
        <v>0</v>
      </c>
      <c r="O495" s="82">
        <v>92</v>
      </c>
      <c r="P495" s="82">
        <v>1568</v>
      </c>
      <c r="Q495" s="82">
        <v>4109</v>
      </c>
      <c r="R495" s="12" t="s">
        <v>25</v>
      </c>
      <c r="S495" s="12" t="s">
        <v>25</v>
      </c>
      <c r="T495" s="12" t="s">
        <v>25</v>
      </c>
    </row>
    <row r="496" spans="1:20" hidden="1" x14ac:dyDescent="0.3">
      <c r="A496" s="13">
        <v>43908.708333333336</v>
      </c>
      <c r="B496" s="12" t="s">
        <v>22</v>
      </c>
      <c r="C496" s="82">
        <v>14</v>
      </c>
      <c r="D496" s="12" t="s">
        <v>52</v>
      </c>
      <c r="E496" s="82">
        <v>4155774754</v>
      </c>
      <c r="F496" s="82">
        <v>1465916051</v>
      </c>
      <c r="G496" s="82">
        <v>7</v>
      </c>
      <c r="H496" s="82">
        <v>6</v>
      </c>
      <c r="I496" s="82">
        <v>13</v>
      </c>
      <c r="J496" s="82">
        <v>8</v>
      </c>
      <c r="K496" s="82">
        <v>21</v>
      </c>
      <c r="L496" s="82">
        <v>2</v>
      </c>
      <c r="M496" s="82">
        <v>3</v>
      </c>
      <c r="N496" s="82">
        <v>6</v>
      </c>
      <c r="O496" s="82">
        <v>1</v>
      </c>
      <c r="P496" s="82">
        <v>28</v>
      </c>
      <c r="Q496" s="82">
        <v>361</v>
      </c>
      <c r="R496" s="12" t="s">
        <v>25</v>
      </c>
      <c r="S496" s="12" t="s">
        <v>25</v>
      </c>
      <c r="T496" s="12" t="s">
        <v>25</v>
      </c>
    </row>
    <row r="497" spans="1:20" hidden="1" x14ac:dyDescent="0.3">
      <c r="A497" s="13">
        <v>43908.708333333336</v>
      </c>
      <c r="B497" s="12" t="s">
        <v>22</v>
      </c>
      <c r="C497" s="82">
        <v>1</v>
      </c>
      <c r="D497" s="12" t="s">
        <v>53</v>
      </c>
      <c r="E497" s="82">
        <v>450732745</v>
      </c>
      <c r="F497" s="82">
        <v>7680687483</v>
      </c>
      <c r="G497" s="82">
        <v>1780</v>
      </c>
      <c r="H497" s="82">
        <v>227</v>
      </c>
      <c r="I497" s="82">
        <v>2007</v>
      </c>
      <c r="J497" s="82">
        <v>180</v>
      </c>
      <c r="K497" s="82">
        <v>2187</v>
      </c>
      <c r="L497" s="82">
        <v>423</v>
      </c>
      <c r="M497" s="82">
        <v>444</v>
      </c>
      <c r="N497" s="82">
        <v>0</v>
      </c>
      <c r="O497" s="82">
        <v>154</v>
      </c>
      <c r="P497" s="82">
        <v>2341</v>
      </c>
      <c r="Q497" s="82">
        <v>7516</v>
      </c>
      <c r="R497" s="12" t="s">
        <v>25</v>
      </c>
      <c r="S497" s="12" t="s">
        <v>25</v>
      </c>
      <c r="T497" s="12" t="s">
        <v>25</v>
      </c>
    </row>
    <row r="498" spans="1:20" hidden="1" x14ac:dyDescent="0.3">
      <c r="A498" s="13">
        <v>43908.708333333336</v>
      </c>
      <c r="B498" s="12" t="s">
        <v>22</v>
      </c>
      <c r="C498" s="82">
        <v>16</v>
      </c>
      <c r="D498" s="12" t="s">
        <v>54</v>
      </c>
      <c r="E498" s="82">
        <v>4112559576</v>
      </c>
      <c r="F498" s="82">
        <v>1686736689</v>
      </c>
      <c r="G498" s="82">
        <v>156</v>
      </c>
      <c r="H498" s="82">
        <v>30</v>
      </c>
      <c r="I498" s="82">
        <v>186</v>
      </c>
      <c r="J498" s="82">
        <v>176</v>
      </c>
      <c r="K498" s="82">
        <v>362</v>
      </c>
      <c r="L498" s="82">
        <v>42</v>
      </c>
      <c r="M498" s="82">
        <v>43</v>
      </c>
      <c r="N498" s="82">
        <v>2</v>
      </c>
      <c r="O498" s="82">
        <v>19</v>
      </c>
      <c r="P498" s="82">
        <v>383</v>
      </c>
      <c r="Q498" s="82">
        <v>3433</v>
      </c>
      <c r="R498" s="12" t="s">
        <v>25</v>
      </c>
      <c r="S498" s="12" t="s">
        <v>25</v>
      </c>
      <c r="T498" s="12" t="s">
        <v>25</v>
      </c>
    </row>
    <row r="499" spans="1:20" hidden="1" x14ac:dyDescent="0.3">
      <c r="A499" s="13">
        <v>43908.708333333336</v>
      </c>
      <c r="B499" s="12" t="s">
        <v>22</v>
      </c>
      <c r="C499" s="82">
        <v>20</v>
      </c>
      <c r="D499" s="12" t="s">
        <v>55</v>
      </c>
      <c r="E499" s="82">
        <v>3921531192</v>
      </c>
      <c r="F499" s="82">
        <v>9110616306</v>
      </c>
      <c r="G499" s="82">
        <v>42</v>
      </c>
      <c r="H499" s="82">
        <v>7</v>
      </c>
      <c r="I499" s="82">
        <v>49</v>
      </c>
      <c r="J499" s="82">
        <v>83</v>
      </c>
      <c r="K499" s="82">
        <v>132</v>
      </c>
      <c r="L499" s="82">
        <v>17</v>
      </c>
      <c r="M499" s="82">
        <v>17</v>
      </c>
      <c r="N499" s="82">
        <v>0</v>
      </c>
      <c r="O499" s="82">
        <v>2</v>
      </c>
      <c r="P499" s="82">
        <v>134</v>
      </c>
      <c r="Q499" s="82">
        <v>1135</v>
      </c>
      <c r="R499" s="12" t="s">
        <v>25</v>
      </c>
      <c r="S499" s="12" t="s">
        <v>25</v>
      </c>
      <c r="T499" s="12" t="s">
        <v>25</v>
      </c>
    </row>
    <row r="500" spans="1:20" hidden="1" x14ac:dyDescent="0.3">
      <c r="A500" s="13">
        <v>43908.708333333336</v>
      </c>
      <c r="B500" s="12" t="s">
        <v>22</v>
      </c>
      <c r="C500" s="82">
        <v>19</v>
      </c>
      <c r="D500" s="12" t="s">
        <v>56</v>
      </c>
      <c r="E500" s="82">
        <v>3811569725</v>
      </c>
      <c r="F500" s="82">
        <v>133623567</v>
      </c>
      <c r="G500" s="82">
        <v>100</v>
      </c>
      <c r="H500" s="82">
        <v>29</v>
      </c>
      <c r="I500" s="82">
        <v>129</v>
      </c>
      <c r="J500" s="82">
        <v>138</v>
      </c>
      <c r="K500" s="82">
        <v>267</v>
      </c>
      <c r="L500" s="82">
        <v>41</v>
      </c>
      <c r="M500" s="82">
        <v>45</v>
      </c>
      <c r="N500" s="82">
        <v>12</v>
      </c>
      <c r="O500" s="82">
        <v>3</v>
      </c>
      <c r="P500" s="82">
        <v>282</v>
      </c>
      <c r="Q500" s="82">
        <v>3294</v>
      </c>
      <c r="R500" s="12" t="s">
        <v>25</v>
      </c>
      <c r="S500" s="12" t="s">
        <v>25</v>
      </c>
      <c r="T500" s="12" t="s">
        <v>25</v>
      </c>
    </row>
    <row r="501" spans="1:20" hidden="1" x14ac:dyDescent="0.3">
      <c r="A501" s="13">
        <v>43908.708333333336</v>
      </c>
      <c r="B501" s="12" t="s">
        <v>22</v>
      </c>
      <c r="C501" s="82">
        <v>9</v>
      </c>
      <c r="D501" s="12" t="s">
        <v>57</v>
      </c>
      <c r="E501" s="82">
        <v>4376923077</v>
      </c>
      <c r="F501" s="82">
        <v>1125588885</v>
      </c>
      <c r="G501" s="82">
        <v>427</v>
      </c>
      <c r="H501" s="82">
        <v>160</v>
      </c>
      <c r="I501" s="82">
        <v>587</v>
      </c>
      <c r="J501" s="82">
        <v>704</v>
      </c>
      <c r="K501" s="82">
        <v>1291</v>
      </c>
      <c r="L501" s="82">
        <v>267</v>
      </c>
      <c r="M501" s="82">
        <v>277</v>
      </c>
      <c r="N501" s="82">
        <v>17</v>
      </c>
      <c r="O501" s="82">
        <v>22</v>
      </c>
      <c r="P501" s="82">
        <v>1330</v>
      </c>
      <c r="Q501" s="82">
        <v>7606</v>
      </c>
      <c r="R501" s="12" t="s">
        <v>25</v>
      </c>
      <c r="S501" s="12" t="s">
        <v>25</v>
      </c>
      <c r="T501" s="12" t="s">
        <v>25</v>
      </c>
    </row>
    <row r="502" spans="1:20" hidden="1" x14ac:dyDescent="0.3">
      <c r="A502" s="13">
        <v>43908.708333333336</v>
      </c>
      <c r="B502" s="12" t="s">
        <v>22</v>
      </c>
      <c r="C502" s="82">
        <v>22</v>
      </c>
      <c r="D502" s="12" t="s">
        <v>58</v>
      </c>
      <c r="E502" s="82">
        <v>4606893511</v>
      </c>
      <c r="F502" s="82">
        <v>1112123097</v>
      </c>
      <c r="G502" s="82">
        <v>141</v>
      </c>
      <c r="H502" s="82">
        <v>22</v>
      </c>
      <c r="I502" s="82">
        <v>163</v>
      </c>
      <c r="J502" s="82">
        <v>273</v>
      </c>
      <c r="K502" s="82">
        <v>436</v>
      </c>
      <c r="L502" s="82">
        <v>68</v>
      </c>
      <c r="M502" s="82">
        <v>70</v>
      </c>
      <c r="N502" s="82">
        <v>12</v>
      </c>
      <c r="O502" s="82">
        <v>7</v>
      </c>
      <c r="P502" s="82">
        <v>455</v>
      </c>
      <c r="Q502" s="82">
        <v>2187</v>
      </c>
      <c r="R502" s="12" t="s">
        <v>25</v>
      </c>
      <c r="S502" s="12" t="s">
        <v>25</v>
      </c>
      <c r="T502" s="12" t="s">
        <v>25</v>
      </c>
    </row>
    <row r="503" spans="1:20" hidden="1" x14ac:dyDescent="0.3">
      <c r="A503" s="13">
        <v>43908.708333333336</v>
      </c>
      <c r="B503" s="12" t="s">
        <v>22</v>
      </c>
      <c r="C503" s="82">
        <v>10</v>
      </c>
      <c r="D503" s="12" t="s">
        <v>59</v>
      </c>
      <c r="E503" s="82">
        <v>4310675841</v>
      </c>
      <c r="F503" s="82">
        <v>1238824698</v>
      </c>
      <c r="G503" s="82">
        <v>54</v>
      </c>
      <c r="H503" s="82">
        <v>21</v>
      </c>
      <c r="I503" s="82">
        <v>75</v>
      </c>
      <c r="J503" s="82">
        <v>166</v>
      </c>
      <c r="K503" s="82">
        <v>241</v>
      </c>
      <c r="L503" s="82">
        <v>49</v>
      </c>
      <c r="M503" s="82">
        <v>50</v>
      </c>
      <c r="N503" s="82">
        <v>4</v>
      </c>
      <c r="O503" s="82">
        <v>2</v>
      </c>
      <c r="P503" s="82">
        <v>247</v>
      </c>
      <c r="Q503" s="82">
        <v>1601</v>
      </c>
      <c r="R503" s="12" t="s">
        <v>25</v>
      </c>
      <c r="S503" s="12" t="s">
        <v>25</v>
      </c>
      <c r="T503" s="12" t="s">
        <v>25</v>
      </c>
    </row>
    <row r="504" spans="1:20" hidden="1" x14ac:dyDescent="0.3">
      <c r="A504" s="13">
        <v>43908.708333333336</v>
      </c>
      <c r="B504" s="12" t="s">
        <v>22</v>
      </c>
      <c r="C504" s="82">
        <v>2</v>
      </c>
      <c r="D504" s="12" t="s">
        <v>60</v>
      </c>
      <c r="E504" s="82">
        <v>4573750286</v>
      </c>
      <c r="F504" s="82">
        <v>7320149366</v>
      </c>
      <c r="G504" s="82">
        <v>41</v>
      </c>
      <c r="H504" s="82">
        <v>3</v>
      </c>
      <c r="I504" s="82">
        <v>44</v>
      </c>
      <c r="J504" s="82">
        <v>118</v>
      </c>
      <c r="K504" s="82">
        <v>162</v>
      </c>
      <c r="L504" s="82">
        <v>28</v>
      </c>
      <c r="M504" s="82">
        <v>29</v>
      </c>
      <c r="N504" s="82">
        <v>0</v>
      </c>
      <c r="O504" s="82">
        <v>3</v>
      </c>
      <c r="P504" s="82">
        <v>165</v>
      </c>
      <c r="Q504" s="82">
        <v>486</v>
      </c>
      <c r="R504" s="12" t="s">
        <v>25</v>
      </c>
      <c r="S504" s="12" t="s">
        <v>25</v>
      </c>
      <c r="T504" s="12" t="s">
        <v>25</v>
      </c>
    </row>
    <row r="505" spans="1:20" hidden="1" x14ac:dyDescent="0.3">
      <c r="A505" s="13">
        <v>43908.708333333336</v>
      </c>
      <c r="B505" s="12" t="s">
        <v>22</v>
      </c>
      <c r="C505" s="82">
        <v>5</v>
      </c>
      <c r="D505" s="12" t="s">
        <v>61</v>
      </c>
      <c r="E505" s="82">
        <v>4543490485</v>
      </c>
      <c r="F505" s="82">
        <v>1233845213</v>
      </c>
      <c r="G505" s="82">
        <v>646</v>
      </c>
      <c r="H505" s="82">
        <v>195</v>
      </c>
      <c r="I505" s="82">
        <v>841</v>
      </c>
      <c r="J505" s="82">
        <v>2112</v>
      </c>
      <c r="K505" s="82">
        <v>2953</v>
      </c>
      <c r="L505" s="82">
        <v>465</v>
      </c>
      <c r="M505" s="82">
        <v>510</v>
      </c>
      <c r="N505" s="82">
        <v>167</v>
      </c>
      <c r="O505" s="82">
        <v>94</v>
      </c>
      <c r="P505" s="82">
        <v>3214</v>
      </c>
      <c r="Q505" s="82">
        <v>40841</v>
      </c>
      <c r="R505" s="12" t="s">
        <v>25</v>
      </c>
      <c r="S505" s="12" t="s">
        <v>25</v>
      </c>
      <c r="T505" s="12" t="s">
        <v>25</v>
      </c>
    </row>
    <row r="506" spans="1:20" hidden="1" x14ac:dyDescent="0.3">
      <c r="A506" s="13">
        <v>43909.708333333336</v>
      </c>
      <c r="B506" s="12" t="s">
        <v>22</v>
      </c>
      <c r="C506" s="82">
        <v>13</v>
      </c>
      <c r="D506" s="12" t="s">
        <v>42</v>
      </c>
      <c r="E506" s="82">
        <v>4235122196</v>
      </c>
      <c r="F506" s="82">
        <v>1339843823</v>
      </c>
      <c r="G506" s="82">
        <v>181</v>
      </c>
      <c r="H506" s="82">
        <v>47</v>
      </c>
      <c r="I506" s="82">
        <v>228</v>
      </c>
      <c r="J506" s="82">
        <v>138</v>
      </c>
      <c r="K506" s="82">
        <v>366</v>
      </c>
      <c r="L506" s="82">
        <v>117</v>
      </c>
      <c r="M506" s="82">
        <v>122</v>
      </c>
      <c r="N506" s="82">
        <v>8</v>
      </c>
      <c r="O506" s="82">
        <v>11</v>
      </c>
      <c r="P506" s="82">
        <v>385</v>
      </c>
      <c r="Q506" s="82">
        <v>2409</v>
      </c>
      <c r="R506" s="12" t="s">
        <v>25</v>
      </c>
      <c r="S506" s="12" t="s">
        <v>25</v>
      </c>
      <c r="T506" s="12" t="s">
        <v>25</v>
      </c>
    </row>
    <row r="507" spans="1:20" hidden="1" x14ac:dyDescent="0.3">
      <c r="A507" s="13">
        <v>43909.708333333336</v>
      </c>
      <c r="B507" s="12" t="s">
        <v>22</v>
      </c>
      <c r="C507" s="82">
        <v>17</v>
      </c>
      <c r="D507" s="12" t="s">
        <v>43</v>
      </c>
      <c r="E507" s="82">
        <v>4063947052</v>
      </c>
      <c r="F507" s="82">
        <v>1580514834</v>
      </c>
      <c r="G507" s="82">
        <v>8</v>
      </c>
      <c r="H507" s="82">
        <v>5</v>
      </c>
      <c r="I507" s="82">
        <v>13</v>
      </c>
      <c r="J507" s="82">
        <v>24</v>
      </c>
      <c r="K507" s="82">
        <v>37</v>
      </c>
      <c r="L507" s="82">
        <v>10</v>
      </c>
      <c r="M507" s="82">
        <v>10</v>
      </c>
      <c r="N507" s="82">
        <v>0</v>
      </c>
      <c r="O507" s="82">
        <v>0</v>
      </c>
      <c r="P507" s="82">
        <v>37</v>
      </c>
      <c r="Q507" s="82">
        <v>353</v>
      </c>
      <c r="R507" s="12" t="s">
        <v>25</v>
      </c>
      <c r="S507" s="12" t="s">
        <v>25</v>
      </c>
      <c r="T507" s="12" t="s">
        <v>25</v>
      </c>
    </row>
    <row r="508" spans="1:20" hidden="1" x14ac:dyDescent="0.3">
      <c r="A508" s="13">
        <v>43909.708333333336</v>
      </c>
      <c r="B508" s="12" t="s">
        <v>22</v>
      </c>
      <c r="C508" s="82">
        <v>21</v>
      </c>
      <c r="D508" s="12" t="s">
        <v>44</v>
      </c>
      <c r="E508" s="82">
        <v>4649933453</v>
      </c>
      <c r="F508" s="82">
        <v>1135662422</v>
      </c>
      <c r="G508" s="82">
        <v>87</v>
      </c>
      <c r="H508" s="82">
        <v>18</v>
      </c>
      <c r="I508" s="82">
        <v>105</v>
      </c>
      <c r="J508" s="82">
        <v>316</v>
      </c>
      <c r="K508" s="82">
        <v>421</v>
      </c>
      <c r="L508" s="82">
        <v>55</v>
      </c>
      <c r="M508" s="82">
        <v>60</v>
      </c>
      <c r="N508" s="82">
        <v>1</v>
      </c>
      <c r="O508" s="82">
        <v>14</v>
      </c>
      <c r="P508" s="82">
        <v>436</v>
      </c>
      <c r="Q508" s="82">
        <v>3568</v>
      </c>
      <c r="R508" s="12" t="s">
        <v>25</v>
      </c>
      <c r="S508" s="12" t="s">
        <v>25</v>
      </c>
      <c r="T508" s="12" t="s">
        <v>25</v>
      </c>
    </row>
    <row r="509" spans="1:20" hidden="1" x14ac:dyDescent="0.3">
      <c r="A509" s="13">
        <v>43909.708333333336</v>
      </c>
      <c r="B509" s="12" t="s">
        <v>22</v>
      </c>
      <c r="C509" s="82">
        <v>18</v>
      </c>
      <c r="D509" s="12" t="s">
        <v>45</v>
      </c>
      <c r="E509" s="82">
        <v>3890597598</v>
      </c>
      <c r="F509" s="82">
        <v>1659440194</v>
      </c>
      <c r="G509" s="82">
        <v>60</v>
      </c>
      <c r="H509" s="82">
        <v>13</v>
      </c>
      <c r="I509" s="82">
        <v>73</v>
      </c>
      <c r="J509" s="82">
        <v>91</v>
      </c>
      <c r="K509" s="82">
        <v>164</v>
      </c>
      <c r="L509" s="82">
        <v>38</v>
      </c>
      <c r="M509" s="82">
        <v>40</v>
      </c>
      <c r="N509" s="82">
        <v>2</v>
      </c>
      <c r="O509" s="82">
        <v>3</v>
      </c>
      <c r="P509" s="82">
        <v>169</v>
      </c>
      <c r="Q509" s="82">
        <v>2342</v>
      </c>
      <c r="R509" s="12" t="s">
        <v>25</v>
      </c>
      <c r="S509" s="12" t="s">
        <v>25</v>
      </c>
      <c r="T509" s="12" t="s">
        <v>25</v>
      </c>
    </row>
    <row r="510" spans="1:20" hidden="1" x14ac:dyDescent="0.3">
      <c r="A510" s="13">
        <v>43909.708333333336</v>
      </c>
      <c r="B510" s="12" t="s">
        <v>22</v>
      </c>
      <c r="C510" s="82">
        <v>15</v>
      </c>
      <c r="D510" s="12" t="s">
        <v>46</v>
      </c>
      <c r="E510" s="82">
        <v>4083956555</v>
      </c>
      <c r="F510" s="82">
        <v>1425084984</v>
      </c>
      <c r="G510" s="82">
        <v>213</v>
      </c>
      <c r="H510" s="82">
        <v>36</v>
      </c>
      <c r="I510" s="82">
        <v>249</v>
      </c>
      <c r="J510" s="82">
        <v>356</v>
      </c>
      <c r="K510" s="82">
        <v>605</v>
      </c>
      <c r="L510" s="82">
        <v>182</v>
      </c>
      <c r="M510" s="82">
        <v>192</v>
      </c>
      <c r="N510" s="82">
        <v>30</v>
      </c>
      <c r="O510" s="82">
        <v>17</v>
      </c>
      <c r="P510" s="82">
        <v>652</v>
      </c>
      <c r="Q510" s="82">
        <v>3544</v>
      </c>
      <c r="R510" s="12" t="s">
        <v>25</v>
      </c>
      <c r="S510" s="12" t="s">
        <v>25</v>
      </c>
      <c r="T510" s="12" t="s">
        <v>25</v>
      </c>
    </row>
    <row r="511" spans="1:20" hidden="1" x14ac:dyDescent="0.3">
      <c r="A511" s="13">
        <v>43909.708333333336</v>
      </c>
      <c r="B511" s="12" t="s">
        <v>22</v>
      </c>
      <c r="C511" s="82">
        <v>8</v>
      </c>
      <c r="D511" s="12" t="s">
        <v>95</v>
      </c>
      <c r="E511" s="82">
        <v>4449436681</v>
      </c>
      <c r="F511" s="82">
        <v>113417208</v>
      </c>
      <c r="G511" s="82">
        <v>1900</v>
      </c>
      <c r="H511" s="82">
        <v>260</v>
      </c>
      <c r="I511" s="82">
        <v>2160</v>
      </c>
      <c r="J511" s="82">
        <v>2346</v>
      </c>
      <c r="K511" s="82">
        <v>4506</v>
      </c>
      <c r="L511" s="82">
        <v>591</v>
      </c>
      <c r="M511" s="82">
        <v>689</v>
      </c>
      <c r="N511" s="82">
        <v>177</v>
      </c>
      <c r="O511" s="82">
        <v>531</v>
      </c>
      <c r="P511" s="82">
        <v>5214</v>
      </c>
      <c r="Q511" s="82">
        <v>18344</v>
      </c>
      <c r="R511" s="12" t="s">
        <v>25</v>
      </c>
      <c r="S511" s="12" t="s">
        <v>25</v>
      </c>
      <c r="T511" s="12" t="s">
        <v>25</v>
      </c>
    </row>
    <row r="512" spans="1:20" hidden="1" x14ac:dyDescent="0.3">
      <c r="A512" s="13">
        <v>43909.708333333336</v>
      </c>
      <c r="B512" s="12" t="s">
        <v>22</v>
      </c>
      <c r="C512" s="82">
        <v>6</v>
      </c>
      <c r="D512" s="12" t="s">
        <v>47</v>
      </c>
      <c r="E512" s="82">
        <v>456494354</v>
      </c>
      <c r="F512" s="82">
        <v>1376813649</v>
      </c>
      <c r="G512" s="82">
        <v>134</v>
      </c>
      <c r="H512" s="82">
        <v>29</v>
      </c>
      <c r="I512" s="82">
        <v>163</v>
      </c>
      <c r="J512" s="82">
        <v>359</v>
      </c>
      <c r="K512" s="82">
        <v>522</v>
      </c>
      <c r="L512" s="82">
        <v>106</v>
      </c>
      <c r="M512" s="82">
        <v>137</v>
      </c>
      <c r="N512" s="82">
        <v>41</v>
      </c>
      <c r="O512" s="82">
        <v>36</v>
      </c>
      <c r="P512" s="82">
        <v>599</v>
      </c>
      <c r="Q512" s="82">
        <v>4052</v>
      </c>
      <c r="R512" s="12" t="s">
        <v>25</v>
      </c>
      <c r="S512" s="12" t="s">
        <v>25</v>
      </c>
      <c r="T512" s="12" t="s">
        <v>25</v>
      </c>
    </row>
    <row r="513" spans="1:20" hidden="1" x14ac:dyDescent="0.3">
      <c r="A513" s="13">
        <v>43909.708333333336</v>
      </c>
      <c r="B513" s="12" t="s">
        <v>22</v>
      </c>
      <c r="C513" s="82">
        <v>12</v>
      </c>
      <c r="D513" s="12" t="s">
        <v>48</v>
      </c>
      <c r="E513" s="82">
        <v>4189277044</v>
      </c>
      <c r="F513" s="82">
        <v>1248366722</v>
      </c>
      <c r="G513" s="82">
        <v>426</v>
      </c>
      <c r="H513" s="82">
        <v>45</v>
      </c>
      <c r="I513" s="82">
        <v>471</v>
      </c>
      <c r="J513" s="82">
        <v>270</v>
      </c>
      <c r="K513" s="82">
        <v>741</v>
      </c>
      <c r="L513" s="82">
        <v>91</v>
      </c>
      <c r="M513" s="82">
        <v>99</v>
      </c>
      <c r="N513" s="82">
        <v>44</v>
      </c>
      <c r="O513" s="82">
        <v>38</v>
      </c>
      <c r="P513" s="82">
        <v>823</v>
      </c>
      <c r="Q513" s="82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82">
        <v>7</v>
      </c>
      <c r="D514" s="12" t="s">
        <v>49</v>
      </c>
      <c r="E514" s="82">
        <v>4441149315</v>
      </c>
      <c r="F514" s="82">
        <v>89326992</v>
      </c>
      <c r="G514" s="82">
        <v>491</v>
      </c>
      <c r="H514" s="82">
        <v>112</v>
      </c>
      <c r="I514" s="82">
        <v>603</v>
      </c>
      <c r="J514" s="82">
        <v>280</v>
      </c>
      <c r="K514" s="82">
        <v>883</v>
      </c>
      <c r="L514" s="82">
        <v>139</v>
      </c>
      <c r="M514" s="82">
        <v>172</v>
      </c>
      <c r="N514" s="82">
        <v>85</v>
      </c>
      <c r="O514" s="82">
        <v>91</v>
      </c>
      <c r="P514" s="82">
        <v>1059</v>
      </c>
      <c r="Q514" s="82">
        <v>3348</v>
      </c>
      <c r="R514" s="12" t="s">
        <v>25</v>
      </c>
      <c r="S514" s="12" t="s">
        <v>25</v>
      </c>
      <c r="T514" s="12" t="s">
        <v>25</v>
      </c>
    </row>
    <row r="515" spans="1:20" hidden="1" x14ac:dyDescent="0.3">
      <c r="A515" s="13">
        <v>43909.708333333336</v>
      </c>
      <c r="B515" s="12" t="s">
        <v>22</v>
      </c>
      <c r="C515" s="82">
        <v>3</v>
      </c>
      <c r="D515" s="12" t="s">
        <v>50</v>
      </c>
      <c r="E515" s="82">
        <v>4546679409</v>
      </c>
      <c r="F515" s="82">
        <v>9190347404</v>
      </c>
      <c r="G515" s="82">
        <v>7387</v>
      </c>
      <c r="H515" s="82">
        <v>1006</v>
      </c>
      <c r="I515" s="82">
        <v>8393</v>
      </c>
      <c r="J515" s="82">
        <v>5545</v>
      </c>
      <c r="K515" s="82">
        <v>13938</v>
      </c>
      <c r="L515" s="82">
        <v>1672</v>
      </c>
      <c r="M515" s="82">
        <v>2171</v>
      </c>
      <c r="N515" s="82">
        <v>3778</v>
      </c>
      <c r="O515" s="82">
        <v>2168</v>
      </c>
      <c r="P515" s="82">
        <v>19884</v>
      </c>
      <c r="Q515" s="82">
        <v>52244</v>
      </c>
      <c r="R515" s="12" t="s">
        <v>25</v>
      </c>
      <c r="S515" s="12" t="s">
        <v>25</v>
      </c>
      <c r="T515" s="12" t="s">
        <v>25</v>
      </c>
    </row>
    <row r="516" spans="1:20" hidden="1" x14ac:dyDescent="0.3">
      <c r="A516" s="13">
        <v>43909.708333333336</v>
      </c>
      <c r="B516" s="12" t="s">
        <v>22</v>
      </c>
      <c r="C516" s="82">
        <v>11</v>
      </c>
      <c r="D516" s="12" t="s">
        <v>51</v>
      </c>
      <c r="E516" s="82">
        <v>4361675973</v>
      </c>
      <c r="F516" s="82">
        <v>135188753</v>
      </c>
      <c r="G516" s="82">
        <v>656</v>
      </c>
      <c r="H516" s="82">
        <v>141</v>
      </c>
      <c r="I516" s="82">
        <v>797</v>
      </c>
      <c r="J516" s="82">
        <v>825</v>
      </c>
      <c r="K516" s="82">
        <v>1622</v>
      </c>
      <c r="L516" s="82">
        <v>146</v>
      </c>
      <c r="M516" s="82">
        <v>169</v>
      </c>
      <c r="N516" s="82">
        <v>0</v>
      </c>
      <c r="O516" s="82">
        <v>115</v>
      </c>
      <c r="P516" s="82">
        <v>1737</v>
      </c>
      <c r="Q516" s="82">
        <v>4512</v>
      </c>
      <c r="R516" s="12" t="s">
        <v>25</v>
      </c>
      <c r="S516" s="12" t="s">
        <v>25</v>
      </c>
      <c r="T516" s="12" t="s">
        <v>25</v>
      </c>
    </row>
    <row r="517" spans="1:20" hidden="1" x14ac:dyDescent="0.3">
      <c r="A517" s="13">
        <v>43909.708333333336</v>
      </c>
      <c r="B517" s="12" t="s">
        <v>22</v>
      </c>
      <c r="C517" s="82">
        <v>14</v>
      </c>
      <c r="D517" s="12" t="s">
        <v>52</v>
      </c>
      <c r="E517" s="82">
        <v>4155774754</v>
      </c>
      <c r="F517" s="82">
        <v>1465916051</v>
      </c>
      <c r="G517" s="82">
        <v>19</v>
      </c>
      <c r="H517" s="82">
        <v>6</v>
      </c>
      <c r="I517" s="82">
        <v>25</v>
      </c>
      <c r="J517" s="82">
        <v>13</v>
      </c>
      <c r="K517" s="82">
        <v>38</v>
      </c>
      <c r="L517" s="82">
        <v>17</v>
      </c>
      <c r="M517" s="82">
        <v>18</v>
      </c>
      <c r="N517" s="82">
        <v>6</v>
      </c>
      <c r="O517" s="82">
        <v>2</v>
      </c>
      <c r="P517" s="82">
        <v>46</v>
      </c>
      <c r="Q517" s="82">
        <v>426</v>
      </c>
      <c r="R517" s="12" t="s">
        <v>25</v>
      </c>
      <c r="S517" s="12" t="s">
        <v>25</v>
      </c>
      <c r="T517" s="12" t="s">
        <v>25</v>
      </c>
    </row>
    <row r="518" spans="1:20" hidden="1" x14ac:dyDescent="0.3">
      <c r="A518" s="13">
        <v>43909.708333333336</v>
      </c>
      <c r="B518" s="12" t="s">
        <v>22</v>
      </c>
      <c r="C518" s="82">
        <v>1</v>
      </c>
      <c r="D518" s="12" t="s">
        <v>53</v>
      </c>
      <c r="E518" s="82">
        <v>450732745</v>
      </c>
      <c r="F518" s="82">
        <v>7680687483</v>
      </c>
      <c r="G518" s="82">
        <v>2279</v>
      </c>
      <c r="H518" s="82">
        <v>257</v>
      </c>
      <c r="I518" s="82">
        <v>2536</v>
      </c>
      <c r="J518" s="82">
        <v>218</v>
      </c>
      <c r="K518" s="82">
        <v>2754</v>
      </c>
      <c r="L518" s="82">
        <v>567</v>
      </c>
      <c r="M518" s="82">
        <v>591</v>
      </c>
      <c r="N518" s="82">
        <v>3</v>
      </c>
      <c r="O518" s="82">
        <v>175</v>
      </c>
      <c r="P518" s="82">
        <v>2932</v>
      </c>
      <c r="Q518" s="82">
        <v>8853</v>
      </c>
      <c r="R518" s="12" t="s">
        <v>25</v>
      </c>
      <c r="S518" s="12" t="s">
        <v>25</v>
      </c>
      <c r="T518" s="12" t="s">
        <v>25</v>
      </c>
    </row>
    <row r="519" spans="1:20" hidden="1" x14ac:dyDescent="0.3">
      <c r="A519" s="13">
        <v>43909.708333333336</v>
      </c>
      <c r="B519" s="12" t="s">
        <v>22</v>
      </c>
      <c r="C519" s="82">
        <v>16</v>
      </c>
      <c r="D519" s="12" t="s">
        <v>54</v>
      </c>
      <c r="E519" s="82">
        <v>4112559576</v>
      </c>
      <c r="F519" s="82">
        <v>1686736689</v>
      </c>
      <c r="G519" s="82">
        <v>173</v>
      </c>
      <c r="H519" s="82">
        <v>31</v>
      </c>
      <c r="I519" s="82">
        <v>204</v>
      </c>
      <c r="J519" s="82">
        <v>245</v>
      </c>
      <c r="K519" s="82">
        <v>449</v>
      </c>
      <c r="L519" s="82">
        <v>87</v>
      </c>
      <c r="M519" s="82">
        <v>95</v>
      </c>
      <c r="N519" s="82">
        <v>4</v>
      </c>
      <c r="O519" s="82">
        <v>25</v>
      </c>
      <c r="P519" s="82">
        <v>478</v>
      </c>
      <c r="Q519" s="82">
        <v>4046</v>
      </c>
      <c r="R519" s="12" t="s">
        <v>25</v>
      </c>
      <c r="S519" s="12" t="s">
        <v>25</v>
      </c>
      <c r="T519" s="12" t="s">
        <v>25</v>
      </c>
    </row>
    <row r="520" spans="1:20" hidden="1" x14ac:dyDescent="0.3">
      <c r="A520" s="13">
        <v>43909.708333333336</v>
      </c>
      <c r="B520" s="12" t="s">
        <v>22</v>
      </c>
      <c r="C520" s="82">
        <v>20</v>
      </c>
      <c r="D520" s="12" t="s">
        <v>55</v>
      </c>
      <c r="E520" s="82">
        <v>3921531192</v>
      </c>
      <c r="F520" s="82">
        <v>9110616306</v>
      </c>
      <c r="G520" s="82">
        <v>43</v>
      </c>
      <c r="H520" s="82">
        <v>9</v>
      </c>
      <c r="I520" s="82">
        <v>52</v>
      </c>
      <c r="J520" s="82">
        <v>152</v>
      </c>
      <c r="K520" s="82">
        <v>204</v>
      </c>
      <c r="L520" s="82">
        <v>72</v>
      </c>
      <c r="M520" s="82">
        <v>72</v>
      </c>
      <c r="N520" s="82">
        <v>0</v>
      </c>
      <c r="O520" s="82">
        <v>2</v>
      </c>
      <c r="P520" s="82">
        <v>206</v>
      </c>
      <c r="Q520" s="82">
        <v>1334</v>
      </c>
      <c r="R520" s="12" t="s">
        <v>25</v>
      </c>
      <c r="S520" s="12" t="s">
        <v>25</v>
      </c>
      <c r="T520" s="12" t="s">
        <v>25</v>
      </c>
    </row>
    <row r="521" spans="1:20" hidden="1" x14ac:dyDescent="0.3">
      <c r="A521" s="13">
        <v>43909.708333333336</v>
      </c>
      <c r="B521" s="12" t="s">
        <v>22</v>
      </c>
      <c r="C521" s="82">
        <v>19</v>
      </c>
      <c r="D521" s="12" t="s">
        <v>56</v>
      </c>
      <c r="E521" s="82">
        <v>3811569725</v>
      </c>
      <c r="F521" s="82">
        <v>133623567</v>
      </c>
      <c r="G521" s="82">
        <v>143</v>
      </c>
      <c r="H521" s="82">
        <v>36</v>
      </c>
      <c r="I521" s="82">
        <v>179</v>
      </c>
      <c r="J521" s="82">
        <v>142</v>
      </c>
      <c r="K521" s="82">
        <v>321</v>
      </c>
      <c r="L521" s="82">
        <v>54</v>
      </c>
      <c r="M521" s="82">
        <v>58</v>
      </c>
      <c r="N521" s="82">
        <v>15</v>
      </c>
      <c r="O521" s="82">
        <v>4</v>
      </c>
      <c r="P521" s="82">
        <v>340</v>
      </c>
      <c r="Q521" s="82">
        <v>3961</v>
      </c>
      <c r="R521" s="12" t="s">
        <v>25</v>
      </c>
      <c r="S521" s="12" t="s">
        <v>25</v>
      </c>
      <c r="T521" s="12" t="s">
        <v>25</v>
      </c>
    </row>
    <row r="522" spans="1:20" hidden="1" x14ac:dyDescent="0.3">
      <c r="A522" s="13">
        <v>43909.708333333336</v>
      </c>
      <c r="B522" s="12" t="s">
        <v>22</v>
      </c>
      <c r="C522" s="82">
        <v>9</v>
      </c>
      <c r="D522" s="12" t="s">
        <v>57</v>
      </c>
      <c r="E522" s="82">
        <v>4376923077</v>
      </c>
      <c r="F522" s="82">
        <v>1125588885</v>
      </c>
      <c r="G522" s="82">
        <v>501</v>
      </c>
      <c r="H522" s="82">
        <v>178</v>
      </c>
      <c r="I522" s="82">
        <v>679</v>
      </c>
      <c r="J522" s="82">
        <v>743</v>
      </c>
      <c r="K522" s="82">
        <v>1422</v>
      </c>
      <c r="L522" s="82">
        <v>131</v>
      </c>
      <c r="M522" s="82">
        <v>152</v>
      </c>
      <c r="N522" s="82">
        <v>22</v>
      </c>
      <c r="O522" s="82">
        <v>38</v>
      </c>
      <c r="P522" s="82">
        <v>1482</v>
      </c>
      <c r="Q522" s="82">
        <v>8873</v>
      </c>
      <c r="R522" s="12" t="s">
        <v>25</v>
      </c>
      <c r="S522" s="12" t="s">
        <v>25</v>
      </c>
      <c r="T522" s="12" t="s">
        <v>25</v>
      </c>
    </row>
    <row r="523" spans="1:20" hidden="1" x14ac:dyDescent="0.3">
      <c r="A523" s="13">
        <v>43909.708333333336</v>
      </c>
      <c r="B523" s="12" t="s">
        <v>22</v>
      </c>
      <c r="C523" s="82">
        <v>22</v>
      </c>
      <c r="D523" s="12" t="s">
        <v>58</v>
      </c>
      <c r="E523" s="82">
        <v>4606893511</v>
      </c>
      <c r="F523" s="82">
        <v>1112123097</v>
      </c>
      <c r="G523" s="82">
        <v>169</v>
      </c>
      <c r="H523" s="82">
        <v>30</v>
      </c>
      <c r="I523" s="82">
        <v>199</v>
      </c>
      <c r="J523" s="82">
        <v>292</v>
      </c>
      <c r="K523" s="82">
        <v>491</v>
      </c>
      <c r="L523" s="82">
        <v>55</v>
      </c>
      <c r="M523" s="82">
        <v>68</v>
      </c>
      <c r="N523" s="82">
        <v>20</v>
      </c>
      <c r="O523" s="82">
        <v>12</v>
      </c>
      <c r="P523" s="82">
        <v>523</v>
      </c>
      <c r="Q523" s="82">
        <v>2203</v>
      </c>
      <c r="R523" s="12" t="s">
        <v>25</v>
      </c>
      <c r="S523" s="12" t="s">
        <v>25</v>
      </c>
      <c r="T523" s="12" t="s">
        <v>25</v>
      </c>
    </row>
    <row r="524" spans="1:20" hidden="1" x14ac:dyDescent="0.3">
      <c r="A524" s="13">
        <v>43909.708333333336</v>
      </c>
      <c r="B524" s="12" t="s">
        <v>22</v>
      </c>
      <c r="C524" s="82">
        <v>10</v>
      </c>
      <c r="D524" s="12" t="s">
        <v>59</v>
      </c>
      <c r="E524" s="82">
        <v>4310675841</v>
      </c>
      <c r="F524" s="82">
        <v>1238824698</v>
      </c>
      <c r="G524" s="82">
        <v>69</v>
      </c>
      <c r="H524" s="82">
        <v>21</v>
      </c>
      <c r="I524" s="82">
        <v>90</v>
      </c>
      <c r="J524" s="82">
        <v>238</v>
      </c>
      <c r="K524" s="82">
        <v>328</v>
      </c>
      <c r="L524" s="82">
        <v>87</v>
      </c>
      <c r="M524" s="82">
        <v>87</v>
      </c>
      <c r="N524" s="82">
        <v>4</v>
      </c>
      <c r="O524" s="82">
        <v>2</v>
      </c>
      <c r="P524" s="82">
        <v>334</v>
      </c>
      <c r="Q524" s="82">
        <v>1954</v>
      </c>
      <c r="R524" s="12" t="s">
        <v>25</v>
      </c>
      <c r="S524" s="12" t="s">
        <v>25</v>
      </c>
      <c r="T524" s="12" t="s">
        <v>25</v>
      </c>
    </row>
    <row r="525" spans="1:20" hidden="1" x14ac:dyDescent="0.3">
      <c r="A525" s="13">
        <v>43909.708333333336</v>
      </c>
      <c r="B525" s="12" t="s">
        <v>22</v>
      </c>
      <c r="C525" s="82">
        <v>2</v>
      </c>
      <c r="D525" s="12" t="s">
        <v>60</v>
      </c>
      <c r="E525" s="82">
        <v>4573750286</v>
      </c>
      <c r="F525" s="82">
        <v>7320149366</v>
      </c>
      <c r="G525" s="82">
        <v>47</v>
      </c>
      <c r="H525" s="82">
        <v>9</v>
      </c>
      <c r="I525" s="82">
        <v>56</v>
      </c>
      <c r="J525" s="82">
        <v>153</v>
      </c>
      <c r="K525" s="82">
        <v>209</v>
      </c>
      <c r="L525" s="82">
        <v>47</v>
      </c>
      <c r="M525" s="82">
        <v>50</v>
      </c>
      <c r="N525" s="82">
        <v>0</v>
      </c>
      <c r="O525" s="82">
        <v>6</v>
      </c>
      <c r="P525" s="82">
        <v>215</v>
      </c>
      <c r="Q525" s="82">
        <v>608</v>
      </c>
      <c r="R525" s="12" t="s">
        <v>25</v>
      </c>
      <c r="S525" s="12" t="s">
        <v>25</v>
      </c>
      <c r="T525" s="12" t="s">
        <v>25</v>
      </c>
    </row>
    <row r="526" spans="1:20" hidden="1" x14ac:dyDescent="0.3">
      <c r="A526" s="13">
        <v>43909.708333333336</v>
      </c>
      <c r="B526" s="12" t="s">
        <v>22</v>
      </c>
      <c r="C526" s="82">
        <v>5</v>
      </c>
      <c r="D526" s="12" t="s">
        <v>61</v>
      </c>
      <c r="E526" s="82">
        <v>4543490485</v>
      </c>
      <c r="F526" s="82">
        <v>1233845213</v>
      </c>
      <c r="G526" s="82">
        <v>771</v>
      </c>
      <c r="H526" s="82">
        <v>209</v>
      </c>
      <c r="I526" s="82">
        <v>980</v>
      </c>
      <c r="J526" s="82">
        <v>2189</v>
      </c>
      <c r="K526" s="82">
        <v>3169</v>
      </c>
      <c r="L526" s="82">
        <v>216</v>
      </c>
      <c r="M526" s="82">
        <v>270</v>
      </c>
      <c r="N526" s="82">
        <v>200</v>
      </c>
      <c r="O526" s="82">
        <v>115</v>
      </c>
      <c r="P526" s="82">
        <v>3484</v>
      </c>
      <c r="Q526" s="82">
        <v>44658</v>
      </c>
      <c r="R526" s="12" t="s">
        <v>25</v>
      </c>
      <c r="S526" s="12" t="s">
        <v>25</v>
      </c>
      <c r="T526" s="12" t="s">
        <v>25</v>
      </c>
    </row>
    <row r="527" spans="1:20" hidden="1" x14ac:dyDescent="0.3">
      <c r="A527" s="13">
        <v>43910.708333333336</v>
      </c>
      <c r="B527" s="12" t="s">
        <v>22</v>
      </c>
      <c r="C527" s="82">
        <v>13</v>
      </c>
      <c r="D527" s="12" t="s">
        <v>42</v>
      </c>
      <c r="E527" s="82">
        <v>4235122196</v>
      </c>
      <c r="F527" s="82">
        <v>1339843823</v>
      </c>
      <c r="G527" s="82">
        <v>190</v>
      </c>
      <c r="H527" s="82">
        <v>48</v>
      </c>
      <c r="I527" s="82">
        <v>238</v>
      </c>
      <c r="J527" s="82">
        <v>184</v>
      </c>
      <c r="K527" s="82">
        <v>422</v>
      </c>
      <c r="L527" s="82">
        <v>56</v>
      </c>
      <c r="M527" s="82">
        <v>64</v>
      </c>
      <c r="N527" s="82">
        <v>10</v>
      </c>
      <c r="O527" s="82">
        <v>17</v>
      </c>
      <c r="P527" s="82">
        <v>449</v>
      </c>
      <c r="Q527" s="82">
        <v>2695</v>
      </c>
      <c r="R527" s="12" t="s">
        <v>25</v>
      </c>
      <c r="S527" s="12" t="s">
        <v>25</v>
      </c>
      <c r="T527" s="12" t="s">
        <v>25</v>
      </c>
    </row>
    <row r="528" spans="1:20" hidden="1" x14ac:dyDescent="0.3">
      <c r="A528" s="13">
        <v>43910.708333333336</v>
      </c>
      <c r="B528" s="12" t="s">
        <v>22</v>
      </c>
      <c r="C528" s="82">
        <v>17</v>
      </c>
      <c r="D528" s="12" t="s">
        <v>43</v>
      </c>
      <c r="E528" s="82">
        <v>4063947052</v>
      </c>
      <c r="F528" s="82">
        <v>1580514834</v>
      </c>
      <c r="G528" s="82">
        <v>8</v>
      </c>
      <c r="H528" s="82">
        <v>5</v>
      </c>
      <c r="I528" s="82">
        <v>13</v>
      </c>
      <c r="J528" s="82">
        <v>39</v>
      </c>
      <c r="K528" s="82">
        <v>52</v>
      </c>
      <c r="L528" s="82">
        <v>15</v>
      </c>
      <c r="M528" s="82">
        <v>15</v>
      </c>
      <c r="N528" s="82">
        <v>0</v>
      </c>
      <c r="O528" s="82">
        <v>0</v>
      </c>
      <c r="P528" s="82">
        <v>52</v>
      </c>
      <c r="Q528" s="82">
        <v>443</v>
      </c>
      <c r="R528" s="12" t="s">
        <v>25</v>
      </c>
      <c r="S528" s="12" t="s">
        <v>25</v>
      </c>
      <c r="T528" s="12" t="s">
        <v>25</v>
      </c>
    </row>
    <row r="529" spans="1:20" hidden="1" x14ac:dyDescent="0.3">
      <c r="A529" s="13">
        <v>43910.708333333336</v>
      </c>
      <c r="B529" s="12" t="s">
        <v>22</v>
      </c>
      <c r="C529" s="82">
        <v>21</v>
      </c>
      <c r="D529" s="12" t="s">
        <v>44</v>
      </c>
      <c r="E529" s="82">
        <v>4649933453</v>
      </c>
      <c r="F529" s="82">
        <v>1135662422</v>
      </c>
      <c r="G529" s="82">
        <v>99</v>
      </c>
      <c r="H529" s="82">
        <v>24</v>
      </c>
      <c r="I529" s="82">
        <v>123</v>
      </c>
      <c r="J529" s="82">
        <v>407</v>
      </c>
      <c r="K529" s="82">
        <v>530</v>
      </c>
      <c r="L529" s="82">
        <v>109</v>
      </c>
      <c r="M529" s="82">
        <v>112</v>
      </c>
      <c r="N529" s="82">
        <v>1</v>
      </c>
      <c r="O529" s="82">
        <v>17</v>
      </c>
      <c r="P529" s="82">
        <v>548</v>
      </c>
      <c r="Q529" s="82">
        <v>4433</v>
      </c>
      <c r="R529" s="12" t="s">
        <v>25</v>
      </c>
      <c r="S529" s="12" t="s">
        <v>25</v>
      </c>
      <c r="T529" s="12" t="s">
        <v>25</v>
      </c>
    </row>
    <row r="530" spans="1:20" hidden="1" x14ac:dyDescent="0.3">
      <c r="A530" s="13">
        <v>43910.708333333336</v>
      </c>
      <c r="B530" s="12" t="s">
        <v>22</v>
      </c>
      <c r="C530" s="82">
        <v>18</v>
      </c>
      <c r="D530" s="12" t="s">
        <v>45</v>
      </c>
      <c r="E530" s="82">
        <v>3890597598</v>
      </c>
      <c r="F530" s="82">
        <v>1659440194</v>
      </c>
      <c r="G530" s="82">
        <v>71</v>
      </c>
      <c r="H530" s="82">
        <v>16</v>
      </c>
      <c r="I530" s="82">
        <v>87</v>
      </c>
      <c r="J530" s="82">
        <v>114</v>
      </c>
      <c r="K530" s="82">
        <v>201</v>
      </c>
      <c r="L530" s="82">
        <v>37</v>
      </c>
      <c r="M530" s="82">
        <v>38</v>
      </c>
      <c r="N530" s="82">
        <v>2</v>
      </c>
      <c r="O530" s="82">
        <v>4</v>
      </c>
      <c r="P530" s="82">
        <v>207</v>
      </c>
      <c r="Q530" s="82">
        <v>2690</v>
      </c>
      <c r="R530" s="12" t="s">
        <v>25</v>
      </c>
      <c r="S530" s="12" t="s">
        <v>25</v>
      </c>
      <c r="T530" s="12" t="s">
        <v>25</v>
      </c>
    </row>
    <row r="531" spans="1:20" hidden="1" x14ac:dyDescent="0.3">
      <c r="A531" s="13">
        <v>43910.708333333336</v>
      </c>
      <c r="B531" s="12" t="s">
        <v>22</v>
      </c>
      <c r="C531" s="82">
        <v>15</v>
      </c>
      <c r="D531" s="12" t="s">
        <v>46</v>
      </c>
      <c r="E531" s="82">
        <v>4083956555</v>
      </c>
      <c r="F531" s="82">
        <v>1425084984</v>
      </c>
      <c r="G531" s="82">
        <v>130</v>
      </c>
      <c r="H531" s="82">
        <v>41</v>
      </c>
      <c r="I531" s="82">
        <v>171</v>
      </c>
      <c r="J531" s="82">
        <v>531</v>
      </c>
      <c r="K531" s="82">
        <v>702</v>
      </c>
      <c r="L531" s="82">
        <v>97</v>
      </c>
      <c r="M531" s="82">
        <v>97</v>
      </c>
      <c r="N531" s="82">
        <v>30</v>
      </c>
      <c r="O531" s="82">
        <v>17</v>
      </c>
      <c r="P531" s="82">
        <v>749</v>
      </c>
      <c r="Q531" s="82">
        <v>3845</v>
      </c>
      <c r="R531" s="12" t="s">
        <v>25</v>
      </c>
      <c r="S531" s="12" t="s">
        <v>25</v>
      </c>
      <c r="T531" s="12" t="s">
        <v>25</v>
      </c>
    </row>
    <row r="532" spans="1:20" hidden="1" x14ac:dyDescent="0.3">
      <c r="A532" s="13">
        <v>43910.708333333336</v>
      </c>
      <c r="B532" s="12" t="s">
        <v>22</v>
      </c>
      <c r="C532" s="82">
        <v>8</v>
      </c>
      <c r="D532" s="12" t="s">
        <v>95</v>
      </c>
      <c r="E532" s="82">
        <v>4449436681</v>
      </c>
      <c r="F532" s="82">
        <v>113417208</v>
      </c>
      <c r="G532" s="82">
        <v>2083</v>
      </c>
      <c r="H532" s="82">
        <v>267</v>
      </c>
      <c r="I532" s="82">
        <v>2350</v>
      </c>
      <c r="J532" s="82">
        <v>2739</v>
      </c>
      <c r="K532" s="82">
        <v>5089</v>
      </c>
      <c r="L532" s="82">
        <v>583</v>
      </c>
      <c r="M532" s="82">
        <v>754</v>
      </c>
      <c r="N532" s="82">
        <v>239</v>
      </c>
      <c r="O532" s="82">
        <v>640</v>
      </c>
      <c r="P532" s="82">
        <v>5968</v>
      </c>
      <c r="Q532" s="82">
        <v>20753</v>
      </c>
      <c r="R532" s="12" t="s">
        <v>25</v>
      </c>
      <c r="S532" s="12" t="s">
        <v>25</v>
      </c>
      <c r="T532" s="12" t="s">
        <v>25</v>
      </c>
    </row>
    <row r="533" spans="1:20" hidden="1" x14ac:dyDescent="0.3">
      <c r="A533" s="13">
        <v>43910.708333333336</v>
      </c>
      <c r="B533" s="12" t="s">
        <v>22</v>
      </c>
      <c r="C533" s="82">
        <v>6</v>
      </c>
      <c r="D533" s="12" t="s">
        <v>47</v>
      </c>
      <c r="E533" s="82">
        <v>456494354</v>
      </c>
      <c r="F533" s="82">
        <v>1376813649</v>
      </c>
      <c r="G533" s="82">
        <v>143</v>
      </c>
      <c r="H533" s="82">
        <v>32</v>
      </c>
      <c r="I533" s="82">
        <v>175</v>
      </c>
      <c r="J533" s="82">
        <v>380</v>
      </c>
      <c r="K533" s="82">
        <v>555</v>
      </c>
      <c r="L533" s="82">
        <v>33</v>
      </c>
      <c r="M533" s="82">
        <v>57</v>
      </c>
      <c r="N533" s="82">
        <v>63</v>
      </c>
      <c r="O533" s="82">
        <v>38</v>
      </c>
      <c r="P533" s="82">
        <v>656</v>
      </c>
      <c r="Q533" s="82">
        <v>4964</v>
      </c>
      <c r="R533" s="12" t="s">
        <v>25</v>
      </c>
      <c r="S533" s="12" t="s">
        <v>25</v>
      </c>
      <c r="T533" s="12" t="s">
        <v>25</v>
      </c>
    </row>
    <row r="534" spans="1:20" hidden="1" x14ac:dyDescent="0.3">
      <c r="A534" s="13">
        <v>43910.708333333336</v>
      </c>
      <c r="B534" s="12" t="s">
        <v>22</v>
      </c>
      <c r="C534" s="82">
        <v>12</v>
      </c>
      <c r="D534" s="12" t="s">
        <v>48</v>
      </c>
      <c r="E534" s="82">
        <v>4189277044</v>
      </c>
      <c r="F534" s="82">
        <v>1248366722</v>
      </c>
      <c r="G534" s="82">
        <v>537</v>
      </c>
      <c r="H534" s="82">
        <v>47</v>
      </c>
      <c r="I534" s="82">
        <v>584</v>
      </c>
      <c r="J534" s="82">
        <v>328</v>
      </c>
      <c r="K534" s="82">
        <v>912</v>
      </c>
      <c r="L534" s="82">
        <v>171</v>
      </c>
      <c r="M534" s="82">
        <v>185</v>
      </c>
      <c r="N534" s="82">
        <v>53</v>
      </c>
      <c r="O534" s="82">
        <v>43</v>
      </c>
      <c r="P534" s="82">
        <v>1008</v>
      </c>
      <c r="Q534" s="82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82">
        <v>7</v>
      </c>
      <c r="D535" s="12" t="s">
        <v>49</v>
      </c>
      <c r="E535" s="82">
        <v>4441149315</v>
      </c>
      <c r="F535" s="82">
        <v>89326992</v>
      </c>
      <c r="G535" s="82">
        <v>573</v>
      </c>
      <c r="H535" s="82">
        <v>121</v>
      </c>
      <c r="I535" s="82">
        <v>694</v>
      </c>
      <c r="J535" s="82">
        <v>307</v>
      </c>
      <c r="K535" s="82">
        <v>1001</v>
      </c>
      <c r="L535" s="82">
        <v>118</v>
      </c>
      <c r="M535" s="82">
        <v>162</v>
      </c>
      <c r="N535" s="82">
        <v>101</v>
      </c>
      <c r="O535" s="82">
        <v>119</v>
      </c>
      <c r="P535" s="82">
        <v>1221</v>
      </c>
      <c r="Q535" s="82">
        <v>3794</v>
      </c>
      <c r="R535" s="12" t="s">
        <v>25</v>
      </c>
      <c r="S535" s="12" t="s">
        <v>25</v>
      </c>
      <c r="T535" s="12" t="s">
        <v>25</v>
      </c>
    </row>
    <row r="536" spans="1:20" hidden="1" x14ac:dyDescent="0.3">
      <c r="A536" s="13">
        <v>43910.708333333336</v>
      </c>
      <c r="B536" s="12" t="s">
        <v>22</v>
      </c>
      <c r="C536" s="82">
        <v>3</v>
      </c>
      <c r="D536" s="12" t="s">
        <v>50</v>
      </c>
      <c r="E536" s="82">
        <v>4546679409</v>
      </c>
      <c r="F536" s="82">
        <v>9190347404</v>
      </c>
      <c r="G536" s="82">
        <v>7735</v>
      </c>
      <c r="H536" s="82">
        <v>1050</v>
      </c>
      <c r="I536" s="82">
        <v>8785</v>
      </c>
      <c r="J536" s="82">
        <v>6635</v>
      </c>
      <c r="K536" s="82">
        <v>15420</v>
      </c>
      <c r="L536" s="82">
        <v>1482</v>
      </c>
      <c r="M536" s="82">
        <v>2380</v>
      </c>
      <c r="N536" s="82">
        <v>4295</v>
      </c>
      <c r="O536" s="82">
        <v>2549</v>
      </c>
      <c r="P536" s="82">
        <v>22264</v>
      </c>
      <c r="Q536" s="82">
        <v>57174</v>
      </c>
      <c r="R536" s="12" t="s">
        <v>25</v>
      </c>
      <c r="S536" s="12" t="s">
        <v>25</v>
      </c>
      <c r="T536" s="12" t="s">
        <v>25</v>
      </c>
    </row>
    <row r="537" spans="1:20" hidden="1" x14ac:dyDescent="0.3">
      <c r="A537" s="13">
        <v>43910.708333333336</v>
      </c>
      <c r="B537" s="12" t="s">
        <v>22</v>
      </c>
      <c r="C537" s="82">
        <v>11</v>
      </c>
      <c r="D537" s="12" t="s">
        <v>51</v>
      </c>
      <c r="E537" s="82">
        <v>4361675973</v>
      </c>
      <c r="F537" s="82">
        <v>135188753</v>
      </c>
      <c r="G537" s="82">
        <v>704</v>
      </c>
      <c r="H537" s="82">
        <v>138</v>
      </c>
      <c r="I537" s="82">
        <v>842</v>
      </c>
      <c r="J537" s="82">
        <v>1002</v>
      </c>
      <c r="K537" s="82">
        <v>1844</v>
      </c>
      <c r="L537" s="82">
        <v>222</v>
      </c>
      <c r="M537" s="82">
        <v>244</v>
      </c>
      <c r="N537" s="82">
        <v>0</v>
      </c>
      <c r="O537" s="82">
        <v>137</v>
      </c>
      <c r="P537" s="82">
        <v>1981</v>
      </c>
      <c r="Q537" s="82">
        <v>5170</v>
      </c>
      <c r="R537" s="12" t="s">
        <v>25</v>
      </c>
      <c r="S537" s="12" t="s">
        <v>25</v>
      </c>
      <c r="T537" s="12" t="s">
        <v>25</v>
      </c>
    </row>
    <row r="538" spans="1:20" hidden="1" x14ac:dyDescent="0.3">
      <c r="A538" s="13">
        <v>43910.708333333336</v>
      </c>
      <c r="B538" s="12" t="s">
        <v>22</v>
      </c>
      <c r="C538" s="82">
        <v>14</v>
      </c>
      <c r="D538" s="12" t="s">
        <v>52</v>
      </c>
      <c r="E538" s="82">
        <v>4155774754</v>
      </c>
      <c r="F538" s="82">
        <v>1465916051</v>
      </c>
      <c r="G538" s="82">
        <v>20</v>
      </c>
      <c r="H538" s="82">
        <v>6</v>
      </c>
      <c r="I538" s="82">
        <v>26</v>
      </c>
      <c r="J538" s="82">
        <v>13</v>
      </c>
      <c r="K538" s="82">
        <v>39</v>
      </c>
      <c r="L538" s="82">
        <v>1</v>
      </c>
      <c r="M538" s="82">
        <v>4</v>
      </c>
      <c r="N538" s="82">
        <v>6</v>
      </c>
      <c r="O538" s="82">
        <v>5</v>
      </c>
      <c r="P538" s="82">
        <v>50</v>
      </c>
      <c r="Q538" s="82">
        <v>426</v>
      </c>
      <c r="R538" s="12" t="s">
        <v>25</v>
      </c>
      <c r="S538" s="12" t="s">
        <v>25</v>
      </c>
      <c r="T538" s="12" t="s">
        <v>25</v>
      </c>
    </row>
    <row r="539" spans="1:20" hidden="1" x14ac:dyDescent="0.3">
      <c r="A539" s="13">
        <v>43910.708333333336</v>
      </c>
      <c r="B539" s="12" t="s">
        <v>22</v>
      </c>
      <c r="C539" s="82">
        <v>1</v>
      </c>
      <c r="D539" s="12" t="s">
        <v>53</v>
      </c>
      <c r="E539" s="82">
        <v>450732745</v>
      </c>
      <c r="F539" s="82">
        <v>7680687483</v>
      </c>
      <c r="G539" s="82">
        <v>1541</v>
      </c>
      <c r="H539" s="82">
        <v>280</v>
      </c>
      <c r="I539" s="82">
        <v>1821</v>
      </c>
      <c r="J539" s="82">
        <v>1423</v>
      </c>
      <c r="K539" s="82">
        <v>3244</v>
      </c>
      <c r="L539" s="82">
        <v>490</v>
      </c>
      <c r="M539" s="82">
        <v>529</v>
      </c>
      <c r="N539" s="82">
        <v>8</v>
      </c>
      <c r="O539" s="82">
        <v>209</v>
      </c>
      <c r="P539" s="82">
        <v>3461</v>
      </c>
      <c r="Q539" s="82">
        <v>9975</v>
      </c>
      <c r="R539" s="12" t="s">
        <v>25</v>
      </c>
      <c r="S539" s="12" t="s">
        <v>25</v>
      </c>
      <c r="T539" s="12" t="s">
        <v>25</v>
      </c>
    </row>
    <row r="540" spans="1:20" hidden="1" x14ac:dyDescent="0.3">
      <c r="A540" s="13">
        <v>43910.708333333336</v>
      </c>
      <c r="B540" s="12" t="s">
        <v>22</v>
      </c>
      <c r="C540" s="82">
        <v>16</v>
      </c>
      <c r="D540" s="12" t="s">
        <v>54</v>
      </c>
      <c r="E540" s="82">
        <v>4112559576</v>
      </c>
      <c r="F540" s="82">
        <v>1686736689</v>
      </c>
      <c r="G540" s="82">
        <v>191</v>
      </c>
      <c r="H540" s="82">
        <v>31</v>
      </c>
      <c r="I540" s="82">
        <v>222</v>
      </c>
      <c r="J540" s="82">
        <v>329</v>
      </c>
      <c r="K540" s="82">
        <v>551</v>
      </c>
      <c r="L540" s="82">
        <v>102</v>
      </c>
      <c r="M540" s="82">
        <v>103</v>
      </c>
      <c r="N540" s="82">
        <v>4</v>
      </c>
      <c r="O540" s="82">
        <v>26</v>
      </c>
      <c r="P540" s="82">
        <v>581</v>
      </c>
      <c r="Q540" s="82">
        <v>4789</v>
      </c>
      <c r="R540" s="12" t="s">
        <v>25</v>
      </c>
      <c r="S540" s="12" t="s">
        <v>25</v>
      </c>
      <c r="T540" s="12" t="s">
        <v>25</v>
      </c>
    </row>
    <row r="541" spans="1:20" hidden="1" x14ac:dyDescent="0.3">
      <c r="A541" s="13">
        <v>43910.708333333336</v>
      </c>
      <c r="B541" s="12" t="s">
        <v>22</v>
      </c>
      <c r="C541" s="82">
        <v>20</v>
      </c>
      <c r="D541" s="12" t="s">
        <v>55</v>
      </c>
      <c r="E541" s="82">
        <v>3921531192</v>
      </c>
      <c r="F541" s="82">
        <v>9110616306</v>
      </c>
      <c r="G541" s="82">
        <v>56</v>
      </c>
      <c r="H541" s="82">
        <v>15</v>
      </c>
      <c r="I541" s="82">
        <v>71</v>
      </c>
      <c r="J541" s="82">
        <v>217</v>
      </c>
      <c r="K541" s="82">
        <v>288</v>
      </c>
      <c r="L541" s="82">
        <v>84</v>
      </c>
      <c r="M541" s="82">
        <v>87</v>
      </c>
      <c r="N541" s="82">
        <v>3</v>
      </c>
      <c r="O541" s="82">
        <v>2</v>
      </c>
      <c r="P541" s="82">
        <v>293</v>
      </c>
      <c r="Q541" s="82">
        <v>1912</v>
      </c>
      <c r="R541" s="12" t="s">
        <v>25</v>
      </c>
      <c r="S541" s="12" t="s">
        <v>25</v>
      </c>
      <c r="T541" s="12" t="s">
        <v>25</v>
      </c>
    </row>
    <row r="542" spans="1:20" hidden="1" x14ac:dyDescent="0.3">
      <c r="A542" s="13">
        <v>43910.708333333336</v>
      </c>
      <c r="B542" s="12" t="s">
        <v>22</v>
      </c>
      <c r="C542" s="82">
        <v>19</v>
      </c>
      <c r="D542" s="12" t="s">
        <v>56</v>
      </c>
      <c r="E542" s="82">
        <v>3811569725</v>
      </c>
      <c r="F542" s="82">
        <v>133623567</v>
      </c>
      <c r="G542" s="82">
        <v>168</v>
      </c>
      <c r="H542" s="82">
        <v>42</v>
      </c>
      <c r="I542" s="82">
        <v>210</v>
      </c>
      <c r="J542" s="82">
        <v>169</v>
      </c>
      <c r="K542" s="82">
        <v>379</v>
      </c>
      <c r="L542" s="82">
        <v>58</v>
      </c>
      <c r="M542" s="82">
        <v>68</v>
      </c>
      <c r="N542" s="82">
        <v>25</v>
      </c>
      <c r="O542" s="82">
        <v>4</v>
      </c>
      <c r="P542" s="82">
        <v>408</v>
      </c>
      <c r="Q542" s="82">
        <v>4468</v>
      </c>
      <c r="R542" s="12" t="s">
        <v>25</v>
      </c>
      <c r="S542" s="12" t="s">
        <v>25</v>
      </c>
      <c r="T542" s="12" t="s">
        <v>25</v>
      </c>
    </row>
    <row r="543" spans="1:20" hidden="1" x14ac:dyDescent="0.3">
      <c r="A543" s="13">
        <v>43910.708333333336</v>
      </c>
      <c r="B543" s="12" t="s">
        <v>22</v>
      </c>
      <c r="C543" s="82">
        <v>9</v>
      </c>
      <c r="D543" s="12" t="s">
        <v>57</v>
      </c>
      <c r="E543" s="82">
        <v>4376923077</v>
      </c>
      <c r="F543" s="82">
        <v>1125588885</v>
      </c>
      <c r="G543" s="82">
        <v>601</v>
      </c>
      <c r="H543" s="82">
        <v>189</v>
      </c>
      <c r="I543" s="82">
        <v>790</v>
      </c>
      <c r="J543" s="82">
        <v>923</v>
      </c>
      <c r="K543" s="82">
        <v>1713</v>
      </c>
      <c r="L543" s="82">
        <v>291</v>
      </c>
      <c r="M543" s="82">
        <v>311</v>
      </c>
      <c r="N543" s="82">
        <v>33</v>
      </c>
      <c r="O543" s="82">
        <v>47</v>
      </c>
      <c r="P543" s="82">
        <v>1793</v>
      </c>
      <c r="Q543" s="82">
        <v>10405</v>
      </c>
      <c r="R543" s="12" t="s">
        <v>25</v>
      </c>
      <c r="S543" s="12" t="s">
        <v>25</v>
      </c>
      <c r="T543" s="12" t="s">
        <v>25</v>
      </c>
    </row>
    <row r="544" spans="1:20" hidden="1" x14ac:dyDescent="0.3">
      <c r="A544" s="13">
        <v>43910.708333333336</v>
      </c>
      <c r="B544" s="12" t="s">
        <v>22</v>
      </c>
      <c r="C544" s="82">
        <v>22</v>
      </c>
      <c r="D544" s="12" t="s">
        <v>58</v>
      </c>
      <c r="E544" s="82">
        <v>4606893511</v>
      </c>
      <c r="F544" s="82">
        <v>1112123097</v>
      </c>
      <c r="G544" s="82">
        <v>198</v>
      </c>
      <c r="H544" s="82">
        <v>34</v>
      </c>
      <c r="I544" s="82">
        <v>232</v>
      </c>
      <c r="J544" s="82">
        <v>368</v>
      </c>
      <c r="K544" s="82">
        <v>600</v>
      </c>
      <c r="L544" s="82">
        <v>109</v>
      </c>
      <c r="M544" s="82">
        <v>119</v>
      </c>
      <c r="N544" s="82">
        <v>29</v>
      </c>
      <c r="O544" s="82">
        <v>13</v>
      </c>
      <c r="P544" s="82">
        <v>642</v>
      </c>
      <c r="Q544" s="82">
        <v>2656</v>
      </c>
      <c r="R544" s="12" t="s">
        <v>25</v>
      </c>
      <c r="S544" s="12" t="s">
        <v>25</v>
      </c>
      <c r="T544" s="12" t="s">
        <v>25</v>
      </c>
    </row>
    <row r="545" spans="1:20" hidden="1" x14ac:dyDescent="0.3">
      <c r="A545" s="13">
        <v>43910.708333333336</v>
      </c>
      <c r="B545" s="12" t="s">
        <v>22</v>
      </c>
      <c r="C545" s="82">
        <v>10</v>
      </c>
      <c r="D545" s="12" t="s">
        <v>59</v>
      </c>
      <c r="E545" s="82">
        <v>4310675841</v>
      </c>
      <c r="F545" s="82">
        <v>1238824698</v>
      </c>
      <c r="G545" s="82">
        <v>75</v>
      </c>
      <c r="H545" s="82">
        <v>24</v>
      </c>
      <c r="I545" s="82">
        <v>99</v>
      </c>
      <c r="J545" s="82">
        <v>285</v>
      </c>
      <c r="K545" s="82">
        <v>384</v>
      </c>
      <c r="L545" s="82">
        <v>56</v>
      </c>
      <c r="M545" s="82">
        <v>61</v>
      </c>
      <c r="N545" s="82">
        <v>4</v>
      </c>
      <c r="O545" s="82">
        <v>7</v>
      </c>
      <c r="P545" s="82">
        <v>395</v>
      </c>
      <c r="Q545" s="82">
        <v>2303</v>
      </c>
      <c r="R545" s="12" t="s">
        <v>25</v>
      </c>
      <c r="S545" s="12" t="s">
        <v>25</v>
      </c>
      <c r="T545" s="12" t="s">
        <v>25</v>
      </c>
    </row>
    <row r="546" spans="1:20" hidden="1" x14ac:dyDescent="0.3">
      <c r="A546" s="13">
        <v>43910.708333333336</v>
      </c>
      <c r="B546" s="12" t="s">
        <v>22</v>
      </c>
      <c r="C546" s="82">
        <v>2</v>
      </c>
      <c r="D546" s="12" t="s">
        <v>60</v>
      </c>
      <c r="E546" s="82">
        <v>4573750286</v>
      </c>
      <c r="F546" s="82">
        <v>7320149366</v>
      </c>
      <c r="G546" s="82">
        <v>54</v>
      </c>
      <c r="H546" s="82">
        <v>9</v>
      </c>
      <c r="I546" s="82">
        <v>63</v>
      </c>
      <c r="J546" s="82">
        <v>194</v>
      </c>
      <c r="K546" s="82">
        <v>257</v>
      </c>
      <c r="L546" s="82">
        <v>48</v>
      </c>
      <c r="M546" s="82">
        <v>49</v>
      </c>
      <c r="N546" s="82">
        <v>0</v>
      </c>
      <c r="O546" s="82">
        <v>7</v>
      </c>
      <c r="P546" s="82">
        <v>264</v>
      </c>
      <c r="Q546" s="82">
        <v>814</v>
      </c>
      <c r="R546" s="12" t="s">
        <v>25</v>
      </c>
      <c r="S546" s="12" t="s">
        <v>25</v>
      </c>
      <c r="T546" s="12" t="s">
        <v>25</v>
      </c>
    </row>
    <row r="547" spans="1:20" hidden="1" x14ac:dyDescent="0.3">
      <c r="A547" s="13">
        <v>43910.708333333336</v>
      </c>
      <c r="B547" s="12" t="s">
        <v>22</v>
      </c>
      <c r="C547" s="82">
        <v>5</v>
      </c>
      <c r="D547" s="12" t="s">
        <v>61</v>
      </c>
      <c r="E547" s="82">
        <v>4543490485</v>
      </c>
      <c r="F547" s="82">
        <v>1233845213</v>
      </c>
      <c r="G547" s="82">
        <v>843</v>
      </c>
      <c r="H547" s="82">
        <v>236</v>
      </c>
      <c r="I547" s="82">
        <v>1079</v>
      </c>
      <c r="J547" s="82">
        <v>2598</v>
      </c>
      <c r="K547" s="82">
        <v>3677</v>
      </c>
      <c r="L547" s="82">
        <v>508</v>
      </c>
      <c r="M547" s="82">
        <v>547</v>
      </c>
      <c r="N547" s="82">
        <v>223</v>
      </c>
      <c r="O547" s="82">
        <v>131</v>
      </c>
      <c r="P547" s="82">
        <v>4031</v>
      </c>
      <c r="Q547" s="82">
        <v>49288</v>
      </c>
      <c r="R547" s="12" t="s">
        <v>25</v>
      </c>
      <c r="S547" s="12" t="s">
        <v>25</v>
      </c>
      <c r="T547" s="12" t="s">
        <v>25</v>
      </c>
    </row>
    <row r="548" spans="1:20" hidden="1" x14ac:dyDescent="0.3">
      <c r="A548" s="13">
        <v>43911.708333333336</v>
      </c>
      <c r="B548" s="12" t="s">
        <v>22</v>
      </c>
      <c r="C548" s="82">
        <v>13</v>
      </c>
      <c r="D548" s="12" t="s">
        <v>42</v>
      </c>
      <c r="E548" s="82">
        <v>4235122196</v>
      </c>
      <c r="F548" s="82">
        <v>1339843823</v>
      </c>
      <c r="G548" s="82">
        <v>185</v>
      </c>
      <c r="H548" s="82">
        <v>44</v>
      </c>
      <c r="I548" s="82">
        <v>229</v>
      </c>
      <c r="J548" s="82">
        <v>265</v>
      </c>
      <c r="K548" s="82">
        <v>494</v>
      </c>
      <c r="L548" s="82">
        <v>72</v>
      </c>
      <c r="M548" s="82">
        <v>80</v>
      </c>
      <c r="N548" s="82">
        <v>13</v>
      </c>
      <c r="O548" s="82">
        <v>22</v>
      </c>
      <c r="P548" s="82">
        <v>529</v>
      </c>
      <c r="Q548" s="82">
        <v>3035</v>
      </c>
      <c r="R548" s="12" t="s">
        <v>25</v>
      </c>
      <c r="S548" s="12" t="s">
        <v>25</v>
      </c>
      <c r="T548" s="12" t="s">
        <v>25</v>
      </c>
    </row>
    <row r="549" spans="1:20" hidden="1" x14ac:dyDescent="0.3">
      <c r="A549" s="13">
        <v>43911.708333333336</v>
      </c>
      <c r="B549" s="12" t="s">
        <v>22</v>
      </c>
      <c r="C549" s="82">
        <v>17</v>
      </c>
      <c r="D549" s="12" t="s">
        <v>43</v>
      </c>
      <c r="E549" s="82">
        <v>4063947052</v>
      </c>
      <c r="F549" s="82">
        <v>1580514834</v>
      </c>
      <c r="G549" s="82">
        <v>12</v>
      </c>
      <c r="H549" s="82">
        <v>7</v>
      </c>
      <c r="I549" s="82">
        <v>19</v>
      </c>
      <c r="J549" s="82">
        <v>47</v>
      </c>
      <c r="K549" s="82">
        <v>66</v>
      </c>
      <c r="L549" s="82">
        <v>14</v>
      </c>
      <c r="M549" s="82">
        <v>14</v>
      </c>
      <c r="N549" s="82">
        <v>0</v>
      </c>
      <c r="O549" s="82">
        <v>0</v>
      </c>
      <c r="P549" s="82">
        <v>66</v>
      </c>
      <c r="Q549" s="82">
        <v>522</v>
      </c>
      <c r="R549" s="12" t="s">
        <v>25</v>
      </c>
      <c r="S549" s="12" t="s">
        <v>25</v>
      </c>
      <c r="T549" s="12" t="s">
        <v>25</v>
      </c>
    </row>
    <row r="550" spans="1:20" hidden="1" x14ac:dyDescent="0.3">
      <c r="A550" s="13">
        <v>43911.708333333336</v>
      </c>
      <c r="B550" s="12" t="s">
        <v>22</v>
      </c>
      <c r="C550" s="82">
        <v>21</v>
      </c>
      <c r="D550" s="12" t="s">
        <v>44</v>
      </c>
      <c r="E550" s="82">
        <v>4649933453</v>
      </c>
      <c r="F550" s="82">
        <v>1135662422</v>
      </c>
      <c r="G550" s="82">
        <v>127</v>
      </c>
      <c r="H550" s="82">
        <v>30</v>
      </c>
      <c r="I550" s="82">
        <v>157</v>
      </c>
      <c r="J550" s="82">
        <v>443</v>
      </c>
      <c r="K550" s="82">
        <v>600</v>
      </c>
      <c r="L550" s="82">
        <v>70</v>
      </c>
      <c r="M550" s="82">
        <v>73</v>
      </c>
      <c r="N550" s="82">
        <v>1</v>
      </c>
      <c r="O550" s="82">
        <v>20</v>
      </c>
      <c r="P550" s="82">
        <v>621</v>
      </c>
      <c r="Q550" s="82">
        <v>5179</v>
      </c>
      <c r="R550" s="12" t="s">
        <v>25</v>
      </c>
      <c r="S550" s="12" t="s">
        <v>25</v>
      </c>
      <c r="T550" s="12" t="s">
        <v>25</v>
      </c>
    </row>
    <row r="551" spans="1:20" hidden="1" x14ac:dyDescent="0.3">
      <c r="A551" s="13">
        <v>43911.708333333336</v>
      </c>
      <c r="B551" s="12" t="s">
        <v>22</v>
      </c>
      <c r="C551" s="82">
        <v>18</v>
      </c>
      <c r="D551" s="12" t="s">
        <v>45</v>
      </c>
      <c r="E551" s="82">
        <v>3890597598</v>
      </c>
      <c r="F551" s="82">
        <v>1659440194</v>
      </c>
      <c r="G551" s="82">
        <v>73</v>
      </c>
      <c r="H551" s="82">
        <v>16</v>
      </c>
      <c r="I551" s="82">
        <v>89</v>
      </c>
      <c r="J551" s="82">
        <v>136</v>
      </c>
      <c r="K551" s="82">
        <v>225</v>
      </c>
      <c r="L551" s="82">
        <v>24</v>
      </c>
      <c r="M551" s="82">
        <v>28</v>
      </c>
      <c r="N551" s="82">
        <v>5</v>
      </c>
      <c r="O551" s="82">
        <v>5</v>
      </c>
      <c r="P551" s="82">
        <v>235</v>
      </c>
      <c r="Q551" s="82">
        <v>3050</v>
      </c>
      <c r="R551" s="12" t="s">
        <v>25</v>
      </c>
      <c r="S551" s="12" t="s">
        <v>25</v>
      </c>
      <c r="T551" s="12" t="s">
        <v>25</v>
      </c>
    </row>
    <row r="552" spans="1:20" hidden="1" x14ac:dyDescent="0.3">
      <c r="A552" s="13">
        <v>43911.708333333336</v>
      </c>
      <c r="B552" s="12" t="s">
        <v>22</v>
      </c>
      <c r="C552" s="82">
        <v>15</v>
      </c>
      <c r="D552" s="12" t="s">
        <v>46</v>
      </c>
      <c r="E552" s="82">
        <v>4083956555</v>
      </c>
      <c r="F552" s="82">
        <v>1425084984</v>
      </c>
      <c r="G552" s="82">
        <v>233</v>
      </c>
      <c r="H552" s="82">
        <v>87</v>
      </c>
      <c r="I552" s="82">
        <v>320</v>
      </c>
      <c r="J552" s="82">
        <v>473</v>
      </c>
      <c r="K552" s="82">
        <v>793</v>
      </c>
      <c r="L552" s="82">
        <v>91</v>
      </c>
      <c r="M552" s="82">
        <v>95</v>
      </c>
      <c r="N552" s="82">
        <v>29</v>
      </c>
      <c r="O552" s="82">
        <v>22</v>
      </c>
      <c r="P552" s="82">
        <v>844</v>
      </c>
      <c r="Q552" s="82">
        <v>4448</v>
      </c>
      <c r="R552" s="12" t="s">
        <v>25</v>
      </c>
      <c r="S552" s="12" t="s">
        <v>25</v>
      </c>
      <c r="T552" s="12" t="s">
        <v>25</v>
      </c>
    </row>
    <row r="553" spans="1:20" hidden="1" x14ac:dyDescent="0.3">
      <c r="A553" s="13">
        <v>43911.708333333336</v>
      </c>
      <c r="B553" s="12" t="s">
        <v>22</v>
      </c>
      <c r="C553" s="82">
        <v>8</v>
      </c>
      <c r="D553" s="12" t="s">
        <v>95</v>
      </c>
      <c r="E553" s="82">
        <v>4449436681</v>
      </c>
      <c r="F553" s="82">
        <v>113417208</v>
      </c>
      <c r="G553" s="82">
        <v>2267</v>
      </c>
      <c r="H553" s="82">
        <v>265</v>
      </c>
      <c r="I553" s="82">
        <v>2532</v>
      </c>
      <c r="J553" s="82">
        <v>3129</v>
      </c>
      <c r="K553" s="82">
        <v>5661</v>
      </c>
      <c r="L553" s="82">
        <v>572</v>
      </c>
      <c r="M553" s="82">
        <v>737</v>
      </c>
      <c r="N553" s="82">
        <v>329</v>
      </c>
      <c r="O553" s="82">
        <v>715</v>
      </c>
      <c r="P553" s="82">
        <v>6705</v>
      </c>
      <c r="Q553" s="82">
        <v>24620</v>
      </c>
      <c r="R553" s="12" t="s">
        <v>25</v>
      </c>
      <c r="S553" s="12" t="s">
        <v>25</v>
      </c>
      <c r="T553" s="12" t="s">
        <v>25</v>
      </c>
    </row>
    <row r="554" spans="1:20" hidden="1" x14ac:dyDescent="0.3">
      <c r="A554" s="13">
        <v>43911.708333333336</v>
      </c>
      <c r="B554" s="12" t="s">
        <v>22</v>
      </c>
      <c r="C554" s="82">
        <v>6</v>
      </c>
      <c r="D554" s="12" t="s">
        <v>47</v>
      </c>
      <c r="E554" s="82">
        <v>456494354</v>
      </c>
      <c r="F554" s="82">
        <v>1376813649</v>
      </c>
      <c r="G554" s="82">
        <v>152</v>
      </c>
      <c r="H554" s="82">
        <v>37</v>
      </c>
      <c r="I554" s="82">
        <v>189</v>
      </c>
      <c r="J554" s="82">
        <v>477</v>
      </c>
      <c r="K554" s="82">
        <v>666</v>
      </c>
      <c r="L554" s="82">
        <v>111</v>
      </c>
      <c r="M554" s="82">
        <v>134</v>
      </c>
      <c r="N554" s="82">
        <v>82</v>
      </c>
      <c r="O554" s="82">
        <v>42</v>
      </c>
      <c r="P554" s="82">
        <v>790</v>
      </c>
      <c r="Q554" s="82">
        <v>5955</v>
      </c>
      <c r="R554" s="12" t="s">
        <v>25</v>
      </c>
      <c r="S554" s="12" t="s">
        <v>25</v>
      </c>
      <c r="T554" s="12" t="s">
        <v>25</v>
      </c>
    </row>
    <row r="555" spans="1:20" hidden="1" x14ac:dyDescent="0.3">
      <c r="A555" s="13">
        <v>43911.708333333336</v>
      </c>
      <c r="B555" s="12" t="s">
        <v>22</v>
      </c>
      <c r="C555" s="82">
        <v>12</v>
      </c>
      <c r="D555" s="12" t="s">
        <v>48</v>
      </c>
      <c r="E555" s="82">
        <v>4189277044</v>
      </c>
      <c r="F555" s="82">
        <v>1248366722</v>
      </c>
      <c r="G555" s="82">
        <v>591</v>
      </c>
      <c r="H555" s="82">
        <v>70</v>
      </c>
      <c r="I555" s="82">
        <v>661</v>
      </c>
      <c r="J555" s="82">
        <v>425</v>
      </c>
      <c r="K555" s="82">
        <v>1086</v>
      </c>
      <c r="L555" s="82">
        <v>174</v>
      </c>
      <c r="M555" s="82">
        <v>182</v>
      </c>
      <c r="N555" s="82">
        <v>54</v>
      </c>
      <c r="O555" s="82">
        <v>50</v>
      </c>
      <c r="P555" s="82">
        <v>1190</v>
      </c>
      <c r="Q555" s="82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82">
        <v>7</v>
      </c>
      <c r="D556" s="12" t="s">
        <v>49</v>
      </c>
      <c r="E556" s="82">
        <v>4441149315</v>
      </c>
      <c r="F556" s="82">
        <v>89326992</v>
      </c>
      <c r="G556" s="82">
        <v>598</v>
      </c>
      <c r="H556" s="82">
        <v>129</v>
      </c>
      <c r="I556" s="82">
        <v>727</v>
      </c>
      <c r="J556" s="82">
        <v>432</v>
      </c>
      <c r="K556" s="82">
        <v>1159</v>
      </c>
      <c r="L556" s="82">
        <v>158</v>
      </c>
      <c r="M556" s="82">
        <v>215</v>
      </c>
      <c r="N556" s="82">
        <v>125</v>
      </c>
      <c r="O556" s="82">
        <v>152</v>
      </c>
      <c r="P556" s="82">
        <v>1436</v>
      </c>
      <c r="Q556" s="82">
        <v>4304</v>
      </c>
      <c r="R556" s="12" t="s">
        <v>25</v>
      </c>
      <c r="S556" s="12" t="s">
        <v>25</v>
      </c>
      <c r="T556" s="12" t="s">
        <v>25</v>
      </c>
    </row>
    <row r="557" spans="1:20" hidden="1" x14ac:dyDescent="0.3">
      <c r="A557" s="13">
        <v>43911.708333333336</v>
      </c>
      <c r="B557" s="12" t="s">
        <v>22</v>
      </c>
      <c r="C557" s="82">
        <v>3</v>
      </c>
      <c r="D557" s="12" t="s">
        <v>50</v>
      </c>
      <c r="E557" s="82">
        <v>4546679409</v>
      </c>
      <c r="F557" s="82">
        <v>9190347404</v>
      </c>
      <c r="G557" s="82">
        <v>8258</v>
      </c>
      <c r="H557" s="82">
        <v>1093</v>
      </c>
      <c r="I557" s="82">
        <v>9351</v>
      </c>
      <c r="J557" s="82">
        <v>8019</v>
      </c>
      <c r="K557" s="82">
        <v>17370</v>
      </c>
      <c r="L557" s="82">
        <v>1950</v>
      </c>
      <c r="M557" s="82">
        <v>3251</v>
      </c>
      <c r="N557" s="82">
        <v>5050</v>
      </c>
      <c r="O557" s="82">
        <v>3095</v>
      </c>
      <c r="P557" s="82">
        <v>25515</v>
      </c>
      <c r="Q557" s="82">
        <v>66730</v>
      </c>
      <c r="R557" s="12" t="s">
        <v>25</v>
      </c>
      <c r="S557" s="12" t="s">
        <v>25</v>
      </c>
      <c r="T557" s="12" t="s">
        <v>25</v>
      </c>
    </row>
    <row r="558" spans="1:20" hidden="1" x14ac:dyDescent="0.3">
      <c r="A558" s="13">
        <v>43911.708333333336</v>
      </c>
      <c r="B558" s="12" t="s">
        <v>22</v>
      </c>
      <c r="C558" s="82">
        <v>11</v>
      </c>
      <c r="D558" s="12" t="s">
        <v>51</v>
      </c>
      <c r="E558" s="82">
        <v>4361675973</v>
      </c>
      <c r="F558" s="82">
        <v>135188753</v>
      </c>
      <c r="G558" s="82">
        <v>742</v>
      </c>
      <c r="H558" s="82">
        <v>141</v>
      </c>
      <c r="I558" s="82">
        <v>883</v>
      </c>
      <c r="J558" s="82">
        <v>1114</v>
      </c>
      <c r="K558" s="82">
        <v>1997</v>
      </c>
      <c r="L558" s="82">
        <v>153</v>
      </c>
      <c r="M558" s="82">
        <v>172</v>
      </c>
      <c r="N558" s="82">
        <v>2</v>
      </c>
      <c r="O558" s="82">
        <v>154</v>
      </c>
      <c r="P558" s="82">
        <v>2153</v>
      </c>
      <c r="Q558" s="82">
        <v>5740</v>
      </c>
      <c r="R558" s="12" t="s">
        <v>25</v>
      </c>
      <c r="S558" s="12" t="s">
        <v>25</v>
      </c>
      <c r="T558" s="12" t="s">
        <v>25</v>
      </c>
    </row>
    <row r="559" spans="1:20" hidden="1" x14ac:dyDescent="0.3">
      <c r="A559" s="13">
        <v>43911.708333333336</v>
      </c>
      <c r="B559" s="12" t="s">
        <v>22</v>
      </c>
      <c r="C559" s="82">
        <v>14</v>
      </c>
      <c r="D559" s="12" t="s">
        <v>52</v>
      </c>
      <c r="E559" s="82">
        <v>4155774754</v>
      </c>
      <c r="F559" s="82">
        <v>1465916051</v>
      </c>
      <c r="G559" s="82">
        <v>21</v>
      </c>
      <c r="H559" s="82">
        <v>6</v>
      </c>
      <c r="I559" s="82">
        <v>27</v>
      </c>
      <c r="J559" s="82">
        <v>20</v>
      </c>
      <c r="K559" s="82">
        <v>47</v>
      </c>
      <c r="L559" s="82">
        <v>8</v>
      </c>
      <c r="M559" s="82">
        <v>11</v>
      </c>
      <c r="N559" s="82">
        <v>7</v>
      </c>
      <c r="O559" s="82">
        <v>7</v>
      </c>
      <c r="P559" s="82">
        <v>61</v>
      </c>
      <c r="Q559" s="82">
        <v>449</v>
      </c>
      <c r="R559" s="12" t="s">
        <v>25</v>
      </c>
      <c r="S559" s="12" t="s">
        <v>25</v>
      </c>
      <c r="T559" s="12" t="s">
        <v>25</v>
      </c>
    </row>
    <row r="560" spans="1:20" hidden="1" x14ac:dyDescent="0.3">
      <c r="A560" s="13">
        <v>43911.708333333336</v>
      </c>
      <c r="B560" s="12" t="s">
        <v>22</v>
      </c>
      <c r="C560" s="82">
        <v>1</v>
      </c>
      <c r="D560" s="12" t="s">
        <v>53</v>
      </c>
      <c r="E560" s="82">
        <v>450732745</v>
      </c>
      <c r="F560" s="82">
        <v>7680687483</v>
      </c>
      <c r="G560" s="82">
        <v>1976</v>
      </c>
      <c r="H560" s="82">
        <v>301</v>
      </c>
      <c r="I560" s="82">
        <v>2277</v>
      </c>
      <c r="J560" s="82">
        <v>1229</v>
      </c>
      <c r="K560" s="82">
        <v>3506</v>
      </c>
      <c r="L560" s="82">
        <v>262</v>
      </c>
      <c r="M560" s="82">
        <v>291</v>
      </c>
      <c r="N560" s="82">
        <v>8</v>
      </c>
      <c r="O560" s="82">
        <v>238</v>
      </c>
      <c r="P560" s="82">
        <v>3752</v>
      </c>
      <c r="Q560" s="82">
        <v>10701</v>
      </c>
      <c r="R560" s="12" t="s">
        <v>25</v>
      </c>
      <c r="S560" s="12" t="s">
        <v>25</v>
      </c>
      <c r="T560" s="12" t="s">
        <v>25</v>
      </c>
    </row>
    <row r="561" spans="1:20" hidden="1" x14ac:dyDescent="0.3">
      <c r="A561" s="13">
        <v>43911.708333333336</v>
      </c>
      <c r="B561" s="12" t="s">
        <v>22</v>
      </c>
      <c r="C561" s="82">
        <v>16</v>
      </c>
      <c r="D561" s="12" t="s">
        <v>54</v>
      </c>
      <c r="E561" s="82">
        <v>4112559576</v>
      </c>
      <c r="F561" s="82">
        <v>1686736689</v>
      </c>
      <c r="G561" s="82">
        <v>209</v>
      </c>
      <c r="H561" s="82">
        <v>33</v>
      </c>
      <c r="I561" s="82">
        <v>242</v>
      </c>
      <c r="J561" s="82">
        <v>400</v>
      </c>
      <c r="K561" s="82">
        <v>642</v>
      </c>
      <c r="L561" s="82">
        <v>91</v>
      </c>
      <c r="M561" s="82">
        <v>94</v>
      </c>
      <c r="N561" s="82">
        <v>4</v>
      </c>
      <c r="O561" s="82">
        <v>29</v>
      </c>
      <c r="P561" s="82">
        <v>675</v>
      </c>
      <c r="Q561" s="82">
        <v>5617</v>
      </c>
      <c r="R561" s="12" t="s">
        <v>25</v>
      </c>
      <c r="S561" s="12" t="s">
        <v>25</v>
      </c>
      <c r="T561" s="12" t="s">
        <v>25</v>
      </c>
    </row>
    <row r="562" spans="1:20" hidden="1" x14ac:dyDescent="0.3">
      <c r="A562" s="13">
        <v>43911.708333333336</v>
      </c>
      <c r="B562" s="12" t="s">
        <v>22</v>
      </c>
      <c r="C562" s="82">
        <v>20</v>
      </c>
      <c r="D562" s="12" t="s">
        <v>55</v>
      </c>
      <c r="E562" s="82">
        <v>3921531192</v>
      </c>
      <c r="F562" s="82">
        <v>9110616306</v>
      </c>
      <c r="G562" s="82">
        <v>65</v>
      </c>
      <c r="H562" s="82">
        <v>16</v>
      </c>
      <c r="I562" s="82">
        <v>81</v>
      </c>
      <c r="J562" s="82">
        <v>240</v>
      </c>
      <c r="K562" s="82">
        <v>321</v>
      </c>
      <c r="L562" s="82">
        <v>33</v>
      </c>
      <c r="M562" s="82">
        <v>37</v>
      </c>
      <c r="N562" s="82">
        <v>5</v>
      </c>
      <c r="O562" s="82">
        <v>4</v>
      </c>
      <c r="P562" s="82">
        <v>330</v>
      </c>
      <c r="Q562" s="82">
        <v>2297</v>
      </c>
      <c r="R562" s="12" t="s">
        <v>25</v>
      </c>
      <c r="S562" s="12" t="s">
        <v>25</v>
      </c>
      <c r="T562" s="12" t="s">
        <v>25</v>
      </c>
    </row>
    <row r="563" spans="1:20" hidden="1" x14ac:dyDescent="0.3">
      <c r="A563" s="13">
        <v>43911.708333333336</v>
      </c>
      <c r="B563" s="12" t="s">
        <v>22</v>
      </c>
      <c r="C563" s="82">
        <v>19</v>
      </c>
      <c r="D563" s="12" t="s">
        <v>56</v>
      </c>
      <c r="E563" s="82">
        <v>3811569725</v>
      </c>
      <c r="F563" s="82">
        <v>133623567</v>
      </c>
      <c r="G563" s="82">
        <v>206</v>
      </c>
      <c r="H563" s="82">
        <v>48</v>
      </c>
      <c r="I563" s="82">
        <v>254</v>
      </c>
      <c r="J563" s="82">
        <v>204</v>
      </c>
      <c r="K563" s="82">
        <v>458</v>
      </c>
      <c r="L563" s="82">
        <v>79</v>
      </c>
      <c r="M563" s="82">
        <v>82</v>
      </c>
      <c r="N563" s="82">
        <v>26</v>
      </c>
      <c r="O563" s="82">
        <v>6</v>
      </c>
      <c r="P563" s="82">
        <v>490</v>
      </c>
      <c r="Q563" s="82">
        <v>4883</v>
      </c>
      <c r="R563" s="12" t="s">
        <v>25</v>
      </c>
      <c r="S563" s="12" t="s">
        <v>25</v>
      </c>
      <c r="T563" s="12" t="s">
        <v>25</v>
      </c>
    </row>
    <row r="564" spans="1:20" hidden="1" x14ac:dyDescent="0.3">
      <c r="A564" s="13">
        <v>43911.708333333336</v>
      </c>
      <c r="B564" s="12" t="s">
        <v>22</v>
      </c>
      <c r="C564" s="82">
        <v>9</v>
      </c>
      <c r="D564" s="12" t="s">
        <v>57</v>
      </c>
      <c r="E564" s="82">
        <v>4376923077</v>
      </c>
      <c r="F564" s="82">
        <v>1125588885</v>
      </c>
      <c r="G564" s="82">
        <v>664</v>
      </c>
      <c r="H564" s="82">
        <v>202</v>
      </c>
      <c r="I564" s="82">
        <v>866</v>
      </c>
      <c r="J564" s="82">
        <v>1039</v>
      </c>
      <c r="K564" s="82">
        <v>1905</v>
      </c>
      <c r="L564" s="82">
        <v>192</v>
      </c>
      <c r="M564" s="82">
        <v>219</v>
      </c>
      <c r="N564" s="82">
        <v>35</v>
      </c>
      <c r="O564" s="82">
        <v>72</v>
      </c>
      <c r="P564" s="82">
        <v>2012</v>
      </c>
      <c r="Q564" s="82">
        <v>11909</v>
      </c>
      <c r="R564" s="12" t="s">
        <v>25</v>
      </c>
      <c r="S564" s="12" t="s">
        <v>25</v>
      </c>
      <c r="T564" s="12" t="s">
        <v>25</v>
      </c>
    </row>
    <row r="565" spans="1:20" hidden="1" x14ac:dyDescent="0.3">
      <c r="A565" s="13">
        <v>43911.708333333336</v>
      </c>
      <c r="B565" s="12" t="s">
        <v>22</v>
      </c>
      <c r="C565" s="82">
        <v>22</v>
      </c>
      <c r="D565" s="12" t="s">
        <v>58</v>
      </c>
      <c r="E565" s="82">
        <v>4606893511</v>
      </c>
      <c r="F565" s="82">
        <v>1112123097</v>
      </c>
      <c r="G565" s="82">
        <v>233</v>
      </c>
      <c r="H565" s="82">
        <v>39</v>
      </c>
      <c r="I565" s="82">
        <v>272</v>
      </c>
      <c r="J565" s="82">
        <v>448</v>
      </c>
      <c r="K565" s="82">
        <v>720</v>
      </c>
      <c r="L565" s="82">
        <v>120</v>
      </c>
      <c r="M565" s="82">
        <v>140</v>
      </c>
      <c r="N565" s="82">
        <v>34</v>
      </c>
      <c r="O565" s="82">
        <v>28</v>
      </c>
      <c r="P565" s="82">
        <v>782</v>
      </c>
      <c r="Q565" s="82">
        <v>2656</v>
      </c>
      <c r="R565" s="12" t="s">
        <v>25</v>
      </c>
      <c r="S565" s="12" t="s">
        <v>25</v>
      </c>
      <c r="T565" s="12" t="s">
        <v>25</v>
      </c>
    </row>
    <row r="566" spans="1:20" hidden="1" x14ac:dyDescent="0.3">
      <c r="A566" s="13">
        <v>43911.708333333336</v>
      </c>
      <c r="B566" s="12" t="s">
        <v>22</v>
      </c>
      <c r="C566" s="82">
        <v>10</v>
      </c>
      <c r="D566" s="12" t="s">
        <v>59</v>
      </c>
      <c r="E566" s="82">
        <v>4310675841</v>
      </c>
      <c r="F566" s="82">
        <v>1238824698</v>
      </c>
      <c r="G566" s="82">
        <v>92</v>
      </c>
      <c r="H566" s="82">
        <v>29</v>
      </c>
      <c r="I566" s="82">
        <v>121</v>
      </c>
      <c r="J566" s="82">
        <v>326</v>
      </c>
      <c r="K566" s="82">
        <v>447</v>
      </c>
      <c r="L566" s="82">
        <v>63</v>
      </c>
      <c r="M566" s="82">
        <v>67</v>
      </c>
      <c r="N566" s="82">
        <v>5</v>
      </c>
      <c r="O566" s="82">
        <v>10</v>
      </c>
      <c r="P566" s="82">
        <v>462</v>
      </c>
      <c r="Q566" s="82">
        <v>2712</v>
      </c>
      <c r="R566" s="12" t="s">
        <v>25</v>
      </c>
      <c r="S566" s="12" t="s">
        <v>25</v>
      </c>
      <c r="T566" s="12" t="s">
        <v>25</v>
      </c>
    </row>
    <row r="567" spans="1:20" hidden="1" x14ac:dyDescent="0.3">
      <c r="A567" s="13">
        <v>43911.708333333336</v>
      </c>
      <c r="B567" s="12" t="s">
        <v>22</v>
      </c>
      <c r="C567" s="82">
        <v>2</v>
      </c>
      <c r="D567" s="12" t="s">
        <v>60</v>
      </c>
      <c r="E567" s="82">
        <v>4573750286</v>
      </c>
      <c r="F567" s="82">
        <v>7320149366</v>
      </c>
      <c r="G567" s="82">
        <v>62</v>
      </c>
      <c r="H567" s="82">
        <v>15</v>
      </c>
      <c r="I567" s="82">
        <v>77</v>
      </c>
      <c r="J567" s="82">
        <v>227</v>
      </c>
      <c r="K567" s="82">
        <v>304</v>
      </c>
      <c r="L567" s="82">
        <v>47</v>
      </c>
      <c r="M567" s="82">
        <v>49</v>
      </c>
      <c r="N567" s="82">
        <v>1</v>
      </c>
      <c r="O567" s="82">
        <v>8</v>
      </c>
      <c r="P567" s="82">
        <v>313</v>
      </c>
      <c r="Q567" s="82">
        <v>884</v>
      </c>
      <c r="R567" s="12" t="s">
        <v>25</v>
      </c>
      <c r="S567" s="12" t="s">
        <v>25</v>
      </c>
      <c r="T567" s="12" t="s">
        <v>25</v>
      </c>
    </row>
    <row r="568" spans="1:20" hidden="1" x14ac:dyDescent="0.3">
      <c r="A568" s="13">
        <v>43911.708333333336</v>
      </c>
      <c r="B568" s="12" t="s">
        <v>22</v>
      </c>
      <c r="C568" s="82">
        <v>5</v>
      </c>
      <c r="D568" s="12" t="s">
        <v>61</v>
      </c>
      <c r="E568" s="82">
        <v>4543490485</v>
      </c>
      <c r="F568" s="82">
        <v>1233845213</v>
      </c>
      <c r="G568" s="82">
        <v>942</v>
      </c>
      <c r="H568" s="82">
        <v>249</v>
      </c>
      <c r="I568" s="82">
        <v>1191</v>
      </c>
      <c r="J568" s="82">
        <v>3023</v>
      </c>
      <c r="K568" s="82">
        <v>4214</v>
      </c>
      <c r="L568" s="82">
        <v>537</v>
      </c>
      <c r="M568" s="82">
        <v>586</v>
      </c>
      <c r="N568" s="82">
        <v>257</v>
      </c>
      <c r="O568" s="82">
        <v>146</v>
      </c>
      <c r="P568" s="82">
        <v>4617</v>
      </c>
      <c r="Q568" s="82">
        <v>53642</v>
      </c>
      <c r="R568" s="12" t="s">
        <v>25</v>
      </c>
      <c r="S568" s="12" t="s">
        <v>25</v>
      </c>
      <c r="T568" s="12" t="s">
        <v>25</v>
      </c>
    </row>
    <row r="569" spans="1:20" hidden="1" x14ac:dyDescent="0.3">
      <c r="A569" s="13">
        <v>43912.708333333336</v>
      </c>
      <c r="B569" s="12" t="s">
        <v>22</v>
      </c>
      <c r="C569" s="82">
        <v>13</v>
      </c>
      <c r="D569" s="12" t="s">
        <v>42</v>
      </c>
      <c r="E569" s="82">
        <v>4235122196</v>
      </c>
      <c r="F569" s="82">
        <v>1339843823</v>
      </c>
      <c r="G569" s="82">
        <v>218</v>
      </c>
      <c r="H569" s="82">
        <v>49</v>
      </c>
      <c r="I569" s="82">
        <v>267</v>
      </c>
      <c r="J569" s="82">
        <v>272</v>
      </c>
      <c r="K569" s="82">
        <v>539</v>
      </c>
      <c r="L569" s="82">
        <v>45</v>
      </c>
      <c r="M569" s="82">
        <v>58</v>
      </c>
      <c r="N569" s="82">
        <v>15</v>
      </c>
      <c r="O569" s="82">
        <v>33</v>
      </c>
      <c r="P569" s="82">
        <v>587</v>
      </c>
      <c r="Q569" s="82">
        <v>3375</v>
      </c>
      <c r="R569" s="12" t="s">
        <v>25</v>
      </c>
      <c r="S569" s="12" t="s">
        <v>25</v>
      </c>
      <c r="T569" s="12" t="s">
        <v>25</v>
      </c>
    </row>
    <row r="570" spans="1:20" hidden="1" x14ac:dyDescent="0.3">
      <c r="A570" s="13">
        <v>43912.708333333336</v>
      </c>
      <c r="B570" s="12" t="s">
        <v>22</v>
      </c>
      <c r="C570" s="82">
        <v>17</v>
      </c>
      <c r="D570" s="12" t="s">
        <v>43</v>
      </c>
      <c r="E570" s="82">
        <v>4063947052</v>
      </c>
      <c r="F570" s="82">
        <v>1580514834</v>
      </c>
      <c r="G570" s="82">
        <v>13</v>
      </c>
      <c r="H570" s="82">
        <v>10</v>
      </c>
      <c r="I570" s="82">
        <v>23</v>
      </c>
      <c r="J570" s="82">
        <v>58</v>
      </c>
      <c r="K570" s="82">
        <v>81</v>
      </c>
      <c r="L570" s="82">
        <v>15</v>
      </c>
      <c r="M570" s="82">
        <v>15</v>
      </c>
      <c r="N570" s="82">
        <v>0</v>
      </c>
      <c r="O570" s="82">
        <v>0</v>
      </c>
      <c r="P570" s="82">
        <v>81</v>
      </c>
      <c r="Q570" s="82">
        <v>643</v>
      </c>
      <c r="R570" s="12" t="s">
        <v>25</v>
      </c>
      <c r="S570" s="12" t="s">
        <v>25</v>
      </c>
      <c r="T570" s="12" t="s">
        <v>25</v>
      </c>
    </row>
    <row r="571" spans="1:20" hidden="1" x14ac:dyDescent="0.3">
      <c r="A571" s="13">
        <v>43912.708333333336</v>
      </c>
      <c r="B571" s="12" t="s">
        <v>22</v>
      </c>
      <c r="C571" s="82">
        <v>21</v>
      </c>
      <c r="D571" s="12" t="s">
        <v>44</v>
      </c>
      <c r="E571" s="82">
        <v>4649933453</v>
      </c>
      <c r="F571" s="82">
        <v>1135662422</v>
      </c>
      <c r="G571" s="82">
        <v>146</v>
      </c>
      <c r="H571" s="82">
        <v>32</v>
      </c>
      <c r="I571" s="82">
        <v>178</v>
      </c>
      <c r="J571" s="82">
        <v>470</v>
      </c>
      <c r="K571" s="82">
        <v>648</v>
      </c>
      <c r="L571" s="82">
        <v>48</v>
      </c>
      <c r="M571" s="82">
        <v>57</v>
      </c>
      <c r="N571" s="82">
        <v>7</v>
      </c>
      <c r="O571" s="82">
        <v>23</v>
      </c>
      <c r="P571" s="82">
        <v>678</v>
      </c>
      <c r="Q571" s="82">
        <v>5718</v>
      </c>
      <c r="R571" s="12" t="s">
        <v>25</v>
      </c>
      <c r="S571" s="12" t="s">
        <v>25</v>
      </c>
      <c r="T571" s="12" t="s">
        <v>25</v>
      </c>
    </row>
    <row r="572" spans="1:20" hidden="1" x14ac:dyDescent="0.3">
      <c r="A572" s="13">
        <v>43912.708333333336</v>
      </c>
      <c r="B572" s="12" t="s">
        <v>22</v>
      </c>
      <c r="C572" s="82">
        <v>18</v>
      </c>
      <c r="D572" s="12" t="s">
        <v>45</v>
      </c>
      <c r="E572" s="82">
        <v>3890597598</v>
      </c>
      <c r="F572" s="82">
        <v>1659440194</v>
      </c>
      <c r="G572" s="82">
        <v>77</v>
      </c>
      <c r="H572" s="82">
        <v>17</v>
      </c>
      <c r="I572" s="82">
        <v>94</v>
      </c>
      <c r="J572" s="82">
        <v>166</v>
      </c>
      <c r="K572" s="82">
        <v>260</v>
      </c>
      <c r="L572" s="82">
        <v>35</v>
      </c>
      <c r="M572" s="82">
        <v>38</v>
      </c>
      <c r="N572" s="82">
        <v>5</v>
      </c>
      <c r="O572" s="82">
        <v>8</v>
      </c>
      <c r="P572" s="82">
        <v>273</v>
      </c>
      <c r="Q572" s="82">
        <v>3666</v>
      </c>
      <c r="R572" s="12" t="s">
        <v>25</v>
      </c>
      <c r="S572" s="12" t="s">
        <v>25</v>
      </c>
      <c r="T572" s="12" t="s">
        <v>25</v>
      </c>
    </row>
    <row r="573" spans="1:20" hidden="1" x14ac:dyDescent="0.3">
      <c r="A573" s="13">
        <v>43912.708333333336</v>
      </c>
      <c r="B573" s="12" t="s">
        <v>22</v>
      </c>
      <c r="C573" s="82">
        <v>15</v>
      </c>
      <c r="D573" s="12" t="s">
        <v>46</v>
      </c>
      <c r="E573" s="82">
        <v>4083956555</v>
      </c>
      <c r="F573" s="82">
        <v>1425084984</v>
      </c>
      <c r="G573" s="82">
        <v>243</v>
      </c>
      <c r="H573" s="82">
        <v>99</v>
      </c>
      <c r="I573" s="82">
        <v>342</v>
      </c>
      <c r="J573" s="82">
        <v>524</v>
      </c>
      <c r="K573" s="82">
        <v>866</v>
      </c>
      <c r="L573" s="82">
        <v>73</v>
      </c>
      <c r="M573" s="82">
        <v>92</v>
      </c>
      <c r="N573" s="82">
        <v>41</v>
      </c>
      <c r="O573" s="82">
        <v>29</v>
      </c>
      <c r="P573" s="82">
        <v>936</v>
      </c>
      <c r="Q573" s="82">
        <v>4943</v>
      </c>
      <c r="R573" s="12" t="s">
        <v>25</v>
      </c>
      <c r="S573" s="12" t="s">
        <v>25</v>
      </c>
      <c r="T573" s="12" t="s">
        <v>25</v>
      </c>
    </row>
    <row r="574" spans="1:20" hidden="1" x14ac:dyDescent="0.3">
      <c r="A574" s="13">
        <v>43912.708333333336</v>
      </c>
      <c r="B574" s="12" t="s">
        <v>22</v>
      </c>
      <c r="C574" s="82">
        <v>8</v>
      </c>
      <c r="D574" s="12" t="s">
        <v>95</v>
      </c>
      <c r="E574" s="82">
        <v>4449436681</v>
      </c>
      <c r="F574" s="82">
        <v>113417208</v>
      </c>
      <c r="G574" s="82">
        <v>2429</v>
      </c>
      <c r="H574" s="82">
        <v>269</v>
      </c>
      <c r="I574" s="82">
        <v>2698</v>
      </c>
      <c r="J574" s="82">
        <v>3692</v>
      </c>
      <c r="K574" s="82">
        <v>6390</v>
      </c>
      <c r="L574" s="82">
        <v>729</v>
      </c>
      <c r="M574" s="82">
        <v>850</v>
      </c>
      <c r="N574" s="82">
        <v>349</v>
      </c>
      <c r="O574" s="82">
        <v>816</v>
      </c>
      <c r="P574" s="82">
        <v>7555</v>
      </c>
      <c r="Q574" s="82">
        <v>28022</v>
      </c>
      <c r="R574" s="12" t="s">
        <v>25</v>
      </c>
      <c r="S574" s="12" t="s">
        <v>25</v>
      </c>
      <c r="T574" s="12" t="s">
        <v>25</v>
      </c>
    </row>
    <row r="575" spans="1:20" hidden="1" x14ac:dyDescent="0.3">
      <c r="A575" s="13">
        <v>43912.708333333336</v>
      </c>
      <c r="B575" s="12" t="s">
        <v>22</v>
      </c>
      <c r="C575" s="82">
        <v>6</v>
      </c>
      <c r="D575" s="12" t="s">
        <v>47</v>
      </c>
      <c r="E575" s="82">
        <v>456494354</v>
      </c>
      <c r="F575" s="82">
        <v>1376813649</v>
      </c>
      <c r="G575" s="82">
        <v>163</v>
      </c>
      <c r="H575" s="82">
        <v>47</v>
      </c>
      <c r="I575" s="82">
        <v>210</v>
      </c>
      <c r="J575" s="82">
        <v>528</v>
      </c>
      <c r="K575" s="82">
        <v>738</v>
      </c>
      <c r="L575" s="82">
        <v>72</v>
      </c>
      <c r="M575" s="82">
        <v>84</v>
      </c>
      <c r="N575" s="82">
        <v>89</v>
      </c>
      <c r="O575" s="82">
        <v>47</v>
      </c>
      <c r="P575" s="82">
        <v>874</v>
      </c>
      <c r="Q575" s="82">
        <v>6761</v>
      </c>
      <c r="R575" s="12" t="s">
        <v>25</v>
      </c>
      <c r="S575" s="12" t="s">
        <v>25</v>
      </c>
      <c r="T575" s="12" t="s">
        <v>25</v>
      </c>
    </row>
    <row r="576" spans="1:20" hidden="1" x14ac:dyDescent="0.3">
      <c r="A576" s="13">
        <v>43912.708333333336</v>
      </c>
      <c r="B576" s="12" t="s">
        <v>22</v>
      </c>
      <c r="C576" s="82">
        <v>12</v>
      </c>
      <c r="D576" s="12" t="s">
        <v>48</v>
      </c>
      <c r="E576" s="82">
        <v>4189277044</v>
      </c>
      <c r="F576" s="82">
        <v>1248366722</v>
      </c>
      <c r="G576" s="82">
        <v>671</v>
      </c>
      <c r="H576" s="82">
        <v>79</v>
      </c>
      <c r="I576" s="82">
        <v>750</v>
      </c>
      <c r="J576" s="82">
        <v>522</v>
      </c>
      <c r="K576" s="82">
        <v>1272</v>
      </c>
      <c r="L576" s="82">
        <v>186</v>
      </c>
      <c r="M576" s="82">
        <v>193</v>
      </c>
      <c r="N576" s="82">
        <v>58</v>
      </c>
      <c r="O576" s="82">
        <v>53</v>
      </c>
      <c r="P576" s="82">
        <v>1383</v>
      </c>
      <c r="Q576" s="82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82">
        <v>7</v>
      </c>
      <c r="D577" s="12" t="s">
        <v>49</v>
      </c>
      <c r="E577" s="82">
        <v>4441149315</v>
      </c>
      <c r="F577" s="82">
        <v>89326992</v>
      </c>
      <c r="G577" s="82">
        <v>736</v>
      </c>
      <c r="H577" s="82">
        <v>132</v>
      </c>
      <c r="I577" s="82">
        <v>868</v>
      </c>
      <c r="J577" s="82">
        <v>483</v>
      </c>
      <c r="K577" s="82">
        <v>1351</v>
      </c>
      <c r="L577" s="82">
        <v>192</v>
      </c>
      <c r="M577" s="82">
        <v>229</v>
      </c>
      <c r="N577" s="82">
        <v>143</v>
      </c>
      <c r="O577" s="82">
        <v>171</v>
      </c>
      <c r="P577" s="82">
        <v>1665</v>
      </c>
      <c r="Q577" s="82">
        <v>4995</v>
      </c>
      <c r="R577" s="12" t="s">
        <v>25</v>
      </c>
      <c r="S577" s="12" t="s">
        <v>25</v>
      </c>
      <c r="T577" s="12" t="s">
        <v>25</v>
      </c>
    </row>
    <row r="578" spans="1:20" hidden="1" x14ac:dyDescent="0.3">
      <c r="A578" s="13">
        <v>43912.708333333336</v>
      </c>
      <c r="B578" s="12" t="s">
        <v>22</v>
      </c>
      <c r="C578" s="82">
        <v>3</v>
      </c>
      <c r="D578" s="12" t="s">
        <v>50</v>
      </c>
      <c r="E578" s="82">
        <v>4546679409</v>
      </c>
      <c r="F578" s="82">
        <v>9190347404</v>
      </c>
      <c r="G578" s="82">
        <v>9439</v>
      </c>
      <c r="H578" s="82">
        <v>1142</v>
      </c>
      <c r="I578" s="82">
        <v>10581</v>
      </c>
      <c r="J578" s="82">
        <v>7304</v>
      </c>
      <c r="K578" s="82">
        <v>17885</v>
      </c>
      <c r="L578" s="82">
        <v>515</v>
      </c>
      <c r="M578" s="82">
        <v>1691</v>
      </c>
      <c r="N578" s="82">
        <v>5865</v>
      </c>
      <c r="O578" s="82">
        <v>3456</v>
      </c>
      <c r="P578" s="82">
        <v>27206</v>
      </c>
      <c r="Q578" s="82">
        <v>70598</v>
      </c>
      <c r="R578" s="12" t="s">
        <v>25</v>
      </c>
      <c r="S578" s="12" t="s">
        <v>25</v>
      </c>
      <c r="T578" s="12" t="s">
        <v>25</v>
      </c>
    </row>
    <row r="579" spans="1:20" hidden="1" x14ac:dyDescent="0.3">
      <c r="A579" s="13">
        <v>43912.708333333336</v>
      </c>
      <c r="B579" s="12" t="s">
        <v>22</v>
      </c>
      <c r="C579" s="82">
        <v>11</v>
      </c>
      <c r="D579" s="12" t="s">
        <v>51</v>
      </c>
      <c r="E579" s="82">
        <v>4361675973</v>
      </c>
      <c r="F579" s="82">
        <v>135188753</v>
      </c>
      <c r="G579" s="82">
        <v>816</v>
      </c>
      <c r="H579" s="82">
        <v>138</v>
      </c>
      <c r="I579" s="82">
        <v>954</v>
      </c>
      <c r="J579" s="82">
        <v>1277</v>
      </c>
      <c r="K579" s="82">
        <v>2231</v>
      </c>
      <c r="L579" s="82">
        <v>234</v>
      </c>
      <c r="M579" s="82">
        <v>268</v>
      </c>
      <c r="N579" s="82">
        <v>6</v>
      </c>
      <c r="O579" s="82">
        <v>184</v>
      </c>
      <c r="P579" s="82">
        <v>2421</v>
      </c>
      <c r="Q579" s="82">
        <v>6391</v>
      </c>
      <c r="R579" s="12" t="s">
        <v>25</v>
      </c>
      <c r="S579" s="12" t="s">
        <v>25</v>
      </c>
      <c r="T579" s="12" t="s">
        <v>25</v>
      </c>
    </row>
    <row r="580" spans="1:20" hidden="1" x14ac:dyDescent="0.3">
      <c r="A580" s="13">
        <v>43912.708333333336</v>
      </c>
      <c r="B580" s="12" t="s">
        <v>22</v>
      </c>
      <c r="C580" s="82">
        <v>14</v>
      </c>
      <c r="D580" s="12" t="s">
        <v>52</v>
      </c>
      <c r="E580" s="82">
        <v>4155774754</v>
      </c>
      <c r="F580" s="82">
        <v>1465916051</v>
      </c>
      <c r="G580" s="82">
        <v>24</v>
      </c>
      <c r="H580" s="82">
        <v>7</v>
      </c>
      <c r="I580" s="82">
        <v>31</v>
      </c>
      <c r="J580" s="82">
        <v>21</v>
      </c>
      <c r="K580" s="82">
        <v>52</v>
      </c>
      <c r="L580" s="82">
        <v>5</v>
      </c>
      <c r="M580" s="82">
        <v>5</v>
      </c>
      <c r="N580" s="82">
        <v>7</v>
      </c>
      <c r="O580" s="82">
        <v>7</v>
      </c>
      <c r="P580" s="82">
        <v>66</v>
      </c>
      <c r="Q580" s="82">
        <v>532</v>
      </c>
      <c r="R580" s="12" t="s">
        <v>25</v>
      </c>
      <c r="S580" s="12" t="s">
        <v>25</v>
      </c>
      <c r="T580" s="12" t="s">
        <v>25</v>
      </c>
    </row>
    <row r="581" spans="1:20" hidden="1" x14ac:dyDescent="0.3">
      <c r="A581" s="13">
        <v>43912.708333333336</v>
      </c>
      <c r="B581" s="12" t="s">
        <v>22</v>
      </c>
      <c r="C581" s="82">
        <v>1</v>
      </c>
      <c r="D581" s="12" t="s">
        <v>53</v>
      </c>
      <c r="E581" s="82">
        <v>450732745</v>
      </c>
      <c r="F581" s="82">
        <v>7680687483</v>
      </c>
      <c r="G581" s="82">
        <v>2118</v>
      </c>
      <c r="H581" s="82">
        <v>308</v>
      </c>
      <c r="I581" s="82">
        <v>2426</v>
      </c>
      <c r="J581" s="82">
        <v>1701</v>
      </c>
      <c r="K581" s="82">
        <v>4127</v>
      </c>
      <c r="L581" s="82">
        <v>621</v>
      </c>
      <c r="M581" s="82">
        <v>668</v>
      </c>
      <c r="N581" s="82">
        <v>10</v>
      </c>
      <c r="O581" s="82">
        <v>283</v>
      </c>
      <c r="P581" s="82">
        <v>4420</v>
      </c>
      <c r="Q581" s="82">
        <v>12701</v>
      </c>
      <c r="R581" s="12" t="s">
        <v>25</v>
      </c>
      <c r="S581" s="12" t="s">
        <v>25</v>
      </c>
      <c r="T581" s="12" t="s">
        <v>25</v>
      </c>
    </row>
    <row r="582" spans="1:20" hidden="1" x14ac:dyDescent="0.3">
      <c r="A582" s="13">
        <v>43912.708333333336</v>
      </c>
      <c r="B582" s="12" t="s">
        <v>22</v>
      </c>
      <c r="C582" s="82">
        <v>16</v>
      </c>
      <c r="D582" s="12" t="s">
        <v>54</v>
      </c>
      <c r="E582" s="82">
        <v>4112559576</v>
      </c>
      <c r="F582" s="82">
        <v>1686736689</v>
      </c>
      <c r="G582" s="82">
        <v>252</v>
      </c>
      <c r="H582" s="82">
        <v>37</v>
      </c>
      <c r="I582" s="82">
        <v>289</v>
      </c>
      <c r="J582" s="82">
        <v>459</v>
      </c>
      <c r="K582" s="82">
        <v>748</v>
      </c>
      <c r="L582" s="82">
        <v>106</v>
      </c>
      <c r="M582" s="82">
        <v>111</v>
      </c>
      <c r="N582" s="82">
        <v>7</v>
      </c>
      <c r="O582" s="82">
        <v>31</v>
      </c>
      <c r="P582" s="82">
        <v>786</v>
      </c>
      <c r="Q582" s="82">
        <v>6160</v>
      </c>
      <c r="R582" s="12" t="s">
        <v>25</v>
      </c>
      <c r="S582" s="12" t="s">
        <v>25</v>
      </c>
      <c r="T582" s="12" t="s">
        <v>25</v>
      </c>
    </row>
    <row r="583" spans="1:20" hidden="1" x14ac:dyDescent="0.3">
      <c r="A583" s="13">
        <v>43912.708333333336</v>
      </c>
      <c r="B583" s="12" t="s">
        <v>22</v>
      </c>
      <c r="C583" s="82">
        <v>20</v>
      </c>
      <c r="D583" s="12" t="s">
        <v>55</v>
      </c>
      <c r="E583" s="82">
        <v>3921531192</v>
      </c>
      <c r="F583" s="82">
        <v>9110616306</v>
      </c>
      <c r="G583" s="82">
        <v>67</v>
      </c>
      <c r="H583" s="82">
        <v>16</v>
      </c>
      <c r="I583" s="82">
        <v>83</v>
      </c>
      <c r="J583" s="82">
        <v>244</v>
      </c>
      <c r="K583" s="82">
        <v>327</v>
      </c>
      <c r="L583" s="82">
        <v>6</v>
      </c>
      <c r="M583" s="82">
        <v>9</v>
      </c>
      <c r="N583" s="82">
        <v>5</v>
      </c>
      <c r="O583" s="82">
        <v>7</v>
      </c>
      <c r="P583" s="82">
        <v>339</v>
      </c>
      <c r="Q583" s="82">
        <v>2402</v>
      </c>
      <c r="R583" s="12" t="s">
        <v>25</v>
      </c>
      <c r="S583" s="12" t="s">
        <v>25</v>
      </c>
      <c r="T583" s="12" t="s">
        <v>25</v>
      </c>
    </row>
    <row r="584" spans="1:20" hidden="1" x14ac:dyDescent="0.3">
      <c r="A584" s="13">
        <v>43912.708333333336</v>
      </c>
      <c r="B584" s="12" t="s">
        <v>22</v>
      </c>
      <c r="C584" s="82">
        <v>19</v>
      </c>
      <c r="D584" s="12" t="s">
        <v>56</v>
      </c>
      <c r="E584" s="82">
        <v>3811569725</v>
      </c>
      <c r="F584" s="82">
        <v>133623567</v>
      </c>
      <c r="G584" s="82">
        <v>220</v>
      </c>
      <c r="H584" s="82">
        <v>55</v>
      </c>
      <c r="I584" s="82">
        <v>275</v>
      </c>
      <c r="J584" s="82">
        <v>321</v>
      </c>
      <c r="K584" s="82">
        <v>596</v>
      </c>
      <c r="L584" s="82">
        <v>138</v>
      </c>
      <c r="M584" s="82">
        <v>140</v>
      </c>
      <c r="N584" s="82">
        <v>26</v>
      </c>
      <c r="O584" s="82">
        <v>8</v>
      </c>
      <c r="P584" s="82">
        <v>630</v>
      </c>
      <c r="Q584" s="82">
        <v>5580</v>
      </c>
      <c r="R584" s="12" t="s">
        <v>25</v>
      </c>
      <c r="S584" s="12" t="s">
        <v>25</v>
      </c>
      <c r="T584" s="12" t="s">
        <v>25</v>
      </c>
    </row>
    <row r="585" spans="1:20" hidden="1" x14ac:dyDescent="0.3">
      <c r="A585" s="13">
        <v>43912.708333333336</v>
      </c>
      <c r="B585" s="12" t="s">
        <v>22</v>
      </c>
      <c r="C585" s="82">
        <v>9</v>
      </c>
      <c r="D585" s="12" t="s">
        <v>57</v>
      </c>
      <c r="E585" s="82">
        <v>4376923077</v>
      </c>
      <c r="F585" s="82">
        <v>1125588885</v>
      </c>
      <c r="G585" s="82">
        <v>706</v>
      </c>
      <c r="H585" s="82">
        <v>215</v>
      </c>
      <c r="I585" s="82">
        <v>921</v>
      </c>
      <c r="J585" s="82">
        <v>1223</v>
      </c>
      <c r="K585" s="82">
        <v>2144</v>
      </c>
      <c r="L585" s="82">
        <v>239</v>
      </c>
      <c r="M585" s="82">
        <v>265</v>
      </c>
      <c r="N585" s="82">
        <v>42</v>
      </c>
      <c r="O585" s="82">
        <v>91</v>
      </c>
      <c r="P585" s="82">
        <v>2277</v>
      </c>
      <c r="Q585" s="82">
        <v>13264</v>
      </c>
      <c r="R585" s="12" t="s">
        <v>25</v>
      </c>
      <c r="S585" s="12" t="s">
        <v>25</v>
      </c>
      <c r="T585" s="12" t="s">
        <v>25</v>
      </c>
    </row>
    <row r="586" spans="1:20" hidden="1" x14ac:dyDescent="0.3">
      <c r="A586" s="13">
        <v>43912.708333333336</v>
      </c>
      <c r="B586" s="12" t="s">
        <v>22</v>
      </c>
      <c r="C586" s="82">
        <v>22</v>
      </c>
      <c r="D586" s="12" t="s">
        <v>58</v>
      </c>
      <c r="E586" s="82">
        <v>4606893511</v>
      </c>
      <c r="F586" s="82">
        <v>1112123097</v>
      </c>
      <c r="G586" s="82">
        <v>235</v>
      </c>
      <c r="H586" s="82">
        <v>46</v>
      </c>
      <c r="I586" s="82">
        <v>281</v>
      </c>
      <c r="J586" s="82">
        <v>604</v>
      </c>
      <c r="K586" s="82">
        <v>885</v>
      </c>
      <c r="L586" s="82">
        <v>165</v>
      </c>
      <c r="M586" s="82">
        <v>172</v>
      </c>
      <c r="N586" s="82">
        <v>34</v>
      </c>
      <c r="O586" s="82">
        <v>35</v>
      </c>
      <c r="P586" s="82">
        <v>954</v>
      </c>
      <c r="Q586" s="82">
        <v>3050</v>
      </c>
      <c r="R586" s="12" t="s">
        <v>25</v>
      </c>
      <c r="S586" s="12" t="s">
        <v>25</v>
      </c>
      <c r="T586" s="12" t="s">
        <v>25</v>
      </c>
    </row>
    <row r="587" spans="1:20" hidden="1" x14ac:dyDescent="0.3">
      <c r="A587" s="13">
        <v>43912.708333333336</v>
      </c>
      <c r="B587" s="12" t="s">
        <v>22</v>
      </c>
      <c r="C587" s="82">
        <v>10</v>
      </c>
      <c r="D587" s="12" t="s">
        <v>59</v>
      </c>
      <c r="E587" s="82">
        <v>4310675841</v>
      </c>
      <c r="F587" s="82">
        <v>1238824698</v>
      </c>
      <c r="G587" s="82">
        <v>97</v>
      </c>
      <c r="H587" s="82">
        <v>35</v>
      </c>
      <c r="I587" s="82">
        <v>132</v>
      </c>
      <c r="J587" s="82">
        <v>368</v>
      </c>
      <c r="K587" s="82">
        <v>500</v>
      </c>
      <c r="L587" s="82">
        <v>53</v>
      </c>
      <c r="M587" s="82">
        <v>59</v>
      </c>
      <c r="N587" s="82">
        <v>5</v>
      </c>
      <c r="O587" s="82">
        <v>16</v>
      </c>
      <c r="P587" s="82">
        <v>521</v>
      </c>
      <c r="Q587" s="82">
        <v>3135</v>
      </c>
      <c r="R587" s="12" t="s">
        <v>25</v>
      </c>
      <c r="S587" s="12" t="s">
        <v>25</v>
      </c>
      <c r="T587" s="12" t="s">
        <v>25</v>
      </c>
    </row>
    <row r="588" spans="1:20" hidden="1" x14ac:dyDescent="0.3">
      <c r="A588" s="13">
        <v>43912.708333333336</v>
      </c>
      <c r="B588" s="12" t="s">
        <v>22</v>
      </c>
      <c r="C588" s="82">
        <v>2</v>
      </c>
      <c r="D588" s="12" t="s">
        <v>60</v>
      </c>
      <c r="E588" s="82">
        <v>4573750286</v>
      </c>
      <c r="F588" s="82">
        <v>7320149366</v>
      </c>
      <c r="G588" s="82">
        <v>63</v>
      </c>
      <c r="H588" s="82">
        <v>21</v>
      </c>
      <c r="I588" s="82">
        <v>84</v>
      </c>
      <c r="J588" s="82">
        <v>270</v>
      </c>
      <c r="K588" s="82">
        <v>354</v>
      </c>
      <c r="L588" s="82">
        <v>50</v>
      </c>
      <c r="M588" s="82">
        <v>51</v>
      </c>
      <c r="N588" s="82">
        <v>1</v>
      </c>
      <c r="O588" s="82">
        <v>9</v>
      </c>
      <c r="P588" s="82">
        <v>364</v>
      </c>
      <c r="Q588" s="82">
        <v>950</v>
      </c>
      <c r="R588" s="12" t="s">
        <v>25</v>
      </c>
      <c r="S588" s="12" t="s">
        <v>25</v>
      </c>
      <c r="T588" s="12" t="s">
        <v>25</v>
      </c>
    </row>
    <row r="589" spans="1:20" hidden="1" x14ac:dyDescent="0.3">
      <c r="A589" s="13">
        <v>43912.708333333336</v>
      </c>
      <c r="B589" s="12" t="s">
        <v>22</v>
      </c>
      <c r="C589" s="82">
        <v>5</v>
      </c>
      <c r="D589" s="12" t="s">
        <v>61</v>
      </c>
      <c r="E589" s="82">
        <v>4543490485</v>
      </c>
      <c r="F589" s="82">
        <v>1233845213</v>
      </c>
      <c r="G589" s="82">
        <v>1113</v>
      </c>
      <c r="H589" s="82">
        <v>255</v>
      </c>
      <c r="I589" s="82">
        <v>1368</v>
      </c>
      <c r="J589" s="82">
        <v>3276</v>
      </c>
      <c r="K589" s="82">
        <v>4644</v>
      </c>
      <c r="L589" s="82">
        <v>430</v>
      </c>
      <c r="M589" s="82">
        <v>505</v>
      </c>
      <c r="N589" s="82">
        <v>309</v>
      </c>
      <c r="O589" s="82">
        <v>169</v>
      </c>
      <c r="P589" s="82">
        <v>5122</v>
      </c>
      <c r="Q589" s="82">
        <v>57671</v>
      </c>
      <c r="R589" s="12" t="s">
        <v>25</v>
      </c>
      <c r="S589" s="12" t="s">
        <v>25</v>
      </c>
      <c r="T589" s="12" t="s">
        <v>25</v>
      </c>
    </row>
    <row r="590" spans="1:20" hidden="1" x14ac:dyDescent="0.3">
      <c r="A590" s="13">
        <v>43913.708333333336</v>
      </c>
      <c r="B590" s="12" t="s">
        <v>22</v>
      </c>
      <c r="C590" s="82">
        <v>13</v>
      </c>
      <c r="D590" s="12" t="s">
        <v>42</v>
      </c>
      <c r="E590" s="82">
        <v>4235122196</v>
      </c>
      <c r="F590" s="82">
        <v>1339843823</v>
      </c>
      <c r="G590" s="82">
        <v>228</v>
      </c>
      <c r="H590" s="82">
        <v>52</v>
      </c>
      <c r="I590" s="82">
        <v>280</v>
      </c>
      <c r="J590" s="82">
        <v>325</v>
      </c>
      <c r="K590" s="82">
        <v>605</v>
      </c>
      <c r="L590" s="82">
        <v>66</v>
      </c>
      <c r="M590" s="82">
        <v>76</v>
      </c>
      <c r="N590" s="82">
        <v>20</v>
      </c>
      <c r="O590" s="82">
        <v>38</v>
      </c>
      <c r="P590" s="82">
        <v>663</v>
      </c>
      <c r="Q590" s="82">
        <v>3674</v>
      </c>
      <c r="R590" s="12" t="s">
        <v>25</v>
      </c>
      <c r="S590" s="12" t="s">
        <v>25</v>
      </c>
      <c r="T590" s="12" t="s">
        <v>25</v>
      </c>
    </row>
    <row r="591" spans="1:20" hidden="1" x14ac:dyDescent="0.3">
      <c r="A591" s="13">
        <v>43913.708333333336</v>
      </c>
      <c r="B591" s="12" t="s">
        <v>22</v>
      </c>
      <c r="C591" s="82">
        <v>17</v>
      </c>
      <c r="D591" s="12" t="s">
        <v>43</v>
      </c>
      <c r="E591" s="82">
        <v>4063947052</v>
      </c>
      <c r="F591" s="82">
        <v>1580514834</v>
      </c>
      <c r="G591" s="82">
        <v>15</v>
      </c>
      <c r="H591" s="82">
        <v>12</v>
      </c>
      <c r="I591" s="82">
        <v>27</v>
      </c>
      <c r="J591" s="82">
        <v>62</v>
      </c>
      <c r="K591" s="82">
        <v>89</v>
      </c>
      <c r="L591" s="82">
        <v>8</v>
      </c>
      <c r="M591" s="82">
        <v>9</v>
      </c>
      <c r="N591" s="82">
        <v>0</v>
      </c>
      <c r="O591" s="82">
        <v>1</v>
      </c>
      <c r="P591" s="82">
        <v>90</v>
      </c>
      <c r="Q591" s="82">
        <v>696</v>
      </c>
      <c r="R591" s="12" t="s">
        <v>25</v>
      </c>
      <c r="S591" s="12" t="s">
        <v>25</v>
      </c>
      <c r="T591" s="12" t="s">
        <v>25</v>
      </c>
    </row>
    <row r="592" spans="1:20" hidden="1" x14ac:dyDescent="0.3">
      <c r="A592" s="13">
        <v>43913.708333333336</v>
      </c>
      <c r="B592" s="12" t="s">
        <v>22</v>
      </c>
      <c r="C592" s="82">
        <v>21</v>
      </c>
      <c r="D592" s="12" t="s">
        <v>44</v>
      </c>
      <c r="E592" s="82">
        <v>4649933453</v>
      </c>
      <c r="F592" s="82">
        <v>1135662422</v>
      </c>
      <c r="G592" s="82">
        <v>145</v>
      </c>
      <c r="H592" s="82">
        <v>33</v>
      </c>
      <c r="I592" s="82">
        <v>178</v>
      </c>
      <c r="J592" s="82">
        <v>510</v>
      </c>
      <c r="K592" s="82">
        <v>688</v>
      </c>
      <c r="L592" s="82">
        <v>40</v>
      </c>
      <c r="M592" s="82">
        <v>46</v>
      </c>
      <c r="N592" s="82">
        <v>7</v>
      </c>
      <c r="O592" s="82">
        <v>29</v>
      </c>
      <c r="P592" s="82">
        <v>724</v>
      </c>
      <c r="Q592" s="82">
        <v>6084</v>
      </c>
      <c r="R592" s="12" t="s">
        <v>25</v>
      </c>
      <c r="S592" s="12" t="s">
        <v>25</v>
      </c>
      <c r="T592" s="12" t="s">
        <v>25</v>
      </c>
    </row>
    <row r="593" spans="1:20" hidden="1" x14ac:dyDescent="0.3">
      <c r="A593" s="13">
        <v>43913.708333333336</v>
      </c>
      <c r="B593" s="12" t="s">
        <v>22</v>
      </c>
      <c r="C593" s="82">
        <v>18</v>
      </c>
      <c r="D593" s="12" t="s">
        <v>45</v>
      </c>
      <c r="E593" s="82">
        <v>3890597598</v>
      </c>
      <c r="F593" s="82">
        <v>1659440194</v>
      </c>
      <c r="G593" s="82">
        <v>82</v>
      </c>
      <c r="H593" s="82">
        <v>20</v>
      </c>
      <c r="I593" s="82">
        <v>102</v>
      </c>
      <c r="J593" s="82">
        <v>178</v>
      </c>
      <c r="K593" s="82">
        <v>280</v>
      </c>
      <c r="L593" s="82">
        <v>20</v>
      </c>
      <c r="M593" s="82">
        <v>19</v>
      </c>
      <c r="N593" s="82">
        <v>5</v>
      </c>
      <c r="O593" s="82">
        <v>7</v>
      </c>
      <c r="P593" s="82">
        <v>292</v>
      </c>
      <c r="Q593" s="82">
        <v>4073</v>
      </c>
      <c r="R593" s="12" t="s">
        <v>25</v>
      </c>
      <c r="S593" s="12" t="s">
        <v>25</v>
      </c>
      <c r="T593" s="12" t="s">
        <v>25</v>
      </c>
    </row>
    <row r="594" spans="1:20" hidden="1" x14ac:dyDescent="0.3">
      <c r="A594" s="13">
        <v>43913.708333333336</v>
      </c>
      <c r="B594" s="12" t="s">
        <v>22</v>
      </c>
      <c r="C594" s="82">
        <v>15</v>
      </c>
      <c r="D594" s="12" t="s">
        <v>46</v>
      </c>
      <c r="E594" s="82">
        <v>4083956555</v>
      </c>
      <c r="F594" s="82">
        <v>1425084984</v>
      </c>
      <c r="G594" s="82">
        <v>266</v>
      </c>
      <c r="H594" s="82">
        <v>110</v>
      </c>
      <c r="I594" s="82">
        <v>376</v>
      </c>
      <c r="J594" s="82">
        <v>553</v>
      </c>
      <c r="K594" s="82">
        <v>929</v>
      </c>
      <c r="L594" s="82">
        <v>63</v>
      </c>
      <c r="M594" s="82">
        <v>90</v>
      </c>
      <c r="N594" s="82">
        <v>48</v>
      </c>
      <c r="O594" s="82">
        <v>49</v>
      </c>
      <c r="P594" s="82">
        <v>1026</v>
      </c>
      <c r="Q594" s="82">
        <v>5813</v>
      </c>
      <c r="R594" s="12" t="s">
        <v>25</v>
      </c>
      <c r="S594" s="12" t="s">
        <v>25</v>
      </c>
      <c r="T594" s="12" t="s">
        <v>25</v>
      </c>
    </row>
    <row r="595" spans="1:20" hidden="1" x14ac:dyDescent="0.3">
      <c r="A595" s="13">
        <v>43913.708333333336</v>
      </c>
      <c r="B595" s="12" t="s">
        <v>22</v>
      </c>
      <c r="C595" s="82">
        <v>8</v>
      </c>
      <c r="D595" s="12" t="s">
        <v>95</v>
      </c>
      <c r="E595" s="82">
        <v>4449436681</v>
      </c>
      <c r="F595" s="82">
        <v>113417208</v>
      </c>
      <c r="G595" s="82">
        <v>2846</v>
      </c>
      <c r="H595" s="82">
        <v>276</v>
      </c>
      <c r="I595" s="82">
        <v>3122</v>
      </c>
      <c r="J595" s="82">
        <v>4098</v>
      </c>
      <c r="K595" s="82">
        <v>7220</v>
      </c>
      <c r="L595" s="82">
        <v>830</v>
      </c>
      <c r="M595" s="82">
        <v>980</v>
      </c>
      <c r="N595" s="82">
        <v>423</v>
      </c>
      <c r="O595" s="82">
        <v>892</v>
      </c>
      <c r="P595" s="82">
        <v>8535</v>
      </c>
      <c r="Q595" s="82">
        <v>31200</v>
      </c>
      <c r="R595" s="12" t="s">
        <v>25</v>
      </c>
      <c r="S595" s="12" t="s">
        <v>25</v>
      </c>
      <c r="T595" s="12" t="s">
        <v>25</v>
      </c>
    </row>
    <row r="596" spans="1:20" hidden="1" x14ac:dyDescent="0.3">
      <c r="A596" s="13">
        <v>43913.708333333336</v>
      </c>
      <c r="B596" s="12" t="s">
        <v>22</v>
      </c>
      <c r="C596" s="82">
        <v>6</v>
      </c>
      <c r="D596" s="12" t="s">
        <v>47</v>
      </c>
      <c r="E596" s="82">
        <v>456494354</v>
      </c>
      <c r="F596" s="82">
        <v>1376813649</v>
      </c>
      <c r="G596" s="82">
        <v>185</v>
      </c>
      <c r="H596" s="82">
        <v>41</v>
      </c>
      <c r="I596" s="82">
        <v>226</v>
      </c>
      <c r="J596" s="82">
        <v>545</v>
      </c>
      <c r="K596" s="82">
        <v>771</v>
      </c>
      <c r="L596" s="82">
        <v>33</v>
      </c>
      <c r="M596" s="82">
        <v>56</v>
      </c>
      <c r="N596" s="82">
        <v>105</v>
      </c>
      <c r="O596" s="82">
        <v>54</v>
      </c>
      <c r="P596" s="82">
        <v>930</v>
      </c>
      <c r="Q596" s="82">
        <v>7424</v>
      </c>
      <c r="R596" s="12" t="s">
        <v>25</v>
      </c>
      <c r="S596" s="12" t="s">
        <v>25</v>
      </c>
      <c r="T596" s="12" t="s">
        <v>25</v>
      </c>
    </row>
    <row r="597" spans="1:20" hidden="1" x14ac:dyDescent="0.3">
      <c r="A597" s="13">
        <v>43913.708333333336</v>
      </c>
      <c r="B597" s="12" t="s">
        <v>22</v>
      </c>
      <c r="C597" s="82">
        <v>12</v>
      </c>
      <c r="D597" s="12" t="s">
        <v>48</v>
      </c>
      <c r="E597" s="82">
        <v>4189277044</v>
      </c>
      <c r="F597" s="82">
        <v>1248366722</v>
      </c>
      <c r="G597" s="82">
        <v>718</v>
      </c>
      <c r="H597" s="82">
        <v>96</v>
      </c>
      <c r="I597" s="82">
        <v>814</v>
      </c>
      <c r="J597" s="82">
        <v>600</v>
      </c>
      <c r="K597" s="82">
        <v>1414</v>
      </c>
      <c r="L597" s="82">
        <v>142</v>
      </c>
      <c r="M597" s="82">
        <v>157</v>
      </c>
      <c r="N597" s="82">
        <v>63</v>
      </c>
      <c r="O597" s="82">
        <v>63</v>
      </c>
      <c r="P597" s="82">
        <v>1540</v>
      </c>
      <c r="Q597" s="82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82">
        <v>7</v>
      </c>
      <c r="D598" s="12" t="s">
        <v>49</v>
      </c>
      <c r="E598" s="82">
        <v>4441149315</v>
      </c>
      <c r="F598" s="82">
        <v>89326992</v>
      </c>
      <c r="G598" s="82">
        <v>761</v>
      </c>
      <c r="H598" s="82">
        <v>133</v>
      </c>
      <c r="I598" s="82">
        <v>894</v>
      </c>
      <c r="J598" s="82">
        <v>659</v>
      </c>
      <c r="K598" s="82">
        <v>1553</v>
      </c>
      <c r="L598" s="82">
        <v>202</v>
      </c>
      <c r="M598" s="82">
        <v>259</v>
      </c>
      <c r="N598" s="82">
        <v>159</v>
      </c>
      <c r="O598" s="82">
        <v>212</v>
      </c>
      <c r="P598" s="82">
        <v>1924</v>
      </c>
      <c r="Q598" s="82">
        <v>5538</v>
      </c>
      <c r="R598" s="12" t="s">
        <v>25</v>
      </c>
      <c r="S598" s="12" t="s">
        <v>25</v>
      </c>
      <c r="T598" s="12" t="s">
        <v>25</v>
      </c>
    </row>
    <row r="599" spans="1:20" hidden="1" x14ac:dyDescent="0.3">
      <c r="A599" s="13">
        <v>43913.708333333336</v>
      </c>
      <c r="B599" s="12" t="s">
        <v>22</v>
      </c>
      <c r="C599" s="82">
        <v>3</v>
      </c>
      <c r="D599" s="12" t="s">
        <v>50</v>
      </c>
      <c r="E599" s="82">
        <v>4546679409</v>
      </c>
      <c r="F599" s="82">
        <v>9190347404</v>
      </c>
      <c r="G599" s="82">
        <v>9266</v>
      </c>
      <c r="H599" s="82">
        <v>1183</v>
      </c>
      <c r="I599" s="82">
        <v>10449</v>
      </c>
      <c r="J599" s="82">
        <v>8461</v>
      </c>
      <c r="K599" s="82">
        <v>18910</v>
      </c>
      <c r="L599" s="82">
        <v>1025</v>
      </c>
      <c r="M599" s="82">
        <v>1555</v>
      </c>
      <c r="N599" s="82">
        <v>6075</v>
      </c>
      <c r="O599" s="82">
        <v>3776</v>
      </c>
      <c r="P599" s="82">
        <v>28761</v>
      </c>
      <c r="Q599" s="82">
        <v>73242</v>
      </c>
      <c r="R599" s="12" t="s">
        <v>25</v>
      </c>
      <c r="S599" s="12" t="s">
        <v>25</v>
      </c>
      <c r="T599" s="12" t="s">
        <v>25</v>
      </c>
    </row>
    <row r="600" spans="1:20" hidden="1" x14ac:dyDescent="0.3">
      <c r="A600" s="13">
        <v>43913.708333333336</v>
      </c>
      <c r="B600" s="12" t="s">
        <v>22</v>
      </c>
      <c r="C600" s="82">
        <v>11</v>
      </c>
      <c r="D600" s="12" t="s">
        <v>51</v>
      </c>
      <c r="E600" s="82">
        <v>4361675973</v>
      </c>
      <c r="F600" s="82">
        <v>135188753</v>
      </c>
      <c r="G600" s="82">
        <v>882</v>
      </c>
      <c r="H600" s="82">
        <v>148</v>
      </c>
      <c r="I600" s="82">
        <v>1030</v>
      </c>
      <c r="J600" s="82">
        <v>1328</v>
      </c>
      <c r="K600" s="82">
        <v>2358</v>
      </c>
      <c r="L600" s="82">
        <v>127</v>
      </c>
      <c r="M600" s="82">
        <v>148</v>
      </c>
      <c r="N600" s="82">
        <v>8</v>
      </c>
      <c r="O600" s="82">
        <v>203</v>
      </c>
      <c r="P600" s="82">
        <v>2569</v>
      </c>
      <c r="Q600" s="82">
        <v>6782</v>
      </c>
      <c r="R600" s="12" t="s">
        <v>25</v>
      </c>
      <c r="S600" s="12" t="s">
        <v>25</v>
      </c>
      <c r="T600" s="12" t="s">
        <v>25</v>
      </c>
    </row>
    <row r="601" spans="1:20" hidden="1" x14ac:dyDescent="0.3">
      <c r="A601" s="13">
        <v>43913.708333333336</v>
      </c>
      <c r="B601" s="12" t="s">
        <v>22</v>
      </c>
      <c r="C601" s="82">
        <v>14</v>
      </c>
      <c r="D601" s="12" t="s">
        <v>52</v>
      </c>
      <c r="E601" s="82">
        <v>4155774754</v>
      </c>
      <c r="F601" s="82">
        <v>1465916051</v>
      </c>
      <c r="G601" s="82">
        <v>25</v>
      </c>
      <c r="H601" s="82">
        <v>7</v>
      </c>
      <c r="I601" s="82">
        <v>32</v>
      </c>
      <c r="J601" s="82">
        <v>18</v>
      </c>
      <c r="K601" s="82">
        <v>50</v>
      </c>
      <c r="L601" s="82">
        <v>-2</v>
      </c>
      <c r="M601" s="82">
        <v>1</v>
      </c>
      <c r="N601" s="82">
        <v>10</v>
      </c>
      <c r="O601" s="82">
        <v>7</v>
      </c>
      <c r="P601" s="82">
        <v>67</v>
      </c>
      <c r="Q601" s="82">
        <v>532</v>
      </c>
      <c r="R601" s="12" t="s">
        <v>25</v>
      </c>
      <c r="S601" s="12" t="s">
        <v>25</v>
      </c>
      <c r="T601" s="12" t="s">
        <v>25</v>
      </c>
    </row>
    <row r="602" spans="1:20" hidden="1" x14ac:dyDescent="0.3">
      <c r="A602" s="13">
        <v>43913.708333333336</v>
      </c>
      <c r="B602" s="12" t="s">
        <v>22</v>
      </c>
      <c r="C602" s="82">
        <v>1</v>
      </c>
      <c r="D602" s="12" t="s">
        <v>53</v>
      </c>
      <c r="E602" s="82">
        <v>450732745</v>
      </c>
      <c r="F602" s="82">
        <v>7680687483</v>
      </c>
      <c r="G602" s="82">
        <v>2194</v>
      </c>
      <c r="H602" s="82">
        <v>343</v>
      </c>
      <c r="I602" s="82">
        <v>2537</v>
      </c>
      <c r="J602" s="82">
        <v>1992</v>
      </c>
      <c r="K602" s="82">
        <v>4529</v>
      </c>
      <c r="L602" s="82">
        <v>402</v>
      </c>
      <c r="M602" s="82">
        <v>441</v>
      </c>
      <c r="N602" s="82">
        <v>17</v>
      </c>
      <c r="O602" s="82">
        <v>315</v>
      </c>
      <c r="P602" s="82">
        <v>4861</v>
      </c>
      <c r="Q602" s="82">
        <v>13560</v>
      </c>
      <c r="R602" s="12" t="s">
        <v>25</v>
      </c>
      <c r="S602" s="12" t="s">
        <v>25</v>
      </c>
      <c r="T602" s="12" t="s">
        <v>25</v>
      </c>
    </row>
    <row r="603" spans="1:20" hidden="1" x14ac:dyDescent="0.3">
      <c r="A603" s="13">
        <v>43913.708333333336</v>
      </c>
      <c r="B603" s="12" t="s">
        <v>22</v>
      </c>
      <c r="C603" s="82">
        <v>16</v>
      </c>
      <c r="D603" s="12" t="s">
        <v>54</v>
      </c>
      <c r="E603" s="82">
        <v>4112559576</v>
      </c>
      <c r="F603" s="82">
        <v>1686736689</v>
      </c>
      <c r="G603" s="82">
        <v>285</v>
      </c>
      <c r="H603" s="82">
        <v>45</v>
      </c>
      <c r="I603" s="82">
        <v>330</v>
      </c>
      <c r="J603" s="82">
        <v>532</v>
      </c>
      <c r="K603" s="82">
        <v>862</v>
      </c>
      <c r="L603" s="82">
        <v>114</v>
      </c>
      <c r="M603" s="82">
        <v>120</v>
      </c>
      <c r="N603" s="82">
        <v>7</v>
      </c>
      <c r="O603" s="82">
        <v>37</v>
      </c>
      <c r="P603" s="82">
        <v>906</v>
      </c>
      <c r="Q603" s="82">
        <v>6761</v>
      </c>
      <c r="R603" s="12" t="s">
        <v>25</v>
      </c>
      <c r="S603" s="12" t="s">
        <v>25</v>
      </c>
      <c r="T603" s="12" t="s">
        <v>25</v>
      </c>
    </row>
    <row r="604" spans="1:20" hidden="1" x14ac:dyDescent="0.3">
      <c r="A604" s="13">
        <v>43913.708333333336</v>
      </c>
      <c r="B604" s="12" t="s">
        <v>22</v>
      </c>
      <c r="C604" s="82">
        <v>20</v>
      </c>
      <c r="D604" s="12" t="s">
        <v>55</v>
      </c>
      <c r="E604" s="82">
        <v>3921531192</v>
      </c>
      <c r="F604" s="82">
        <v>9110616306</v>
      </c>
      <c r="G604" s="82">
        <v>76</v>
      </c>
      <c r="H604" s="82">
        <v>18</v>
      </c>
      <c r="I604" s="82">
        <v>94</v>
      </c>
      <c r="J604" s="82">
        <v>249</v>
      </c>
      <c r="K604" s="82">
        <v>343</v>
      </c>
      <c r="L604" s="82">
        <v>16</v>
      </c>
      <c r="M604" s="82">
        <v>20</v>
      </c>
      <c r="N604" s="82">
        <v>5</v>
      </c>
      <c r="O604" s="82">
        <v>11</v>
      </c>
      <c r="P604" s="82">
        <v>359</v>
      </c>
      <c r="Q604" s="82">
        <v>2568</v>
      </c>
      <c r="R604" s="12" t="s">
        <v>25</v>
      </c>
      <c r="S604" s="12" t="s">
        <v>25</v>
      </c>
      <c r="T604" s="12" t="s">
        <v>25</v>
      </c>
    </row>
    <row r="605" spans="1:20" hidden="1" x14ac:dyDescent="0.3">
      <c r="A605" s="13">
        <v>43913.708333333336</v>
      </c>
      <c r="B605" s="12" t="s">
        <v>22</v>
      </c>
      <c r="C605" s="82">
        <v>19</v>
      </c>
      <c r="D605" s="12" t="s">
        <v>56</v>
      </c>
      <c r="E605" s="82">
        <v>3811569725</v>
      </c>
      <c r="F605" s="82">
        <v>133623567</v>
      </c>
      <c r="G605" s="82">
        <v>250</v>
      </c>
      <c r="H605" s="82">
        <v>60</v>
      </c>
      <c r="I605" s="82">
        <v>310</v>
      </c>
      <c r="J605" s="82">
        <v>371</v>
      </c>
      <c r="K605" s="82">
        <v>681</v>
      </c>
      <c r="L605" s="82">
        <v>85</v>
      </c>
      <c r="M605" s="82">
        <v>91</v>
      </c>
      <c r="N605" s="82">
        <v>27</v>
      </c>
      <c r="O605" s="82">
        <v>13</v>
      </c>
      <c r="P605" s="82">
        <v>721</v>
      </c>
      <c r="Q605" s="82">
        <v>6375</v>
      </c>
      <c r="R605" s="12" t="s">
        <v>25</v>
      </c>
      <c r="S605" s="12" t="s">
        <v>25</v>
      </c>
      <c r="T605" s="12" t="s">
        <v>25</v>
      </c>
    </row>
    <row r="606" spans="1:20" hidden="1" x14ac:dyDescent="0.3">
      <c r="A606" s="13">
        <v>43913.708333333336</v>
      </c>
      <c r="B606" s="12" t="s">
        <v>22</v>
      </c>
      <c r="C606" s="82">
        <v>9</v>
      </c>
      <c r="D606" s="12" t="s">
        <v>57</v>
      </c>
      <c r="E606" s="82">
        <v>4376923077</v>
      </c>
      <c r="F606" s="82">
        <v>1125588885</v>
      </c>
      <c r="G606" s="82">
        <v>838</v>
      </c>
      <c r="H606" s="82">
        <v>238</v>
      </c>
      <c r="I606" s="82">
        <v>1076</v>
      </c>
      <c r="J606" s="82">
        <v>1225</v>
      </c>
      <c r="K606" s="82">
        <v>2301</v>
      </c>
      <c r="L606" s="82">
        <v>157</v>
      </c>
      <c r="M606" s="82">
        <v>184</v>
      </c>
      <c r="N606" s="82">
        <v>51</v>
      </c>
      <c r="O606" s="82">
        <v>109</v>
      </c>
      <c r="P606" s="82">
        <v>2461</v>
      </c>
      <c r="Q606" s="82">
        <v>13851</v>
      </c>
      <c r="R606" s="12" t="s">
        <v>25</v>
      </c>
      <c r="S606" s="12" t="s">
        <v>25</v>
      </c>
      <c r="T606" s="12" t="s">
        <v>25</v>
      </c>
    </row>
    <row r="607" spans="1:20" hidden="1" x14ac:dyDescent="0.3">
      <c r="A607" s="13">
        <v>43913.708333333336</v>
      </c>
      <c r="B607" s="12" t="s">
        <v>22</v>
      </c>
      <c r="C607" s="82">
        <v>22</v>
      </c>
      <c r="D607" s="12" t="s">
        <v>58</v>
      </c>
      <c r="E607" s="82">
        <v>4606893511</v>
      </c>
      <c r="F607" s="82">
        <v>1112123097</v>
      </c>
      <c r="G607" s="82">
        <v>249</v>
      </c>
      <c r="H607" s="82">
        <v>46</v>
      </c>
      <c r="I607" s="82">
        <v>295</v>
      </c>
      <c r="J607" s="82">
        <v>619</v>
      </c>
      <c r="K607" s="82">
        <v>914</v>
      </c>
      <c r="L607" s="82">
        <v>29</v>
      </c>
      <c r="M607" s="82">
        <v>69</v>
      </c>
      <c r="N607" s="82">
        <v>68</v>
      </c>
      <c r="O607" s="82">
        <v>41</v>
      </c>
      <c r="P607" s="82">
        <v>1023</v>
      </c>
      <c r="Q607" s="82">
        <v>3150</v>
      </c>
      <c r="R607" s="12" t="s">
        <v>25</v>
      </c>
      <c r="S607" s="12" t="s">
        <v>25</v>
      </c>
      <c r="T607" s="12" t="s">
        <v>25</v>
      </c>
    </row>
    <row r="608" spans="1:20" hidden="1" x14ac:dyDescent="0.3">
      <c r="A608" s="13">
        <v>43913.708333333336</v>
      </c>
      <c r="B608" s="12" t="s">
        <v>22</v>
      </c>
      <c r="C608" s="82">
        <v>10</v>
      </c>
      <c r="D608" s="12" t="s">
        <v>59</v>
      </c>
      <c r="E608" s="82">
        <v>4310675841</v>
      </c>
      <c r="F608" s="82">
        <v>1238824698</v>
      </c>
      <c r="G608" s="82">
        <v>106</v>
      </c>
      <c r="H608" s="82">
        <v>42</v>
      </c>
      <c r="I608" s="82">
        <v>148</v>
      </c>
      <c r="J608" s="82">
        <v>408</v>
      </c>
      <c r="K608" s="82">
        <v>556</v>
      </c>
      <c r="L608" s="82">
        <v>56</v>
      </c>
      <c r="M608" s="82">
        <v>56</v>
      </c>
      <c r="N608" s="82">
        <v>5</v>
      </c>
      <c r="O608" s="82">
        <v>16</v>
      </c>
      <c r="P608" s="82">
        <v>577</v>
      </c>
      <c r="Q608" s="82">
        <v>3561</v>
      </c>
      <c r="R608" s="12" t="s">
        <v>25</v>
      </c>
      <c r="S608" s="12" t="s">
        <v>25</v>
      </c>
      <c r="T608" s="12" t="s">
        <v>25</v>
      </c>
    </row>
    <row r="609" spans="1:20" hidden="1" x14ac:dyDescent="0.3">
      <c r="A609" s="13">
        <v>43913.708333333336</v>
      </c>
      <c r="B609" s="12" t="s">
        <v>22</v>
      </c>
      <c r="C609" s="82">
        <v>2</v>
      </c>
      <c r="D609" s="12" t="s">
        <v>60</v>
      </c>
      <c r="E609" s="82">
        <v>4573750286</v>
      </c>
      <c r="F609" s="82">
        <v>7320149366</v>
      </c>
      <c r="G609" s="82">
        <v>69</v>
      </c>
      <c r="H609" s="82">
        <v>20</v>
      </c>
      <c r="I609" s="82">
        <v>89</v>
      </c>
      <c r="J609" s="82">
        <v>290</v>
      </c>
      <c r="K609" s="82">
        <v>379</v>
      </c>
      <c r="L609" s="82">
        <v>25</v>
      </c>
      <c r="M609" s="82">
        <v>29</v>
      </c>
      <c r="N609" s="82">
        <v>2</v>
      </c>
      <c r="O609" s="82">
        <v>12</v>
      </c>
      <c r="P609" s="82">
        <v>393</v>
      </c>
      <c r="Q609" s="82">
        <v>1098</v>
      </c>
      <c r="R609" s="12" t="s">
        <v>25</v>
      </c>
      <c r="S609" s="12" t="s">
        <v>25</v>
      </c>
      <c r="T609" s="12" t="s">
        <v>25</v>
      </c>
    </row>
    <row r="610" spans="1:20" hidden="1" x14ac:dyDescent="0.3">
      <c r="A610" s="13">
        <v>43913.708333333336</v>
      </c>
      <c r="B610" s="12" t="s">
        <v>22</v>
      </c>
      <c r="C610" s="82">
        <v>5</v>
      </c>
      <c r="D610" s="12" t="s">
        <v>61</v>
      </c>
      <c r="E610" s="82">
        <v>4543490485</v>
      </c>
      <c r="F610" s="82">
        <v>1233845213</v>
      </c>
      <c r="G610" s="82">
        <v>1206</v>
      </c>
      <c r="H610" s="82">
        <v>281</v>
      </c>
      <c r="I610" s="82">
        <v>1487</v>
      </c>
      <c r="J610" s="82">
        <v>3499</v>
      </c>
      <c r="K610" s="82">
        <v>4986</v>
      </c>
      <c r="L610" s="82">
        <v>342</v>
      </c>
      <c r="M610" s="82">
        <v>383</v>
      </c>
      <c r="N610" s="82">
        <v>327</v>
      </c>
      <c r="O610" s="82">
        <v>192</v>
      </c>
      <c r="P610" s="82">
        <v>5505</v>
      </c>
      <c r="Q610" s="82">
        <v>61115</v>
      </c>
      <c r="R610" s="12" t="s">
        <v>25</v>
      </c>
      <c r="S610" s="12" t="s">
        <v>25</v>
      </c>
      <c r="T610" s="12" t="s">
        <v>25</v>
      </c>
    </row>
    <row r="611" spans="1:20" hidden="1" x14ac:dyDescent="0.3">
      <c r="A611" s="13">
        <v>43914.708333333336</v>
      </c>
      <c r="B611" s="12" t="s">
        <v>22</v>
      </c>
      <c r="C611" s="82">
        <v>13</v>
      </c>
      <c r="D611" s="12" t="s">
        <v>42</v>
      </c>
      <c r="E611" s="82">
        <v>4235122196</v>
      </c>
      <c r="F611" s="82">
        <v>1339843823</v>
      </c>
      <c r="G611" s="82">
        <v>234</v>
      </c>
      <c r="H611" s="82">
        <v>57</v>
      </c>
      <c r="I611" s="82">
        <v>291</v>
      </c>
      <c r="J611" s="82">
        <v>331</v>
      </c>
      <c r="K611" s="82">
        <v>622</v>
      </c>
      <c r="L611" s="82">
        <v>17</v>
      </c>
      <c r="M611" s="82">
        <v>26</v>
      </c>
      <c r="N611" s="82">
        <v>21</v>
      </c>
      <c r="O611" s="82">
        <v>46</v>
      </c>
      <c r="P611" s="82">
        <v>689</v>
      </c>
      <c r="Q611" s="82">
        <v>4294</v>
      </c>
      <c r="R611" s="12" t="s">
        <v>25</v>
      </c>
      <c r="S611" s="12" t="s">
        <v>25</v>
      </c>
      <c r="T611" s="12" t="s">
        <v>25</v>
      </c>
    </row>
    <row r="612" spans="1:20" hidden="1" x14ac:dyDescent="0.3">
      <c r="A612" s="13">
        <v>43914.708333333336</v>
      </c>
      <c r="B612" s="12" t="s">
        <v>22</v>
      </c>
      <c r="C612" s="82">
        <v>17</v>
      </c>
      <c r="D612" s="12" t="s">
        <v>43</v>
      </c>
      <c r="E612" s="82">
        <v>4063947052</v>
      </c>
      <c r="F612" s="82">
        <v>1580514834</v>
      </c>
      <c r="G612" s="82">
        <v>14</v>
      </c>
      <c r="H612" s="82">
        <v>12</v>
      </c>
      <c r="I612" s="82">
        <v>26</v>
      </c>
      <c r="J612" s="82">
        <v>65</v>
      </c>
      <c r="K612" s="82">
        <v>91</v>
      </c>
      <c r="L612" s="82">
        <v>2</v>
      </c>
      <c r="M612" s="82">
        <v>2</v>
      </c>
      <c r="N612" s="82">
        <v>0</v>
      </c>
      <c r="O612" s="82">
        <v>1</v>
      </c>
      <c r="P612" s="82">
        <v>92</v>
      </c>
      <c r="Q612" s="82">
        <v>744</v>
      </c>
      <c r="R612" s="12" t="s">
        <v>25</v>
      </c>
      <c r="S612" s="12" t="s">
        <v>25</v>
      </c>
      <c r="T612" s="12" t="s">
        <v>25</v>
      </c>
    </row>
    <row r="613" spans="1:20" hidden="1" x14ac:dyDescent="0.3">
      <c r="A613" s="13">
        <v>43914.708333333336</v>
      </c>
      <c r="B613" s="12" t="s">
        <v>22</v>
      </c>
      <c r="C613" s="82">
        <v>21</v>
      </c>
      <c r="D613" s="12" t="s">
        <v>44</v>
      </c>
      <c r="E613" s="82">
        <v>4649933453</v>
      </c>
      <c r="F613" s="82">
        <v>1135662422</v>
      </c>
      <c r="G613" s="82">
        <v>166</v>
      </c>
      <c r="H613" s="82">
        <v>38</v>
      </c>
      <c r="I613" s="82">
        <v>204</v>
      </c>
      <c r="J613" s="82">
        <v>495</v>
      </c>
      <c r="K613" s="82">
        <v>699</v>
      </c>
      <c r="L613" s="82">
        <v>11</v>
      </c>
      <c r="M613" s="82">
        <v>57</v>
      </c>
      <c r="N613" s="82">
        <v>44</v>
      </c>
      <c r="O613" s="82">
        <v>38</v>
      </c>
      <c r="P613" s="82">
        <v>781</v>
      </c>
      <c r="Q613" s="82">
        <v>6509</v>
      </c>
      <c r="R613" s="12" t="s">
        <v>25</v>
      </c>
      <c r="S613" s="12" t="s">
        <v>25</v>
      </c>
      <c r="T613" s="12" t="s">
        <v>25</v>
      </c>
    </row>
    <row r="614" spans="1:20" hidden="1" x14ac:dyDescent="0.3">
      <c r="A614" s="13">
        <v>43914.708333333336</v>
      </c>
      <c r="B614" s="12" t="s">
        <v>22</v>
      </c>
      <c r="C614" s="82">
        <v>18</v>
      </c>
      <c r="D614" s="12" t="s">
        <v>45</v>
      </c>
      <c r="E614" s="82">
        <v>3890597598</v>
      </c>
      <c r="F614" s="82">
        <v>1659440194</v>
      </c>
      <c r="G614" s="82">
        <v>88</v>
      </c>
      <c r="H614" s="82">
        <v>21</v>
      </c>
      <c r="I614" s="82">
        <v>109</v>
      </c>
      <c r="J614" s="82">
        <v>195</v>
      </c>
      <c r="K614" s="82">
        <v>304</v>
      </c>
      <c r="L614" s="82">
        <v>24</v>
      </c>
      <c r="M614" s="82">
        <v>27</v>
      </c>
      <c r="N614" s="82">
        <v>5</v>
      </c>
      <c r="O614" s="82">
        <v>10</v>
      </c>
      <c r="P614" s="82">
        <v>319</v>
      </c>
      <c r="Q614" s="82">
        <v>4486</v>
      </c>
      <c r="R614" s="12" t="s">
        <v>25</v>
      </c>
      <c r="S614" s="12" t="s">
        <v>25</v>
      </c>
      <c r="T614" s="12" t="s">
        <v>25</v>
      </c>
    </row>
    <row r="615" spans="1:20" hidden="1" x14ac:dyDescent="0.3">
      <c r="A615" s="13">
        <v>43914.708333333336</v>
      </c>
      <c r="B615" s="12" t="s">
        <v>22</v>
      </c>
      <c r="C615" s="82">
        <v>15</v>
      </c>
      <c r="D615" s="12" t="s">
        <v>46</v>
      </c>
      <c r="E615" s="82">
        <v>4083956555</v>
      </c>
      <c r="F615" s="82">
        <v>1425084984</v>
      </c>
      <c r="G615" s="82">
        <v>345</v>
      </c>
      <c r="H615" s="82">
        <v>181</v>
      </c>
      <c r="I615" s="82">
        <v>526</v>
      </c>
      <c r="J615" s="82">
        <v>466</v>
      </c>
      <c r="K615" s="82">
        <v>992</v>
      </c>
      <c r="L615" s="82">
        <v>63</v>
      </c>
      <c r="M615" s="82">
        <v>75</v>
      </c>
      <c r="N615" s="82">
        <v>53</v>
      </c>
      <c r="O615" s="82">
        <v>56</v>
      </c>
      <c r="P615" s="82">
        <v>1101</v>
      </c>
      <c r="Q615" s="82">
        <v>6297</v>
      </c>
      <c r="R615" s="12" t="s">
        <v>25</v>
      </c>
      <c r="S615" s="12" t="s">
        <v>25</v>
      </c>
      <c r="T615" s="12" t="s">
        <v>25</v>
      </c>
    </row>
    <row r="616" spans="1:20" hidden="1" x14ac:dyDescent="0.3">
      <c r="A616" s="13">
        <v>43914.708333333336</v>
      </c>
      <c r="B616" s="12" t="s">
        <v>22</v>
      </c>
      <c r="C616" s="82">
        <v>8</v>
      </c>
      <c r="D616" s="12" t="s">
        <v>95</v>
      </c>
      <c r="E616" s="82">
        <v>4449436681</v>
      </c>
      <c r="F616" s="82">
        <v>113417208</v>
      </c>
      <c r="G616" s="82">
        <v>2974</v>
      </c>
      <c r="H616" s="82">
        <v>291</v>
      </c>
      <c r="I616" s="82">
        <v>3265</v>
      </c>
      <c r="J616" s="82">
        <v>4446</v>
      </c>
      <c r="K616" s="82">
        <v>7711</v>
      </c>
      <c r="L616" s="82">
        <v>491</v>
      </c>
      <c r="M616" s="82">
        <v>719</v>
      </c>
      <c r="N616" s="82">
        <v>558</v>
      </c>
      <c r="O616" s="82">
        <v>985</v>
      </c>
      <c r="P616" s="82">
        <v>9254</v>
      </c>
      <c r="Q616" s="82">
        <v>33527</v>
      </c>
      <c r="R616" s="12" t="s">
        <v>25</v>
      </c>
      <c r="S616" s="12" t="s">
        <v>25</v>
      </c>
      <c r="T616" s="12" t="s">
        <v>25</v>
      </c>
    </row>
    <row r="617" spans="1:20" hidden="1" x14ac:dyDescent="0.3">
      <c r="A617" s="13">
        <v>43914.708333333336</v>
      </c>
      <c r="B617" s="12" t="s">
        <v>22</v>
      </c>
      <c r="C617" s="82">
        <v>6</v>
      </c>
      <c r="D617" s="12" t="s">
        <v>47</v>
      </c>
      <c r="E617" s="82">
        <v>456494354</v>
      </c>
      <c r="F617" s="82">
        <v>1376813649</v>
      </c>
      <c r="G617" s="82">
        <v>195</v>
      </c>
      <c r="H617" s="82">
        <v>49</v>
      </c>
      <c r="I617" s="82">
        <v>244</v>
      </c>
      <c r="J617" s="82">
        <v>604</v>
      </c>
      <c r="K617" s="82">
        <v>848</v>
      </c>
      <c r="L617" s="82">
        <v>77</v>
      </c>
      <c r="M617" s="82">
        <v>62</v>
      </c>
      <c r="N617" s="82">
        <v>80</v>
      </c>
      <c r="O617" s="82">
        <v>64</v>
      </c>
      <c r="P617" s="82">
        <v>992</v>
      </c>
      <c r="Q617" s="82">
        <v>8526</v>
      </c>
      <c r="R617" s="12" t="s">
        <v>25</v>
      </c>
      <c r="S617" s="12" t="s">
        <v>25</v>
      </c>
      <c r="T617" s="12" t="s">
        <v>25</v>
      </c>
    </row>
    <row r="618" spans="1:20" hidden="1" x14ac:dyDescent="0.3">
      <c r="A618" s="13">
        <v>43914.708333333336</v>
      </c>
      <c r="B618" s="12" t="s">
        <v>22</v>
      </c>
      <c r="C618" s="82">
        <v>12</v>
      </c>
      <c r="D618" s="12" t="s">
        <v>48</v>
      </c>
      <c r="E618" s="82">
        <v>4189277044</v>
      </c>
      <c r="F618" s="82">
        <v>1248366722</v>
      </c>
      <c r="G618" s="82">
        <v>747</v>
      </c>
      <c r="H618" s="82">
        <v>94</v>
      </c>
      <c r="I618" s="82">
        <v>841</v>
      </c>
      <c r="J618" s="82">
        <v>704</v>
      </c>
      <c r="K618" s="82">
        <v>1545</v>
      </c>
      <c r="L618" s="82">
        <v>131</v>
      </c>
      <c r="M618" s="82">
        <v>188</v>
      </c>
      <c r="N618" s="82">
        <v>103</v>
      </c>
      <c r="O618" s="82">
        <v>80</v>
      </c>
      <c r="P618" s="82">
        <v>1728</v>
      </c>
      <c r="Q618" s="82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82">
        <v>7</v>
      </c>
      <c r="D619" s="12" t="s">
        <v>49</v>
      </c>
      <c r="E619" s="82">
        <v>4441149315</v>
      </c>
      <c r="F619" s="82">
        <v>89326992</v>
      </c>
      <c r="G619" s="82">
        <v>803</v>
      </c>
      <c r="H619" s="82">
        <v>147</v>
      </c>
      <c r="I619" s="82">
        <v>950</v>
      </c>
      <c r="J619" s="82">
        <v>742</v>
      </c>
      <c r="K619" s="82">
        <v>1692</v>
      </c>
      <c r="L619" s="82">
        <v>139</v>
      </c>
      <c r="M619" s="82">
        <v>192</v>
      </c>
      <c r="N619" s="82">
        <v>193</v>
      </c>
      <c r="O619" s="82">
        <v>231</v>
      </c>
      <c r="P619" s="82">
        <v>2116</v>
      </c>
      <c r="Q619" s="82">
        <v>5992</v>
      </c>
      <c r="R619" s="12" t="s">
        <v>25</v>
      </c>
      <c r="S619" s="12" t="s">
        <v>25</v>
      </c>
      <c r="T619" s="12" t="s">
        <v>25</v>
      </c>
    </row>
    <row r="620" spans="1:20" hidden="1" x14ac:dyDescent="0.3">
      <c r="A620" s="13">
        <v>43914.708333333336</v>
      </c>
      <c r="B620" s="12" t="s">
        <v>22</v>
      </c>
      <c r="C620" s="82">
        <v>3</v>
      </c>
      <c r="D620" s="12" t="s">
        <v>50</v>
      </c>
      <c r="E620" s="82">
        <v>4546679409</v>
      </c>
      <c r="F620" s="82">
        <v>9190347404</v>
      </c>
      <c r="G620" s="82">
        <v>9711</v>
      </c>
      <c r="H620" s="82">
        <v>1194</v>
      </c>
      <c r="I620" s="82">
        <v>10905</v>
      </c>
      <c r="J620" s="82">
        <v>8963</v>
      </c>
      <c r="K620" s="82">
        <v>19868</v>
      </c>
      <c r="L620" s="82">
        <v>958</v>
      </c>
      <c r="M620" s="82">
        <v>1942</v>
      </c>
      <c r="N620" s="82">
        <v>6657</v>
      </c>
      <c r="O620" s="82">
        <v>4178</v>
      </c>
      <c r="P620" s="82">
        <v>30703</v>
      </c>
      <c r="Q620" s="82">
        <v>76695</v>
      </c>
      <c r="R620" s="12" t="s">
        <v>25</v>
      </c>
      <c r="S620" s="12" t="s">
        <v>25</v>
      </c>
      <c r="T620" s="12" t="s">
        <v>25</v>
      </c>
    </row>
    <row r="621" spans="1:20" hidden="1" x14ac:dyDescent="0.3">
      <c r="A621" s="13">
        <v>43914.708333333336</v>
      </c>
      <c r="B621" s="12" t="s">
        <v>22</v>
      </c>
      <c r="C621" s="82">
        <v>11</v>
      </c>
      <c r="D621" s="12" t="s">
        <v>51</v>
      </c>
      <c r="E621" s="82">
        <v>4361675973</v>
      </c>
      <c r="F621" s="82">
        <v>135188753</v>
      </c>
      <c r="G621" s="82">
        <v>862</v>
      </c>
      <c r="H621" s="82">
        <v>149</v>
      </c>
      <c r="I621" s="82">
        <v>1011</v>
      </c>
      <c r="J621" s="82">
        <v>1486</v>
      </c>
      <c r="K621" s="82">
        <v>2497</v>
      </c>
      <c r="L621" s="82">
        <v>139</v>
      </c>
      <c r="M621" s="82">
        <v>167</v>
      </c>
      <c r="N621" s="82">
        <v>8</v>
      </c>
      <c r="O621" s="82">
        <v>231</v>
      </c>
      <c r="P621" s="82">
        <v>2736</v>
      </c>
      <c r="Q621" s="82">
        <v>7229</v>
      </c>
      <c r="R621" s="12" t="s">
        <v>25</v>
      </c>
      <c r="S621" s="12" t="s">
        <v>25</v>
      </c>
      <c r="T621" s="12" t="s">
        <v>25</v>
      </c>
    </row>
    <row r="622" spans="1:20" hidden="1" x14ac:dyDescent="0.3">
      <c r="A622" s="13">
        <v>43914.708333333336</v>
      </c>
      <c r="B622" s="12" t="s">
        <v>22</v>
      </c>
      <c r="C622" s="82">
        <v>14</v>
      </c>
      <c r="D622" s="12" t="s">
        <v>52</v>
      </c>
      <c r="E622" s="82">
        <v>4155774754</v>
      </c>
      <c r="F622" s="82">
        <v>1465916051</v>
      </c>
      <c r="G622" s="82">
        <v>27</v>
      </c>
      <c r="H622" s="82">
        <v>7</v>
      </c>
      <c r="I622" s="82">
        <v>34</v>
      </c>
      <c r="J622" s="82">
        <v>21</v>
      </c>
      <c r="K622" s="82">
        <v>55</v>
      </c>
      <c r="L622" s="82">
        <v>5</v>
      </c>
      <c r="M622" s="82">
        <v>6</v>
      </c>
      <c r="N622" s="82">
        <v>10</v>
      </c>
      <c r="O622" s="82">
        <v>8</v>
      </c>
      <c r="P622" s="82">
        <v>73</v>
      </c>
      <c r="Q622" s="82">
        <v>572</v>
      </c>
      <c r="R622" s="12" t="s">
        <v>25</v>
      </c>
      <c r="S622" s="12" t="s">
        <v>25</v>
      </c>
      <c r="T622" s="12" t="s">
        <v>25</v>
      </c>
    </row>
    <row r="623" spans="1:20" hidden="1" x14ac:dyDescent="0.3">
      <c r="A623" s="13">
        <v>43914.708333333336</v>
      </c>
      <c r="B623" s="12" t="s">
        <v>22</v>
      </c>
      <c r="C623" s="82">
        <v>1</v>
      </c>
      <c r="D623" s="12" t="s">
        <v>53</v>
      </c>
      <c r="E623" s="82">
        <v>450732745</v>
      </c>
      <c r="F623" s="82">
        <v>7680687483</v>
      </c>
      <c r="G623" s="82">
        <v>2404</v>
      </c>
      <c r="H623" s="82">
        <v>360</v>
      </c>
      <c r="I623" s="82">
        <v>2764</v>
      </c>
      <c r="J623" s="82">
        <v>2360</v>
      </c>
      <c r="K623" s="82">
        <v>5124</v>
      </c>
      <c r="L623" s="82">
        <v>595</v>
      </c>
      <c r="M623" s="82">
        <v>654</v>
      </c>
      <c r="N623" s="82">
        <v>17</v>
      </c>
      <c r="O623" s="82">
        <v>374</v>
      </c>
      <c r="P623" s="82">
        <v>5515</v>
      </c>
      <c r="Q623" s="82">
        <v>15469</v>
      </c>
      <c r="R623" s="12" t="s">
        <v>25</v>
      </c>
      <c r="S623" s="12" t="s">
        <v>25</v>
      </c>
      <c r="T623" s="12" t="s">
        <v>25</v>
      </c>
    </row>
    <row r="624" spans="1:20" hidden="1" x14ac:dyDescent="0.3">
      <c r="A624" s="13">
        <v>43914.708333333336</v>
      </c>
      <c r="B624" s="12" t="s">
        <v>22</v>
      </c>
      <c r="C624" s="82">
        <v>16</v>
      </c>
      <c r="D624" s="12" t="s">
        <v>54</v>
      </c>
      <c r="E624" s="82">
        <v>4112559576</v>
      </c>
      <c r="F624" s="82">
        <v>1686736689</v>
      </c>
      <c r="G624" s="82">
        <v>317</v>
      </c>
      <c r="H624" s="82">
        <v>57</v>
      </c>
      <c r="I624" s="82">
        <v>374</v>
      </c>
      <c r="J624" s="82">
        <v>566</v>
      </c>
      <c r="K624" s="82">
        <v>940</v>
      </c>
      <c r="L624" s="82">
        <v>78</v>
      </c>
      <c r="M624" s="82">
        <v>99</v>
      </c>
      <c r="N624" s="82">
        <v>21</v>
      </c>
      <c r="O624" s="82">
        <v>44</v>
      </c>
      <c r="P624" s="82">
        <v>1005</v>
      </c>
      <c r="Q624" s="82">
        <v>7345</v>
      </c>
      <c r="R624" s="12" t="s">
        <v>25</v>
      </c>
      <c r="S624" s="12" t="s">
        <v>25</v>
      </c>
      <c r="T624" s="12" t="s">
        <v>25</v>
      </c>
    </row>
    <row r="625" spans="1:20" hidden="1" x14ac:dyDescent="0.3">
      <c r="A625" s="13">
        <v>43914.708333333336</v>
      </c>
      <c r="B625" s="12" t="s">
        <v>22</v>
      </c>
      <c r="C625" s="82">
        <v>20</v>
      </c>
      <c r="D625" s="12" t="s">
        <v>55</v>
      </c>
      <c r="E625" s="82">
        <v>3921531192</v>
      </c>
      <c r="F625" s="82">
        <v>9110616306</v>
      </c>
      <c r="G625" s="82">
        <v>80</v>
      </c>
      <c r="H625" s="82">
        <v>19</v>
      </c>
      <c r="I625" s="82">
        <v>99</v>
      </c>
      <c r="J625" s="82">
        <v>296</v>
      </c>
      <c r="K625" s="82">
        <v>395</v>
      </c>
      <c r="L625" s="82">
        <v>52</v>
      </c>
      <c r="M625" s="82">
        <v>62</v>
      </c>
      <c r="N625" s="82">
        <v>11</v>
      </c>
      <c r="O625" s="82">
        <v>15</v>
      </c>
      <c r="P625" s="82">
        <v>421</v>
      </c>
      <c r="Q625" s="82">
        <v>2859</v>
      </c>
      <c r="R625" s="12" t="s">
        <v>25</v>
      </c>
      <c r="S625" s="12" t="s">
        <v>25</v>
      </c>
      <c r="T625" s="12" t="s">
        <v>25</v>
      </c>
    </row>
    <row r="626" spans="1:20" hidden="1" x14ac:dyDescent="0.3">
      <c r="A626" s="13">
        <v>43914.708333333336</v>
      </c>
      <c r="B626" s="12" t="s">
        <v>22</v>
      </c>
      <c r="C626" s="82">
        <v>19</v>
      </c>
      <c r="D626" s="12" t="s">
        <v>56</v>
      </c>
      <c r="E626" s="82">
        <v>3811569725</v>
      </c>
      <c r="F626" s="82">
        <v>133623567</v>
      </c>
      <c r="G626" s="82">
        <v>250</v>
      </c>
      <c r="H626" s="82">
        <v>60</v>
      </c>
      <c r="I626" s="82">
        <v>310</v>
      </c>
      <c r="J626" s="82">
        <v>489</v>
      </c>
      <c r="K626" s="82">
        <v>799</v>
      </c>
      <c r="L626" s="82">
        <v>118</v>
      </c>
      <c r="M626" s="82">
        <v>125</v>
      </c>
      <c r="N626" s="82">
        <v>27</v>
      </c>
      <c r="O626" s="82">
        <v>20</v>
      </c>
      <c r="P626" s="82">
        <v>846</v>
      </c>
      <c r="Q626" s="82">
        <v>7170</v>
      </c>
      <c r="R626" s="12" t="s">
        <v>25</v>
      </c>
      <c r="S626" s="12" t="s">
        <v>25</v>
      </c>
      <c r="T626" s="12" t="s">
        <v>25</v>
      </c>
    </row>
    <row r="627" spans="1:20" hidden="1" x14ac:dyDescent="0.3">
      <c r="A627" s="13">
        <v>43914.708333333336</v>
      </c>
      <c r="B627" s="12" t="s">
        <v>22</v>
      </c>
      <c r="C627" s="82">
        <v>9</v>
      </c>
      <c r="D627" s="12" t="s">
        <v>57</v>
      </c>
      <c r="E627" s="82">
        <v>4376923077</v>
      </c>
      <c r="F627" s="82">
        <v>1125588885</v>
      </c>
      <c r="G627" s="82">
        <v>918</v>
      </c>
      <c r="H627" s="82">
        <v>244</v>
      </c>
      <c r="I627" s="82">
        <v>1162</v>
      </c>
      <c r="J627" s="82">
        <v>1357</v>
      </c>
      <c r="K627" s="82">
        <v>2519</v>
      </c>
      <c r="L627" s="82">
        <v>218</v>
      </c>
      <c r="M627" s="82">
        <v>238</v>
      </c>
      <c r="N627" s="82">
        <v>51</v>
      </c>
      <c r="O627" s="82">
        <v>129</v>
      </c>
      <c r="P627" s="82">
        <v>2699</v>
      </c>
      <c r="Q627" s="82">
        <v>15701</v>
      </c>
      <c r="R627" s="12" t="s">
        <v>25</v>
      </c>
      <c r="S627" s="12" t="s">
        <v>25</v>
      </c>
      <c r="T627" s="12" t="s">
        <v>25</v>
      </c>
    </row>
    <row r="628" spans="1:20" hidden="1" x14ac:dyDescent="0.3">
      <c r="A628" s="13">
        <v>43914.708333333336</v>
      </c>
      <c r="B628" s="12" t="s">
        <v>22</v>
      </c>
      <c r="C628" s="82">
        <v>22</v>
      </c>
      <c r="D628" s="12" t="s">
        <v>58</v>
      </c>
      <c r="E628" s="82">
        <v>4606893511</v>
      </c>
      <c r="F628" s="82">
        <v>1112123097</v>
      </c>
      <c r="G628" s="82">
        <v>308</v>
      </c>
      <c r="H628" s="82">
        <v>49</v>
      </c>
      <c r="I628" s="82">
        <v>357</v>
      </c>
      <c r="J628" s="82">
        <v>618</v>
      </c>
      <c r="K628" s="82">
        <v>975</v>
      </c>
      <c r="L628" s="82">
        <v>61</v>
      </c>
      <c r="M628" s="82">
        <v>87</v>
      </c>
      <c r="N628" s="82">
        <v>79</v>
      </c>
      <c r="O628" s="82">
        <v>56</v>
      </c>
      <c r="P628" s="82">
        <v>1110</v>
      </c>
      <c r="Q628" s="82">
        <v>3712</v>
      </c>
      <c r="R628" s="12" t="s">
        <v>25</v>
      </c>
      <c r="S628" s="12" t="s">
        <v>25</v>
      </c>
      <c r="T628" s="12" t="s">
        <v>25</v>
      </c>
    </row>
    <row r="629" spans="1:20" hidden="1" x14ac:dyDescent="0.3">
      <c r="A629" s="13">
        <v>43914.708333333336</v>
      </c>
      <c r="B629" s="12" t="s">
        <v>22</v>
      </c>
      <c r="C629" s="82">
        <v>10</v>
      </c>
      <c r="D629" s="12" t="s">
        <v>59</v>
      </c>
      <c r="E629" s="82">
        <v>4310675841</v>
      </c>
      <c r="F629" s="82">
        <v>1238824698</v>
      </c>
      <c r="G629" s="82">
        <v>105</v>
      </c>
      <c r="H629" s="82">
        <v>43</v>
      </c>
      <c r="I629" s="82">
        <v>148</v>
      </c>
      <c r="J629" s="82">
        <v>476</v>
      </c>
      <c r="K629" s="82">
        <v>624</v>
      </c>
      <c r="L629" s="82">
        <v>68</v>
      </c>
      <c r="M629" s="82">
        <v>71</v>
      </c>
      <c r="N629" s="82">
        <v>5</v>
      </c>
      <c r="O629" s="82">
        <v>19</v>
      </c>
      <c r="P629" s="82">
        <v>648</v>
      </c>
      <c r="Q629" s="82">
        <v>4108</v>
      </c>
      <c r="R629" s="12" t="s">
        <v>25</v>
      </c>
      <c r="S629" s="12" t="s">
        <v>25</v>
      </c>
      <c r="T629" s="12" t="s">
        <v>25</v>
      </c>
    </row>
    <row r="630" spans="1:20" hidden="1" x14ac:dyDescent="0.3">
      <c r="A630" s="13">
        <v>43914.708333333336</v>
      </c>
      <c r="B630" s="12" t="s">
        <v>22</v>
      </c>
      <c r="C630" s="82">
        <v>2</v>
      </c>
      <c r="D630" s="12" t="s">
        <v>60</v>
      </c>
      <c r="E630" s="82">
        <v>4573750286</v>
      </c>
      <c r="F630" s="82">
        <v>7320149366</v>
      </c>
      <c r="G630" s="82">
        <v>71</v>
      </c>
      <c r="H630" s="82">
        <v>20</v>
      </c>
      <c r="I630" s="82">
        <v>91</v>
      </c>
      <c r="J630" s="82">
        <v>288</v>
      </c>
      <c r="K630" s="82">
        <v>379</v>
      </c>
      <c r="L630" s="82">
        <v>0</v>
      </c>
      <c r="M630" s="82">
        <v>7</v>
      </c>
      <c r="N630" s="82">
        <v>2</v>
      </c>
      <c r="O630" s="82">
        <v>19</v>
      </c>
      <c r="P630" s="82">
        <v>400</v>
      </c>
      <c r="Q630" s="82">
        <v>1180</v>
      </c>
      <c r="R630" s="12" t="s">
        <v>25</v>
      </c>
      <c r="S630" s="12" t="s">
        <v>25</v>
      </c>
      <c r="T630" s="12" t="s">
        <v>25</v>
      </c>
    </row>
    <row r="631" spans="1:20" hidden="1" x14ac:dyDescent="0.3">
      <c r="A631" s="13">
        <v>43914.708333333336</v>
      </c>
      <c r="B631" s="12" t="s">
        <v>22</v>
      </c>
      <c r="C631" s="82">
        <v>5</v>
      </c>
      <c r="D631" s="12" t="s">
        <v>61</v>
      </c>
      <c r="E631" s="82">
        <v>4543490485</v>
      </c>
      <c r="F631" s="82">
        <v>1233845213</v>
      </c>
      <c r="G631" s="82">
        <v>1318</v>
      </c>
      <c r="H631" s="82">
        <v>304</v>
      </c>
      <c r="I631" s="82">
        <v>1622</v>
      </c>
      <c r="J631" s="82">
        <v>3729</v>
      </c>
      <c r="K631" s="82">
        <v>5351</v>
      </c>
      <c r="L631" s="82">
        <v>365</v>
      </c>
      <c r="M631" s="82">
        <v>443</v>
      </c>
      <c r="N631" s="82">
        <v>381</v>
      </c>
      <c r="O631" s="82">
        <v>216</v>
      </c>
      <c r="P631" s="82">
        <v>5948</v>
      </c>
      <c r="Q631" s="82">
        <v>66178</v>
      </c>
      <c r="R631" s="12" t="s">
        <v>25</v>
      </c>
      <c r="S631" s="12" t="s">
        <v>25</v>
      </c>
      <c r="T631" s="12" t="s">
        <v>25</v>
      </c>
    </row>
    <row r="632" spans="1:20" hidden="1" x14ac:dyDescent="0.3">
      <c r="A632" s="13">
        <v>43915.708333333336</v>
      </c>
      <c r="B632" s="12" t="s">
        <v>22</v>
      </c>
      <c r="C632" s="82">
        <v>13</v>
      </c>
      <c r="D632" s="12" t="s">
        <v>42</v>
      </c>
      <c r="E632" s="82">
        <v>4235122196</v>
      </c>
      <c r="F632" s="82">
        <v>1339843823</v>
      </c>
      <c r="G632" s="82">
        <v>248</v>
      </c>
      <c r="H632" s="82">
        <v>59</v>
      </c>
      <c r="I632" s="82">
        <v>307</v>
      </c>
      <c r="J632" s="82">
        <v>431</v>
      </c>
      <c r="K632" s="82">
        <v>738</v>
      </c>
      <c r="L632" s="82">
        <v>116</v>
      </c>
      <c r="M632" s="82">
        <v>124</v>
      </c>
      <c r="N632" s="82">
        <v>23</v>
      </c>
      <c r="O632" s="82">
        <v>52</v>
      </c>
      <c r="P632" s="82">
        <v>813</v>
      </c>
      <c r="Q632" s="82">
        <v>4982</v>
      </c>
      <c r="R632" s="12" t="s">
        <v>25</v>
      </c>
      <c r="S632" s="12" t="s">
        <v>25</v>
      </c>
      <c r="T632" s="12" t="s">
        <v>25</v>
      </c>
    </row>
    <row r="633" spans="1:20" hidden="1" x14ac:dyDescent="0.3">
      <c r="A633" s="13">
        <v>43915.708333333336</v>
      </c>
      <c r="B633" s="12" t="s">
        <v>22</v>
      </c>
      <c r="C633" s="82">
        <v>17</v>
      </c>
      <c r="D633" s="12" t="s">
        <v>43</v>
      </c>
      <c r="E633" s="82">
        <v>4063947052</v>
      </c>
      <c r="F633" s="82">
        <v>1580514834</v>
      </c>
      <c r="G633" s="82">
        <v>20</v>
      </c>
      <c r="H633" s="82">
        <v>14</v>
      </c>
      <c r="I633" s="82">
        <v>34</v>
      </c>
      <c r="J633" s="82">
        <v>78</v>
      </c>
      <c r="K633" s="82">
        <v>112</v>
      </c>
      <c r="L633" s="82">
        <v>21</v>
      </c>
      <c r="M633" s="82">
        <v>21</v>
      </c>
      <c r="N633" s="82">
        <v>0</v>
      </c>
      <c r="O633" s="82">
        <v>1</v>
      </c>
      <c r="P633" s="82">
        <v>113</v>
      </c>
      <c r="Q633" s="82">
        <v>857</v>
      </c>
      <c r="R633" s="12" t="s">
        <v>25</v>
      </c>
      <c r="S633" s="12" t="s">
        <v>25</v>
      </c>
      <c r="T633" s="12" t="s">
        <v>25</v>
      </c>
    </row>
    <row r="634" spans="1:20" hidden="1" x14ac:dyDescent="0.3">
      <c r="A634" s="13">
        <v>43915.708333333336</v>
      </c>
      <c r="B634" s="12" t="s">
        <v>22</v>
      </c>
      <c r="C634" s="82">
        <v>21</v>
      </c>
      <c r="D634" s="12" t="s">
        <v>44</v>
      </c>
      <c r="E634" s="82">
        <v>4649933453</v>
      </c>
      <c r="F634" s="82">
        <v>1135662422</v>
      </c>
      <c r="G634" s="82">
        <v>190</v>
      </c>
      <c r="H634" s="82">
        <v>40</v>
      </c>
      <c r="I634" s="82">
        <v>230</v>
      </c>
      <c r="J634" s="82">
        <v>518</v>
      </c>
      <c r="K634" s="82">
        <v>748</v>
      </c>
      <c r="L634" s="82">
        <v>49</v>
      </c>
      <c r="M634" s="82">
        <v>77</v>
      </c>
      <c r="N634" s="82">
        <v>67</v>
      </c>
      <c r="O634" s="82">
        <v>43</v>
      </c>
      <c r="P634" s="82">
        <v>858</v>
      </c>
      <c r="Q634" s="82">
        <v>6649</v>
      </c>
      <c r="R634" s="12" t="s">
        <v>25</v>
      </c>
      <c r="S634" s="12" t="s">
        <v>25</v>
      </c>
      <c r="T634" s="12" t="s">
        <v>25</v>
      </c>
    </row>
    <row r="635" spans="1:20" hidden="1" x14ac:dyDescent="0.3">
      <c r="A635" s="13">
        <v>43915.708333333336</v>
      </c>
      <c r="B635" s="12" t="s">
        <v>22</v>
      </c>
      <c r="C635" s="82">
        <v>18</v>
      </c>
      <c r="D635" s="12" t="s">
        <v>45</v>
      </c>
      <c r="E635" s="82">
        <v>3890597598</v>
      </c>
      <c r="F635" s="82">
        <v>1659440194</v>
      </c>
      <c r="G635" s="82">
        <v>93</v>
      </c>
      <c r="H635" s="82">
        <v>23</v>
      </c>
      <c r="I635" s="82">
        <v>116</v>
      </c>
      <c r="J635" s="82">
        <v>217</v>
      </c>
      <c r="K635" s="82">
        <v>333</v>
      </c>
      <c r="L635" s="82">
        <v>29</v>
      </c>
      <c r="M635" s="82">
        <v>32</v>
      </c>
      <c r="N635" s="82">
        <v>7</v>
      </c>
      <c r="O635" s="82">
        <v>11</v>
      </c>
      <c r="P635" s="82">
        <v>351</v>
      </c>
      <c r="Q635" s="82">
        <v>5058</v>
      </c>
      <c r="R635" s="12" t="s">
        <v>25</v>
      </c>
      <c r="S635" s="12" t="s">
        <v>25</v>
      </c>
      <c r="T635" s="12" t="s">
        <v>25</v>
      </c>
    </row>
    <row r="636" spans="1:20" hidden="1" x14ac:dyDescent="0.3">
      <c r="A636" s="13">
        <v>43915.708333333336</v>
      </c>
      <c r="B636" s="12" t="s">
        <v>22</v>
      </c>
      <c r="C636" s="82">
        <v>15</v>
      </c>
      <c r="D636" s="12" t="s">
        <v>46</v>
      </c>
      <c r="E636" s="82">
        <v>4083956555</v>
      </c>
      <c r="F636" s="82">
        <v>1425084984</v>
      </c>
      <c r="G636" s="82">
        <v>318</v>
      </c>
      <c r="H636" s="82">
        <v>123</v>
      </c>
      <c r="I636" s="82">
        <v>441</v>
      </c>
      <c r="J636" s="82">
        <v>631</v>
      </c>
      <c r="K636" s="82">
        <v>1072</v>
      </c>
      <c r="L636" s="82">
        <v>80</v>
      </c>
      <c r="M636" s="82">
        <v>98</v>
      </c>
      <c r="N636" s="82">
        <v>53</v>
      </c>
      <c r="O636" s="82">
        <v>74</v>
      </c>
      <c r="P636" s="82">
        <v>1199</v>
      </c>
      <c r="Q636" s="82">
        <v>6972</v>
      </c>
      <c r="R636" s="12" t="s">
        <v>25</v>
      </c>
      <c r="S636" s="12" t="s">
        <v>25</v>
      </c>
      <c r="T636" s="12" t="s">
        <v>25</v>
      </c>
    </row>
    <row r="637" spans="1:20" hidden="1" x14ac:dyDescent="0.3">
      <c r="A637" s="13">
        <v>43915.708333333336</v>
      </c>
      <c r="B637" s="12" t="s">
        <v>22</v>
      </c>
      <c r="C637" s="82">
        <v>8</v>
      </c>
      <c r="D637" s="12" t="s">
        <v>95</v>
      </c>
      <c r="E637" s="82">
        <v>4449436681</v>
      </c>
      <c r="F637" s="82">
        <v>113417208</v>
      </c>
      <c r="G637" s="82">
        <v>3180</v>
      </c>
      <c r="H637" s="82">
        <v>294</v>
      </c>
      <c r="I637" s="82">
        <v>3474</v>
      </c>
      <c r="J637" s="82">
        <v>4782</v>
      </c>
      <c r="K637" s="82">
        <v>8256</v>
      </c>
      <c r="L637" s="82">
        <v>545</v>
      </c>
      <c r="M637" s="82">
        <v>800</v>
      </c>
      <c r="N637" s="82">
        <v>721</v>
      </c>
      <c r="O637" s="82">
        <v>1077</v>
      </c>
      <c r="P637" s="82">
        <v>10054</v>
      </c>
      <c r="Q637" s="82">
        <v>38045</v>
      </c>
      <c r="R637" s="12" t="s">
        <v>25</v>
      </c>
      <c r="S637" s="12" t="s">
        <v>25</v>
      </c>
      <c r="T637" s="12" t="s">
        <v>25</v>
      </c>
    </row>
    <row r="638" spans="1:20" hidden="1" x14ac:dyDescent="0.3">
      <c r="A638" s="13">
        <v>43915.708333333336</v>
      </c>
      <c r="B638" s="12" t="s">
        <v>22</v>
      </c>
      <c r="C638" s="82">
        <v>6</v>
      </c>
      <c r="D638" s="12" t="s">
        <v>47</v>
      </c>
      <c r="E638" s="82">
        <v>456494354</v>
      </c>
      <c r="F638" s="82">
        <v>1376813649</v>
      </c>
      <c r="G638" s="82">
        <v>200</v>
      </c>
      <c r="H638" s="82">
        <v>52</v>
      </c>
      <c r="I638" s="82">
        <v>252</v>
      </c>
      <c r="J638" s="82">
        <v>659</v>
      </c>
      <c r="K638" s="82">
        <v>911</v>
      </c>
      <c r="L638" s="82">
        <v>63</v>
      </c>
      <c r="M638" s="82">
        <v>147</v>
      </c>
      <c r="N638" s="82">
        <v>158</v>
      </c>
      <c r="O638" s="82">
        <v>70</v>
      </c>
      <c r="P638" s="82">
        <v>1139</v>
      </c>
      <c r="Q638" s="82">
        <v>9494</v>
      </c>
      <c r="R638" s="12" t="s">
        <v>25</v>
      </c>
      <c r="S638" s="12" t="s">
        <v>25</v>
      </c>
      <c r="T638" s="12" t="s">
        <v>25</v>
      </c>
    </row>
    <row r="639" spans="1:20" hidden="1" x14ac:dyDescent="0.3">
      <c r="A639" s="13">
        <v>43915.708333333336</v>
      </c>
      <c r="B639" s="12" t="s">
        <v>22</v>
      </c>
      <c r="C639" s="82">
        <v>12</v>
      </c>
      <c r="D639" s="12" t="s">
        <v>48</v>
      </c>
      <c r="E639" s="82">
        <v>4189277044</v>
      </c>
      <c r="F639" s="82">
        <v>1248366722</v>
      </c>
      <c r="G639" s="82">
        <v>805</v>
      </c>
      <c r="H639" s="82">
        <v>101</v>
      </c>
      <c r="I639" s="82">
        <v>906</v>
      </c>
      <c r="J639" s="82">
        <v>769</v>
      </c>
      <c r="K639" s="82">
        <v>1675</v>
      </c>
      <c r="L639" s="82">
        <v>130</v>
      </c>
      <c r="M639" s="82">
        <v>173</v>
      </c>
      <c r="N639" s="82">
        <v>131</v>
      </c>
      <c r="O639" s="82">
        <v>95</v>
      </c>
      <c r="P639" s="82">
        <v>1901</v>
      </c>
      <c r="Q639" s="82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82">
        <v>7</v>
      </c>
      <c r="D640" s="12" t="s">
        <v>49</v>
      </c>
      <c r="E640" s="82">
        <v>4441149315</v>
      </c>
      <c r="F640" s="82">
        <v>89326992</v>
      </c>
      <c r="G640" s="82">
        <v>927</v>
      </c>
      <c r="H640" s="82">
        <v>147</v>
      </c>
      <c r="I640" s="82">
        <v>1074</v>
      </c>
      <c r="J640" s="82">
        <v>752</v>
      </c>
      <c r="K640" s="82">
        <v>1826</v>
      </c>
      <c r="L640" s="82">
        <v>134</v>
      </c>
      <c r="M640" s="82">
        <v>189</v>
      </c>
      <c r="N640" s="82">
        <v>225</v>
      </c>
      <c r="O640" s="82">
        <v>254</v>
      </c>
      <c r="P640" s="82">
        <v>2305</v>
      </c>
      <c r="Q640" s="82">
        <v>6602</v>
      </c>
      <c r="R640" s="12" t="s">
        <v>25</v>
      </c>
      <c r="S640" s="12" t="s">
        <v>25</v>
      </c>
      <c r="T640" s="12" t="s">
        <v>25</v>
      </c>
    </row>
    <row r="641" spans="1:20" hidden="1" x14ac:dyDescent="0.3">
      <c r="A641" s="13">
        <v>43915.708333333336</v>
      </c>
      <c r="B641" s="12" t="s">
        <v>22</v>
      </c>
      <c r="C641" s="82">
        <v>3</v>
      </c>
      <c r="D641" s="12" t="s">
        <v>50</v>
      </c>
      <c r="E641" s="82">
        <v>4546679409</v>
      </c>
      <c r="F641" s="82">
        <v>9190347404</v>
      </c>
      <c r="G641" s="82">
        <v>10026</v>
      </c>
      <c r="H641" s="82">
        <v>1236</v>
      </c>
      <c r="I641" s="82">
        <v>11262</v>
      </c>
      <c r="J641" s="82">
        <v>9329</v>
      </c>
      <c r="K641" s="82">
        <v>20591</v>
      </c>
      <c r="L641" s="82">
        <v>723</v>
      </c>
      <c r="M641" s="82">
        <v>1643</v>
      </c>
      <c r="N641" s="82">
        <v>7281</v>
      </c>
      <c r="O641" s="82">
        <v>4474</v>
      </c>
      <c r="P641" s="82">
        <v>32346</v>
      </c>
      <c r="Q641" s="82">
        <v>81666</v>
      </c>
      <c r="R641" s="12" t="s">
        <v>25</v>
      </c>
      <c r="S641" s="12" t="s">
        <v>25</v>
      </c>
      <c r="T641" s="12" t="s">
        <v>25</v>
      </c>
    </row>
    <row r="642" spans="1:20" hidden="1" x14ac:dyDescent="0.3">
      <c r="A642" s="13">
        <v>43915.708333333336</v>
      </c>
      <c r="B642" s="12" t="s">
        <v>22</v>
      </c>
      <c r="C642" s="82">
        <v>11</v>
      </c>
      <c r="D642" s="12" t="s">
        <v>51</v>
      </c>
      <c r="E642" s="82">
        <v>4361675973</v>
      </c>
      <c r="F642" s="82">
        <v>135188753</v>
      </c>
      <c r="G642" s="82">
        <v>938</v>
      </c>
      <c r="H642" s="82">
        <v>148</v>
      </c>
      <c r="I642" s="82">
        <v>1086</v>
      </c>
      <c r="J642" s="82">
        <v>1553</v>
      </c>
      <c r="K642" s="82">
        <v>2639</v>
      </c>
      <c r="L642" s="82">
        <v>142</v>
      </c>
      <c r="M642" s="82">
        <v>198</v>
      </c>
      <c r="N642" s="82">
        <v>8</v>
      </c>
      <c r="O642" s="82">
        <v>287</v>
      </c>
      <c r="P642" s="82">
        <v>2934</v>
      </c>
      <c r="Q642" s="82">
        <v>7896</v>
      </c>
      <c r="R642" s="12" t="s">
        <v>25</v>
      </c>
      <c r="S642" s="12" t="s">
        <v>25</v>
      </c>
      <c r="T642" s="12" t="s">
        <v>25</v>
      </c>
    </row>
    <row r="643" spans="1:20" hidden="1" x14ac:dyDescent="0.3">
      <c r="A643" s="13">
        <v>43915.708333333336</v>
      </c>
      <c r="B643" s="12" t="s">
        <v>22</v>
      </c>
      <c r="C643" s="82">
        <v>14</v>
      </c>
      <c r="D643" s="12" t="s">
        <v>52</v>
      </c>
      <c r="E643" s="82">
        <v>4155774754</v>
      </c>
      <c r="F643" s="82">
        <v>1465916051</v>
      </c>
      <c r="G643" s="82">
        <v>26</v>
      </c>
      <c r="H643" s="82">
        <v>7</v>
      </c>
      <c r="I643" s="82">
        <v>33</v>
      </c>
      <c r="J643" s="82">
        <v>20</v>
      </c>
      <c r="K643" s="82">
        <v>53</v>
      </c>
      <c r="L643" s="82">
        <v>-2</v>
      </c>
      <c r="M643" s="82">
        <v>0</v>
      </c>
      <c r="N643" s="82">
        <v>12</v>
      </c>
      <c r="O643" s="82">
        <v>8</v>
      </c>
      <c r="P643" s="82">
        <v>73</v>
      </c>
      <c r="Q643" s="82">
        <v>580</v>
      </c>
      <c r="R643" s="12" t="s">
        <v>25</v>
      </c>
      <c r="S643" s="12" t="s">
        <v>25</v>
      </c>
      <c r="T643" s="12" t="s">
        <v>25</v>
      </c>
    </row>
    <row r="644" spans="1:20" hidden="1" x14ac:dyDescent="0.3">
      <c r="A644" s="13">
        <v>43915.708333333336</v>
      </c>
      <c r="B644" s="12" t="s">
        <v>22</v>
      </c>
      <c r="C644" s="82">
        <v>1</v>
      </c>
      <c r="D644" s="12" t="s">
        <v>53</v>
      </c>
      <c r="E644" s="82">
        <v>450732745</v>
      </c>
      <c r="F644" s="82">
        <v>7680687483</v>
      </c>
      <c r="G644" s="82">
        <v>2544</v>
      </c>
      <c r="H644" s="82">
        <v>381</v>
      </c>
      <c r="I644" s="82">
        <v>2925</v>
      </c>
      <c r="J644" s="82">
        <v>2631</v>
      </c>
      <c r="K644" s="82">
        <v>5556</v>
      </c>
      <c r="L644" s="82">
        <v>432</v>
      </c>
      <c r="M644" s="82">
        <v>509</v>
      </c>
      <c r="N644" s="82">
        <v>19</v>
      </c>
      <c r="O644" s="82">
        <v>449</v>
      </c>
      <c r="P644" s="82">
        <v>6024</v>
      </c>
      <c r="Q644" s="82">
        <v>16655</v>
      </c>
      <c r="R644" s="12" t="s">
        <v>25</v>
      </c>
      <c r="S644" s="12" t="s">
        <v>25</v>
      </c>
      <c r="T644" s="12" t="s">
        <v>25</v>
      </c>
    </row>
    <row r="645" spans="1:20" hidden="1" x14ac:dyDescent="0.3">
      <c r="A645" s="13">
        <v>43915.708333333336</v>
      </c>
      <c r="B645" s="12" t="s">
        <v>22</v>
      </c>
      <c r="C645" s="82">
        <v>16</v>
      </c>
      <c r="D645" s="12" t="s">
        <v>54</v>
      </c>
      <c r="E645" s="82">
        <v>4112559576</v>
      </c>
      <c r="F645" s="82">
        <v>1686736689</v>
      </c>
      <c r="G645" s="82">
        <v>349</v>
      </c>
      <c r="H645" s="82">
        <v>64</v>
      </c>
      <c r="I645" s="82">
        <v>413</v>
      </c>
      <c r="J645" s="82">
        <v>610</v>
      </c>
      <c r="K645" s="82">
        <v>1023</v>
      </c>
      <c r="L645" s="82">
        <v>83</v>
      </c>
      <c r="M645" s="82">
        <v>88</v>
      </c>
      <c r="N645" s="82">
        <v>22</v>
      </c>
      <c r="O645" s="82">
        <v>48</v>
      </c>
      <c r="P645" s="82">
        <v>1093</v>
      </c>
      <c r="Q645" s="82">
        <v>8223</v>
      </c>
      <c r="R645" s="12" t="s">
        <v>25</v>
      </c>
      <c r="S645" s="12" t="s">
        <v>25</v>
      </c>
      <c r="T645" s="12" t="s">
        <v>25</v>
      </c>
    </row>
    <row r="646" spans="1:20" hidden="1" x14ac:dyDescent="0.3">
      <c r="A646" s="13">
        <v>43915.708333333336</v>
      </c>
      <c r="B646" s="12" t="s">
        <v>22</v>
      </c>
      <c r="C646" s="82">
        <v>20</v>
      </c>
      <c r="D646" s="12" t="s">
        <v>55</v>
      </c>
      <c r="E646" s="82">
        <v>3921531192</v>
      </c>
      <c r="F646" s="82">
        <v>9110616306</v>
      </c>
      <c r="G646" s="82">
        <v>82</v>
      </c>
      <c r="H646" s="82">
        <v>19</v>
      </c>
      <c r="I646" s="82">
        <v>101</v>
      </c>
      <c r="J646" s="82">
        <v>311</v>
      </c>
      <c r="K646" s="82">
        <v>412</v>
      </c>
      <c r="L646" s="82">
        <v>17</v>
      </c>
      <c r="M646" s="82">
        <v>21</v>
      </c>
      <c r="N646" s="82">
        <v>12</v>
      </c>
      <c r="O646" s="82">
        <v>18</v>
      </c>
      <c r="P646" s="82">
        <v>442</v>
      </c>
      <c r="Q646" s="82">
        <v>3019</v>
      </c>
      <c r="R646" s="12" t="s">
        <v>25</v>
      </c>
      <c r="S646" s="12" t="s">
        <v>25</v>
      </c>
      <c r="T646" s="12" t="s">
        <v>25</v>
      </c>
    </row>
    <row r="647" spans="1:20" hidden="1" x14ac:dyDescent="0.3">
      <c r="A647" s="13">
        <v>43915.708333333336</v>
      </c>
      <c r="B647" s="12" t="s">
        <v>22</v>
      </c>
      <c r="C647" s="82">
        <v>19</v>
      </c>
      <c r="D647" s="12" t="s">
        <v>56</v>
      </c>
      <c r="E647" s="82">
        <v>3811569725</v>
      </c>
      <c r="F647" s="82">
        <v>133623567</v>
      </c>
      <c r="G647" s="82">
        <v>259</v>
      </c>
      <c r="H647" s="82">
        <v>80</v>
      </c>
      <c r="I647" s="82">
        <v>339</v>
      </c>
      <c r="J647" s="82">
        <v>597</v>
      </c>
      <c r="K647" s="82">
        <v>936</v>
      </c>
      <c r="L647" s="82">
        <v>137</v>
      </c>
      <c r="M647" s="82">
        <v>148</v>
      </c>
      <c r="N647" s="82">
        <v>33</v>
      </c>
      <c r="O647" s="82">
        <v>25</v>
      </c>
      <c r="P647" s="82">
        <v>994</v>
      </c>
      <c r="Q647" s="82">
        <v>8312</v>
      </c>
      <c r="R647" s="12" t="s">
        <v>25</v>
      </c>
      <c r="S647" s="12" t="s">
        <v>25</v>
      </c>
      <c r="T647" s="12" t="s">
        <v>25</v>
      </c>
    </row>
    <row r="648" spans="1:20" hidden="1" x14ac:dyDescent="0.3">
      <c r="A648" s="13">
        <v>43915.708333333336</v>
      </c>
      <c r="B648" s="12" t="s">
        <v>22</v>
      </c>
      <c r="C648" s="82">
        <v>9</v>
      </c>
      <c r="D648" s="12" t="s">
        <v>57</v>
      </c>
      <c r="E648" s="82">
        <v>4376923077</v>
      </c>
      <c r="F648" s="82">
        <v>1125588885</v>
      </c>
      <c r="G648" s="82">
        <v>999</v>
      </c>
      <c r="H648" s="82">
        <v>251</v>
      </c>
      <c r="I648" s="82">
        <v>1250</v>
      </c>
      <c r="J648" s="82">
        <v>1526</v>
      </c>
      <c r="K648" s="82">
        <v>2776</v>
      </c>
      <c r="L648" s="82">
        <v>257</v>
      </c>
      <c r="M648" s="82">
        <v>273</v>
      </c>
      <c r="N648" s="82">
        <v>54</v>
      </c>
      <c r="O648" s="82">
        <v>142</v>
      </c>
      <c r="P648" s="82">
        <v>2972</v>
      </c>
      <c r="Q648" s="82">
        <v>17868</v>
      </c>
      <c r="R648" s="12" t="s">
        <v>25</v>
      </c>
      <c r="S648" s="12" t="s">
        <v>25</v>
      </c>
      <c r="T648" s="12" t="s">
        <v>25</v>
      </c>
    </row>
    <row r="649" spans="1:20" hidden="1" x14ac:dyDescent="0.3">
      <c r="A649" s="13">
        <v>43915.708333333336</v>
      </c>
      <c r="B649" s="12" t="s">
        <v>22</v>
      </c>
      <c r="C649" s="82">
        <v>22</v>
      </c>
      <c r="D649" s="12" t="s">
        <v>58</v>
      </c>
      <c r="E649" s="82">
        <v>4606893511</v>
      </c>
      <c r="F649" s="82">
        <v>1112123097</v>
      </c>
      <c r="G649" s="82">
        <v>308</v>
      </c>
      <c r="H649" s="82">
        <v>65</v>
      </c>
      <c r="I649" s="82">
        <v>373</v>
      </c>
      <c r="J649" s="82">
        <v>685</v>
      </c>
      <c r="K649" s="82">
        <v>1058</v>
      </c>
      <c r="L649" s="82">
        <v>83</v>
      </c>
      <c r="M649" s="82">
        <v>112</v>
      </c>
      <c r="N649" s="82">
        <v>90</v>
      </c>
      <c r="O649" s="82">
        <v>74</v>
      </c>
      <c r="P649" s="82">
        <v>1222</v>
      </c>
      <c r="Q649" s="82">
        <v>4114</v>
      </c>
      <c r="R649" s="12" t="s">
        <v>25</v>
      </c>
      <c r="S649" s="12" t="s">
        <v>25</v>
      </c>
      <c r="T649" s="12" t="s">
        <v>25</v>
      </c>
    </row>
    <row r="650" spans="1:20" hidden="1" x14ac:dyDescent="0.3">
      <c r="A650" s="13">
        <v>43915.708333333336</v>
      </c>
      <c r="B650" s="12" t="s">
        <v>22</v>
      </c>
      <c r="C650" s="82">
        <v>10</v>
      </c>
      <c r="D650" s="12" t="s">
        <v>59</v>
      </c>
      <c r="E650" s="82">
        <v>4310675841</v>
      </c>
      <c r="F650" s="82">
        <v>1238824698</v>
      </c>
      <c r="G650" s="82">
        <v>123</v>
      </c>
      <c r="H650" s="82">
        <v>44</v>
      </c>
      <c r="I650" s="82">
        <v>167</v>
      </c>
      <c r="J650" s="82">
        <v>519</v>
      </c>
      <c r="K650" s="82">
        <v>686</v>
      </c>
      <c r="L650" s="82">
        <v>62</v>
      </c>
      <c r="M650" s="82">
        <v>62</v>
      </c>
      <c r="N650" s="82">
        <v>5</v>
      </c>
      <c r="O650" s="82">
        <v>19</v>
      </c>
      <c r="P650" s="82">
        <v>710</v>
      </c>
      <c r="Q650" s="82">
        <v>4707</v>
      </c>
      <c r="R650" s="12" t="s">
        <v>25</v>
      </c>
      <c r="S650" s="12" t="s">
        <v>25</v>
      </c>
      <c r="T650" s="12" t="s">
        <v>25</v>
      </c>
    </row>
    <row r="651" spans="1:20" hidden="1" x14ac:dyDescent="0.3">
      <c r="A651" s="13">
        <v>43915.708333333336</v>
      </c>
      <c r="B651" s="12" t="s">
        <v>22</v>
      </c>
      <c r="C651" s="82">
        <v>2</v>
      </c>
      <c r="D651" s="12" t="s">
        <v>60</v>
      </c>
      <c r="E651" s="82">
        <v>4573750286</v>
      </c>
      <c r="F651" s="82">
        <v>7320149366</v>
      </c>
      <c r="G651" s="82">
        <v>70</v>
      </c>
      <c r="H651" s="82">
        <v>25</v>
      </c>
      <c r="I651" s="82">
        <v>95</v>
      </c>
      <c r="J651" s="82">
        <v>280</v>
      </c>
      <c r="K651" s="82">
        <v>375</v>
      </c>
      <c r="L651" s="82">
        <v>-4</v>
      </c>
      <c r="M651" s="82">
        <v>1</v>
      </c>
      <c r="N651" s="82">
        <v>2</v>
      </c>
      <c r="O651" s="82">
        <v>24</v>
      </c>
      <c r="P651" s="82">
        <v>401</v>
      </c>
      <c r="Q651" s="82">
        <v>1200</v>
      </c>
      <c r="R651" s="12" t="s">
        <v>25</v>
      </c>
      <c r="S651" s="12" t="s">
        <v>25</v>
      </c>
      <c r="T651" s="12" t="s">
        <v>25</v>
      </c>
    </row>
    <row r="652" spans="1:20" hidden="1" x14ac:dyDescent="0.3">
      <c r="A652" s="13">
        <v>43915.708333333336</v>
      </c>
      <c r="B652" s="12" t="s">
        <v>22</v>
      </c>
      <c r="C652" s="82">
        <v>5</v>
      </c>
      <c r="D652" s="12" t="s">
        <v>61</v>
      </c>
      <c r="E652" s="82">
        <v>4543490485</v>
      </c>
      <c r="F652" s="82">
        <v>1233845213</v>
      </c>
      <c r="G652" s="82">
        <v>1407</v>
      </c>
      <c r="H652" s="82">
        <v>316</v>
      </c>
      <c r="I652" s="82">
        <v>1723</v>
      </c>
      <c r="J652" s="82">
        <v>4022</v>
      </c>
      <c r="K652" s="82">
        <v>5745</v>
      </c>
      <c r="L652" s="82">
        <v>394</v>
      </c>
      <c r="M652" s="82">
        <v>494</v>
      </c>
      <c r="N652" s="82">
        <v>439</v>
      </c>
      <c r="O652" s="82">
        <v>258</v>
      </c>
      <c r="P652" s="82">
        <v>6442</v>
      </c>
      <c r="Q652" s="82">
        <v>70877</v>
      </c>
      <c r="R652" s="12" t="s">
        <v>25</v>
      </c>
      <c r="S652" s="12" t="s">
        <v>25</v>
      </c>
      <c r="T652" s="12" t="s">
        <v>25</v>
      </c>
    </row>
    <row r="653" spans="1:20" hidden="1" x14ac:dyDescent="0.3">
      <c r="A653" s="13">
        <v>43916.708333333336</v>
      </c>
      <c r="B653" s="12" t="s">
        <v>22</v>
      </c>
      <c r="C653" s="82">
        <v>13</v>
      </c>
      <c r="D653" s="12" t="s">
        <v>42</v>
      </c>
      <c r="E653" s="82">
        <v>4235122196</v>
      </c>
      <c r="F653" s="82">
        <v>1339843823</v>
      </c>
      <c r="G653" s="82">
        <v>280</v>
      </c>
      <c r="H653" s="82">
        <v>64</v>
      </c>
      <c r="I653" s="82">
        <v>344</v>
      </c>
      <c r="J653" s="82">
        <v>516</v>
      </c>
      <c r="K653" s="82">
        <v>860</v>
      </c>
      <c r="L653" s="82">
        <v>122</v>
      </c>
      <c r="M653" s="82">
        <v>133</v>
      </c>
      <c r="N653" s="82">
        <v>23</v>
      </c>
      <c r="O653" s="82">
        <v>63</v>
      </c>
      <c r="P653" s="82">
        <v>946</v>
      </c>
      <c r="Q653" s="82">
        <v>5488</v>
      </c>
      <c r="R653" s="12" t="s">
        <v>25</v>
      </c>
      <c r="S653" s="12" t="s">
        <v>25</v>
      </c>
      <c r="T653" s="12" t="s">
        <v>25</v>
      </c>
    </row>
    <row r="654" spans="1:20" hidden="1" x14ac:dyDescent="0.3">
      <c r="A654" s="13">
        <v>43916.708333333336</v>
      </c>
      <c r="B654" s="12" t="s">
        <v>22</v>
      </c>
      <c r="C654" s="82">
        <v>17</v>
      </c>
      <c r="D654" s="12" t="s">
        <v>43</v>
      </c>
      <c r="E654" s="82">
        <v>4063947052</v>
      </c>
      <c r="F654" s="82">
        <v>1580514834</v>
      </c>
      <c r="G654" s="82">
        <v>22</v>
      </c>
      <c r="H654" s="82">
        <v>16</v>
      </c>
      <c r="I654" s="82">
        <v>38</v>
      </c>
      <c r="J654" s="82">
        <v>95</v>
      </c>
      <c r="K654" s="82">
        <v>133</v>
      </c>
      <c r="L654" s="82">
        <v>21</v>
      </c>
      <c r="M654" s="82">
        <v>21</v>
      </c>
      <c r="N654" s="82">
        <v>0</v>
      </c>
      <c r="O654" s="82">
        <v>1</v>
      </c>
      <c r="P654" s="82">
        <v>134</v>
      </c>
      <c r="Q654" s="82">
        <v>1046</v>
      </c>
      <c r="R654" s="12" t="s">
        <v>25</v>
      </c>
      <c r="S654" s="12" t="s">
        <v>25</v>
      </c>
      <c r="T654" s="12" t="s">
        <v>25</v>
      </c>
    </row>
    <row r="655" spans="1:20" hidden="1" x14ac:dyDescent="0.3">
      <c r="A655" s="13">
        <v>43916.708333333336</v>
      </c>
      <c r="B655" s="12" t="s">
        <v>22</v>
      </c>
      <c r="C655" s="82">
        <v>21</v>
      </c>
      <c r="D655" s="12" t="s">
        <v>44</v>
      </c>
      <c r="E655" s="82">
        <v>4649933453</v>
      </c>
      <c r="F655" s="82">
        <v>1135662422</v>
      </c>
      <c r="G655" s="82">
        <v>223</v>
      </c>
      <c r="H655" s="82">
        <v>43</v>
      </c>
      <c r="I655" s="82">
        <v>266</v>
      </c>
      <c r="J655" s="82">
        <v>525</v>
      </c>
      <c r="K655" s="82">
        <v>791</v>
      </c>
      <c r="L655" s="82">
        <v>43</v>
      </c>
      <c r="M655" s="82">
        <v>48</v>
      </c>
      <c r="N655" s="82">
        <v>67</v>
      </c>
      <c r="O655" s="82">
        <v>48</v>
      </c>
      <c r="P655" s="82">
        <v>906</v>
      </c>
      <c r="Q655" s="82">
        <v>7744</v>
      </c>
      <c r="R655" s="12" t="s">
        <v>25</v>
      </c>
      <c r="S655" s="12" t="s">
        <v>25</v>
      </c>
      <c r="T655" s="12" t="s">
        <v>25</v>
      </c>
    </row>
    <row r="656" spans="1:20" hidden="1" x14ac:dyDescent="0.3">
      <c r="A656" s="13">
        <v>43916.708333333336</v>
      </c>
      <c r="B656" s="12" t="s">
        <v>22</v>
      </c>
      <c r="C656" s="82">
        <v>18</v>
      </c>
      <c r="D656" s="12" t="s">
        <v>45</v>
      </c>
      <c r="E656" s="82">
        <v>3890597598</v>
      </c>
      <c r="F656" s="82">
        <v>1659440194</v>
      </c>
      <c r="G656" s="82">
        <v>101</v>
      </c>
      <c r="H656" s="82">
        <v>23</v>
      </c>
      <c r="I656" s="82">
        <v>124</v>
      </c>
      <c r="J656" s="82">
        <v>248</v>
      </c>
      <c r="K656" s="82">
        <v>372</v>
      </c>
      <c r="L656" s="82">
        <v>39</v>
      </c>
      <c r="M656" s="82">
        <v>42</v>
      </c>
      <c r="N656" s="82">
        <v>7</v>
      </c>
      <c r="O656" s="82">
        <v>14</v>
      </c>
      <c r="P656" s="82">
        <v>393</v>
      </c>
      <c r="Q656" s="82">
        <v>5933</v>
      </c>
      <c r="R656" s="12" t="s">
        <v>25</v>
      </c>
      <c r="S656" s="12" t="s">
        <v>25</v>
      </c>
      <c r="T656" s="12" t="s">
        <v>25</v>
      </c>
    </row>
    <row r="657" spans="1:20" hidden="1" x14ac:dyDescent="0.3">
      <c r="A657" s="13">
        <v>43916.708333333336</v>
      </c>
      <c r="B657" s="12" t="s">
        <v>22</v>
      </c>
      <c r="C657" s="82">
        <v>15</v>
      </c>
      <c r="D657" s="12" t="s">
        <v>46</v>
      </c>
      <c r="E657" s="82">
        <v>4083956555</v>
      </c>
      <c r="F657" s="82">
        <v>1425084984</v>
      </c>
      <c r="G657" s="82">
        <v>448</v>
      </c>
      <c r="H657" s="82">
        <v>114</v>
      </c>
      <c r="I657" s="82">
        <v>562</v>
      </c>
      <c r="J657" s="82">
        <v>607</v>
      </c>
      <c r="K657" s="82">
        <v>1169</v>
      </c>
      <c r="L657" s="82">
        <v>97</v>
      </c>
      <c r="M657" s="82">
        <v>111</v>
      </c>
      <c r="N657" s="82">
        <v>58</v>
      </c>
      <c r="O657" s="82">
        <v>83</v>
      </c>
      <c r="P657" s="82">
        <v>1310</v>
      </c>
      <c r="Q657" s="82">
        <v>8346</v>
      </c>
      <c r="R657" s="12" t="s">
        <v>25</v>
      </c>
      <c r="S657" s="12" t="s">
        <v>25</v>
      </c>
      <c r="T657" s="12" t="s">
        <v>25</v>
      </c>
    </row>
    <row r="658" spans="1:20" hidden="1" x14ac:dyDescent="0.3">
      <c r="A658" s="13">
        <v>43916.708333333336</v>
      </c>
      <c r="B658" s="12" t="s">
        <v>22</v>
      </c>
      <c r="C658" s="82">
        <v>8</v>
      </c>
      <c r="D658" s="12" t="s">
        <v>95</v>
      </c>
      <c r="E658" s="82">
        <v>4449436681</v>
      </c>
      <c r="F658" s="82">
        <v>113417208</v>
      </c>
      <c r="G658" s="82">
        <v>3354</v>
      </c>
      <c r="H658" s="82">
        <v>301</v>
      </c>
      <c r="I658" s="82">
        <v>3655</v>
      </c>
      <c r="J658" s="82">
        <v>5195</v>
      </c>
      <c r="K658" s="82">
        <v>8850</v>
      </c>
      <c r="L658" s="82">
        <v>594</v>
      </c>
      <c r="M658" s="82">
        <v>762</v>
      </c>
      <c r="N658" s="82">
        <v>792</v>
      </c>
      <c r="O658" s="82">
        <v>1174</v>
      </c>
      <c r="P658" s="82">
        <v>10816</v>
      </c>
      <c r="Q658" s="82">
        <v>42395</v>
      </c>
      <c r="R658" s="12" t="s">
        <v>25</v>
      </c>
      <c r="S658" s="12" t="s">
        <v>25</v>
      </c>
      <c r="T658" s="12" t="s">
        <v>25</v>
      </c>
    </row>
    <row r="659" spans="1:20" hidden="1" x14ac:dyDescent="0.3">
      <c r="A659" s="13">
        <v>43916.708333333336</v>
      </c>
      <c r="B659" s="12" t="s">
        <v>22</v>
      </c>
      <c r="C659" s="82">
        <v>6</v>
      </c>
      <c r="D659" s="12" t="s">
        <v>47</v>
      </c>
      <c r="E659" s="82">
        <v>456494354</v>
      </c>
      <c r="F659" s="82">
        <v>1376813649</v>
      </c>
      <c r="G659" s="82">
        <v>212</v>
      </c>
      <c r="H659" s="82">
        <v>54</v>
      </c>
      <c r="I659" s="82">
        <v>266</v>
      </c>
      <c r="J659" s="82">
        <v>688</v>
      </c>
      <c r="K659" s="82">
        <v>954</v>
      </c>
      <c r="L659" s="82">
        <v>43</v>
      </c>
      <c r="M659" s="82">
        <v>84</v>
      </c>
      <c r="N659" s="82">
        <v>197</v>
      </c>
      <c r="O659" s="82">
        <v>72</v>
      </c>
      <c r="P659" s="82">
        <v>1223</v>
      </c>
      <c r="Q659" s="82">
        <v>10721</v>
      </c>
      <c r="R659" s="12" t="s">
        <v>25</v>
      </c>
      <c r="S659" s="12" t="s">
        <v>25</v>
      </c>
      <c r="T659" s="12" t="s">
        <v>25</v>
      </c>
    </row>
    <row r="660" spans="1:20" hidden="1" x14ac:dyDescent="0.3">
      <c r="A660" s="13">
        <v>43916.708333333336</v>
      </c>
      <c r="B660" s="12" t="s">
        <v>22</v>
      </c>
      <c r="C660" s="82">
        <v>12</v>
      </c>
      <c r="D660" s="12" t="s">
        <v>48</v>
      </c>
      <c r="E660" s="82">
        <v>4189277044</v>
      </c>
      <c r="F660" s="82">
        <v>1248366722</v>
      </c>
      <c r="G660" s="82">
        <v>878</v>
      </c>
      <c r="H660" s="82">
        <v>113</v>
      </c>
      <c r="I660" s="82">
        <v>991</v>
      </c>
      <c r="J660" s="82">
        <v>844</v>
      </c>
      <c r="K660" s="82">
        <v>1835</v>
      </c>
      <c r="L660" s="82">
        <v>160</v>
      </c>
      <c r="M660" s="82">
        <v>195</v>
      </c>
      <c r="N660" s="82">
        <v>155</v>
      </c>
      <c r="O660" s="82">
        <v>106</v>
      </c>
      <c r="P660" s="82">
        <v>2096</v>
      </c>
      <c r="Q660" s="82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82">
        <v>7</v>
      </c>
      <c r="D661" s="12" t="s">
        <v>49</v>
      </c>
      <c r="E661" s="82">
        <v>4441149315</v>
      </c>
      <c r="F661" s="82">
        <v>89326992</v>
      </c>
      <c r="G661" s="82">
        <v>998</v>
      </c>
      <c r="H661" s="82">
        <v>154</v>
      </c>
      <c r="I661" s="82">
        <v>1152</v>
      </c>
      <c r="J661" s="82">
        <v>875</v>
      </c>
      <c r="K661" s="82">
        <v>2027</v>
      </c>
      <c r="L661" s="82">
        <v>201</v>
      </c>
      <c r="M661" s="82">
        <v>262</v>
      </c>
      <c r="N661" s="82">
        <v>260</v>
      </c>
      <c r="O661" s="82">
        <v>280</v>
      </c>
      <c r="P661" s="82">
        <v>2567</v>
      </c>
      <c r="Q661" s="82">
        <v>7304</v>
      </c>
      <c r="R661" s="12" t="s">
        <v>25</v>
      </c>
      <c r="S661" s="12" t="s">
        <v>25</v>
      </c>
      <c r="T661" s="12" t="s">
        <v>25</v>
      </c>
    </row>
    <row r="662" spans="1:20" hidden="1" x14ac:dyDescent="0.3">
      <c r="A662" s="13">
        <v>43916.708333333336</v>
      </c>
      <c r="B662" s="12" t="s">
        <v>22</v>
      </c>
      <c r="C662" s="82">
        <v>3</v>
      </c>
      <c r="D662" s="12" t="s">
        <v>50</v>
      </c>
      <c r="E662" s="82">
        <v>4546679409</v>
      </c>
      <c r="F662" s="82">
        <v>9190347404</v>
      </c>
      <c r="G662" s="82">
        <v>10681</v>
      </c>
      <c r="H662" s="82">
        <v>1263</v>
      </c>
      <c r="I662" s="82">
        <v>11944</v>
      </c>
      <c r="J662" s="82">
        <v>10245</v>
      </c>
      <c r="K662" s="82">
        <v>22189</v>
      </c>
      <c r="L662" s="82">
        <v>1598</v>
      </c>
      <c r="M662" s="82">
        <v>2543</v>
      </c>
      <c r="N662" s="82">
        <v>7839</v>
      </c>
      <c r="O662" s="82">
        <v>4861</v>
      </c>
      <c r="P662" s="82">
        <v>34889</v>
      </c>
      <c r="Q662" s="82">
        <v>87713</v>
      </c>
      <c r="R662" s="12" t="s">
        <v>25</v>
      </c>
      <c r="S662" s="12" t="s">
        <v>25</v>
      </c>
      <c r="T662" s="12" t="s">
        <v>25</v>
      </c>
    </row>
    <row r="663" spans="1:20" hidden="1" x14ac:dyDescent="0.3">
      <c r="A663" s="13">
        <v>43916.708333333336</v>
      </c>
      <c r="B663" s="12" t="s">
        <v>22</v>
      </c>
      <c r="C663" s="82">
        <v>11</v>
      </c>
      <c r="D663" s="12" t="s">
        <v>51</v>
      </c>
      <c r="E663" s="82">
        <v>4361675973</v>
      </c>
      <c r="F663" s="82">
        <v>135188753</v>
      </c>
      <c r="G663" s="82">
        <v>977</v>
      </c>
      <c r="H663" s="82">
        <v>166</v>
      </c>
      <c r="I663" s="82">
        <v>1143</v>
      </c>
      <c r="J663" s="82">
        <v>1652</v>
      </c>
      <c r="K663" s="82">
        <v>2795</v>
      </c>
      <c r="L663" s="82">
        <v>156</v>
      </c>
      <c r="M663" s="82">
        <v>180</v>
      </c>
      <c r="N663" s="82">
        <v>9</v>
      </c>
      <c r="O663" s="82">
        <v>310</v>
      </c>
      <c r="P663" s="82">
        <v>3114</v>
      </c>
      <c r="Q663" s="82">
        <v>8623</v>
      </c>
      <c r="R663" s="12" t="s">
        <v>25</v>
      </c>
      <c r="S663" s="12" t="s">
        <v>25</v>
      </c>
      <c r="T663" s="12" t="s">
        <v>25</v>
      </c>
    </row>
    <row r="664" spans="1:20" hidden="1" x14ac:dyDescent="0.3">
      <c r="A664" s="13">
        <v>43916.708333333336</v>
      </c>
      <c r="B664" s="12" t="s">
        <v>22</v>
      </c>
      <c r="C664" s="82">
        <v>14</v>
      </c>
      <c r="D664" s="12" t="s">
        <v>52</v>
      </c>
      <c r="E664" s="82">
        <v>4155774754</v>
      </c>
      <c r="F664" s="82">
        <v>1465916051</v>
      </c>
      <c r="G664" s="82">
        <v>27</v>
      </c>
      <c r="H664" s="82">
        <v>8</v>
      </c>
      <c r="I664" s="82">
        <v>35</v>
      </c>
      <c r="J664" s="82">
        <v>46</v>
      </c>
      <c r="K664" s="82">
        <v>81</v>
      </c>
      <c r="L664" s="82">
        <v>28</v>
      </c>
      <c r="M664" s="82">
        <v>30</v>
      </c>
      <c r="N664" s="82">
        <v>14</v>
      </c>
      <c r="O664" s="82">
        <v>8</v>
      </c>
      <c r="P664" s="82">
        <v>103</v>
      </c>
      <c r="Q664" s="82">
        <v>670</v>
      </c>
      <c r="R664" s="12" t="s">
        <v>25</v>
      </c>
      <c r="S664" s="12" t="s">
        <v>25</v>
      </c>
      <c r="T664" s="12" t="s">
        <v>25</v>
      </c>
    </row>
    <row r="665" spans="1:20" hidden="1" x14ac:dyDescent="0.3">
      <c r="A665" s="13">
        <v>43916.708333333336</v>
      </c>
      <c r="B665" s="12" t="s">
        <v>22</v>
      </c>
      <c r="C665" s="82">
        <v>1</v>
      </c>
      <c r="D665" s="12" t="s">
        <v>53</v>
      </c>
      <c r="E665" s="82">
        <v>450732745</v>
      </c>
      <c r="F665" s="82">
        <v>7680687483</v>
      </c>
      <c r="G665" s="82">
        <v>2633</v>
      </c>
      <c r="H665" s="82">
        <v>408</v>
      </c>
      <c r="I665" s="82">
        <v>3041</v>
      </c>
      <c r="J665" s="82">
        <v>2909</v>
      </c>
      <c r="K665" s="82">
        <v>5950</v>
      </c>
      <c r="L665" s="82">
        <v>394</v>
      </c>
      <c r="M665" s="82">
        <v>510</v>
      </c>
      <c r="N665" s="82">
        <v>135</v>
      </c>
      <c r="O665" s="82">
        <v>449</v>
      </c>
      <c r="P665" s="82">
        <v>6534</v>
      </c>
      <c r="Q665" s="82">
        <v>18054</v>
      </c>
      <c r="R665" s="12" t="s">
        <v>25</v>
      </c>
      <c r="S665" s="12" t="s">
        <v>88</v>
      </c>
      <c r="T665" s="12" t="s">
        <v>89</v>
      </c>
    </row>
    <row r="666" spans="1:20" hidden="1" x14ac:dyDescent="0.3">
      <c r="A666" s="13">
        <v>43916.708333333336</v>
      </c>
      <c r="B666" s="12" t="s">
        <v>22</v>
      </c>
      <c r="C666" s="82">
        <v>16</v>
      </c>
      <c r="D666" s="12" t="s">
        <v>54</v>
      </c>
      <c r="E666" s="82">
        <v>4112559576</v>
      </c>
      <c r="F666" s="82">
        <v>1686736689</v>
      </c>
      <c r="G666" s="82">
        <v>480</v>
      </c>
      <c r="H666" s="82">
        <v>76</v>
      </c>
      <c r="I666" s="82">
        <v>556</v>
      </c>
      <c r="J666" s="82">
        <v>539</v>
      </c>
      <c r="K666" s="82">
        <v>1095</v>
      </c>
      <c r="L666" s="82">
        <v>72</v>
      </c>
      <c r="M666" s="82">
        <v>89</v>
      </c>
      <c r="N666" s="82">
        <v>22</v>
      </c>
      <c r="O666" s="82">
        <v>65</v>
      </c>
      <c r="P666" s="82">
        <v>1182</v>
      </c>
      <c r="Q666" s="82">
        <v>9191</v>
      </c>
      <c r="R666" s="12" t="s">
        <v>25</v>
      </c>
      <c r="S666" s="12" t="s">
        <v>25</v>
      </c>
      <c r="T666" s="12" t="s">
        <v>25</v>
      </c>
    </row>
    <row r="667" spans="1:20" hidden="1" x14ac:dyDescent="0.3">
      <c r="A667" s="13">
        <v>43916.708333333336</v>
      </c>
      <c r="B667" s="12" t="s">
        <v>22</v>
      </c>
      <c r="C667" s="82">
        <v>20</v>
      </c>
      <c r="D667" s="12" t="s">
        <v>55</v>
      </c>
      <c r="E667" s="82">
        <v>3921531192</v>
      </c>
      <c r="F667" s="82">
        <v>9110616306</v>
      </c>
      <c r="G667" s="82">
        <v>92</v>
      </c>
      <c r="H667" s="82">
        <v>20</v>
      </c>
      <c r="I667" s="82">
        <v>112</v>
      </c>
      <c r="J667" s="82">
        <v>350</v>
      </c>
      <c r="K667" s="82">
        <v>462</v>
      </c>
      <c r="L667" s="82">
        <v>50</v>
      </c>
      <c r="M667" s="82">
        <v>52</v>
      </c>
      <c r="N667" s="82">
        <v>13</v>
      </c>
      <c r="O667" s="82">
        <v>19</v>
      </c>
      <c r="P667" s="82">
        <v>494</v>
      </c>
      <c r="Q667" s="82">
        <v>3461</v>
      </c>
      <c r="R667" s="12" t="s">
        <v>25</v>
      </c>
      <c r="S667" s="12" t="s">
        <v>25</v>
      </c>
      <c r="T667" s="12" t="s">
        <v>25</v>
      </c>
    </row>
    <row r="668" spans="1:20" hidden="1" x14ac:dyDescent="0.3">
      <c r="A668" s="13">
        <v>43916.708333333336</v>
      </c>
      <c r="B668" s="12" t="s">
        <v>22</v>
      </c>
      <c r="C668" s="82">
        <v>19</v>
      </c>
      <c r="D668" s="12" t="s">
        <v>56</v>
      </c>
      <c r="E668" s="82">
        <v>3811569725</v>
      </c>
      <c r="F668" s="82">
        <v>133623567</v>
      </c>
      <c r="G668" s="82">
        <v>346</v>
      </c>
      <c r="H668" s="82">
        <v>68</v>
      </c>
      <c r="I668" s="82">
        <v>414</v>
      </c>
      <c r="J668" s="82">
        <v>681</v>
      </c>
      <c r="K668" s="82">
        <v>1095</v>
      </c>
      <c r="L668" s="82">
        <v>159</v>
      </c>
      <c r="M668" s="82">
        <v>170</v>
      </c>
      <c r="N668" s="82">
        <v>36</v>
      </c>
      <c r="O668" s="82">
        <v>33</v>
      </c>
      <c r="P668" s="82">
        <v>1164</v>
      </c>
      <c r="Q668" s="82">
        <v>9658</v>
      </c>
      <c r="R668" s="12" t="s">
        <v>25</v>
      </c>
      <c r="S668" s="12" t="s">
        <v>25</v>
      </c>
      <c r="T668" s="12" t="s">
        <v>25</v>
      </c>
    </row>
    <row r="669" spans="1:20" hidden="1" x14ac:dyDescent="0.3">
      <c r="A669" s="13">
        <v>43916.708333333336</v>
      </c>
      <c r="B669" s="12" t="s">
        <v>22</v>
      </c>
      <c r="C669" s="82">
        <v>9</v>
      </c>
      <c r="D669" s="12" t="s">
        <v>57</v>
      </c>
      <c r="E669" s="82">
        <v>4376923077</v>
      </c>
      <c r="F669" s="82">
        <v>1125588885</v>
      </c>
      <c r="G669" s="82">
        <v>1037</v>
      </c>
      <c r="H669" s="82">
        <v>259</v>
      </c>
      <c r="I669" s="82">
        <v>1296</v>
      </c>
      <c r="J669" s="82">
        <v>1677</v>
      </c>
      <c r="K669" s="82">
        <v>2973</v>
      </c>
      <c r="L669" s="82">
        <v>197</v>
      </c>
      <c r="M669" s="82">
        <v>254</v>
      </c>
      <c r="N669" s="82">
        <v>95</v>
      </c>
      <c r="O669" s="82">
        <v>158</v>
      </c>
      <c r="P669" s="82">
        <v>3226</v>
      </c>
      <c r="Q669" s="82">
        <v>20952</v>
      </c>
      <c r="R669" s="12" t="s">
        <v>25</v>
      </c>
      <c r="S669" s="12" t="s">
        <v>25</v>
      </c>
      <c r="T669" s="12" t="s">
        <v>25</v>
      </c>
    </row>
    <row r="670" spans="1:20" hidden="1" x14ac:dyDescent="0.3">
      <c r="A670" s="13">
        <v>43916.708333333336</v>
      </c>
      <c r="B670" s="12" t="s">
        <v>22</v>
      </c>
      <c r="C670" s="82">
        <v>22</v>
      </c>
      <c r="D670" s="12" t="s">
        <v>58</v>
      </c>
      <c r="E670" s="82">
        <v>4606893511</v>
      </c>
      <c r="F670" s="82">
        <v>1112123097</v>
      </c>
      <c r="G670" s="82">
        <v>300</v>
      </c>
      <c r="H670" s="82">
        <v>66</v>
      </c>
      <c r="I670" s="82">
        <v>366</v>
      </c>
      <c r="J670" s="82">
        <v>728</v>
      </c>
      <c r="K670" s="82">
        <v>1094</v>
      </c>
      <c r="L670" s="82">
        <v>36</v>
      </c>
      <c r="M670" s="82">
        <v>75</v>
      </c>
      <c r="N670" s="82">
        <v>117</v>
      </c>
      <c r="O670" s="82">
        <v>86</v>
      </c>
      <c r="P670" s="82">
        <v>1297</v>
      </c>
      <c r="Q670" s="82">
        <v>4600</v>
      </c>
      <c r="R670" s="12" t="s">
        <v>25</v>
      </c>
      <c r="S670" s="12" t="s">
        <v>25</v>
      </c>
      <c r="T670" s="12" t="s">
        <v>25</v>
      </c>
    </row>
    <row r="671" spans="1:20" hidden="1" x14ac:dyDescent="0.3">
      <c r="A671" s="13">
        <v>43916.708333333336</v>
      </c>
      <c r="B671" s="12" t="s">
        <v>22</v>
      </c>
      <c r="C671" s="82">
        <v>10</v>
      </c>
      <c r="D671" s="12" t="s">
        <v>59</v>
      </c>
      <c r="E671" s="82">
        <v>4310675841</v>
      </c>
      <c r="F671" s="82">
        <v>1238824698</v>
      </c>
      <c r="G671" s="82">
        <v>144</v>
      </c>
      <c r="H671" s="82">
        <v>46</v>
      </c>
      <c r="I671" s="82">
        <v>190</v>
      </c>
      <c r="J671" s="82">
        <v>580</v>
      </c>
      <c r="K671" s="82">
        <v>770</v>
      </c>
      <c r="L671" s="82">
        <v>84</v>
      </c>
      <c r="M671" s="82">
        <v>92</v>
      </c>
      <c r="N671" s="82">
        <v>12</v>
      </c>
      <c r="O671" s="82">
        <v>20</v>
      </c>
      <c r="P671" s="82">
        <v>802</v>
      </c>
      <c r="Q671" s="82">
        <v>5428</v>
      </c>
      <c r="R671" s="12" t="s">
        <v>25</v>
      </c>
      <c r="S671" s="12" t="s">
        <v>25</v>
      </c>
      <c r="T671" s="12" t="s">
        <v>25</v>
      </c>
    </row>
    <row r="672" spans="1:20" hidden="1" x14ac:dyDescent="0.3">
      <c r="A672" s="13">
        <v>43916.708333333336</v>
      </c>
      <c r="B672" s="12" t="s">
        <v>22</v>
      </c>
      <c r="C672" s="82">
        <v>2</v>
      </c>
      <c r="D672" s="12" t="s">
        <v>60</v>
      </c>
      <c r="E672" s="82">
        <v>4573750286</v>
      </c>
      <c r="F672" s="82">
        <v>7320149366</v>
      </c>
      <c r="G672" s="82">
        <v>73</v>
      </c>
      <c r="H672" s="82">
        <v>24</v>
      </c>
      <c r="I672" s="82">
        <v>97</v>
      </c>
      <c r="J672" s="82">
        <v>281</v>
      </c>
      <c r="K672" s="82">
        <v>378</v>
      </c>
      <c r="L672" s="82">
        <v>3</v>
      </c>
      <c r="M672" s="82">
        <v>7</v>
      </c>
      <c r="N672" s="82">
        <v>2</v>
      </c>
      <c r="O672" s="82">
        <v>28</v>
      </c>
      <c r="P672" s="82">
        <v>408</v>
      </c>
      <c r="Q672" s="82">
        <v>1203</v>
      </c>
      <c r="R672" s="12" t="s">
        <v>25</v>
      </c>
      <c r="S672" s="12" t="s">
        <v>25</v>
      </c>
      <c r="T672" s="12" t="s">
        <v>25</v>
      </c>
    </row>
    <row r="673" spans="1:20" hidden="1" x14ac:dyDescent="0.3">
      <c r="A673" s="13">
        <v>43916.708333333336</v>
      </c>
      <c r="B673" s="12" t="s">
        <v>22</v>
      </c>
      <c r="C673" s="82">
        <v>5</v>
      </c>
      <c r="D673" s="12" t="s">
        <v>61</v>
      </c>
      <c r="E673" s="82">
        <v>4543490485</v>
      </c>
      <c r="F673" s="82">
        <v>1233845213</v>
      </c>
      <c r="G673" s="82">
        <v>1447</v>
      </c>
      <c r="H673" s="82">
        <v>326</v>
      </c>
      <c r="I673" s="82">
        <v>1773</v>
      </c>
      <c r="J673" s="82">
        <v>4367</v>
      </c>
      <c r="K673" s="82">
        <v>6140</v>
      </c>
      <c r="L673" s="82">
        <v>395</v>
      </c>
      <c r="M673" s="82">
        <v>493</v>
      </c>
      <c r="N673" s="82">
        <v>508</v>
      </c>
      <c r="O673" s="82">
        <v>287</v>
      </c>
      <c r="P673" s="82">
        <v>6935</v>
      </c>
      <c r="Q673" s="82">
        <v>79759</v>
      </c>
      <c r="R673" s="12" t="s">
        <v>25</v>
      </c>
      <c r="S673" s="12" t="s">
        <v>25</v>
      </c>
      <c r="T673" s="12" t="s">
        <v>25</v>
      </c>
    </row>
    <row r="674" spans="1:20" hidden="1" x14ac:dyDescent="0.3">
      <c r="A674" s="13">
        <v>43917.708333333336</v>
      </c>
      <c r="B674" s="12" t="s">
        <v>22</v>
      </c>
      <c r="C674" s="82">
        <v>13</v>
      </c>
      <c r="D674" s="12" t="s">
        <v>42</v>
      </c>
      <c r="E674" s="82">
        <v>4235122196</v>
      </c>
      <c r="F674" s="82">
        <v>1339843823</v>
      </c>
      <c r="G674" s="82">
        <v>289</v>
      </c>
      <c r="H674" s="82">
        <v>71</v>
      </c>
      <c r="I674" s="82">
        <v>360</v>
      </c>
      <c r="J674" s="82">
        <v>565</v>
      </c>
      <c r="K674" s="82">
        <v>925</v>
      </c>
      <c r="L674" s="82">
        <v>65</v>
      </c>
      <c r="M674" s="82">
        <v>71</v>
      </c>
      <c r="N674" s="82">
        <v>24</v>
      </c>
      <c r="O674" s="82">
        <v>68</v>
      </c>
      <c r="P674" s="82">
        <v>1017</v>
      </c>
      <c r="Q674" s="82">
        <v>6109</v>
      </c>
      <c r="R674" s="12" t="s">
        <v>25</v>
      </c>
      <c r="S674" s="12" t="s">
        <v>25</v>
      </c>
      <c r="T674" s="12" t="s">
        <v>25</v>
      </c>
    </row>
    <row r="675" spans="1:20" hidden="1" x14ac:dyDescent="0.3">
      <c r="A675" s="13">
        <v>43917.708333333336</v>
      </c>
      <c r="B675" s="12" t="s">
        <v>22</v>
      </c>
      <c r="C675" s="82">
        <v>17</v>
      </c>
      <c r="D675" s="12" t="s">
        <v>43</v>
      </c>
      <c r="E675" s="82">
        <v>4063947052</v>
      </c>
      <c r="F675" s="82">
        <v>1580514834</v>
      </c>
      <c r="G675" s="82">
        <v>22</v>
      </c>
      <c r="H675" s="82">
        <v>15</v>
      </c>
      <c r="I675" s="82">
        <v>37</v>
      </c>
      <c r="J675" s="82">
        <v>110</v>
      </c>
      <c r="K675" s="82">
        <v>147</v>
      </c>
      <c r="L675" s="82">
        <v>14</v>
      </c>
      <c r="M675" s="82">
        <v>17</v>
      </c>
      <c r="N675" s="82">
        <v>1</v>
      </c>
      <c r="O675" s="82">
        <v>3</v>
      </c>
      <c r="P675" s="82">
        <v>151</v>
      </c>
      <c r="Q675" s="82">
        <v>1254</v>
      </c>
      <c r="R675" s="12" t="s">
        <v>25</v>
      </c>
      <c r="S675" s="12" t="s">
        <v>25</v>
      </c>
      <c r="T675" s="12" t="s">
        <v>25</v>
      </c>
    </row>
    <row r="676" spans="1:20" hidden="1" x14ac:dyDescent="0.3">
      <c r="A676" s="13">
        <v>43917.708333333336</v>
      </c>
      <c r="B676" s="12" t="s">
        <v>22</v>
      </c>
      <c r="C676" s="82">
        <v>21</v>
      </c>
      <c r="D676" s="12" t="s">
        <v>44</v>
      </c>
      <c r="E676" s="82">
        <v>4649933453</v>
      </c>
      <c r="F676" s="82">
        <v>1135662422</v>
      </c>
      <c r="G676" s="82">
        <v>249</v>
      </c>
      <c r="H676" s="82">
        <v>45</v>
      </c>
      <c r="I676" s="82">
        <v>294</v>
      </c>
      <c r="J676" s="82">
        <v>539</v>
      </c>
      <c r="K676" s="82">
        <v>833</v>
      </c>
      <c r="L676" s="82">
        <v>42</v>
      </c>
      <c r="M676" s="82">
        <v>97</v>
      </c>
      <c r="N676" s="82">
        <v>110</v>
      </c>
      <c r="O676" s="82">
        <v>60</v>
      </c>
      <c r="P676" s="82">
        <v>1003</v>
      </c>
      <c r="Q676" s="82">
        <v>8520</v>
      </c>
      <c r="R676" s="12" t="s">
        <v>25</v>
      </c>
      <c r="S676" s="12" t="s">
        <v>25</v>
      </c>
      <c r="T676" s="12" t="s">
        <v>25</v>
      </c>
    </row>
    <row r="677" spans="1:20" hidden="1" x14ac:dyDescent="0.3">
      <c r="A677" s="13">
        <v>43917.708333333336</v>
      </c>
      <c r="B677" s="12" t="s">
        <v>22</v>
      </c>
      <c r="C677" s="82">
        <v>18</v>
      </c>
      <c r="D677" s="12" t="s">
        <v>45</v>
      </c>
      <c r="E677" s="82">
        <v>3890597598</v>
      </c>
      <c r="F677" s="82">
        <v>1659440194</v>
      </c>
      <c r="G677" s="82">
        <v>103</v>
      </c>
      <c r="H677" s="82">
        <v>22</v>
      </c>
      <c r="I677" s="82">
        <v>125</v>
      </c>
      <c r="J677" s="82">
        <v>344</v>
      </c>
      <c r="K677" s="82">
        <v>469</v>
      </c>
      <c r="L677" s="82">
        <v>97</v>
      </c>
      <c r="M677" s="82">
        <v>101</v>
      </c>
      <c r="N677" s="82">
        <v>7</v>
      </c>
      <c r="O677" s="82">
        <v>18</v>
      </c>
      <c r="P677" s="82">
        <v>494</v>
      </c>
      <c r="Q677" s="82">
        <v>6901</v>
      </c>
      <c r="R677" s="12" t="s">
        <v>25</v>
      </c>
      <c r="S677" s="12" t="s">
        <v>25</v>
      </c>
      <c r="T677" s="12" t="s">
        <v>25</v>
      </c>
    </row>
    <row r="678" spans="1:20" hidden="1" x14ac:dyDescent="0.3">
      <c r="A678" s="13">
        <v>43917.708333333336</v>
      </c>
      <c r="B678" s="12" t="s">
        <v>22</v>
      </c>
      <c r="C678" s="82">
        <v>15</v>
      </c>
      <c r="D678" s="12" t="s">
        <v>46</v>
      </c>
      <c r="E678" s="82">
        <v>4083956555</v>
      </c>
      <c r="F678" s="82">
        <v>1425084984</v>
      </c>
      <c r="G678" s="82">
        <v>456</v>
      </c>
      <c r="H678" s="82">
        <v>113</v>
      </c>
      <c r="I678" s="82">
        <v>569</v>
      </c>
      <c r="J678" s="82">
        <v>723</v>
      </c>
      <c r="K678" s="82">
        <v>1292</v>
      </c>
      <c r="L678" s="82">
        <v>123</v>
      </c>
      <c r="M678" s="82">
        <v>144</v>
      </c>
      <c r="N678" s="82">
        <v>64</v>
      </c>
      <c r="O678" s="82">
        <v>98</v>
      </c>
      <c r="P678" s="82">
        <v>1454</v>
      </c>
      <c r="Q678" s="82">
        <v>9613</v>
      </c>
      <c r="R678" s="12" t="s">
        <v>25</v>
      </c>
      <c r="S678" s="12" t="s">
        <v>25</v>
      </c>
      <c r="T678" s="12" t="s">
        <v>25</v>
      </c>
    </row>
    <row r="679" spans="1:20" hidden="1" x14ac:dyDescent="0.3">
      <c r="A679" s="13">
        <v>43917.708333333336</v>
      </c>
      <c r="B679" s="12" t="s">
        <v>22</v>
      </c>
      <c r="C679" s="82">
        <v>8</v>
      </c>
      <c r="D679" s="12" t="s">
        <v>95</v>
      </c>
      <c r="E679" s="82">
        <v>4449436681</v>
      </c>
      <c r="F679" s="82">
        <v>113417208</v>
      </c>
      <c r="G679" s="82">
        <v>3461</v>
      </c>
      <c r="H679" s="82">
        <v>308</v>
      </c>
      <c r="I679" s="82">
        <v>3769</v>
      </c>
      <c r="J679" s="82">
        <v>5592</v>
      </c>
      <c r="K679" s="82">
        <v>9361</v>
      </c>
      <c r="L679" s="82">
        <v>511</v>
      </c>
      <c r="M679" s="82">
        <v>772</v>
      </c>
      <c r="N679" s="82">
        <v>960</v>
      </c>
      <c r="O679" s="82">
        <v>1267</v>
      </c>
      <c r="P679" s="82">
        <v>11588</v>
      </c>
      <c r="Q679" s="82">
        <v>47798</v>
      </c>
      <c r="R679" s="12" t="s">
        <v>25</v>
      </c>
      <c r="S679" s="12" t="s">
        <v>25</v>
      </c>
      <c r="T679" s="12" t="s">
        <v>25</v>
      </c>
    </row>
    <row r="680" spans="1:20" hidden="1" x14ac:dyDescent="0.3">
      <c r="A680" s="13">
        <v>43917.708333333336</v>
      </c>
      <c r="B680" s="12" t="s">
        <v>22</v>
      </c>
      <c r="C680" s="82">
        <v>6</v>
      </c>
      <c r="D680" s="12" t="s">
        <v>47</v>
      </c>
      <c r="E680" s="82">
        <v>456494354</v>
      </c>
      <c r="F680" s="82">
        <v>1376813649</v>
      </c>
      <c r="G680" s="82">
        <v>222</v>
      </c>
      <c r="H680" s="82">
        <v>57</v>
      </c>
      <c r="I680" s="82">
        <v>279</v>
      </c>
      <c r="J680" s="82">
        <v>748</v>
      </c>
      <c r="K680" s="82">
        <v>1027</v>
      </c>
      <c r="L680" s="82">
        <v>73</v>
      </c>
      <c r="M680" s="82">
        <v>94</v>
      </c>
      <c r="N680" s="82">
        <v>214</v>
      </c>
      <c r="O680" s="82">
        <v>76</v>
      </c>
      <c r="P680" s="82">
        <v>1317</v>
      </c>
      <c r="Q680" s="82">
        <v>11841</v>
      </c>
      <c r="R680" s="12" t="s">
        <v>25</v>
      </c>
      <c r="S680" s="12" t="s">
        <v>25</v>
      </c>
      <c r="T680" s="12" t="s">
        <v>25</v>
      </c>
    </row>
    <row r="681" spans="1:20" hidden="1" x14ac:dyDescent="0.3">
      <c r="A681" s="13">
        <v>43917.708333333336</v>
      </c>
      <c r="B681" s="12" t="s">
        <v>22</v>
      </c>
      <c r="C681" s="82">
        <v>12</v>
      </c>
      <c r="D681" s="12" t="s">
        <v>48</v>
      </c>
      <c r="E681" s="82">
        <v>4189277044</v>
      </c>
      <c r="F681" s="82">
        <v>1248366722</v>
      </c>
      <c r="G681" s="82">
        <v>992</v>
      </c>
      <c r="H681" s="82">
        <v>126</v>
      </c>
      <c r="I681" s="82">
        <v>1118</v>
      </c>
      <c r="J681" s="82">
        <v>895</v>
      </c>
      <c r="K681" s="82">
        <v>2013</v>
      </c>
      <c r="L681" s="82">
        <v>178</v>
      </c>
      <c r="M681" s="82">
        <v>199</v>
      </c>
      <c r="N681" s="82">
        <v>164</v>
      </c>
      <c r="O681" s="82">
        <v>118</v>
      </c>
      <c r="P681" s="82">
        <v>2295</v>
      </c>
      <c r="Q681" s="82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82">
        <v>7</v>
      </c>
      <c r="D682" s="12" t="s">
        <v>49</v>
      </c>
      <c r="E682" s="82">
        <v>4441149315</v>
      </c>
      <c r="F682" s="82">
        <v>89326992</v>
      </c>
      <c r="G682" s="82">
        <v>1023</v>
      </c>
      <c r="H682" s="82">
        <v>157</v>
      </c>
      <c r="I682" s="82">
        <v>1180</v>
      </c>
      <c r="J682" s="82">
        <v>880</v>
      </c>
      <c r="K682" s="82">
        <v>2060</v>
      </c>
      <c r="L682" s="82">
        <v>33</v>
      </c>
      <c r="M682" s="82">
        <v>129</v>
      </c>
      <c r="N682" s="82">
        <v>305</v>
      </c>
      <c r="O682" s="82">
        <v>331</v>
      </c>
      <c r="P682" s="82">
        <v>2696</v>
      </c>
      <c r="Q682" s="82">
        <v>7804</v>
      </c>
      <c r="R682" s="12" t="s">
        <v>25</v>
      </c>
      <c r="S682" s="12" t="s">
        <v>25</v>
      </c>
      <c r="T682" s="12" t="s">
        <v>25</v>
      </c>
    </row>
    <row r="683" spans="1:20" hidden="1" x14ac:dyDescent="0.3">
      <c r="A683" s="13">
        <v>43917.708333333336</v>
      </c>
      <c r="B683" s="12" t="s">
        <v>22</v>
      </c>
      <c r="C683" s="82">
        <v>3</v>
      </c>
      <c r="D683" s="12" t="s">
        <v>50</v>
      </c>
      <c r="E683" s="82">
        <v>4546679409</v>
      </c>
      <c r="F683" s="82">
        <v>9190347404</v>
      </c>
      <c r="G683" s="82">
        <v>11137</v>
      </c>
      <c r="H683" s="82">
        <v>1292</v>
      </c>
      <c r="I683" s="82">
        <v>12429</v>
      </c>
      <c r="J683" s="82">
        <v>11466</v>
      </c>
      <c r="K683" s="82">
        <v>23895</v>
      </c>
      <c r="L683" s="82">
        <v>1706</v>
      </c>
      <c r="M683" s="82">
        <v>2409</v>
      </c>
      <c r="N683" s="82">
        <v>8001</v>
      </c>
      <c r="O683" s="82">
        <v>5402</v>
      </c>
      <c r="P683" s="82">
        <v>37298</v>
      </c>
      <c r="Q683" s="82">
        <v>95860</v>
      </c>
      <c r="R683" s="12" t="s">
        <v>25</v>
      </c>
      <c r="S683" s="12" t="s">
        <v>25</v>
      </c>
      <c r="T683" s="12" t="s">
        <v>25</v>
      </c>
    </row>
    <row r="684" spans="1:20" hidden="1" x14ac:dyDescent="0.3">
      <c r="A684" s="13">
        <v>43917.708333333336</v>
      </c>
      <c r="B684" s="12" t="s">
        <v>22</v>
      </c>
      <c r="C684" s="82">
        <v>11</v>
      </c>
      <c r="D684" s="12" t="s">
        <v>51</v>
      </c>
      <c r="E684" s="82">
        <v>4361675973</v>
      </c>
      <c r="F684" s="82">
        <v>135188753</v>
      </c>
      <c r="G684" s="82">
        <v>979</v>
      </c>
      <c r="H684" s="82">
        <v>162</v>
      </c>
      <c r="I684" s="82">
        <v>1141</v>
      </c>
      <c r="J684" s="82">
        <v>1709</v>
      </c>
      <c r="K684" s="82">
        <v>2850</v>
      </c>
      <c r="L684" s="82">
        <v>55</v>
      </c>
      <c r="M684" s="82">
        <v>82</v>
      </c>
      <c r="N684" s="82">
        <v>10</v>
      </c>
      <c r="O684" s="82">
        <v>336</v>
      </c>
      <c r="P684" s="82">
        <v>3196</v>
      </c>
      <c r="Q684" s="82">
        <v>9060</v>
      </c>
      <c r="R684" s="12" t="s">
        <v>25</v>
      </c>
      <c r="S684" s="12" t="s">
        <v>25</v>
      </c>
      <c r="T684" s="12" t="s">
        <v>25</v>
      </c>
    </row>
    <row r="685" spans="1:20" hidden="1" x14ac:dyDescent="0.3">
      <c r="A685" s="13">
        <v>43917.708333333336</v>
      </c>
      <c r="B685" s="12" t="s">
        <v>22</v>
      </c>
      <c r="C685" s="82">
        <v>14</v>
      </c>
      <c r="D685" s="12" t="s">
        <v>52</v>
      </c>
      <c r="E685" s="82">
        <v>4155774754</v>
      </c>
      <c r="F685" s="82">
        <v>1465916051</v>
      </c>
      <c r="G685" s="82">
        <v>26</v>
      </c>
      <c r="H685" s="82">
        <v>9</v>
      </c>
      <c r="I685" s="82">
        <v>35</v>
      </c>
      <c r="J685" s="82">
        <v>51</v>
      </c>
      <c r="K685" s="82">
        <v>86</v>
      </c>
      <c r="L685" s="82">
        <v>5</v>
      </c>
      <c r="M685" s="82">
        <v>6</v>
      </c>
      <c r="N685" s="82">
        <v>14</v>
      </c>
      <c r="O685" s="82">
        <v>9</v>
      </c>
      <c r="P685" s="82">
        <v>109</v>
      </c>
      <c r="Q685" s="82">
        <v>710</v>
      </c>
      <c r="R685" s="12" t="s">
        <v>25</v>
      </c>
      <c r="S685" s="12" t="s">
        <v>25</v>
      </c>
      <c r="T685" s="12" t="s">
        <v>25</v>
      </c>
    </row>
    <row r="686" spans="1:20" hidden="1" x14ac:dyDescent="0.3">
      <c r="A686" s="13">
        <v>43917.708333333336</v>
      </c>
      <c r="B686" s="12" t="s">
        <v>22</v>
      </c>
      <c r="C686" s="82">
        <v>1</v>
      </c>
      <c r="D686" s="12" t="s">
        <v>53</v>
      </c>
      <c r="E686" s="82">
        <v>450732745</v>
      </c>
      <c r="F686" s="82">
        <v>7680687483</v>
      </c>
      <c r="G686" s="82">
        <v>2852</v>
      </c>
      <c r="H686" s="82">
        <v>431</v>
      </c>
      <c r="I686" s="82">
        <v>3283</v>
      </c>
      <c r="J686" s="82">
        <v>3064</v>
      </c>
      <c r="K686" s="82">
        <v>6347</v>
      </c>
      <c r="L686" s="82">
        <v>397</v>
      </c>
      <c r="M686" s="82">
        <v>558</v>
      </c>
      <c r="N686" s="82">
        <v>176</v>
      </c>
      <c r="O686" s="82">
        <v>569</v>
      </c>
      <c r="P686" s="82">
        <v>7092</v>
      </c>
      <c r="Q686" s="82">
        <v>19705</v>
      </c>
      <c r="R686" s="12" t="s">
        <v>25</v>
      </c>
      <c r="S686" s="12" t="s">
        <v>25</v>
      </c>
      <c r="T686" s="12" t="s">
        <v>25</v>
      </c>
    </row>
    <row r="687" spans="1:20" hidden="1" x14ac:dyDescent="0.3">
      <c r="A687" s="13">
        <v>43917.708333333336</v>
      </c>
      <c r="B687" s="12" t="s">
        <v>22</v>
      </c>
      <c r="C687" s="82">
        <v>16</v>
      </c>
      <c r="D687" s="12" t="s">
        <v>54</v>
      </c>
      <c r="E687" s="82">
        <v>4112559576</v>
      </c>
      <c r="F687" s="82">
        <v>1686736689</v>
      </c>
      <c r="G687" s="82">
        <v>530</v>
      </c>
      <c r="H687" s="82">
        <v>82</v>
      </c>
      <c r="I687" s="82">
        <v>612</v>
      </c>
      <c r="J687" s="82">
        <v>624</v>
      </c>
      <c r="K687" s="82">
        <v>1236</v>
      </c>
      <c r="L687" s="82">
        <v>141</v>
      </c>
      <c r="M687" s="82">
        <v>152</v>
      </c>
      <c r="N687" s="82">
        <v>29</v>
      </c>
      <c r="O687" s="82">
        <v>69</v>
      </c>
      <c r="P687" s="82">
        <v>1334</v>
      </c>
      <c r="Q687" s="82">
        <v>10233</v>
      </c>
      <c r="R687" s="12" t="s">
        <v>25</v>
      </c>
      <c r="S687" s="12" t="s">
        <v>25</v>
      </c>
      <c r="T687" s="12" t="s">
        <v>25</v>
      </c>
    </row>
    <row r="688" spans="1:20" hidden="1" x14ac:dyDescent="0.3">
      <c r="A688" s="13">
        <v>43917.708333333336</v>
      </c>
      <c r="B688" s="12" t="s">
        <v>22</v>
      </c>
      <c r="C688" s="82">
        <v>20</v>
      </c>
      <c r="D688" s="12" t="s">
        <v>55</v>
      </c>
      <c r="E688" s="82">
        <v>3921531192</v>
      </c>
      <c r="F688" s="82">
        <v>9110616306</v>
      </c>
      <c r="G688" s="82">
        <v>93</v>
      </c>
      <c r="H688" s="82">
        <v>19</v>
      </c>
      <c r="I688" s="82">
        <v>112</v>
      </c>
      <c r="J688" s="82">
        <v>384</v>
      </c>
      <c r="K688" s="82">
        <v>496</v>
      </c>
      <c r="L688" s="82">
        <v>34</v>
      </c>
      <c r="M688" s="82">
        <v>36</v>
      </c>
      <c r="N688" s="82">
        <v>13</v>
      </c>
      <c r="O688" s="82">
        <v>21</v>
      </c>
      <c r="P688" s="82">
        <v>530</v>
      </c>
      <c r="Q688" s="82">
        <v>3801</v>
      </c>
      <c r="R688" s="12" t="s">
        <v>25</v>
      </c>
      <c r="S688" s="12" t="s">
        <v>25</v>
      </c>
      <c r="T688" s="12" t="s">
        <v>25</v>
      </c>
    </row>
    <row r="689" spans="1:20" hidden="1" x14ac:dyDescent="0.3">
      <c r="A689" s="13">
        <v>43917.708333333336</v>
      </c>
      <c r="B689" s="12" t="s">
        <v>22</v>
      </c>
      <c r="C689" s="82">
        <v>19</v>
      </c>
      <c r="D689" s="12" t="s">
        <v>56</v>
      </c>
      <c r="E689" s="82">
        <v>3811569725</v>
      </c>
      <c r="F689" s="82">
        <v>133623567</v>
      </c>
      <c r="G689" s="82">
        <v>425</v>
      </c>
      <c r="H689" s="82">
        <v>75</v>
      </c>
      <c r="I689" s="82">
        <v>500</v>
      </c>
      <c r="J689" s="82">
        <v>658</v>
      </c>
      <c r="K689" s="82">
        <v>1158</v>
      </c>
      <c r="L689" s="82">
        <v>63</v>
      </c>
      <c r="M689" s="82">
        <v>86</v>
      </c>
      <c r="N689" s="82">
        <v>53</v>
      </c>
      <c r="O689" s="82">
        <v>39</v>
      </c>
      <c r="P689" s="82">
        <v>1250</v>
      </c>
      <c r="Q689" s="82">
        <v>11079</v>
      </c>
      <c r="R689" s="12" t="s">
        <v>25</v>
      </c>
      <c r="S689" s="12" t="s">
        <v>25</v>
      </c>
      <c r="T689" s="12" t="s">
        <v>25</v>
      </c>
    </row>
    <row r="690" spans="1:20" hidden="1" x14ac:dyDescent="0.3">
      <c r="A690" s="13">
        <v>43917.708333333336</v>
      </c>
      <c r="B690" s="12" t="s">
        <v>22</v>
      </c>
      <c r="C690" s="82">
        <v>9</v>
      </c>
      <c r="D690" s="12" t="s">
        <v>57</v>
      </c>
      <c r="E690" s="82">
        <v>4376923077</v>
      </c>
      <c r="F690" s="82">
        <v>1125588885</v>
      </c>
      <c r="G690" s="82">
        <v>1053</v>
      </c>
      <c r="H690" s="82">
        <v>274</v>
      </c>
      <c r="I690" s="82">
        <v>1327</v>
      </c>
      <c r="J690" s="82">
        <v>1843</v>
      </c>
      <c r="K690" s="82">
        <v>3170</v>
      </c>
      <c r="L690" s="82">
        <v>197</v>
      </c>
      <c r="M690" s="82">
        <v>224</v>
      </c>
      <c r="N690" s="82">
        <v>103</v>
      </c>
      <c r="O690" s="82">
        <v>177</v>
      </c>
      <c r="P690" s="82">
        <v>3450</v>
      </c>
      <c r="Q690" s="82">
        <v>23746</v>
      </c>
      <c r="R690" s="12" t="s">
        <v>25</v>
      </c>
      <c r="S690" s="12" t="s">
        <v>25</v>
      </c>
      <c r="T690" s="12" t="s">
        <v>25</v>
      </c>
    </row>
    <row r="691" spans="1:20" hidden="1" x14ac:dyDescent="0.3">
      <c r="A691" s="13">
        <v>43917.708333333336</v>
      </c>
      <c r="B691" s="12" t="s">
        <v>22</v>
      </c>
      <c r="C691" s="82">
        <v>22</v>
      </c>
      <c r="D691" s="12" t="s">
        <v>58</v>
      </c>
      <c r="E691" s="82">
        <v>4606893511</v>
      </c>
      <c r="F691" s="82">
        <v>1112123097</v>
      </c>
      <c r="G691" s="82">
        <v>341</v>
      </c>
      <c r="H691" s="82">
        <v>66</v>
      </c>
      <c r="I691" s="82">
        <v>407</v>
      </c>
      <c r="J691" s="82">
        <v>757</v>
      </c>
      <c r="K691" s="82">
        <v>1164</v>
      </c>
      <c r="L691" s="82">
        <v>70</v>
      </c>
      <c r="M691" s="82">
        <v>94</v>
      </c>
      <c r="N691" s="82">
        <v>125</v>
      </c>
      <c r="O691" s="82">
        <v>102</v>
      </c>
      <c r="P691" s="82">
        <v>1391</v>
      </c>
      <c r="Q691" s="82">
        <v>4923</v>
      </c>
      <c r="R691" s="12" t="s">
        <v>25</v>
      </c>
      <c r="S691" s="12" t="s">
        <v>25</v>
      </c>
      <c r="T691" s="12" t="s">
        <v>25</v>
      </c>
    </row>
    <row r="692" spans="1:20" hidden="1" x14ac:dyDescent="0.3">
      <c r="A692" s="13">
        <v>43917.708333333336</v>
      </c>
      <c r="B692" s="12" t="s">
        <v>22</v>
      </c>
      <c r="C692" s="82">
        <v>10</v>
      </c>
      <c r="D692" s="12" t="s">
        <v>59</v>
      </c>
      <c r="E692" s="82">
        <v>4310675841</v>
      </c>
      <c r="F692" s="82">
        <v>1238824698</v>
      </c>
      <c r="G692" s="82">
        <v>149</v>
      </c>
      <c r="H692" s="82">
        <v>46</v>
      </c>
      <c r="I692" s="82">
        <v>195</v>
      </c>
      <c r="J692" s="82">
        <v>629</v>
      </c>
      <c r="K692" s="82">
        <v>824</v>
      </c>
      <c r="L692" s="82">
        <v>54</v>
      </c>
      <c r="M692" s="82">
        <v>82</v>
      </c>
      <c r="N692" s="82">
        <v>39</v>
      </c>
      <c r="O692" s="82">
        <v>21</v>
      </c>
      <c r="P692" s="82">
        <v>884</v>
      </c>
      <c r="Q692" s="82">
        <v>6137</v>
      </c>
      <c r="R692" s="12" t="s">
        <v>25</v>
      </c>
      <c r="S692" s="12" t="s">
        <v>25</v>
      </c>
      <c r="T692" s="12" t="s">
        <v>25</v>
      </c>
    </row>
    <row r="693" spans="1:20" hidden="1" x14ac:dyDescent="0.3">
      <c r="A693" s="13">
        <v>43917.708333333336</v>
      </c>
      <c r="B693" s="12" t="s">
        <v>22</v>
      </c>
      <c r="C693" s="82">
        <v>2</v>
      </c>
      <c r="D693" s="12" t="s">
        <v>60</v>
      </c>
      <c r="E693" s="82">
        <v>4573750286</v>
      </c>
      <c r="F693" s="82">
        <v>7320149366</v>
      </c>
      <c r="G693" s="82">
        <v>91</v>
      </c>
      <c r="H693" s="82">
        <v>24</v>
      </c>
      <c r="I693" s="82">
        <v>115</v>
      </c>
      <c r="J693" s="82">
        <v>298</v>
      </c>
      <c r="K693" s="82">
        <v>413</v>
      </c>
      <c r="L693" s="82">
        <v>35</v>
      </c>
      <c r="M693" s="82">
        <v>44</v>
      </c>
      <c r="N693" s="82">
        <v>2</v>
      </c>
      <c r="O693" s="82">
        <v>37</v>
      </c>
      <c r="P693" s="82">
        <v>452</v>
      </c>
      <c r="Q693" s="82">
        <v>1252</v>
      </c>
      <c r="R693" s="12" t="s">
        <v>25</v>
      </c>
      <c r="S693" s="12" t="s">
        <v>25</v>
      </c>
      <c r="T693" s="12" t="s">
        <v>25</v>
      </c>
    </row>
    <row r="694" spans="1:20" hidden="1" x14ac:dyDescent="0.3">
      <c r="A694" s="13">
        <v>43917.708333333336</v>
      </c>
      <c r="B694" s="12" t="s">
        <v>22</v>
      </c>
      <c r="C694" s="82">
        <v>5</v>
      </c>
      <c r="D694" s="12" t="s">
        <v>61</v>
      </c>
      <c r="E694" s="82">
        <v>4543490485</v>
      </c>
      <c r="F694" s="82">
        <v>1233845213</v>
      </c>
      <c r="G694" s="82">
        <v>1536</v>
      </c>
      <c r="H694" s="82">
        <v>338</v>
      </c>
      <c r="I694" s="82">
        <v>1874</v>
      </c>
      <c r="J694" s="82">
        <v>4774</v>
      </c>
      <c r="K694" s="82">
        <v>6648</v>
      </c>
      <c r="L694" s="82">
        <v>508</v>
      </c>
      <c r="M694" s="82">
        <v>562</v>
      </c>
      <c r="N694" s="82">
        <v>536</v>
      </c>
      <c r="O694" s="82">
        <v>313</v>
      </c>
      <c r="P694" s="82">
        <v>7497</v>
      </c>
      <c r="Q694" s="82">
        <v>83627</v>
      </c>
      <c r="R694" s="12" t="s">
        <v>25</v>
      </c>
      <c r="S694" s="12" t="s">
        <v>25</v>
      </c>
      <c r="T694" s="12" t="s">
        <v>25</v>
      </c>
    </row>
    <row r="695" spans="1:20" hidden="1" x14ac:dyDescent="0.3">
      <c r="A695" s="13">
        <v>43918.708333333336</v>
      </c>
      <c r="B695" s="12" t="s">
        <v>22</v>
      </c>
      <c r="C695" s="82">
        <v>13</v>
      </c>
      <c r="D695" s="12" t="s">
        <v>42</v>
      </c>
      <c r="E695" s="82">
        <v>4235122196</v>
      </c>
      <c r="F695" s="82">
        <v>1339843823</v>
      </c>
      <c r="G695" s="82">
        <v>311</v>
      </c>
      <c r="H695" s="82">
        <v>70</v>
      </c>
      <c r="I695" s="82">
        <v>381</v>
      </c>
      <c r="J695" s="82">
        <v>646</v>
      </c>
      <c r="K695" s="82">
        <v>1027</v>
      </c>
      <c r="L695" s="82">
        <v>102</v>
      </c>
      <c r="M695" s="82">
        <v>116</v>
      </c>
      <c r="N695" s="82">
        <v>30</v>
      </c>
      <c r="O695" s="82">
        <v>76</v>
      </c>
      <c r="P695" s="82">
        <v>1133</v>
      </c>
      <c r="Q695" s="82">
        <v>7003</v>
      </c>
      <c r="R695" s="12" t="s">
        <v>25</v>
      </c>
      <c r="S695" s="12" t="s">
        <v>25</v>
      </c>
      <c r="T695" s="12" t="s">
        <v>25</v>
      </c>
    </row>
    <row r="696" spans="1:20" hidden="1" x14ac:dyDescent="0.3">
      <c r="A696" s="13">
        <v>43918.708333333336</v>
      </c>
      <c r="B696" s="12" t="s">
        <v>22</v>
      </c>
      <c r="C696" s="82">
        <v>17</v>
      </c>
      <c r="D696" s="12" t="s">
        <v>43</v>
      </c>
      <c r="E696" s="82">
        <v>4063947052</v>
      </c>
      <c r="F696" s="82">
        <v>1580514834</v>
      </c>
      <c r="G696" s="82">
        <v>26</v>
      </c>
      <c r="H696" s="82">
        <v>19</v>
      </c>
      <c r="I696" s="82">
        <v>45</v>
      </c>
      <c r="J696" s="82">
        <v>133</v>
      </c>
      <c r="K696" s="82">
        <v>178</v>
      </c>
      <c r="L696" s="82">
        <v>31</v>
      </c>
      <c r="M696" s="82">
        <v>31</v>
      </c>
      <c r="N696" s="82">
        <v>1</v>
      </c>
      <c r="O696" s="82">
        <v>3</v>
      </c>
      <c r="P696" s="82">
        <v>182</v>
      </c>
      <c r="Q696" s="82">
        <v>1421</v>
      </c>
      <c r="R696" s="12" t="s">
        <v>25</v>
      </c>
      <c r="S696" s="12" t="s">
        <v>25</v>
      </c>
      <c r="T696" s="12" t="s">
        <v>25</v>
      </c>
    </row>
    <row r="697" spans="1:20" hidden="1" x14ac:dyDescent="0.3">
      <c r="A697" s="13">
        <v>43918.708333333336</v>
      </c>
      <c r="B697" s="12" t="s">
        <v>22</v>
      </c>
      <c r="C697" s="82">
        <v>21</v>
      </c>
      <c r="D697" s="12" t="s">
        <v>44</v>
      </c>
      <c r="E697" s="82">
        <v>4649933453</v>
      </c>
      <c r="F697" s="82">
        <v>1135662422</v>
      </c>
      <c r="G697" s="82">
        <v>225</v>
      </c>
      <c r="H697" s="82">
        <v>51</v>
      </c>
      <c r="I697" s="82">
        <v>276</v>
      </c>
      <c r="J697" s="82">
        <v>653</v>
      </c>
      <c r="K697" s="82">
        <v>929</v>
      </c>
      <c r="L697" s="82">
        <v>96</v>
      </c>
      <c r="M697" s="82">
        <v>106</v>
      </c>
      <c r="N697" s="82">
        <v>116</v>
      </c>
      <c r="O697" s="82">
        <v>64</v>
      </c>
      <c r="P697" s="82">
        <v>1109</v>
      </c>
      <c r="Q697" s="82">
        <v>9168</v>
      </c>
      <c r="R697" s="12" t="s">
        <v>25</v>
      </c>
      <c r="S697" s="12" t="s">
        <v>25</v>
      </c>
      <c r="T697" s="12" t="s">
        <v>25</v>
      </c>
    </row>
    <row r="698" spans="1:20" hidden="1" x14ac:dyDescent="0.3">
      <c r="A698" s="13">
        <v>43918.708333333336</v>
      </c>
      <c r="B698" s="12" t="s">
        <v>22</v>
      </c>
      <c r="C698" s="82">
        <v>18</v>
      </c>
      <c r="D698" s="12" t="s">
        <v>45</v>
      </c>
      <c r="E698" s="82">
        <v>3890597598</v>
      </c>
      <c r="F698" s="82">
        <v>1659440194</v>
      </c>
      <c r="G698" s="82">
        <v>107</v>
      </c>
      <c r="H698" s="82">
        <v>22</v>
      </c>
      <c r="I698" s="82">
        <v>129</v>
      </c>
      <c r="J698" s="82">
        <v>394</v>
      </c>
      <c r="K698" s="82">
        <v>523</v>
      </c>
      <c r="L698" s="82">
        <v>54</v>
      </c>
      <c r="M698" s="82">
        <v>61</v>
      </c>
      <c r="N698" s="82">
        <v>11</v>
      </c>
      <c r="O698" s="82">
        <v>21</v>
      </c>
      <c r="P698" s="82">
        <v>555</v>
      </c>
      <c r="Q698" s="82">
        <v>7760</v>
      </c>
      <c r="R698" s="12" t="s">
        <v>25</v>
      </c>
      <c r="S698" s="12" t="s">
        <v>25</v>
      </c>
      <c r="T698" s="12" t="s">
        <v>25</v>
      </c>
    </row>
    <row r="699" spans="1:20" hidden="1" x14ac:dyDescent="0.3">
      <c r="A699" s="13">
        <v>43918.708333333336</v>
      </c>
      <c r="B699" s="12" t="s">
        <v>22</v>
      </c>
      <c r="C699" s="82">
        <v>15</v>
      </c>
      <c r="D699" s="12" t="s">
        <v>46</v>
      </c>
      <c r="E699" s="82">
        <v>4083956555</v>
      </c>
      <c r="F699" s="82">
        <v>1425084984</v>
      </c>
      <c r="G699" s="82">
        <v>463</v>
      </c>
      <c r="H699" s="82">
        <v>132</v>
      </c>
      <c r="I699" s="82">
        <v>595</v>
      </c>
      <c r="J699" s="82">
        <v>812</v>
      </c>
      <c r="K699" s="82">
        <v>1407</v>
      </c>
      <c r="L699" s="82">
        <v>115</v>
      </c>
      <c r="M699" s="82">
        <v>138</v>
      </c>
      <c r="N699" s="82">
        <v>76</v>
      </c>
      <c r="O699" s="82">
        <v>109</v>
      </c>
      <c r="P699" s="82">
        <v>1592</v>
      </c>
      <c r="Q699" s="82">
        <v>10616</v>
      </c>
      <c r="R699" s="12" t="s">
        <v>25</v>
      </c>
      <c r="S699" s="12" t="s">
        <v>25</v>
      </c>
      <c r="T699" s="12" t="s">
        <v>25</v>
      </c>
    </row>
    <row r="700" spans="1:20" hidden="1" x14ac:dyDescent="0.3">
      <c r="A700" s="13">
        <v>43918.708333333336</v>
      </c>
      <c r="B700" s="12" t="s">
        <v>22</v>
      </c>
      <c r="C700" s="82">
        <v>8</v>
      </c>
      <c r="D700" s="12" t="s">
        <v>95</v>
      </c>
      <c r="E700" s="82">
        <v>4449436681</v>
      </c>
      <c r="F700" s="82">
        <v>113417208</v>
      </c>
      <c r="G700" s="82">
        <v>3695</v>
      </c>
      <c r="H700" s="82">
        <v>316</v>
      </c>
      <c r="I700" s="82">
        <v>4011</v>
      </c>
      <c r="J700" s="82">
        <v>5953</v>
      </c>
      <c r="K700" s="82">
        <v>9964</v>
      </c>
      <c r="L700" s="82">
        <v>603</v>
      </c>
      <c r="M700" s="82">
        <v>795</v>
      </c>
      <c r="N700" s="82">
        <v>1075</v>
      </c>
      <c r="O700" s="82">
        <v>1344</v>
      </c>
      <c r="P700" s="82">
        <v>12383</v>
      </c>
      <c r="Q700" s="82">
        <v>52991</v>
      </c>
      <c r="R700" s="12" t="s">
        <v>25</v>
      </c>
      <c r="S700" s="12" t="s">
        <v>25</v>
      </c>
      <c r="T700" s="12" t="s">
        <v>25</v>
      </c>
    </row>
    <row r="701" spans="1:20" hidden="1" x14ac:dyDescent="0.3">
      <c r="A701" s="13">
        <v>43918.708333333336</v>
      </c>
      <c r="B701" s="12" t="s">
        <v>22</v>
      </c>
      <c r="C701" s="82">
        <v>6</v>
      </c>
      <c r="D701" s="12" t="s">
        <v>47</v>
      </c>
      <c r="E701" s="82">
        <v>456494354</v>
      </c>
      <c r="F701" s="82">
        <v>1376813649</v>
      </c>
      <c r="G701" s="82">
        <v>223</v>
      </c>
      <c r="H701" s="82">
        <v>59</v>
      </c>
      <c r="I701" s="82">
        <v>282</v>
      </c>
      <c r="J701" s="82">
        <v>838</v>
      </c>
      <c r="K701" s="82">
        <v>1120</v>
      </c>
      <c r="L701" s="82">
        <v>93</v>
      </c>
      <c r="M701" s="82">
        <v>119</v>
      </c>
      <c r="N701" s="82">
        <v>229</v>
      </c>
      <c r="O701" s="82">
        <v>87</v>
      </c>
      <c r="P701" s="82">
        <v>1436</v>
      </c>
      <c r="Q701" s="82">
        <v>12723</v>
      </c>
      <c r="R701" s="12" t="s">
        <v>25</v>
      </c>
      <c r="S701" s="12" t="s">
        <v>25</v>
      </c>
      <c r="T701" s="12" t="s">
        <v>25</v>
      </c>
    </row>
    <row r="702" spans="1:20" hidden="1" x14ac:dyDescent="0.3">
      <c r="A702" s="13">
        <v>43918.708333333336</v>
      </c>
      <c r="B702" s="12" t="s">
        <v>22</v>
      </c>
      <c r="C702" s="82">
        <v>12</v>
      </c>
      <c r="D702" s="12" t="s">
        <v>48</v>
      </c>
      <c r="E702" s="82">
        <v>4189277044</v>
      </c>
      <c r="F702" s="82">
        <v>1248366722</v>
      </c>
      <c r="G702" s="82">
        <v>985</v>
      </c>
      <c r="H702" s="82">
        <v>133</v>
      </c>
      <c r="I702" s="82">
        <v>1118</v>
      </c>
      <c r="J702" s="82">
        <v>1063</v>
      </c>
      <c r="K702" s="82">
        <v>2181</v>
      </c>
      <c r="L702" s="82">
        <v>168</v>
      </c>
      <c r="M702" s="82">
        <v>210</v>
      </c>
      <c r="N702" s="82">
        <v>200</v>
      </c>
      <c r="O702" s="82">
        <v>124</v>
      </c>
      <c r="P702" s="82">
        <v>2505</v>
      </c>
      <c r="Q702" s="82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82">
        <v>7</v>
      </c>
      <c r="D703" s="12" t="s">
        <v>49</v>
      </c>
      <c r="E703" s="82">
        <v>4441149315</v>
      </c>
      <c r="F703" s="82">
        <v>89326992</v>
      </c>
      <c r="G703" s="82">
        <v>1031</v>
      </c>
      <c r="H703" s="82">
        <v>167</v>
      </c>
      <c r="I703" s="82">
        <v>1198</v>
      </c>
      <c r="J703" s="82">
        <v>888</v>
      </c>
      <c r="K703" s="82">
        <v>2086</v>
      </c>
      <c r="L703" s="82">
        <v>26</v>
      </c>
      <c r="M703" s="82">
        <v>126</v>
      </c>
      <c r="N703" s="82">
        <v>378</v>
      </c>
      <c r="O703" s="82">
        <v>358</v>
      </c>
      <c r="P703" s="82">
        <v>2822</v>
      </c>
      <c r="Q703" s="82">
        <v>8177</v>
      </c>
      <c r="R703" s="12" t="s">
        <v>25</v>
      </c>
      <c r="S703" s="12" t="s">
        <v>25</v>
      </c>
      <c r="T703" s="12" t="s">
        <v>25</v>
      </c>
    </row>
    <row r="704" spans="1:20" hidden="1" x14ac:dyDescent="0.3">
      <c r="A704" s="13">
        <v>43918.708333333336</v>
      </c>
      <c r="B704" s="12" t="s">
        <v>22</v>
      </c>
      <c r="C704" s="82">
        <v>3</v>
      </c>
      <c r="D704" s="12" t="s">
        <v>50</v>
      </c>
      <c r="E704" s="82">
        <v>4546679409</v>
      </c>
      <c r="F704" s="82">
        <v>9190347404</v>
      </c>
      <c r="G704" s="82">
        <v>11152</v>
      </c>
      <c r="H704" s="82">
        <v>1319</v>
      </c>
      <c r="I704" s="82">
        <v>12471</v>
      </c>
      <c r="J704" s="82">
        <v>12038</v>
      </c>
      <c r="K704" s="82">
        <v>24509</v>
      </c>
      <c r="L704" s="82">
        <v>614</v>
      </c>
      <c r="M704" s="82">
        <v>2117</v>
      </c>
      <c r="N704" s="82">
        <v>8962</v>
      </c>
      <c r="O704" s="82">
        <v>5944</v>
      </c>
      <c r="P704" s="82">
        <v>39415</v>
      </c>
      <c r="Q704" s="82">
        <v>102503</v>
      </c>
      <c r="R704" s="12" t="s">
        <v>25</v>
      </c>
      <c r="S704" s="12" t="s">
        <v>25</v>
      </c>
      <c r="T704" s="12" t="s">
        <v>25</v>
      </c>
    </row>
    <row r="705" spans="1:20" hidden="1" x14ac:dyDescent="0.3">
      <c r="A705" s="13">
        <v>43918.708333333336</v>
      </c>
      <c r="B705" s="12" t="s">
        <v>22</v>
      </c>
      <c r="C705" s="82">
        <v>11</v>
      </c>
      <c r="D705" s="12" t="s">
        <v>51</v>
      </c>
      <c r="E705" s="82">
        <v>4361675973</v>
      </c>
      <c r="F705" s="82">
        <v>135188753</v>
      </c>
      <c r="G705" s="82">
        <v>987</v>
      </c>
      <c r="H705" s="82">
        <v>166</v>
      </c>
      <c r="I705" s="82">
        <v>1153</v>
      </c>
      <c r="J705" s="82">
        <v>1846</v>
      </c>
      <c r="K705" s="82">
        <v>2999</v>
      </c>
      <c r="L705" s="82">
        <v>149</v>
      </c>
      <c r="M705" s="82">
        <v>177</v>
      </c>
      <c r="N705" s="82">
        <v>10</v>
      </c>
      <c r="O705" s="82">
        <v>364</v>
      </c>
      <c r="P705" s="82">
        <v>3373</v>
      </c>
      <c r="Q705" s="82">
        <v>9884</v>
      </c>
      <c r="R705" s="12" t="s">
        <v>25</v>
      </c>
      <c r="S705" s="12" t="s">
        <v>25</v>
      </c>
      <c r="T705" s="12" t="s">
        <v>25</v>
      </c>
    </row>
    <row r="706" spans="1:20" hidden="1" x14ac:dyDescent="0.3">
      <c r="A706" s="13">
        <v>43918.708333333336</v>
      </c>
      <c r="B706" s="12" t="s">
        <v>22</v>
      </c>
      <c r="C706" s="82">
        <v>14</v>
      </c>
      <c r="D706" s="12" t="s">
        <v>52</v>
      </c>
      <c r="E706" s="82">
        <v>4155774754</v>
      </c>
      <c r="F706" s="82">
        <v>1465916051</v>
      </c>
      <c r="G706" s="82">
        <v>26</v>
      </c>
      <c r="H706" s="82">
        <v>9</v>
      </c>
      <c r="I706" s="82">
        <v>35</v>
      </c>
      <c r="J706" s="82">
        <v>63</v>
      </c>
      <c r="K706" s="82">
        <v>98</v>
      </c>
      <c r="L706" s="82">
        <v>12</v>
      </c>
      <c r="M706" s="82">
        <v>14</v>
      </c>
      <c r="N706" s="82">
        <v>16</v>
      </c>
      <c r="O706" s="82">
        <v>9</v>
      </c>
      <c r="P706" s="82">
        <v>123</v>
      </c>
      <c r="Q706" s="82">
        <v>807</v>
      </c>
      <c r="R706" s="12" t="s">
        <v>25</v>
      </c>
      <c r="S706" s="12" t="s">
        <v>25</v>
      </c>
      <c r="T706" s="12" t="s">
        <v>25</v>
      </c>
    </row>
    <row r="707" spans="1:20" hidden="1" x14ac:dyDescent="0.3">
      <c r="A707" s="13">
        <v>43918.708333333336</v>
      </c>
      <c r="B707" s="12" t="s">
        <v>22</v>
      </c>
      <c r="C707" s="82">
        <v>1</v>
      </c>
      <c r="D707" s="12" t="s">
        <v>53</v>
      </c>
      <c r="E707" s="82">
        <v>450732745</v>
      </c>
      <c r="F707" s="82">
        <v>7680687483</v>
      </c>
      <c r="G707" s="82">
        <v>3094</v>
      </c>
      <c r="H707" s="82">
        <v>439</v>
      </c>
      <c r="I707" s="82">
        <v>3533</v>
      </c>
      <c r="J707" s="82">
        <v>3318</v>
      </c>
      <c r="K707" s="82">
        <v>6851</v>
      </c>
      <c r="L707" s="82">
        <v>504</v>
      </c>
      <c r="M707" s="82">
        <v>579</v>
      </c>
      <c r="N707" s="82">
        <v>203</v>
      </c>
      <c r="O707" s="82">
        <v>617</v>
      </c>
      <c r="P707" s="82">
        <v>7671</v>
      </c>
      <c r="Q707" s="82">
        <v>21511</v>
      </c>
      <c r="R707" s="12" t="s">
        <v>25</v>
      </c>
      <c r="S707" s="12" t="s">
        <v>25</v>
      </c>
      <c r="T707" s="12" t="s">
        <v>25</v>
      </c>
    </row>
    <row r="708" spans="1:20" hidden="1" x14ac:dyDescent="0.3">
      <c r="A708" s="13">
        <v>43918.708333333336</v>
      </c>
      <c r="B708" s="12" t="s">
        <v>22</v>
      </c>
      <c r="C708" s="82">
        <v>16</v>
      </c>
      <c r="D708" s="12" t="s">
        <v>54</v>
      </c>
      <c r="E708" s="82">
        <v>4112559576</v>
      </c>
      <c r="F708" s="82">
        <v>1686736689</v>
      </c>
      <c r="G708" s="82">
        <v>563</v>
      </c>
      <c r="H708" s="82">
        <v>98</v>
      </c>
      <c r="I708" s="82">
        <v>661</v>
      </c>
      <c r="J708" s="82">
        <v>697</v>
      </c>
      <c r="K708" s="82">
        <v>1358</v>
      </c>
      <c r="L708" s="82">
        <v>122</v>
      </c>
      <c r="M708" s="82">
        <v>124</v>
      </c>
      <c r="N708" s="82">
        <v>29</v>
      </c>
      <c r="O708" s="82">
        <v>71</v>
      </c>
      <c r="P708" s="82">
        <v>1458</v>
      </c>
      <c r="Q708" s="82">
        <v>11500</v>
      </c>
      <c r="R708" s="12" t="s">
        <v>25</v>
      </c>
      <c r="S708" s="12" t="s">
        <v>25</v>
      </c>
      <c r="T708" s="12" t="s">
        <v>25</v>
      </c>
    </row>
    <row r="709" spans="1:20" hidden="1" x14ac:dyDescent="0.3">
      <c r="A709" s="13">
        <v>43918.708333333336</v>
      </c>
      <c r="B709" s="12" t="s">
        <v>22</v>
      </c>
      <c r="C709" s="82">
        <v>20</v>
      </c>
      <c r="D709" s="12" t="s">
        <v>55</v>
      </c>
      <c r="E709" s="82">
        <v>3921531192</v>
      </c>
      <c r="F709" s="82">
        <v>9110616306</v>
      </c>
      <c r="G709" s="82">
        <v>95</v>
      </c>
      <c r="H709" s="82">
        <v>22</v>
      </c>
      <c r="I709" s="82">
        <v>117</v>
      </c>
      <c r="J709" s="82">
        <v>452</v>
      </c>
      <c r="K709" s="82">
        <v>569</v>
      </c>
      <c r="L709" s="82">
        <v>73</v>
      </c>
      <c r="M709" s="82">
        <v>94</v>
      </c>
      <c r="N709" s="82">
        <v>29</v>
      </c>
      <c r="O709" s="82">
        <v>26</v>
      </c>
      <c r="P709" s="82">
        <v>624</v>
      </c>
      <c r="Q709" s="82">
        <v>4225</v>
      </c>
      <c r="R709" s="12" t="s">
        <v>25</v>
      </c>
      <c r="S709" s="12" t="s">
        <v>25</v>
      </c>
      <c r="T709" s="12" t="s">
        <v>25</v>
      </c>
    </row>
    <row r="710" spans="1:20" hidden="1" x14ac:dyDescent="0.3">
      <c r="A710" s="13">
        <v>43918.708333333336</v>
      </c>
      <c r="B710" s="12" t="s">
        <v>22</v>
      </c>
      <c r="C710" s="82">
        <v>19</v>
      </c>
      <c r="D710" s="12" t="s">
        <v>56</v>
      </c>
      <c r="E710" s="82">
        <v>3811569725</v>
      </c>
      <c r="F710" s="82">
        <v>133623567</v>
      </c>
      <c r="G710" s="82">
        <v>441</v>
      </c>
      <c r="H710" s="82">
        <v>71</v>
      </c>
      <c r="I710" s="82">
        <v>512</v>
      </c>
      <c r="J710" s="82">
        <v>730</v>
      </c>
      <c r="K710" s="82">
        <v>1242</v>
      </c>
      <c r="L710" s="82">
        <v>84</v>
      </c>
      <c r="M710" s="82">
        <v>109</v>
      </c>
      <c r="N710" s="82">
        <v>60</v>
      </c>
      <c r="O710" s="82">
        <v>57</v>
      </c>
      <c r="P710" s="82">
        <v>1359</v>
      </c>
      <c r="Q710" s="82">
        <v>13096</v>
      </c>
      <c r="R710" s="12" t="s">
        <v>25</v>
      </c>
      <c r="S710" s="12" t="s">
        <v>25</v>
      </c>
      <c r="T710" s="12" t="s">
        <v>25</v>
      </c>
    </row>
    <row r="711" spans="1:20" hidden="1" x14ac:dyDescent="0.3">
      <c r="A711" s="13">
        <v>43918.708333333336</v>
      </c>
      <c r="B711" s="12" t="s">
        <v>22</v>
      </c>
      <c r="C711" s="82">
        <v>9</v>
      </c>
      <c r="D711" s="12" t="s">
        <v>57</v>
      </c>
      <c r="E711" s="82">
        <v>4376923077</v>
      </c>
      <c r="F711" s="82">
        <v>1125588885</v>
      </c>
      <c r="G711" s="82">
        <v>1093</v>
      </c>
      <c r="H711" s="82">
        <v>277</v>
      </c>
      <c r="I711" s="82">
        <v>1370</v>
      </c>
      <c r="J711" s="82">
        <v>2141</v>
      </c>
      <c r="K711" s="82">
        <v>3511</v>
      </c>
      <c r="L711" s="82">
        <v>341</v>
      </c>
      <c r="M711" s="82">
        <v>367</v>
      </c>
      <c r="N711" s="82">
        <v>108</v>
      </c>
      <c r="O711" s="82">
        <v>198</v>
      </c>
      <c r="P711" s="82">
        <v>3817</v>
      </c>
      <c r="Q711" s="82">
        <v>25613</v>
      </c>
      <c r="R711" s="12" t="s">
        <v>25</v>
      </c>
      <c r="S711" s="12" t="s">
        <v>25</v>
      </c>
      <c r="T711" s="12" t="s">
        <v>25</v>
      </c>
    </row>
    <row r="712" spans="1:20" hidden="1" x14ac:dyDescent="0.3">
      <c r="A712" s="13">
        <v>43918.708333333336</v>
      </c>
      <c r="B712" s="12" t="s">
        <v>22</v>
      </c>
      <c r="C712" s="82">
        <v>22</v>
      </c>
      <c r="D712" s="12" t="s">
        <v>58</v>
      </c>
      <c r="E712" s="82">
        <v>4606893511</v>
      </c>
      <c r="F712" s="82">
        <v>1112123097</v>
      </c>
      <c r="G712" s="82">
        <v>351</v>
      </c>
      <c r="H712" s="82">
        <v>72</v>
      </c>
      <c r="I712" s="82">
        <v>423</v>
      </c>
      <c r="J712" s="82">
        <v>811</v>
      </c>
      <c r="K712" s="82">
        <v>1234</v>
      </c>
      <c r="L712" s="82">
        <v>70</v>
      </c>
      <c r="M712" s="82">
        <v>114</v>
      </c>
      <c r="N712" s="82">
        <v>151</v>
      </c>
      <c r="O712" s="82">
        <v>120</v>
      </c>
      <c r="P712" s="82">
        <v>1505</v>
      </c>
      <c r="Q712" s="82">
        <v>5561</v>
      </c>
      <c r="R712" s="12" t="s">
        <v>25</v>
      </c>
      <c r="S712" s="12" t="s">
        <v>25</v>
      </c>
      <c r="T712" s="12" t="s">
        <v>25</v>
      </c>
    </row>
    <row r="713" spans="1:20" hidden="1" x14ac:dyDescent="0.3">
      <c r="A713" s="13">
        <v>43918.708333333336</v>
      </c>
      <c r="B713" s="12" t="s">
        <v>22</v>
      </c>
      <c r="C713" s="82">
        <v>10</v>
      </c>
      <c r="D713" s="12" t="s">
        <v>59</v>
      </c>
      <c r="E713" s="82">
        <v>4310675841</v>
      </c>
      <c r="F713" s="82">
        <v>1238824698</v>
      </c>
      <c r="G713" s="82">
        <v>159</v>
      </c>
      <c r="H713" s="82">
        <v>44</v>
      </c>
      <c r="I713" s="82">
        <v>203</v>
      </c>
      <c r="J713" s="82">
        <v>695</v>
      </c>
      <c r="K713" s="82">
        <v>898</v>
      </c>
      <c r="L713" s="82">
        <v>74</v>
      </c>
      <c r="M713" s="82">
        <v>85</v>
      </c>
      <c r="N713" s="82">
        <v>43</v>
      </c>
      <c r="O713" s="82">
        <v>28</v>
      </c>
      <c r="P713" s="82">
        <v>969</v>
      </c>
      <c r="Q713" s="82">
        <v>7028</v>
      </c>
      <c r="R713" s="12" t="s">
        <v>25</v>
      </c>
      <c r="S713" s="12" t="s">
        <v>25</v>
      </c>
      <c r="T713" s="12" t="s">
        <v>25</v>
      </c>
    </row>
    <row r="714" spans="1:20" hidden="1" x14ac:dyDescent="0.3">
      <c r="A714" s="13">
        <v>43918.708333333336</v>
      </c>
      <c r="B714" s="12" t="s">
        <v>22</v>
      </c>
      <c r="C714" s="82">
        <v>2</v>
      </c>
      <c r="D714" s="12" t="s">
        <v>60</v>
      </c>
      <c r="E714" s="82">
        <v>4573750286</v>
      </c>
      <c r="F714" s="82">
        <v>7320149366</v>
      </c>
      <c r="G714" s="82">
        <v>90</v>
      </c>
      <c r="H714" s="82">
        <v>26</v>
      </c>
      <c r="I714" s="82">
        <v>116</v>
      </c>
      <c r="J714" s="82">
        <v>352</v>
      </c>
      <c r="K714" s="82">
        <v>468</v>
      </c>
      <c r="L714" s="82">
        <v>55</v>
      </c>
      <c r="M714" s="82">
        <v>59</v>
      </c>
      <c r="N714" s="82">
        <v>2</v>
      </c>
      <c r="O714" s="82">
        <v>41</v>
      </c>
      <c r="P714" s="82">
        <v>511</v>
      </c>
      <c r="Q714" s="82">
        <v>1380</v>
      </c>
      <c r="R714" s="12" t="s">
        <v>25</v>
      </c>
      <c r="S714" s="12" t="s">
        <v>25</v>
      </c>
      <c r="T714" s="12" t="s">
        <v>25</v>
      </c>
    </row>
    <row r="715" spans="1:20" hidden="1" x14ac:dyDescent="0.3">
      <c r="A715" s="13">
        <v>43918.708333333336</v>
      </c>
      <c r="B715" s="12" t="s">
        <v>22</v>
      </c>
      <c r="C715" s="82">
        <v>5</v>
      </c>
      <c r="D715" s="12" t="s">
        <v>61</v>
      </c>
      <c r="E715" s="82">
        <v>4543490485</v>
      </c>
      <c r="F715" s="82">
        <v>1233845213</v>
      </c>
      <c r="G715" s="82">
        <v>1559</v>
      </c>
      <c r="H715" s="82">
        <v>344</v>
      </c>
      <c r="I715" s="82">
        <v>1903</v>
      </c>
      <c r="J715" s="82">
        <v>5010</v>
      </c>
      <c r="K715" s="82">
        <v>6913</v>
      </c>
      <c r="L715" s="82">
        <v>265</v>
      </c>
      <c r="M715" s="82">
        <v>433</v>
      </c>
      <c r="N715" s="82">
        <v>655</v>
      </c>
      <c r="O715" s="82">
        <v>362</v>
      </c>
      <c r="P715" s="82">
        <v>7930</v>
      </c>
      <c r="Q715" s="82">
        <v>89380</v>
      </c>
      <c r="R715" s="12" t="s">
        <v>25</v>
      </c>
      <c r="S715" s="12" t="s">
        <v>25</v>
      </c>
      <c r="T715" s="12" t="s">
        <v>25</v>
      </c>
    </row>
    <row r="716" spans="1:20" hidden="1" x14ac:dyDescent="0.3">
      <c r="A716" s="13">
        <v>43919.708333333336</v>
      </c>
      <c r="B716" s="12" t="s">
        <v>22</v>
      </c>
      <c r="C716" s="82">
        <v>13</v>
      </c>
      <c r="D716" s="12" t="s">
        <v>42</v>
      </c>
      <c r="E716" s="82">
        <v>4235122196</v>
      </c>
      <c r="F716" s="82">
        <v>1339843823</v>
      </c>
      <c r="G716" s="82">
        <v>329</v>
      </c>
      <c r="H716" s="82">
        <v>68</v>
      </c>
      <c r="I716" s="82">
        <v>397</v>
      </c>
      <c r="J716" s="82">
        <v>772</v>
      </c>
      <c r="K716" s="82">
        <v>1169</v>
      </c>
      <c r="L716" s="82">
        <v>142</v>
      </c>
      <c r="M716" s="82">
        <v>160</v>
      </c>
      <c r="N716" s="82">
        <v>36</v>
      </c>
      <c r="O716" s="82">
        <v>88</v>
      </c>
      <c r="P716" s="82">
        <v>1293</v>
      </c>
      <c r="Q716" s="82">
        <v>7730</v>
      </c>
      <c r="R716" s="12" t="s">
        <v>25</v>
      </c>
      <c r="S716" s="12" t="s">
        <v>25</v>
      </c>
      <c r="T716" s="12" t="s">
        <v>25</v>
      </c>
    </row>
    <row r="717" spans="1:20" hidden="1" x14ac:dyDescent="0.3">
      <c r="A717" s="13">
        <v>43919.708333333336</v>
      </c>
      <c r="B717" s="12" t="s">
        <v>22</v>
      </c>
      <c r="C717" s="82">
        <v>17</v>
      </c>
      <c r="D717" s="12" t="s">
        <v>43</v>
      </c>
      <c r="E717" s="82">
        <v>4063947052</v>
      </c>
      <c r="F717" s="82">
        <v>1580514834</v>
      </c>
      <c r="G717" s="82">
        <v>32</v>
      </c>
      <c r="H717" s="82">
        <v>18</v>
      </c>
      <c r="I717" s="82">
        <v>50</v>
      </c>
      <c r="J717" s="82">
        <v>147</v>
      </c>
      <c r="K717" s="82">
        <v>197</v>
      </c>
      <c r="L717" s="82">
        <v>19</v>
      </c>
      <c r="M717" s="82">
        <v>20</v>
      </c>
      <c r="N717" s="82">
        <v>1</v>
      </c>
      <c r="O717" s="82">
        <v>4</v>
      </c>
      <c r="P717" s="82">
        <v>202</v>
      </c>
      <c r="Q717" s="82">
        <v>1585</v>
      </c>
      <c r="R717" s="12" t="s">
        <v>25</v>
      </c>
      <c r="S717" s="12" t="s">
        <v>25</v>
      </c>
      <c r="T717" s="12" t="s">
        <v>25</v>
      </c>
    </row>
    <row r="718" spans="1:20" hidden="1" x14ac:dyDescent="0.3">
      <c r="A718" s="13">
        <v>43919.708333333336</v>
      </c>
      <c r="B718" s="12" t="s">
        <v>22</v>
      </c>
      <c r="C718" s="82">
        <v>21</v>
      </c>
      <c r="D718" s="12" t="s">
        <v>44</v>
      </c>
      <c r="E718" s="82">
        <v>4649933453</v>
      </c>
      <c r="F718" s="82">
        <v>1135662422</v>
      </c>
      <c r="G718" s="82">
        <v>234</v>
      </c>
      <c r="H718" s="82">
        <v>56</v>
      </c>
      <c r="I718" s="82">
        <v>290</v>
      </c>
      <c r="J718" s="82">
        <v>744</v>
      </c>
      <c r="K718" s="82">
        <v>1034</v>
      </c>
      <c r="L718" s="82">
        <v>105</v>
      </c>
      <c r="M718" s="82">
        <v>105</v>
      </c>
      <c r="N718" s="82">
        <v>116</v>
      </c>
      <c r="O718" s="82">
        <v>64</v>
      </c>
      <c r="P718" s="82">
        <v>1214</v>
      </c>
      <c r="Q718" s="82">
        <v>10137</v>
      </c>
      <c r="R718" s="12" t="s">
        <v>25</v>
      </c>
      <c r="S718" s="12" t="s">
        <v>25</v>
      </c>
      <c r="T718" s="12" t="s">
        <v>25</v>
      </c>
    </row>
    <row r="719" spans="1:20" hidden="1" x14ac:dyDescent="0.3">
      <c r="A719" s="13">
        <v>43919.708333333336</v>
      </c>
      <c r="B719" s="12" t="s">
        <v>22</v>
      </c>
      <c r="C719" s="82">
        <v>18</v>
      </c>
      <c r="D719" s="12" t="s">
        <v>45</v>
      </c>
      <c r="E719" s="82">
        <v>3890597598</v>
      </c>
      <c r="F719" s="82">
        <v>1659440194</v>
      </c>
      <c r="G719" s="82">
        <v>124</v>
      </c>
      <c r="H719" s="82">
        <v>19</v>
      </c>
      <c r="I719" s="82">
        <v>143</v>
      </c>
      <c r="J719" s="82">
        <v>434</v>
      </c>
      <c r="K719" s="82">
        <v>577</v>
      </c>
      <c r="L719" s="82">
        <v>54</v>
      </c>
      <c r="M719" s="82">
        <v>59</v>
      </c>
      <c r="N719" s="82">
        <v>12</v>
      </c>
      <c r="O719" s="82">
        <v>25</v>
      </c>
      <c r="P719" s="82">
        <v>614</v>
      </c>
      <c r="Q719" s="82">
        <v>8485</v>
      </c>
      <c r="R719" s="12" t="s">
        <v>25</v>
      </c>
      <c r="S719" s="12" t="s">
        <v>25</v>
      </c>
      <c r="T719" s="12" t="s">
        <v>25</v>
      </c>
    </row>
    <row r="720" spans="1:20" hidden="1" x14ac:dyDescent="0.3">
      <c r="A720" s="13">
        <v>43919.708333333336</v>
      </c>
      <c r="B720" s="12" t="s">
        <v>22</v>
      </c>
      <c r="C720" s="82">
        <v>15</v>
      </c>
      <c r="D720" s="12" t="s">
        <v>46</v>
      </c>
      <c r="E720" s="82">
        <v>4083956555</v>
      </c>
      <c r="F720" s="82">
        <v>1425084984</v>
      </c>
      <c r="G720" s="82">
        <v>476</v>
      </c>
      <c r="H720" s="82">
        <v>135</v>
      </c>
      <c r="I720" s="82">
        <v>611</v>
      </c>
      <c r="J720" s="82">
        <v>945</v>
      </c>
      <c r="K720" s="82">
        <v>1556</v>
      </c>
      <c r="L720" s="82">
        <v>149</v>
      </c>
      <c r="M720" s="82">
        <v>167</v>
      </c>
      <c r="N720" s="82">
        <v>86</v>
      </c>
      <c r="O720" s="82">
        <v>117</v>
      </c>
      <c r="P720" s="82">
        <v>1759</v>
      </c>
      <c r="Q720" s="82">
        <v>11805</v>
      </c>
      <c r="R720" s="12" t="s">
        <v>25</v>
      </c>
      <c r="S720" s="12" t="s">
        <v>25</v>
      </c>
      <c r="T720" s="12" t="s">
        <v>25</v>
      </c>
    </row>
    <row r="721" spans="1:20" hidden="1" x14ac:dyDescent="0.3">
      <c r="A721" s="13">
        <v>43919.708333333336</v>
      </c>
      <c r="B721" s="12" t="s">
        <v>22</v>
      </c>
      <c r="C721" s="82">
        <v>8</v>
      </c>
      <c r="D721" s="12" t="s">
        <v>95</v>
      </c>
      <c r="E721" s="82">
        <v>4449436681</v>
      </c>
      <c r="F721" s="82">
        <v>113417208</v>
      </c>
      <c r="G721" s="82">
        <v>3769</v>
      </c>
      <c r="H721" s="82">
        <v>333</v>
      </c>
      <c r="I721" s="82">
        <v>4102</v>
      </c>
      <c r="J721" s="82">
        <v>6433</v>
      </c>
      <c r="K721" s="82">
        <v>10535</v>
      </c>
      <c r="L721" s="82">
        <v>571</v>
      </c>
      <c r="M721" s="82">
        <v>736</v>
      </c>
      <c r="N721" s="82">
        <v>1141</v>
      </c>
      <c r="O721" s="82">
        <v>1443</v>
      </c>
      <c r="P721" s="82">
        <v>13119</v>
      </c>
      <c r="Q721" s="82">
        <v>52991</v>
      </c>
      <c r="R721" s="12" t="s">
        <v>25</v>
      </c>
      <c r="S721" s="12" t="s">
        <v>96</v>
      </c>
      <c r="T721" s="12" t="s">
        <v>97</v>
      </c>
    </row>
    <row r="722" spans="1:20" hidden="1" x14ac:dyDescent="0.3">
      <c r="A722" s="13">
        <v>43919.708333333336</v>
      </c>
      <c r="B722" s="12" t="s">
        <v>22</v>
      </c>
      <c r="C722" s="82">
        <v>6</v>
      </c>
      <c r="D722" s="12" t="s">
        <v>47</v>
      </c>
      <c r="E722" s="82">
        <v>456494354</v>
      </c>
      <c r="F722" s="82">
        <v>1376813649</v>
      </c>
      <c r="G722" s="82">
        <v>236</v>
      </c>
      <c r="H722" s="82">
        <v>60</v>
      </c>
      <c r="I722" s="82">
        <v>296</v>
      </c>
      <c r="J722" s="82">
        <v>845</v>
      </c>
      <c r="K722" s="82">
        <v>1141</v>
      </c>
      <c r="L722" s="82">
        <v>21</v>
      </c>
      <c r="M722" s="82">
        <v>44</v>
      </c>
      <c r="N722" s="82">
        <v>241</v>
      </c>
      <c r="O722" s="82">
        <v>98</v>
      </c>
      <c r="P722" s="82">
        <v>1480</v>
      </c>
      <c r="Q722" s="82">
        <v>13397</v>
      </c>
      <c r="R722" s="12" t="s">
        <v>25</v>
      </c>
      <c r="S722" s="12" t="s">
        <v>25</v>
      </c>
      <c r="T722" s="12" t="s">
        <v>25</v>
      </c>
    </row>
    <row r="723" spans="1:20" hidden="1" x14ac:dyDescent="0.3">
      <c r="A723" s="13">
        <v>43919.708333333336</v>
      </c>
      <c r="B723" s="12" t="s">
        <v>22</v>
      </c>
      <c r="C723" s="82">
        <v>12</v>
      </c>
      <c r="D723" s="12" t="s">
        <v>48</v>
      </c>
      <c r="E723" s="82">
        <v>4189277044</v>
      </c>
      <c r="F723" s="82">
        <v>1248366722</v>
      </c>
      <c r="G723" s="82">
        <v>1062</v>
      </c>
      <c r="H723" s="82">
        <v>133</v>
      </c>
      <c r="I723" s="82">
        <v>1195</v>
      </c>
      <c r="J723" s="82">
        <v>1167</v>
      </c>
      <c r="K723" s="82">
        <v>2362</v>
      </c>
      <c r="L723" s="82">
        <v>181</v>
      </c>
      <c r="M723" s="82">
        <v>201</v>
      </c>
      <c r="N723" s="82">
        <v>208</v>
      </c>
      <c r="O723" s="82">
        <v>136</v>
      </c>
      <c r="P723" s="82">
        <v>2706</v>
      </c>
      <c r="Q723" s="82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82">
        <v>7</v>
      </c>
      <c r="D724" s="12" t="s">
        <v>49</v>
      </c>
      <c r="E724" s="82">
        <v>4441149315</v>
      </c>
      <c r="F724" s="82">
        <v>89326992</v>
      </c>
      <c r="G724" s="82">
        <v>1077</v>
      </c>
      <c r="H724" s="82">
        <v>166</v>
      </c>
      <c r="I724" s="82">
        <v>1243</v>
      </c>
      <c r="J724" s="82">
        <v>1036</v>
      </c>
      <c r="K724" s="82">
        <v>2279</v>
      </c>
      <c r="L724" s="82">
        <v>193</v>
      </c>
      <c r="M724" s="82">
        <v>254</v>
      </c>
      <c r="N724" s="82">
        <v>420</v>
      </c>
      <c r="O724" s="82">
        <v>377</v>
      </c>
      <c r="P724" s="82">
        <v>3076</v>
      </c>
      <c r="Q724" s="82">
        <v>9100</v>
      </c>
      <c r="R724" s="12" t="s">
        <v>25</v>
      </c>
      <c r="S724" s="12" t="s">
        <v>25</v>
      </c>
      <c r="T724" s="12" t="s">
        <v>25</v>
      </c>
    </row>
    <row r="725" spans="1:20" hidden="1" x14ac:dyDescent="0.3">
      <c r="A725" s="13">
        <v>43919.708333333336</v>
      </c>
      <c r="B725" s="12" t="s">
        <v>22</v>
      </c>
      <c r="C725" s="82">
        <v>3</v>
      </c>
      <c r="D725" s="12" t="s">
        <v>50</v>
      </c>
      <c r="E725" s="82">
        <v>4546679409</v>
      </c>
      <c r="F725" s="82">
        <v>9190347404</v>
      </c>
      <c r="G725" s="82">
        <v>11613</v>
      </c>
      <c r="H725" s="82">
        <v>1328</v>
      </c>
      <c r="I725" s="82">
        <v>12941</v>
      </c>
      <c r="J725" s="82">
        <v>12451</v>
      </c>
      <c r="K725" s="82">
        <v>25392</v>
      </c>
      <c r="L725" s="82">
        <v>883</v>
      </c>
      <c r="M725" s="82">
        <v>1592</v>
      </c>
      <c r="N725" s="82">
        <v>9255</v>
      </c>
      <c r="O725" s="82">
        <v>6360</v>
      </c>
      <c r="P725" s="82">
        <v>41007</v>
      </c>
      <c r="Q725" s="82">
        <v>107398</v>
      </c>
      <c r="R725" s="12" t="s">
        <v>25</v>
      </c>
      <c r="S725" s="12" t="s">
        <v>25</v>
      </c>
      <c r="T725" s="12" t="s">
        <v>25</v>
      </c>
    </row>
    <row r="726" spans="1:20" hidden="1" x14ac:dyDescent="0.3">
      <c r="A726" s="13">
        <v>43919.708333333336</v>
      </c>
      <c r="B726" s="12" t="s">
        <v>22</v>
      </c>
      <c r="C726" s="82">
        <v>11</v>
      </c>
      <c r="D726" s="12" t="s">
        <v>51</v>
      </c>
      <c r="E726" s="82">
        <v>4361675973</v>
      </c>
      <c r="F726" s="82">
        <v>135188753</v>
      </c>
      <c r="G726" s="82">
        <v>1000</v>
      </c>
      <c r="H726" s="82">
        <v>168</v>
      </c>
      <c r="I726" s="82">
        <v>1168</v>
      </c>
      <c r="J726" s="82">
        <v>1992</v>
      </c>
      <c r="K726" s="82">
        <v>3160</v>
      </c>
      <c r="L726" s="82">
        <v>161</v>
      </c>
      <c r="M726" s="82">
        <v>185</v>
      </c>
      <c r="N726" s="82">
        <v>12</v>
      </c>
      <c r="O726" s="82">
        <v>386</v>
      </c>
      <c r="P726" s="82">
        <v>3558</v>
      </c>
      <c r="Q726" s="82">
        <v>10431</v>
      </c>
      <c r="R726" s="12" t="s">
        <v>25</v>
      </c>
      <c r="S726" s="12" t="s">
        <v>25</v>
      </c>
      <c r="T726" s="12" t="s">
        <v>25</v>
      </c>
    </row>
    <row r="727" spans="1:20" hidden="1" x14ac:dyDescent="0.3">
      <c r="A727" s="13">
        <v>43919.708333333336</v>
      </c>
      <c r="B727" s="12" t="s">
        <v>22</v>
      </c>
      <c r="C727" s="82">
        <v>14</v>
      </c>
      <c r="D727" s="12" t="s">
        <v>52</v>
      </c>
      <c r="E727" s="82">
        <v>4155774754</v>
      </c>
      <c r="F727" s="82">
        <v>1465916051</v>
      </c>
      <c r="G727" s="82">
        <v>25</v>
      </c>
      <c r="H727" s="82">
        <v>9</v>
      </c>
      <c r="I727" s="82">
        <v>34</v>
      </c>
      <c r="J727" s="82">
        <v>66</v>
      </c>
      <c r="K727" s="82">
        <v>100</v>
      </c>
      <c r="L727" s="82">
        <v>2</v>
      </c>
      <c r="M727" s="82">
        <v>4</v>
      </c>
      <c r="N727" s="82">
        <v>18</v>
      </c>
      <c r="O727" s="82">
        <v>9</v>
      </c>
      <c r="P727" s="82">
        <v>127</v>
      </c>
      <c r="Q727" s="82">
        <v>918</v>
      </c>
      <c r="R727" s="12" t="s">
        <v>25</v>
      </c>
      <c r="S727" s="12" t="s">
        <v>25</v>
      </c>
      <c r="T727" s="12" t="s">
        <v>25</v>
      </c>
    </row>
    <row r="728" spans="1:20" hidden="1" x14ac:dyDescent="0.3">
      <c r="A728" s="13">
        <v>43919.708333333336</v>
      </c>
      <c r="B728" s="12" t="s">
        <v>22</v>
      </c>
      <c r="C728" s="82">
        <v>1</v>
      </c>
      <c r="D728" s="12" t="s">
        <v>53</v>
      </c>
      <c r="E728" s="82">
        <v>450732745</v>
      </c>
      <c r="F728" s="82">
        <v>7680687483</v>
      </c>
      <c r="G728" s="82">
        <v>2985</v>
      </c>
      <c r="H728" s="82">
        <v>443</v>
      </c>
      <c r="I728" s="82">
        <v>3428</v>
      </c>
      <c r="J728" s="82">
        <v>3840</v>
      </c>
      <c r="K728" s="82">
        <v>7268</v>
      </c>
      <c r="L728" s="82">
        <v>417</v>
      </c>
      <c r="M728" s="82">
        <v>535</v>
      </c>
      <c r="N728" s="82">
        <v>254</v>
      </c>
      <c r="O728" s="82">
        <v>684</v>
      </c>
      <c r="P728" s="82">
        <v>8206</v>
      </c>
      <c r="Q728" s="82">
        <v>24058</v>
      </c>
      <c r="R728" s="12" t="s">
        <v>25</v>
      </c>
      <c r="S728" s="12" t="s">
        <v>25</v>
      </c>
      <c r="T728" s="12" t="s">
        <v>25</v>
      </c>
    </row>
    <row r="729" spans="1:20" hidden="1" x14ac:dyDescent="0.3">
      <c r="A729" s="13">
        <v>43919.708333333336</v>
      </c>
      <c r="B729" s="12" t="s">
        <v>22</v>
      </c>
      <c r="C729" s="82">
        <v>16</v>
      </c>
      <c r="D729" s="12" t="s">
        <v>54</v>
      </c>
      <c r="E729" s="82">
        <v>4112559576</v>
      </c>
      <c r="F729" s="82">
        <v>1686736689</v>
      </c>
      <c r="G729" s="82">
        <v>559</v>
      </c>
      <c r="H729" s="82">
        <v>99</v>
      </c>
      <c r="I729" s="82">
        <v>658</v>
      </c>
      <c r="J729" s="82">
        <v>774</v>
      </c>
      <c r="K729" s="82">
        <v>1432</v>
      </c>
      <c r="L729" s="82">
        <v>74</v>
      </c>
      <c r="M729" s="82">
        <v>91</v>
      </c>
      <c r="N729" s="82">
        <v>31</v>
      </c>
      <c r="O729" s="82">
        <v>86</v>
      </c>
      <c r="P729" s="82">
        <v>1549</v>
      </c>
      <c r="Q729" s="82">
        <v>12361</v>
      </c>
      <c r="R729" s="12" t="s">
        <v>25</v>
      </c>
      <c r="S729" s="12" t="s">
        <v>25</v>
      </c>
      <c r="T729" s="12" t="s">
        <v>25</v>
      </c>
    </row>
    <row r="730" spans="1:20" hidden="1" x14ac:dyDescent="0.3">
      <c r="A730" s="13">
        <v>43919.708333333336</v>
      </c>
      <c r="B730" s="12" t="s">
        <v>22</v>
      </c>
      <c r="C730" s="82">
        <v>20</v>
      </c>
      <c r="D730" s="12" t="s">
        <v>55</v>
      </c>
      <c r="E730" s="82">
        <v>3921531192</v>
      </c>
      <c r="F730" s="82">
        <v>9110616306</v>
      </c>
      <c r="G730" s="82">
        <v>105</v>
      </c>
      <c r="H730" s="82">
        <v>23</v>
      </c>
      <c r="I730" s="82">
        <v>128</v>
      </c>
      <c r="J730" s="82">
        <v>454</v>
      </c>
      <c r="K730" s="82">
        <v>582</v>
      </c>
      <c r="L730" s="82">
        <v>13</v>
      </c>
      <c r="M730" s="82">
        <v>14</v>
      </c>
      <c r="N730" s="82">
        <v>29</v>
      </c>
      <c r="O730" s="82">
        <v>27</v>
      </c>
      <c r="P730" s="82">
        <v>638</v>
      </c>
      <c r="Q730" s="82">
        <v>4598</v>
      </c>
      <c r="R730" s="12" t="s">
        <v>25</v>
      </c>
      <c r="S730" s="12" t="s">
        <v>25</v>
      </c>
      <c r="T730" s="12" t="s">
        <v>25</v>
      </c>
    </row>
    <row r="731" spans="1:20" hidden="1" x14ac:dyDescent="0.3">
      <c r="A731" s="13">
        <v>43919.708333333336</v>
      </c>
      <c r="B731" s="12" t="s">
        <v>22</v>
      </c>
      <c r="C731" s="82">
        <v>19</v>
      </c>
      <c r="D731" s="12" t="s">
        <v>56</v>
      </c>
      <c r="E731" s="82">
        <v>3811569725</v>
      </c>
      <c r="F731" s="82">
        <v>133623567</v>
      </c>
      <c r="G731" s="82">
        <v>451</v>
      </c>
      <c r="H731" s="82">
        <v>71</v>
      </c>
      <c r="I731" s="82">
        <v>522</v>
      </c>
      <c r="J731" s="82">
        <v>808</v>
      </c>
      <c r="K731" s="82">
        <v>1330</v>
      </c>
      <c r="L731" s="82">
        <v>88</v>
      </c>
      <c r="M731" s="82">
        <v>101</v>
      </c>
      <c r="N731" s="82">
        <v>65</v>
      </c>
      <c r="O731" s="82">
        <v>65</v>
      </c>
      <c r="P731" s="82">
        <v>1460</v>
      </c>
      <c r="Q731" s="82">
        <v>13814</v>
      </c>
      <c r="R731" s="12" t="s">
        <v>25</v>
      </c>
      <c r="S731" s="12" t="s">
        <v>25</v>
      </c>
      <c r="T731" s="12" t="s">
        <v>25</v>
      </c>
    </row>
    <row r="732" spans="1:20" hidden="1" x14ac:dyDescent="0.3">
      <c r="A732" s="13">
        <v>43919.708333333336</v>
      </c>
      <c r="B732" s="12" t="s">
        <v>22</v>
      </c>
      <c r="C732" s="82">
        <v>9</v>
      </c>
      <c r="D732" s="12" t="s">
        <v>57</v>
      </c>
      <c r="E732" s="82">
        <v>4376923077</v>
      </c>
      <c r="F732" s="82">
        <v>1125588885</v>
      </c>
      <c r="G732" s="82">
        <v>1111</v>
      </c>
      <c r="H732" s="82">
        <v>275</v>
      </c>
      <c r="I732" s="82">
        <v>1386</v>
      </c>
      <c r="J732" s="82">
        <v>2400</v>
      </c>
      <c r="K732" s="82">
        <v>3786</v>
      </c>
      <c r="L732" s="82">
        <v>275</v>
      </c>
      <c r="M732" s="82">
        <v>305</v>
      </c>
      <c r="N732" s="82">
        <v>121</v>
      </c>
      <c r="O732" s="82">
        <v>215</v>
      </c>
      <c r="P732" s="82">
        <v>4122</v>
      </c>
      <c r="Q732" s="82">
        <v>27579</v>
      </c>
      <c r="R732" s="12" t="s">
        <v>25</v>
      </c>
      <c r="S732" s="12" t="s">
        <v>25</v>
      </c>
      <c r="T732" s="12" t="s">
        <v>25</v>
      </c>
    </row>
    <row r="733" spans="1:20" hidden="1" x14ac:dyDescent="0.3">
      <c r="A733" s="13">
        <v>43919.708333333336</v>
      </c>
      <c r="B733" s="12" t="s">
        <v>22</v>
      </c>
      <c r="C733" s="82">
        <v>22</v>
      </c>
      <c r="D733" s="12" t="s">
        <v>58</v>
      </c>
      <c r="E733" s="82">
        <v>4606893511</v>
      </c>
      <c r="F733" s="82">
        <v>1112123097</v>
      </c>
      <c r="G733" s="82">
        <v>356</v>
      </c>
      <c r="H733" s="82">
        <v>75</v>
      </c>
      <c r="I733" s="82">
        <v>431</v>
      </c>
      <c r="J733" s="82">
        <v>862</v>
      </c>
      <c r="K733" s="82">
        <v>1293</v>
      </c>
      <c r="L733" s="82">
        <v>59</v>
      </c>
      <c r="M733" s="82">
        <v>89</v>
      </c>
      <c r="N733" s="82">
        <v>172</v>
      </c>
      <c r="O733" s="82">
        <v>129</v>
      </c>
      <c r="P733" s="82">
        <v>1594</v>
      </c>
      <c r="Q733" s="82">
        <v>5950</v>
      </c>
      <c r="R733" s="12" t="s">
        <v>25</v>
      </c>
      <c r="S733" s="12" t="s">
        <v>25</v>
      </c>
      <c r="T733" s="12" t="s">
        <v>25</v>
      </c>
    </row>
    <row r="734" spans="1:20" hidden="1" x14ac:dyDescent="0.3">
      <c r="A734" s="13">
        <v>43919.708333333336</v>
      </c>
      <c r="B734" s="12" t="s">
        <v>22</v>
      </c>
      <c r="C734" s="82">
        <v>10</v>
      </c>
      <c r="D734" s="12" t="s">
        <v>59</v>
      </c>
      <c r="E734" s="82">
        <v>4310675841</v>
      </c>
      <c r="F734" s="82">
        <v>1238824698</v>
      </c>
      <c r="G734" s="82">
        <v>166</v>
      </c>
      <c r="H734" s="82">
        <v>46</v>
      </c>
      <c r="I734" s="82">
        <v>212</v>
      </c>
      <c r="J734" s="82">
        <v>685</v>
      </c>
      <c r="K734" s="82">
        <v>897</v>
      </c>
      <c r="L734" s="82">
        <v>-1</v>
      </c>
      <c r="M734" s="82">
        <v>54</v>
      </c>
      <c r="N734" s="82">
        <v>95</v>
      </c>
      <c r="O734" s="82">
        <v>31</v>
      </c>
      <c r="P734" s="82">
        <v>1023</v>
      </c>
      <c r="Q734" s="82">
        <v>7685</v>
      </c>
      <c r="R734" s="12" t="s">
        <v>25</v>
      </c>
      <c r="S734" s="12" t="s">
        <v>25</v>
      </c>
      <c r="T734" s="12" t="s">
        <v>25</v>
      </c>
    </row>
    <row r="735" spans="1:20" hidden="1" x14ac:dyDescent="0.3">
      <c r="A735" s="13">
        <v>43919.708333333336</v>
      </c>
      <c r="B735" s="12" t="s">
        <v>22</v>
      </c>
      <c r="C735" s="82">
        <v>2</v>
      </c>
      <c r="D735" s="12" t="s">
        <v>60</v>
      </c>
      <c r="E735" s="82">
        <v>4573750286</v>
      </c>
      <c r="F735" s="82">
        <v>7320149366</v>
      </c>
      <c r="G735" s="82">
        <v>90</v>
      </c>
      <c r="H735" s="82">
        <v>26</v>
      </c>
      <c r="I735" s="82">
        <v>116</v>
      </c>
      <c r="J735" s="82">
        <v>423</v>
      </c>
      <c r="K735" s="82">
        <v>539</v>
      </c>
      <c r="L735" s="82">
        <v>71</v>
      </c>
      <c r="M735" s="82">
        <v>73</v>
      </c>
      <c r="N735" s="82">
        <v>2</v>
      </c>
      <c r="O735" s="82">
        <v>43</v>
      </c>
      <c r="P735" s="82">
        <v>584</v>
      </c>
      <c r="Q735" s="82">
        <v>1480</v>
      </c>
      <c r="R735" s="12" t="s">
        <v>25</v>
      </c>
      <c r="S735" s="12" t="s">
        <v>25</v>
      </c>
      <c r="T735" s="12" t="s">
        <v>25</v>
      </c>
    </row>
    <row r="736" spans="1:20" hidden="1" x14ac:dyDescent="0.3">
      <c r="A736" s="13">
        <v>43919.708333333336</v>
      </c>
      <c r="B736" s="12" t="s">
        <v>22</v>
      </c>
      <c r="C736" s="82">
        <v>5</v>
      </c>
      <c r="D736" s="12" t="s">
        <v>61</v>
      </c>
      <c r="E736" s="82">
        <v>4543490485</v>
      </c>
      <c r="F736" s="82">
        <v>1233845213</v>
      </c>
      <c r="G736" s="82">
        <v>1586</v>
      </c>
      <c r="H736" s="82">
        <v>355</v>
      </c>
      <c r="I736" s="82">
        <v>1941</v>
      </c>
      <c r="J736" s="82">
        <v>5310</v>
      </c>
      <c r="K736" s="82">
        <v>7251</v>
      </c>
      <c r="L736" s="82">
        <v>338</v>
      </c>
      <c r="M736" s="82">
        <v>428</v>
      </c>
      <c r="N736" s="82">
        <v>715</v>
      </c>
      <c r="O736" s="82">
        <v>392</v>
      </c>
      <c r="P736" s="82">
        <v>8358</v>
      </c>
      <c r="Q736" s="82">
        <v>94784</v>
      </c>
      <c r="R736" s="12" t="s">
        <v>25</v>
      </c>
      <c r="S736" s="12" t="s">
        <v>25</v>
      </c>
      <c r="T736" s="12" t="s">
        <v>25</v>
      </c>
    </row>
    <row r="737" spans="1:20" hidden="1" x14ac:dyDescent="0.3">
      <c r="A737" s="13">
        <v>43920.708333333336</v>
      </c>
      <c r="B737" s="12" t="s">
        <v>22</v>
      </c>
      <c r="C737" s="82">
        <v>13</v>
      </c>
      <c r="D737" s="12" t="s">
        <v>42</v>
      </c>
      <c r="E737" s="82">
        <v>4235122196</v>
      </c>
      <c r="F737" s="82">
        <v>1339843823</v>
      </c>
      <c r="G737" s="82">
        <v>322</v>
      </c>
      <c r="H737" s="82">
        <v>69</v>
      </c>
      <c r="I737" s="82">
        <v>391</v>
      </c>
      <c r="J737" s="82">
        <v>778</v>
      </c>
      <c r="K737" s="82">
        <v>1169</v>
      </c>
      <c r="L737" s="82">
        <v>0</v>
      </c>
      <c r="M737" s="82">
        <v>52</v>
      </c>
      <c r="N737" s="82">
        <v>74</v>
      </c>
      <c r="O737" s="82">
        <v>102</v>
      </c>
      <c r="P737" s="82">
        <v>1345</v>
      </c>
      <c r="Q737" s="82">
        <v>7948</v>
      </c>
      <c r="R737" s="12" t="s">
        <v>25</v>
      </c>
      <c r="S737" s="12" t="s">
        <v>25</v>
      </c>
      <c r="T737" s="12" t="s">
        <v>25</v>
      </c>
    </row>
    <row r="738" spans="1:20" hidden="1" x14ac:dyDescent="0.3">
      <c r="A738" s="13">
        <v>43920.708333333336</v>
      </c>
      <c r="B738" s="12" t="s">
        <v>22</v>
      </c>
      <c r="C738" s="82">
        <v>17</v>
      </c>
      <c r="D738" s="12" t="s">
        <v>43</v>
      </c>
      <c r="E738" s="82">
        <v>4063947052</v>
      </c>
      <c r="F738" s="82">
        <v>1580514834</v>
      </c>
      <c r="G738" s="82">
        <v>36</v>
      </c>
      <c r="H738" s="82">
        <v>18</v>
      </c>
      <c r="I738" s="82">
        <v>54</v>
      </c>
      <c r="J738" s="82">
        <v>154</v>
      </c>
      <c r="K738" s="82">
        <v>208</v>
      </c>
      <c r="L738" s="82">
        <v>11</v>
      </c>
      <c r="M738" s="82">
        <v>12</v>
      </c>
      <c r="N738" s="82">
        <v>1</v>
      </c>
      <c r="O738" s="82">
        <v>5</v>
      </c>
      <c r="P738" s="82">
        <v>214</v>
      </c>
      <c r="Q738" s="82">
        <v>1833</v>
      </c>
      <c r="R738" s="12" t="s">
        <v>25</v>
      </c>
      <c r="S738" s="12" t="s">
        <v>25</v>
      </c>
      <c r="T738" s="12" t="s">
        <v>25</v>
      </c>
    </row>
    <row r="739" spans="1:20" hidden="1" x14ac:dyDescent="0.3">
      <c r="A739" s="13">
        <v>43920.708333333336</v>
      </c>
      <c r="B739" s="12" t="s">
        <v>22</v>
      </c>
      <c r="C739" s="82">
        <v>21</v>
      </c>
      <c r="D739" s="12" t="s">
        <v>44</v>
      </c>
      <c r="E739" s="82">
        <v>4649933453</v>
      </c>
      <c r="F739" s="82">
        <v>1135662422</v>
      </c>
      <c r="G739" s="82">
        <v>231</v>
      </c>
      <c r="H739" s="82">
        <v>62</v>
      </c>
      <c r="I739" s="82">
        <v>293</v>
      </c>
      <c r="J739" s="82">
        <v>805</v>
      </c>
      <c r="K739" s="82">
        <v>1098</v>
      </c>
      <c r="L739" s="82">
        <v>64</v>
      </c>
      <c r="M739" s="82">
        <v>111</v>
      </c>
      <c r="N739" s="82">
        <v>153</v>
      </c>
      <c r="O739" s="82">
        <v>74</v>
      </c>
      <c r="P739" s="82">
        <v>1325</v>
      </c>
      <c r="Q739" s="82">
        <v>10640</v>
      </c>
      <c r="R739" s="12" t="s">
        <v>25</v>
      </c>
      <c r="S739" s="12" t="s">
        <v>25</v>
      </c>
      <c r="T739" s="12" t="s">
        <v>25</v>
      </c>
    </row>
    <row r="740" spans="1:20" hidden="1" x14ac:dyDescent="0.3">
      <c r="A740" s="13">
        <v>43920.708333333336</v>
      </c>
      <c r="B740" s="12" t="s">
        <v>22</v>
      </c>
      <c r="C740" s="82">
        <v>18</v>
      </c>
      <c r="D740" s="12" t="s">
        <v>45</v>
      </c>
      <c r="E740" s="82">
        <v>3890597598</v>
      </c>
      <c r="F740" s="82">
        <v>1659440194</v>
      </c>
      <c r="G740" s="82">
        <v>130</v>
      </c>
      <c r="H740" s="82">
        <v>18</v>
      </c>
      <c r="I740" s="82">
        <v>148</v>
      </c>
      <c r="J740" s="82">
        <v>454</v>
      </c>
      <c r="K740" s="82">
        <v>602</v>
      </c>
      <c r="L740" s="82">
        <v>25</v>
      </c>
      <c r="M740" s="82">
        <v>33</v>
      </c>
      <c r="N740" s="82">
        <v>14</v>
      </c>
      <c r="O740" s="82">
        <v>31</v>
      </c>
      <c r="P740" s="82">
        <v>647</v>
      </c>
      <c r="Q740" s="82">
        <v>9013</v>
      </c>
      <c r="R740" s="12" t="s">
        <v>25</v>
      </c>
      <c r="S740" s="12" t="s">
        <v>25</v>
      </c>
      <c r="T740" s="12" t="s">
        <v>25</v>
      </c>
    </row>
    <row r="741" spans="1:20" hidden="1" x14ac:dyDescent="0.3">
      <c r="A741" s="13">
        <v>43920.708333333336</v>
      </c>
      <c r="B741" s="12" t="s">
        <v>22</v>
      </c>
      <c r="C741" s="82">
        <v>15</v>
      </c>
      <c r="D741" s="12" t="s">
        <v>46</v>
      </c>
      <c r="E741" s="82">
        <v>4083956555</v>
      </c>
      <c r="F741" s="82">
        <v>1425084984</v>
      </c>
      <c r="G741" s="82">
        <v>468</v>
      </c>
      <c r="H741" s="82">
        <v>126</v>
      </c>
      <c r="I741" s="82">
        <v>594</v>
      </c>
      <c r="J741" s="82">
        <v>1145</v>
      </c>
      <c r="K741" s="82">
        <v>1739</v>
      </c>
      <c r="L741" s="82">
        <v>183</v>
      </c>
      <c r="M741" s="82">
        <v>193</v>
      </c>
      <c r="N741" s="82">
        <v>88</v>
      </c>
      <c r="O741" s="82">
        <v>125</v>
      </c>
      <c r="P741" s="82">
        <v>1952</v>
      </c>
      <c r="Q741" s="82">
        <v>12969</v>
      </c>
      <c r="R741" s="12" t="s">
        <v>25</v>
      </c>
      <c r="S741" s="12" t="s">
        <v>25</v>
      </c>
      <c r="T741" s="12" t="s">
        <v>25</v>
      </c>
    </row>
    <row r="742" spans="1:20" hidden="1" x14ac:dyDescent="0.3">
      <c r="A742" s="13">
        <v>43920.708333333336</v>
      </c>
      <c r="B742" s="12" t="s">
        <v>22</v>
      </c>
      <c r="C742" s="82">
        <v>8</v>
      </c>
      <c r="D742" s="12" t="s">
        <v>95</v>
      </c>
      <c r="E742" s="82">
        <v>4449436681</v>
      </c>
      <c r="F742" s="82">
        <v>113417208</v>
      </c>
      <c r="G742" s="82">
        <v>3779</v>
      </c>
      <c r="H742" s="82">
        <v>351</v>
      </c>
      <c r="I742" s="82">
        <v>4130</v>
      </c>
      <c r="J742" s="82">
        <v>6636</v>
      </c>
      <c r="K742" s="82">
        <v>10766</v>
      </c>
      <c r="L742" s="82">
        <v>231</v>
      </c>
      <c r="M742" s="82">
        <v>412</v>
      </c>
      <c r="N742" s="82">
        <v>1227</v>
      </c>
      <c r="O742" s="82">
        <v>1538</v>
      </c>
      <c r="P742" s="82">
        <v>13531</v>
      </c>
      <c r="Q742" s="82">
        <v>50990</v>
      </c>
      <c r="R742" s="12" t="s">
        <v>25</v>
      </c>
      <c r="S742" s="12" t="s">
        <v>25</v>
      </c>
      <c r="T742" s="12" t="s">
        <v>25</v>
      </c>
    </row>
    <row r="743" spans="1:20" hidden="1" x14ac:dyDescent="0.3">
      <c r="A743" s="13">
        <v>43920.708333333336</v>
      </c>
      <c r="B743" s="12" t="s">
        <v>22</v>
      </c>
      <c r="C743" s="82">
        <v>6</v>
      </c>
      <c r="D743" s="12" t="s">
        <v>47</v>
      </c>
      <c r="E743" s="82">
        <v>456494354</v>
      </c>
      <c r="F743" s="82">
        <v>1376813649</v>
      </c>
      <c r="G743" s="82">
        <v>229</v>
      </c>
      <c r="H743" s="82">
        <v>60</v>
      </c>
      <c r="I743" s="82">
        <v>289</v>
      </c>
      <c r="J743" s="82">
        <v>820</v>
      </c>
      <c r="K743" s="82">
        <v>1109</v>
      </c>
      <c r="L743" s="82">
        <v>-32</v>
      </c>
      <c r="M743" s="82">
        <v>21</v>
      </c>
      <c r="N743" s="82">
        <v>285</v>
      </c>
      <c r="O743" s="82">
        <v>107</v>
      </c>
      <c r="P743" s="82">
        <v>1501</v>
      </c>
      <c r="Q743" s="82">
        <v>14003</v>
      </c>
      <c r="R743" s="12" t="s">
        <v>25</v>
      </c>
      <c r="S743" s="12" t="s">
        <v>25</v>
      </c>
      <c r="T743" s="12" t="s">
        <v>25</v>
      </c>
    </row>
    <row r="744" spans="1:20" hidden="1" x14ac:dyDescent="0.3">
      <c r="A744" s="13">
        <v>43920.708333333336</v>
      </c>
      <c r="B744" s="12" t="s">
        <v>22</v>
      </c>
      <c r="C744" s="82">
        <v>12</v>
      </c>
      <c r="D744" s="12" t="s">
        <v>48</v>
      </c>
      <c r="E744" s="82">
        <v>4189277044</v>
      </c>
      <c r="F744" s="82">
        <v>1248366722</v>
      </c>
      <c r="G744" s="82">
        <v>1079</v>
      </c>
      <c r="H744" s="82">
        <v>154</v>
      </c>
      <c r="I744" s="82">
        <v>1233</v>
      </c>
      <c r="J744" s="82">
        <v>1264</v>
      </c>
      <c r="K744" s="82">
        <v>2497</v>
      </c>
      <c r="L744" s="82">
        <v>135</v>
      </c>
      <c r="M744" s="82">
        <v>208</v>
      </c>
      <c r="N744" s="82">
        <v>267</v>
      </c>
      <c r="O744" s="82">
        <v>150</v>
      </c>
      <c r="P744" s="82">
        <v>2914</v>
      </c>
      <c r="Q744" s="82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82">
        <v>7</v>
      </c>
      <c r="D745" s="12" t="s">
        <v>49</v>
      </c>
      <c r="E745" s="82">
        <v>4441149315</v>
      </c>
      <c r="F745" s="82">
        <v>89326992</v>
      </c>
      <c r="G745" s="82">
        <v>1142</v>
      </c>
      <c r="H745" s="82">
        <v>175</v>
      </c>
      <c r="I745" s="82">
        <v>1317</v>
      </c>
      <c r="J745" s="82">
        <v>1066</v>
      </c>
      <c r="K745" s="82">
        <v>2383</v>
      </c>
      <c r="L745" s="82">
        <v>104</v>
      </c>
      <c r="M745" s="82">
        <v>141</v>
      </c>
      <c r="N745" s="82">
        <v>437</v>
      </c>
      <c r="O745" s="82">
        <v>397</v>
      </c>
      <c r="P745" s="82">
        <v>3217</v>
      </c>
      <c r="Q745" s="82">
        <v>9677</v>
      </c>
      <c r="R745" s="12" t="s">
        <v>25</v>
      </c>
      <c r="S745" s="12" t="s">
        <v>25</v>
      </c>
      <c r="T745" s="12" t="s">
        <v>25</v>
      </c>
    </row>
    <row r="746" spans="1:20" hidden="1" x14ac:dyDescent="0.3">
      <c r="A746" s="13">
        <v>43920.708333333336</v>
      </c>
      <c r="B746" s="12" t="s">
        <v>22</v>
      </c>
      <c r="C746" s="82">
        <v>3</v>
      </c>
      <c r="D746" s="12" t="s">
        <v>50</v>
      </c>
      <c r="E746" s="82">
        <v>4546679409</v>
      </c>
      <c r="F746" s="82">
        <v>9190347404</v>
      </c>
      <c r="G746" s="82">
        <v>11815</v>
      </c>
      <c r="H746" s="82">
        <v>1330</v>
      </c>
      <c r="I746" s="82">
        <v>13145</v>
      </c>
      <c r="J746" s="82">
        <v>11861</v>
      </c>
      <c r="K746" s="82">
        <v>25006</v>
      </c>
      <c r="L746" s="82">
        <v>-386</v>
      </c>
      <c r="M746" s="82">
        <v>1154</v>
      </c>
      <c r="N746" s="82">
        <v>10337</v>
      </c>
      <c r="O746" s="82">
        <v>6818</v>
      </c>
      <c r="P746" s="82">
        <v>42161</v>
      </c>
      <c r="Q746" s="82">
        <v>111057</v>
      </c>
      <c r="R746" s="12" t="s">
        <v>25</v>
      </c>
      <c r="S746" s="12" t="s">
        <v>25</v>
      </c>
      <c r="T746" s="12" t="s">
        <v>25</v>
      </c>
    </row>
    <row r="747" spans="1:20" hidden="1" x14ac:dyDescent="0.3">
      <c r="A747" s="13">
        <v>43920.708333333336</v>
      </c>
      <c r="B747" s="12" t="s">
        <v>22</v>
      </c>
      <c r="C747" s="82">
        <v>11</v>
      </c>
      <c r="D747" s="12" t="s">
        <v>51</v>
      </c>
      <c r="E747" s="82">
        <v>4361675973</v>
      </c>
      <c r="F747" s="82">
        <v>135188753</v>
      </c>
      <c r="G747" s="82">
        <v>998</v>
      </c>
      <c r="H747" s="82">
        <v>167</v>
      </c>
      <c r="I747" s="82">
        <v>1165</v>
      </c>
      <c r="J747" s="82">
        <v>2086</v>
      </c>
      <c r="K747" s="82">
        <v>3251</v>
      </c>
      <c r="L747" s="82">
        <v>91</v>
      </c>
      <c r="M747" s="82">
        <v>126</v>
      </c>
      <c r="N747" s="82">
        <v>16</v>
      </c>
      <c r="O747" s="82">
        <v>417</v>
      </c>
      <c r="P747" s="82">
        <v>3684</v>
      </c>
      <c r="Q747" s="82">
        <v>10979</v>
      </c>
      <c r="R747" s="12" t="s">
        <v>25</v>
      </c>
      <c r="S747" s="12" t="s">
        <v>25</v>
      </c>
      <c r="T747" s="12" t="s">
        <v>25</v>
      </c>
    </row>
    <row r="748" spans="1:20" hidden="1" x14ac:dyDescent="0.3">
      <c r="A748" s="13">
        <v>43920.708333333336</v>
      </c>
      <c r="B748" s="12" t="s">
        <v>22</v>
      </c>
      <c r="C748" s="82">
        <v>14</v>
      </c>
      <c r="D748" s="12" t="s">
        <v>52</v>
      </c>
      <c r="E748" s="82">
        <v>4155774754</v>
      </c>
      <c r="F748" s="82">
        <v>1465916051</v>
      </c>
      <c r="G748" s="82">
        <v>27</v>
      </c>
      <c r="H748" s="82">
        <v>8</v>
      </c>
      <c r="I748" s="82">
        <v>35</v>
      </c>
      <c r="J748" s="82">
        <v>72</v>
      </c>
      <c r="K748" s="82">
        <v>107</v>
      </c>
      <c r="L748" s="82">
        <v>7</v>
      </c>
      <c r="M748" s="82">
        <v>7</v>
      </c>
      <c r="N748" s="82">
        <v>18</v>
      </c>
      <c r="O748" s="82">
        <v>9</v>
      </c>
      <c r="P748" s="82">
        <v>134</v>
      </c>
      <c r="Q748" s="82">
        <v>955</v>
      </c>
      <c r="R748" s="12" t="s">
        <v>25</v>
      </c>
      <c r="S748" s="12" t="s">
        <v>25</v>
      </c>
      <c r="T748" s="12" t="s">
        <v>25</v>
      </c>
    </row>
    <row r="749" spans="1:20" hidden="1" x14ac:dyDescent="0.3">
      <c r="A749" s="13">
        <v>43920.708333333336</v>
      </c>
      <c r="B749" s="12" t="s">
        <v>22</v>
      </c>
      <c r="C749" s="82">
        <v>1</v>
      </c>
      <c r="D749" s="12" t="s">
        <v>53</v>
      </c>
      <c r="E749" s="82">
        <v>450732745</v>
      </c>
      <c r="F749" s="82">
        <v>7680687483</v>
      </c>
      <c r="G749" s="82">
        <v>2985</v>
      </c>
      <c r="H749" s="82">
        <v>452</v>
      </c>
      <c r="I749" s="82">
        <v>3437</v>
      </c>
      <c r="J749" s="82">
        <v>4218</v>
      </c>
      <c r="K749" s="82">
        <v>7655</v>
      </c>
      <c r="L749" s="82">
        <v>387</v>
      </c>
      <c r="M749" s="82">
        <v>506</v>
      </c>
      <c r="N749" s="82">
        <v>308</v>
      </c>
      <c r="O749" s="82">
        <v>749</v>
      </c>
      <c r="P749" s="82">
        <v>8712</v>
      </c>
      <c r="Q749" s="82">
        <v>25478</v>
      </c>
      <c r="R749" s="12" t="s">
        <v>25</v>
      </c>
      <c r="S749" s="12" t="s">
        <v>25</v>
      </c>
      <c r="T749" s="12" t="s">
        <v>25</v>
      </c>
    </row>
    <row r="750" spans="1:20" hidden="1" x14ac:dyDescent="0.3">
      <c r="A750" s="13">
        <v>43920.708333333336</v>
      </c>
      <c r="B750" s="12" t="s">
        <v>22</v>
      </c>
      <c r="C750" s="82">
        <v>16</v>
      </c>
      <c r="D750" s="12" t="s">
        <v>54</v>
      </c>
      <c r="E750" s="82">
        <v>4112559576</v>
      </c>
      <c r="F750" s="82">
        <v>1686736689</v>
      </c>
      <c r="G750" s="82">
        <v>590</v>
      </c>
      <c r="H750" s="82">
        <v>106</v>
      </c>
      <c r="I750" s="82">
        <v>696</v>
      </c>
      <c r="J750" s="82">
        <v>889</v>
      </c>
      <c r="K750" s="82">
        <v>1585</v>
      </c>
      <c r="L750" s="82">
        <v>153</v>
      </c>
      <c r="M750" s="82">
        <v>163</v>
      </c>
      <c r="N750" s="82">
        <v>36</v>
      </c>
      <c r="O750" s="82">
        <v>91</v>
      </c>
      <c r="P750" s="82">
        <v>1712</v>
      </c>
      <c r="Q750" s="82">
        <v>13117</v>
      </c>
      <c r="R750" s="12" t="s">
        <v>25</v>
      </c>
      <c r="S750" s="12" t="s">
        <v>25</v>
      </c>
      <c r="T750" s="12" t="s">
        <v>25</v>
      </c>
    </row>
    <row r="751" spans="1:20" hidden="1" x14ac:dyDescent="0.3">
      <c r="A751" s="13">
        <v>43920.708333333336</v>
      </c>
      <c r="B751" s="12" t="s">
        <v>22</v>
      </c>
      <c r="C751" s="82">
        <v>20</v>
      </c>
      <c r="D751" s="12" t="s">
        <v>55</v>
      </c>
      <c r="E751" s="82">
        <v>3921531192</v>
      </c>
      <c r="F751" s="82">
        <v>9110616306</v>
      </c>
      <c r="G751" s="82">
        <v>113</v>
      </c>
      <c r="H751" s="82">
        <v>24</v>
      </c>
      <c r="I751" s="82">
        <v>137</v>
      </c>
      <c r="J751" s="82">
        <v>485</v>
      </c>
      <c r="K751" s="82">
        <v>622</v>
      </c>
      <c r="L751" s="82">
        <v>40</v>
      </c>
      <c r="M751" s="82">
        <v>44</v>
      </c>
      <c r="N751" s="82">
        <v>32</v>
      </c>
      <c r="O751" s="82">
        <v>28</v>
      </c>
      <c r="P751" s="82">
        <v>682</v>
      </c>
      <c r="Q751" s="82">
        <v>4993</v>
      </c>
      <c r="R751" s="12" t="s">
        <v>25</v>
      </c>
      <c r="S751" s="12" t="s">
        <v>25</v>
      </c>
      <c r="T751" s="12" t="s">
        <v>25</v>
      </c>
    </row>
    <row r="752" spans="1:20" hidden="1" x14ac:dyDescent="0.3">
      <c r="A752" s="13">
        <v>43920.708333333336</v>
      </c>
      <c r="B752" s="12" t="s">
        <v>22</v>
      </c>
      <c r="C752" s="82">
        <v>19</v>
      </c>
      <c r="D752" s="12" t="s">
        <v>56</v>
      </c>
      <c r="E752" s="82">
        <v>3811569725</v>
      </c>
      <c r="F752" s="82">
        <v>133623567</v>
      </c>
      <c r="G752" s="82">
        <v>484</v>
      </c>
      <c r="H752" s="82">
        <v>75</v>
      </c>
      <c r="I752" s="82">
        <v>559</v>
      </c>
      <c r="J752" s="82">
        <v>849</v>
      </c>
      <c r="K752" s="82">
        <v>1408</v>
      </c>
      <c r="L752" s="82">
        <v>78</v>
      </c>
      <c r="M752" s="82">
        <v>95</v>
      </c>
      <c r="N752" s="82">
        <v>71</v>
      </c>
      <c r="O752" s="82">
        <v>76</v>
      </c>
      <c r="P752" s="82">
        <v>1555</v>
      </c>
      <c r="Q752" s="82">
        <v>14758</v>
      </c>
      <c r="R752" s="12" t="s">
        <v>25</v>
      </c>
      <c r="S752" s="12" t="s">
        <v>25</v>
      </c>
      <c r="T752" s="12" t="s">
        <v>25</v>
      </c>
    </row>
    <row r="753" spans="1:20" hidden="1" x14ac:dyDescent="0.3">
      <c r="A753" s="13">
        <v>43920.708333333336</v>
      </c>
      <c r="B753" s="12" t="s">
        <v>22</v>
      </c>
      <c r="C753" s="82">
        <v>9</v>
      </c>
      <c r="D753" s="12" t="s">
        <v>57</v>
      </c>
      <c r="E753" s="82">
        <v>4376923077</v>
      </c>
      <c r="F753" s="82">
        <v>1125588885</v>
      </c>
      <c r="G753" s="82">
        <v>1116</v>
      </c>
      <c r="H753" s="82">
        <v>279</v>
      </c>
      <c r="I753" s="82">
        <v>1395</v>
      </c>
      <c r="J753" s="82">
        <v>2655</v>
      </c>
      <c r="K753" s="82">
        <v>4050</v>
      </c>
      <c r="L753" s="82">
        <v>264</v>
      </c>
      <c r="M753" s="82">
        <v>290</v>
      </c>
      <c r="N753" s="82">
        <v>131</v>
      </c>
      <c r="O753" s="82">
        <v>231</v>
      </c>
      <c r="P753" s="82">
        <v>4412</v>
      </c>
      <c r="Q753" s="82">
        <v>30099</v>
      </c>
      <c r="R753" s="12" t="s">
        <v>25</v>
      </c>
      <c r="S753" s="12" t="s">
        <v>25</v>
      </c>
      <c r="T753" s="12" t="s">
        <v>25</v>
      </c>
    </row>
    <row r="754" spans="1:20" hidden="1" x14ac:dyDescent="0.3">
      <c r="A754" s="13">
        <v>43920.708333333336</v>
      </c>
      <c r="B754" s="12" t="s">
        <v>22</v>
      </c>
      <c r="C754" s="82">
        <v>22</v>
      </c>
      <c r="D754" s="12" t="s">
        <v>58</v>
      </c>
      <c r="E754" s="82">
        <v>4606893511</v>
      </c>
      <c r="F754" s="82">
        <v>1112123097</v>
      </c>
      <c r="G754" s="82">
        <v>353</v>
      </c>
      <c r="H754" s="82">
        <v>78</v>
      </c>
      <c r="I754" s="82">
        <v>431</v>
      </c>
      <c r="J754" s="82">
        <v>926</v>
      </c>
      <c r="K754" s="82">
        <v>1357</v>
      </c>
      <c r="L754" s="82">
        <v>64</v>
      </c>
      <c r="M754" s="82">
        <v>88</v>
      </c>
      <c r="N754" s="82">
        <v>178</v>
      </c>
      <c r="O754" s="82">
        <v>147</v>
      </c>
      <c r="P754" s="82">
        <v>1682</v>
      </c>
      <c r="Q754" s="82">
        <v>6377</v>
      </c>
      <c r="R754" s="12" t="s">
        <v>25</v>
      </c>
      <c r="S754" s="12" t="s">
        <v>25</v>
      </c>
      <c r="T754" s="12" t="s">
        <v>25</v>
      </c>
    </row>
    <row r="755" spans="1:20" hidden="1" x14ac:dyDescent="0.3">
      <c r="A755" s="13">
        <v>43920.708333333336</v>
      </c>
      <c r="B755" s="12" t="s">
        <v>22</v>
      </c>
      <c r="C755" s="82">
        <v>10</v>
      </c>
      <c r="D755" s="12" t="s">
        <v>59</v>
      </c>
      <c r="E755" s="82">
        <v>4310675841</v>
      </c>
      <c r="F755" s="82">
        <v>1238824698</v>
      </c>
      <c r="G755" s="82">
        <v>173</v>
      </c>
      <c r="H755" s="82">
        <v>47</v>
      </c>
      <c r="I755" s="82">
        <v>220</v>
      </c>
      <c r="J755" s="82">
        <v>614</v>
      </c>
      <c r="K755" s="82">
        <v>834</v>
      </c>
      <c r="L755" s="82">
        <v>-63</v>
      </c>
      <c r="M755" s="82">
        <v>28</v>
      </c>
      <c r="N755" s="82">
        <v>184</v>
      </c>
      <c r="O755" s="82">
        <v>33</v>
      </c>
      <c r="P755" s="82">
        <v>1051</v>
      </c>
      <c r="Q755" s="82">
        <v>8150</v>
      </c>
      <c r="R755" s="12" t="s">
        <v>25</v>
      </c>
      <c r="S755" s="12" t="s">
        <v>25</v>
      </c>
      <c r="T755" s="12" t="s">
        <v>25</v>
      </c>
    </row>
    <row r="756" spans="1:20" hidden="1" x14ac:dyDescent="0.3">
      <c r="A756" s="13">
        <v>43920.708333333336</v>
      </c>
      <c r="B756" s="12" t="s">
        <v>22</v>
      </c>
      <c r="C756" s="82">
        <v>2</v>
      </c>
      <c r="D756" s="12" t="s">
        <v>60</v>
      </c>
      <c r="E756" s="82">
        <v>4573750286</v>
      </c>
      <c r="F756" s="82">
        <v>7320149366</v>
      </c>
      <c r="G756" s="82">
        <v>92</v>
      </c>
      <c r="H756" s="82">
        <v>26</v>
      </c>
      <c r="I756" s="82">
        <v>118</v>
      </c>
      <c r="J756" s="82">
        <v>400</v>
      </c>
      <c r="K756" s="82">
        <v>518</v>
      </c>
      <c r="L756" s="82">
        <v>-21</v>
      </c>
      <c r="M756" s="82">
        <v>0</v>
      </c>
      <c r="N756" s="82">
        <v>16</v>
      </c>
      <c r="O756" s="82">
        <v>50</v>
      </c>
      <c r="P756" s="82">
        <v>584</v>
      </c>
      <c r="Q756" s="82">
        <v>1536</v>
      </c>
      <c r="R756" s="12" t="s">
        <v>25</v>
      </c>
      <c r="S756" s="12" t="s">
        <v>25</v>
      </c>
      <c r="T756" s="12" t="s">
        <v>25</v>
      </c>
    </row>
    <row r="757" spans="1:20" hidden="1" x14ac:dyDescent="0.3">
      <c r="A757" s="13">
        <v>43920.708333333336</v>
      </c>
      <c r="B757" s="12" t="s">
        <v>22</v>
      </c>
      <c r="C757" s="82">
        <v>5</v>
      </c>
      <c r="D757" s="12" t="s">
        <v>61</v>
      </c>
      <c r="E757" s="82">
        <v>4543490485</v>
      </c>
      <c r="F757" s="82">
        <v>1233845213</v>
      </c>
      <c r="G757" s="82">
        <v>1633</v>
      </c>
      <c r="H757" s="82">
        <v>356</v>
      </c>
      <c r="I757" s="82">
        <v>1989</v>
      </c>
      <c r="J757" s="82">
        <v>5575</v>
      </c>
      <c r="K757" s="82">
        <v>7564</v>
      </c>
      <c r="L757" s="82">
        <v>313</v>
      </c>
      <c r="M757" s="82">
        <v>366</v>
      </c>
      <c r="N757" s="82">
        <v>747</v>
      </c>
      <c r="O757" s="82">
        <v>413</v>
      </c>
      <c r="P757" s="82">
        <v>8724</v>
      </c>
      <c r="Q757" s="82">
        <v>99941</v>
      </c>
      <c r="R757" s="12" t="s">
        <v>25</v>
      </c>
      <c r="S757" s="12" t="s">
        <v>25</v>
      </c>
      <c r="T757" s="12" t="s">
        <v>25</v>
      </c>
    </row>
    <row r="758" spans="1:20" hidden="1" x14ac:dyDescent="0.3">
      <c r="A758" s="13">
        <v>43921.708333333336</v>
      </c>
      <c r="B758" s="12" t="s">
        <v>22</v>
      </c>
      <c r="C758" s="82">
        <v>13</v>
      </c>
      <c r="D758" s="12" t="s">
        <v>42</v>
      </c>
      <c r="E758" s="82">
        <v>4235122196</v>
      </c>
      <c r="F758" s="82">
        <v>1339843823</v>
      </c>
      <c r="G758" s="82">
        <v>335</v>
      </c>
      <c r="H758" s="82">
        <v>73</v>
      </c>
      <c r="I758" s="82">
        <v>408</v>
      </c>
      <c r="J758" s="82">
        <v>783</v>
      </c>
      <c r="K758" s="82">
        <v>1191</v>
      </c>
      <c r="L758" s="82">
        <v>22</v>
      </c>
      <c r="M758" s="82">
        <v>56</v>
      </c>
      <c r="N758" s="82">
        <v>95</v>
      </c>
      <c r="O758" s="82">
        <v>115</v>
      </c>
      <c r="P758" s="82">
        <v>1401</v>
      </c>
      <c r="Q758" s="82">
        <v>8758</v>
      </c>
      <c r="R758" s="12" t="s">
        <v>25</v>
      </c>
      <c r="S758" s="12" t="s">
        <v>25</v>
      </c>
      <c r="T758" s="12" t="s">
        <v>25</v>
      </c>
    </row>
    <row r="759" spans="1:20" hidden="1" x14ac:dyDescent="0.3">
      <c r="A759" s="13">
        <v>43921.708333333336</v>
      </c>
      <c r="B759" s="12" t="s">
        <v>22</v>
      </c>
      <c r="C759" s="82">
        <v>17</v>
      </c>
      <c r="D759" s="12" t="s">
        <v>43</v>
      </c>
      <c r="E759" s="82">
        <v>4063947052</v>
      </c>
      <c r="F759" s="82">
        <v>1580514834</v>
      </c>
      <c r="G759" s="82">
        <v>37</v>
      </c>
      <c r="H759" s="82">
        <v>17</v>
      </c>
      <c r="I759" s="82">
        <v>54</v>
      </c>
      <c r="J759" s="82">
        <v>162</v>
      </c>
      <c r="K759" s="82">
        <v>216</v>
      </c>
      <c r="L759" s="82">
        <v>8</v>
      </c>
      <c r="M759" s="82">
        <v>12</v>
      </c>
      <c r="N759" s="82">
        <v>3</v>
      </c>
      <c r="O759" s="82">
        <v>7</v>
      </c>
      <c r="P759" s="82">
        <v>226</v>
      </c>
      <c r="Q759" s="82">
        <v>2043</v>
      </c>
      <c r="R759" s="12" t="s">
        <v>25</v>
      </c>
      <c r="S759" s="12" t="s">
        <v>25</v>
      </c>
      <c r="T759" s="12" t="s">
        <v>25</v>
      </c>
    </row>
    <row r="760" spans="1:20" hidden="1" x14ac:dyDescent="0.3">
      <c r="A760" s="13">
        <v>43921.708333333336</v>
      </c>
      <c r="B760" s="12" t="s">
        <v>22</v>
      </c>
      <c r="C760" s="82">
        <v>21</v>
      </c>
      <c r="D760" s="12" t="s">
        <v>44</v>
      </c>
      <c r="E760" s="82">
        <v>4649933453</v>
      </c>
      <c r="F760" s="82">
        <v>1135662422</v>
      </c>
      <c r="G760" s="82">
        <v>249</v>
      </c>
      <c r="H760" s="82">
        <v>62</v>
      </c>
      <c r="I760" s="82">
        <v>311</v>
      </c>
      <c r="J760" s="82">
        <v>831</v>
      </c>
      <c r="K760" s="82">
        <v>1142</v>
      </c>
      <c r="L760" s="82">
        <v>44</v>
      </c>
      <c r="M760" s="82">
        <v>46</v>
      </c>
      <c r="N760" s="82">
        <v>153</v>
      </c>
      <c r="O760" s="82">
        <v>76</v>
      </c>
      <c r="P760" s="82">
        <v>1371</v>
      </c>
      <c r="Q760" s="82">
        <v>11275</v>
      </c>
      <c r="R760" s="12" t="s">
        <v>25</v>
      </c>
      <c r="S760" s="12" t="s">
        <v>25</v>
      </c>
      <c r="T760" s="12" t="s">
        <v>25</v>
      </c>
    </row>
    <row r="761" spans="1:20" hidden="1" x14ac:dyDescent="0.3">
      <c r="A761" s="13">
        <v>43921.708333333336</v>
      </c>
      <c r="B761" s="12" t="s">
        <v>22</v>
      </c>
      <c r="C761" s="82">
        <v>18</v>
      </c>
      <c r="D761" s="12" t="s">
        <v>45</v>
      </c>
      <c r="E761" s="82">
        <v>3890597598</v>
      </c>
      <c r="F761" s="82">
        <v>1659440194</v>
      </c>
      <c r="G761" s="82">
        <v>132</v>
      </c>
      <c r="H761" s="82">
        <v>17</v>
      </c>
      <c r="I761" s="82">
        <v>149</v>
      </c>
      <c r="J761" s="82">
        <v>457</v>
      </c>
      <c r="K761" s="82">
        <v>606</v>
      </c>
      <c r="L761" s="82">
        <v>4</v>
      </c>
      <c r="M761" s="82">
        <v>12</v>
      </c>
      <c r="N761" s="82">
        <v>17</v>
      </c>
      <c r="O761" s="82">
        <v>36</v>
      </c>
      <c r="P761" s="82">
        <v>659</v>
      </c>
      <c r="Q761" s="82">
        <v>9327</v>
      </c>
      <c r="R761" s="12" t="s">
        <v>25</v>
      </c>
      <c r="S761" s="12" t="s">
        <v>25</v>
      </c>
      <c r="T761" s="12" t="s">
        <v>25</v>
      </c>
    </row>
    <row r="762" spans="1:20" hidden="1" x14ac:dyDescent="0.3">
      <c r="A762" s="13">
        <v>43921.708333333336</v>
      </c>
      <c r="B762" s="12" t="s">
        <v>22</v>
      </c>
      <c r="C762" s="82">
        <v>15</v>
      </c>
      <c r="D762" s="12" t="s">
        <v>46</v>
      </c>
      <c r="E762" s="82">
        <v>4083956555</v>
      </c>
      <c r="F762" s="82">
        <v>1425084984</v>
      </c>
      <c r="G762" s="82">
        <v>501</v>
      </c>
      <c r="H762" s="82">
        <v>133</v>
      </c>
      <c r="I762" s="82">
        <v>634</v>
      </c>
      <c r="J762" s="82">
        <v>1237</v>
      </c>
      <c r="K762" s="82">
        <v>1871</v>
      </c>
      <c r="L762" s="82">
        <v>132</v>
      </c>
      <c r="M762" s="82">
        <v>140</v>
      </c>
      <c r="N762" s="82">
        <v>88</v>
      </c>
      <c r="O762" s="82">
        <v>133</v>
      </c>
      <c r="P762" s="82">
        <v>2092</v>
      </c>
      <c r="Q762" s="82">
        <v>14403</v>
      </c>
      <c r="R762" s="12" t="s">
        <v>25</v>
      </c>
      <c r="S762" s="12" t="s">
        <v>25</v>
      </c>
      <c r="T762" s="12" t="s">
        <v>25</v>
      </c>
    </row>
    <row r="763" spans="1:20" hidden="1" x14ac:dyDescent="0.3">
      <c r="A763" s="13">
        <v>43921.708333333336</v>
      </c>
      <c r="B763" s="12" t="s">
        <v>22</v>
      </c>
      <c r="C763" s="82">
        <v>8</v>
      </c>
      <c r="D763" s="12" t="s">
        <v>95</v>
      </c>
      <c r="E763" s="82">
        <v>4449436681</v>
      </c>
      <c r="F763" s="82">
        <v>113417208</v>
      </c>
      <c r="G763" s="82">
        <v>3765</v>
      </c>
      <c r="H763" s="82">
        <v>353</v>
      </c>
      <c r="I763" s="82">
        <v>4118</v>
      </c>
      <c r="J763" s="82">
        <v>6835</v>
      </c>
      <c r="K763" s="82">
        <v>10953</v>
      </c>
      <c r="L763" s="82">
        <v>187</v>
      </c>
      <c r="M763" s="82">
        <v>543</v>
      </c>
      <c r="N763" s="82">
        <v>1477</v>
      </c>
      <c r="O763" s="82">
        <v>1644</v>
      </c>
      <c r="P763" s="82">
        <v>14074</v>
      </c>
      <c r="Q763" s="82">
        <v>54532</v>
      </c>
      <c r="R763" s="12" t="s">
        <v>25</v>
      </c>
      <c r="S763" s="12" t="s">
        <v>25</v>
      </c>
      <c r="T763" s="12" t="s">
        <v>25</v>
      </c>
    </row>
    <row r="764" spans="1:20" hidden="1" x14ac:dyDescent="0.3">
      <c r="A764" s="13">
        <v>43921.708333333336</v>
      </c>
      <c r="B764" s="12" t="s">
        <v>22</v>
      </c>
      <c r="C764" s="82">
        <v>6</v>
      </c>
      <c r="D764" s="12" t="s">
        <v>47</v>
      </c>
      <c r="E764" s="82">
        <v>456494354</v>
      </c>
      <c r="F764" s="82">
        <v>1376813649</v>
      </c>
      <c r="G764" s="82">
        <v>215</v>
      </c>
      <c r="H764" s="82">
        <v>60</v>
      </c>
      <c r="I764" s="82">
        <v>275</v>
      </c>
      <c r="J764" s="82">
        <v>885</v>
      </c>
      <c r="K764" s="82">
        <v>1160</v>
      </c>
      <c r="L764" s="82">
        <v>51</v>
      </c>
      <c r="M764" s="82">
        <v>92</v>
      </c>
      <c r="N764" s="82">
        <v>320</v>
      </c>
      <c r="O764" s="82">
        <v>113</v>
      </c>
      <c r="P764" s="82">
        <v>1593</v>
      </c>
      <c r="Q764" s="82">
        <v>14899</v>
      </c>
      <c r="R764" s="12" t="s">
        <v>25</v>
      </c>
      <c r="S764" s="12" t="s">
        <v>25</v>
      </c>
      <c r="T764" s="12" t="s">
        <v>25</v>
      </c>
    </row>
    <row r="765" spans="1:20" hidden="1" x14ac:dyDescent="0.3">
      <c r="A765" s="13">
        <v>43921.708333333336</v>
      </c>
      <c r="B765" s="12" t="s">
        <v>22</v>
      </c>
      <c r="C765" s="82">
        <v>12</v>
      </c>
      <c r="D765" s="12" t="s">
        <v>48</v>
      </c>
      <c r="E765" s="82">
        <v>4189277044</v>
      </c>
      <c r="F765" s="82">
        <v>1248366722</v>
      </c>
      <c r="G765" s="82">
        <v>1127</v>
      </c>
      <c r="H765" s="82">
        <v>173</v>
      </c>
      <c r="I765" s="82">
        <v>1300</v>
      </c>
      <c r="J765" s="82">
        <v>1342</v>
      </c>
      <c r="K765" s="82">
        <v>2642</v>
      </c>
      <c r="L765" s="82">
        <v>145</v>
      </c>
      <c r="M765" s="82">
        <v>181</v>
      </c>
      <c r="N765" s="82">
        <v>291</v>
      </c>
      <c r="O765" s="82">
        <v>162</v>
      </c>
      <c r="P765" s="82">
        <v>3095</v>
      </c>
      <c r="Q765" s="82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82">
        <v>7</v>
      </c>
      <c r="D766" s="12" t="s">
        <v>49</v>
      </c>
      <c r="E766" s="82">
        <v>4441149315</v>
      </c>
      <c r="F766" s="82">
        <v>89326992</v>
      </c>
      <c r="G766" s="82">
        <v>1153</v>
      </c>
      <c r="H766" s="82">
        <v>179</v>
      </c>
      <c r="I766" s="82">
        <v>1332</v>
      </c>
      <c r="J766" s="82">
        <v>1176</v>
      </c>
      <c r="K766" s="82">
        <v>2508</v>
      </c>
      <c r="L766" s="82">
        <v>125</v>
      </c>
      <c r="M766" s="82">
        <v>199</v>
      </c>
      <c r="N766" s="82">
        <v>480</v>
      </c>
      <c r="O766" s="82">
        <v>428</v>
      </c>
      <c r="P766" s="82">
        <v>3416</v>
      </c>
      <c r="Q766" s="82">
        <v>10376</v>
      </c>
      <c r="R766" s="12" t="s">
        <v>25</v>
      </c>
      <c r="S766" s="12" t="s">
        <v>25</v>
      </c>
      <c r="T766" s="12" t="s">
        <v>25</v>
      </c>
    </row>
    <row r="767" spans="1:20" hidden="1" x14ac:dyDescent="0.3">
      <c r="A767" s="13">
        <v>43921.708333333336</v>
      </c>
      <c r="B767" s="12" t="s">
        <v>22</v>
      </c>
      <c r="C767" s="82">
        <v>3</v>
      </c>
      <c r="D767" s="12" t="s">
        <v>50</v>
      </c>
      <c r="E767" s="82">
        <v>4546679409</v>
      </c>
      <c r="F767" s="82">
        <v>9190347404</v>
      </c>
      <c r="G767" s="82">
        <v>11883</v>
      </c>
      <c r="H767" s="82">
        <v>1324</v>
      </c>
      <c r="I767" s="82">
        <v>13207</v>
      </c>
      <c r="J767" s="82">
        <v>11917</v>
      </c>
      <c r="K767" s="82">
        <v>25124</v>
      </c>
      <c r="L767" s="82">
        <v>118</v>
      </c>
      <c r="M767" s="82">
        <v>1047</v>
      </c>
      <c r="N767" s="82">
        <v>10885</v>
      </c>
      <c r="O767" s="82">
        <v>7199</v>
      </c>
      <c r="P767" s="82">
        <v>43208</v>
      </c>
      <c r="Q767" s="82">
        <v>114640</v>
      </c>
      <c r="R767" s="12" t="s">
        <v>25</v>
      </c>
      <c r="S767" s="12" t="s">
        <v>25</v>
      </c>
      <c r="T767" s="12" t="s">
        <v>25</v>
      </c>
    </row>
    <row r="768" spans="1:20" hidden="1" x14ac:dyDescent="0.3">
      <c r="A768" s="13">
        <v>43921.708333333336</v>
      </c>
      <c r="B768" s="12" t="s">
        <v>22</v>
      </c>
      <c r="C768" s="82">
        <v>11</v>
      </c>
      <c r="D768" s="12" t="s">
        <v>51</v>
      </c>
      <c r="E768" s="82">
        <v>4361675973</v>
      </c>
      <c r="F768" s="82">
        <v>135188753</v>
      </c>
      <c r="G768" s="82">
        <v>946</v>
      </c>
      <c r="H768" s="82">
        <v>169</v>
      </c>
      <c r="I768" s="82">
        <v>1115</v>
      </c>
      <c r="J768" s="82">
        <v>2237</v>
      </c>
      <c r="K768" s="82">
        <v>3352</v>
      </c>
      <c r="L768" s="82">
        <v>101</v>
      </c>
      <c r="M768" s="82">
        <v>141</v>
      </c>
      <c r="N768" s="82">
        <v>21</v>
      </c>
      <c r="O768" s="82">
        <v>452</v>
      </c>
      <c r="P768" s="82">
        <v>3825</v>
      </c>
      <c r="Q768" s="82">
        <v>11724</v>
      </c>
      <c r="R768" s="12" t="s">
        <v>25</v>
      </c>
      <c r="S768" s="12" t="s">
        <v>25</v>
      </c>
      <c r="T768" s="12" t="s">
        <v>25</v>
      </c>
    </row>
    <row r="769" spans="1:20" hidden="1" x14ac:dyDescent="0.3">
      <c r="A769" s="13">
        <v>43921.708333333336</v>
      </c>
      <c r="B769" s="12" t="s">
        <v>22</v>
      </c>
      <c r="C769" s="82">
        <v>14</v>
      </c>
      <c r="D769" s="12" t="s">
        <v>52</v>
      </c>
      <c r="E769" s="82">
        <v>4155774754</v>
      </c>
      <c r="F769" s="82">
        <v>1465916051</v>
      </c>
      <c r="G769" s="82">
        <v>29</v>
      </c>
      <c r="H769" s="82">
        <v>8</v>
      </c>
      <c r="I769" s="82">
        <v>37</v>
      </c>
      <c r="J769" s="82">
        <v>80</v>
      </c>
      <c r="K769" s="82">
        <v>117</v>
      </c>
      <c r="L769" s="82">
        <v>10</v>
      </c>
      <c r="M769" s="82">
        <v>10</v>
      </c>
      <c r="N769" s="82">
        <v>18</v>
      </c>
      <c r="O769" s="82">
        <v>9</v>
      </c>
      <c r="P769" s="82">
        <v>144</v>
      </c>
      <c r="Q769" s="82">
        <v>1049</v>
      </c>
      <c r="R769" s="12" t="s">
        <v>25</v>
      </c>
      <c r="S769" s="12" t="s">
        <v>25</v>
      </c>
      <c r="T769" s="12" t="s">
        <v>25</v>
      </c>
    </row>
    <row r="770" spans="1:20" hidden="1" x14ac:dyDescent="0.3">
      <c r="A770" s="13">
        <v>43921.708333333336</v>
      </c>
      <c r="B770" s="12" t="s">
        <v>22</v>
      </c>
      <c r="C770" s="82">
        <v>1</v>
      </c>
      <c r="D770" s="12" t="s">
        <v>53</v>
      </c>
      <c r="E770" s="82">
        <v>450732745</v>
      </c>
      <c r="F770" s="82">
        <v>7680687483</v>
      </c>
      <c r="G770" s="82">
        <v>3174</v>
      </c>
      <c r="H770" s="82">
        <v>452</v>
      </c>
      <c r="I770" s="82">
        <v>3626</v>
      </c>
      <c r="J770" s="82">
        <v>4456</v>
      </c>
      <c r="K770" s="82">
        <v>8082</v>
      </c>
      <c r="L770" s="82">
        <v>427</v>
      </c>
      <c r="M770" s="82">
        <v>589</v>
      </c>
      <c r="N770" s="82">
        <v>365</v>
      </c>
      <c r="O770" s="82">
        <v>854</v>
      </c>
      <c r="P770" s="82">
        <v>9301</v>
      </c>
      <c r="Q770" s="82">
        <v>27658</v>
      </c>
      <c r="R770" s="12" t="s">
        <v>25</v>
      </c>
      <c r="S770" s="12" t="s">
        <v>25</v>
      </c>
      <c r="T770" s="12" t="s">
        <v>25</v>
      </c>
    </row>
    <row r="771" spans="1:20" hidden="1" x14ac:dyDescent="0.3">
      <c r="A771" s="13">
        <v>43921.708333333336</v>
      </c>
      <c r="B771" s="12" t="s">
        <v>22</v>
      </c>
      <c r="C771" s="82">
        <v>16</v>
      </c>
      <c r="D771" s="12" t="s">
        <v>54</v>
      </c>
      <c r="E771" s="82">
        <v>4112559576</v>
      </c>
      <c r="F771" s="82">
        <v>1686736689</v>
      </c>
      <c r="G771" s="82">
        <v>609</v>
      </c>
      <c r="H771" s="82">
        <v>105</v>
      </c>
      <c r="I771" s="82">
        <v>714</v>
      </c>
      <c r="J771" s="82">
        <v>940</v>
      </c>
      <c r="K771" s="82">
        <v>1654</v>
      </c>
      <c r="L771" s="82">
        <v>69</v>
      </c>
      <c r="M771" s="82">
        <v>91</v>
      </c>
      <c r="N771" s="82">
        <v>39</v>
      </c>
      <c r="O771" s="82">
        <v>110</v>
      </c>
      <c r="P771" s="82">
        <v>1803</v>
      </c>
      <c r="Q771" s="82">
        <v>14073</v>
      </c>
      <c r="R771" s="12" t="s">
        <v>25</v>
      </c>
      <c r="S771" s="12" t="s">
        <v>25</v>
      </c>
      <c r="T771" s="12" t="s">
        <v>25</v>
      </c>
    </row>
    <row r="772" spans="1:20" hidden="1" x14ac:dyDescent="0.3">
      <c r="A772" s="13">
        <v>43921.708333333336</v>
      </c>
      <c r="B772" s="12" t="s">
        <v>22</v>
      </c>
      <c r="C772" s="82">
        <v>20</v>
      </c>
      <c r="D772" s="12" t="s">
        <v>55</v>
      </c>
      <c r="E772" s="82">
        <v>3921531192</v>
      </c>
      <c r="F772" s="82">
        <v>9110616306</v>
      </c>
      <c r="G772" s="82">
        <v>113</v>
      </c>
      <c r="H772" s="82">
        <v>28</v>
      </c>
      <c r="I772" s="82">
        <v>141</v>
      </c>
      <c r="J772" s="82">
        <v>516</v>
      </c>
      <c r="K772" s="82">
        <v>657</v>
      </c>
      <c r="L772" s="82">
        <v>35</v>
      </c>
      <c r="M772" s="82">
        <v>40</v>
      </c>
      <c r="N772" s="82">
        <v>34</v>
      </c>
      <c r="O772" s="82">
        <v>31</v>
      </c>
      <c r="P772" s="82">
        <v>722</v>
      </c>
      <c r="Q772" s="82">
        <v>5257</v>
      </c>
      <c r="R772" s="12" t="s">
        <v>25</v>
      </c>
      <c r="S772" s="12" t="s">
        <v>25</v>
      </c>
      <c r="T772" s="12" t="s">
        <v>25</v>
      </c>
    </row>
    <row r="773" spans="1:20" hidden="1" x14ac:dyDescent="0.3">
      <c r="A773" s="13">
        <v>43921.708333333336</v>
      </c>
      <c r="B773" s="12" t="s">
        <v>22</v>
      </c>
      <c r="C773" s="82">
        <v>19</v>
      </c>
      <c r="D773" s="12" t="s">
        <v>56</v>
      </c>
      <c r="E773" s="82">
        <v>3811569725</v>
      </c>
      <c r="F773" s="82">
        <v>133623567</v>
      </c>
      <c r="G773" s="82">
        <v>503</v>
      </c>
      <c r="H773" s="82">
        <v>72</v>
      </c>
      <c r="I773" s="82">
        <v>575</v>
      </c>
      <c r="J773" s="82">
        <v>917</v>
      </c>
      <c r="K773" s="82">
        <v>1492</v>
      </c>
      <c r="L773" s="82">
        <v>84</v>
      </c>
      <c r="M773" s="82">
        <v>92</v>
      </c>
      <c r="N773" s="82">
        <v>74</v>
      </c>
      <c r="O773" s="82">
        <v>81</v>
      </c>
      <c r="P773" s="82">
        <v>1647</v>
      </c>
      <c r="Q773" s="82">
        <v>15634</v>
      </c>
      <c r="R773" s="12" t="s">
        <v>25</v>
      </c>
      <c r="S773" s="12" t="s">
        <v>25</v>
      </c>
      <c r="T773" s="12" t="s">
        <v>25</v>
      </c>
    </row>
    <row r="774" spans="1:20" hidden="1" x14ac:dyDescent="0.3">
      <c r="A774" s="13">
        <v>43921.708333333336</v>
      </c>
      <c r="B774" s="12" t="s">
        <v>22</v>
      </c>
      <c r="C774" s="82">
        <v>9</v>
      </c>
      <c r="D774" s="12" t="s">
        <v>57</v>
      </c>
      <c r="E774" s="82">
        <v>4376923077</v>
      </c>
      <c r="F774" s="82">
        <v>1125588885</v>
      </c>
      <c r="G774" s="82">
        <v>1120</v>
      </c>
      <c r="H774" s="82">
        <v>293</v>
      </c>
      <c r="I774" s="82">
        <v>1413</v>
      </c>
      <c r="J774" s="82">
        <v>2813</v>
      </c>
      <c r="K774" s="82">
        <v>4226</v>
      </c>
      <c r="L774" s="82">
        <v>176</v>
      </c>
      <c r="M774" s="82">
        <v>196</v>
      </c>
      <c r="N774" s="82">
        <v>138</v>
      </c>
      <c r="O774" s="82">
        <v>244</v>
      </c>
      <c r="P774" s="82">
        <v>4608</v>
      </c>
      <c r="Q774" s="82">
        <v>33165</v>
      </c>
      <c r="R774" s="12" t="s">
        <v>25</v>
      </c>
      <c r="S774" s="12" t="s">
        <v>25</v>
      </c>
      <c r="T774" s="12" t="s">
        <v>25</v>
      </c>
    </row>
    <row r="775" spans="1:20" hidden="1" x14ac:dyDescent="0.3">
      <c r="A775" s="13">
        <v>43921.708333333336</v>
      </c>
      <c r="B775" s="12" t="s">
        <v>22</v>
      </c>
      <c r="C775" s="82">
        <v>22</v>
      </c>
      <c r="D775" s="12" t="s">
        <v>58</v>
      </c>
      <c r="E775" s="82">
        <v>4606893511</v>
      </c>
      <c r="F775" s="82">
        <v>1112123097</v>
      </c>
      <c r="G775" s="82">
        <v>354</v>
      </c>
      <c r="H775" s="82">
        <v>80</v>
      </c>
      <c r="I775" s="82">
        <v>434</v>
      </c>
      <c r="J775" s="82">
        <v>955</v>
      </c>
      <c r="K775" s="82">
        <v>1389</v>
      </c>
      <c r="L775" s="82">
        <v>32</v>
      </c>
      <c r="M775" s="82">
        <v>64</v>
      </c>
      <c r="N775" s="82">
        <v>193</v>
      </c>
      <c r="O775" s="82">
        <v>164</v>
      </c>
      <c r="P775" s="82">
        <v>1746</v>
      </c>
      <c r="Q775" s="82">
        <v>6973</v>
      </c>
      <c r="R775" s="12" t="s">
        <v>25</v>
      </c>
      <c r="S775" s="12" t="s">
        <v>25</v>
      </c>
      <c r="T775" s="12" t="s">
        <v>25</v>
      </c>
    </row>
    <row r="776" spans="1:20" hidden="1" x14ac:dyDescent="0.3">
      <c r="A776" s="13">
        <v>43921.708333333336</v>
      </c>
      <c r="B776" s="12" t="s">
        <v>22</v>
      </c>
      <c r="C776" s="82">
        <v>10</v>
      </c>
      <c r="D776" s="12" t="s">
        <v>59</v>
      </c>
      <c r="E776" s="82">
        <v>4310675841</v>
      </c>
      <c r="F776" s="82">
        <v>1238824698</v>
      </c>
      <c r="G776" s="82">
        <v>176</v>
      </c>
      <c r="H776" s="82">
        <v>43</v>
      </c>
      <c r="I776" s="82">
        <v>219</v>
      </c>
      <c r="J776" s="82">
        <v>632</v>
      </c>
      <c r="K776" s="82">
        <v>851</v>
      </c>
      <c r="L776" s="82">
        <v>17</v>
      </c>
      <c r="M776" s="82">
        <v>27</v>
      </c>
      <c r="N776" s="82">
        <v>190</v>
      </c>
      <c r="O776" s="82">
        <v>37</v>
      </c>
      <c r="P776" s="82">
        <v>1078</v>
      </c>
      <c r="Q776" s="82">
        <v>8685</v>
      </c>
      <c r="R776" s="12" t="s">
        <v>25</v>
      </c>
      <c r="S776" s="12" t="s">
        <v>25</v>
      </c>
      <c r="T776" s="12" t="s">
        <v>25</v>
      </c>
    </row>
    <row r="777" spans="1:20" hidden="1" x14ac:dyDescent="0.3">
      <c r="A777" s="13">
        <v>43921.708333333336</v>
      </c>
      <c r="B777" s="12" t="s">
        <v>22</v>
      </c>
      <c r="C777" s="82">
        <v>2</v>
      </c>
      <c r="D777" s="12" t="s">
        <v>60</v>
      </c>
      <c r="E777" s="82">
        <v>4573750286</v>
      </c>
      <c r="F777" s="82">
        <v>7320149366</v>
      </c>
      <c r="G777" s="82">
        <v>91</v>
      </c>
      <c r="H777" s="82">
        <v>26</v>
      </c>
      <c r="I777" s="82">
        <v>117</v>
      </c>
      <c r="J777" s="82">
        <v>435</v>
      </c>
      <c r="K777" s="82">
        <v>552</v>
      </c>
      <c r="L777" s="82">
        <v>34</v>
      </c>
      <c r="M777" s="82">
        <v>44</v>
      </c>
      <c r="N777" s="82">
        <v>20</v>
      </c>
      <c r="O777" s="82">
        <v>56</v>
      </c>
      <c r="P777" s="82">
        <v>628</v>
      </c>
      <c r="Q777" s="82">
        <v>1582</v>
      </c>
      <c r="R777" s="12" t="s">
        <v>25</v>
      </c>
      <c r="S777" s="12" t="s">
        <v>25</v>
      </c>
      <c r="T777" s="12" t="s">
        <v>25</v>
      </c>
    </row>
    <row r="778" spans="1:20" hidden="1" x14ac:dyDescent="0.3">
      <c r="A778" s="13">
        <v>43921.708333333336</v>
      </c>
      <c r="B778" s="12" t="s">
        <v>22</v>
      </c>
      <c r="C778" s="82">
        <v>5</v>
      </c>
      <c r="D778" s="12" t="s">
        <v>61</v>
      </c>
      <c r="E778" s="82">
        <v>4543490485</v>
      </c>
      <c r="F778" s="82">
        <v>1233845213</v>
      </c>
      <c r="G778" s="82">
        <v>1680</v>
      </c>
      <c r="H778" s="82">
        <v>356</v>
      </c>
      <c r="I778" s="82">
        <v>2036</v>
      </c>
      <c r="J778" s="82">
        <v>5814</v>
      </c>
      <c r="K778" s="82">
        <v>7850</v>
      </c>
      <c r="L778" s="82">
        <v>286</v>
      </c>
      <c r="M778" s="82">
        <v>431</v>
      </c>
      <c r="N778" s="82">
        <v>828</v>
      </c>
      <c r="O778" s="82">
        <v>477</v>
      </c>
      <c r="P778" s="82">
        <v>9155</v>
      </c>
      <c r="Q778" s="82">
        <v>106238</v>
      </c>
      <c r="R778" s="12" t="s">
        <v>25</v>
      </c>
      <c r="S778" s="12" t="s">
        <v>25</v>
      </c>
      <c r="T778" s="12" t="s">
        <v>25</v>
      </c>
    </row>
    <row r="779" spans="1:20" hidden="1" x14ac:dyDescent="0.3">
      <c r="A779" s="13">
        <v>43922.708333333336</v>
      </c>
      <c r="B779" s="12" t="s">
        <v>22</v>
      </c>
      <c r="C779" s="82">
        <v>13</v>
      </c>
      <c r="D779" s="12" t="s">
        <v>42</v>
      </c>
      <c r="E779" s="82">
        <v>4235122196</v>
      </c>
      <c r="F779" s="82">
        <v>1339843823</v>
      </c>
      <c r="G779" s="82">
        <v>342</v>
      </c>
      <c r="H779" s="82">
        <v>71</v>
      </c>
      <c r="I779" s="82">
        <v>413</v>
      </c>
      <c r="J779" s="82">
        <v>798</v>
      </c>
      <c r="K779" s="82">
        <v>1211</v>
      </c>
      <c r="L779" s="82">
        <v>20</v>
      </c>
      <c r="M779" s="82">
        <v>35</v>
      </c>
      <c r="N779" s="82">
        <v>102</v>
      </c>
      <c r="O779" s="82">
        <v>123</v>
      </c>
      <c r="P779" s="82">
        <v>1436</v>
      </c>
      <c r="Q779" s="82">
        <v>9610</v>
      </c>
      <c r="R779" s="12" t="s">
        <v>25</v>
      </c>
      <c r="S779" s="12" t="s">
        <v>25</v>
      </c>
      <c r="T779" s="12" t="s">
        <v>25</v>
      </c>
    </row>
    <row r="780" spans="1:20" hidden="1" x14ac:dyDescent="0.3">
      <c r="A780" s="13">
        <v>43922.708333333336</v>
      </c>
      <c r="B780" s="12" t="s">
        <v>22</v>
      </c>
      <c r="C780" s="82">
        <v>17</v>
      </c>
      <c r="D780" s="12" t="s">
        <v>43</v>
      </c>
      <c r="E780" s="82">
        <v>4063947052</v>
      </c>
      <c r="F780" s="82">
        <v>1580514834</v>
      </c>
      <c r="G780" s="82">
        <v>39</v>
      </c>
      <c r="H780" s="82">
        <v>15</v>
      </c>
      <c r="I780" s="82">
        <v>54</v>
      </c>
      <c r="J780" s="82">
        <v>171</v>
      </c>
      <c r="K780" s="82">
        <v>225</v>
      </c>
      <c r="L780" s="82">
        <v>9</v>
      </c>
      <c r="M780" s="82">
        <v>11</v>
      </c>
      <c r="N780" s="82">
        <v>3</v>
      </c>
      <c r="O780" s="82">
        <v>9</v>
      </c>
      <c r="P780" s="82">
        <v>237</v>
      </c>
      <c r="Q780" s="82">
        <v>2262</v>
      </c>
      <c r="R780" s="12" t="s">
        <v>25</v>
      </c>
      <c r="S780" s="12" t="s">
        <v>25</v>
      </c>
      <c r="T780" s="12" t="s">
        <v>25</v>
      </c>
    </row>
    <row r="781" spans="1:20" hidden="1" x14ac:dyDescent="0.3">
      <c r="A781" s="13">
        <v>43922.708333333336</v>
      </c>
      <c r="B781" s="12" t="s">
        <v>22</v>
      </c>
      <c r="C781" s="82">
        <v>21</v>
      </c>
      <c r="D781" s="12" t="s">
        <v>44</v>
      </c>
      <c r="E781" s="82">
        <v>4649933453</v>
      </c>
      <c r="F781" s="82">
        <v>1135662422</v>
      </c>
      <c r="G781" s="82">
        <v>269</v>
      </c>
      <c r="H781" s="82">
        <v>57</v>
      </c>
      <c r="I781" s="82">
        <v>326</v>
      </c>
      <c r="J781" s="82">
        <v>786</v>
      </c>
      <c r="K781" s="82">
        <v>1112</v>
      </c>
      <c r="L781" s="82">
        <v>-30</v>
      </c>
      <c r="M781" s="82">
        <v>47</v>
      </c>
      <c r="N781" s="82">
        <v>190</v>
      </c>
      <c r="O781" s="82">
        <v>116</v>
      </c>
      <c r="P781" s="82">
        <v>1418</v>
      </c>
      <c r="Q781" s="82">
        <v>11951</v>
      </c>
      <c r="R781" s="12" t="s">
        <v>25</v>
      </c>
      <c r="S781" s="12" t="s">
        <v>25</v>
      </c>
      <c r="T781" s="12" t="s">
        <v>25</v>
      </c>
    </row>
    <row r="782" spans="1:20" hidden="1" x14ac:dyDescent="0.3">
      <c r="A782" s="13">
        <v>43922.708333333336</v>
      </c>
      <c r="B782" s="12" t="s">
        <v>22</v>
      </c>
      <c r="C782" s="82">
        <v>18</v>
      </c>
      <c r="D782" s="12" t="s">
        <v>45</v>
      </c>
      <c r="E782" s="82">
        <v>3890597598</v>
      </c>
      <c r="F782" s="82">
        <v>1659440194</v>
      </c>
      <c r="G782" s="82">
        <v>144</v>
      </c>
      <c r="H782" s="82">
        <v>16</v>
      </c>
      <c r="I782" s="82">
        <v>160</v>
      </c>
      <c r="J782" s="82">
        <v>450</v>
      </c>
      <c r="K782" s="82">
        <v>610</v>
      </c>
      <c r="L782" s="82">
        <v>4</v>
      </c>
      <c r="M782" s="82">
        <v>10</v>
      </c>
      <c r="N782" s="82">
        <v>21</v>
      </c>
      <c r="O782" s="82">
        <v>38</v>
      </c>
      <c r="P782" s="82">
        <v>669</v>
      </c>
      <c r="Q782" s="82">
        <v>9983</v>
      </c>
      <c r="R782" s="12" t="s">
        <v>25</v>
      </c>
      <c r="S782" s="12" t="s">
        <v>25</v>
      </c>
      <c r="T782" s="12" t="s">
        <v>25</v>
      </c>
    </row>
    <row r="783" spans="1:20" hidden="1" x14ac:dyDescent="0.3">
      <c r="A783" s="13">
        <v>43922.708333333336</v>
      </c>
      <c r="B783" s="12" t="s">
        <v>22</v>
      </c>
      <c r="C783" s="82">
        <v>15</v>
      </c>
      <c r="D783" s="12" t="s">
        <v>46</v>
      </c>
      <c r="E783" s="82">
        <v>4083956555</v>
      </c>
      <c r="F783" s="82">
        <v>1425084984</v>
      </c>
      <c r="G783" s="82">
        <v>478</v>
      </c>
      <c r="H783" s="82">
        <v>129</v>
      </c>
      <c r="I783" s="82">
        <v>607</v>
      </c>
      <c r="J783" s="82">
        <v>1369</v>
      </c>
      <c r="K783" s="82">
        <v>1976</v>
      </c>
      <c r="L783" s="82">
        <v>105</v>
      </c>
      <c r="M783" s="82">
        <v>139</v>
      </c>
      <c r="N783" s="82">
        <v>107</v>
      </c>
      <c r="O783" s="82">
        <v>148</v>
      </c>
      <c r="P783" s="82">
        <v>2231</v>
      </c>
      <c r="Q783" s="82">
        <v>15728</v>
      </c>
      <c r="R783" s="12" t="s">
        <v>25</v>
      </c>
      <c r="S783" s="12" t="s">
        <v>25</v>
      </c>
      <c r="T783" s="12" t="s">
        <v>25</v>
      </c>
    </row>
    <row r="784" spans="1:20" hidden="1" x14ac:dyDescent="0.3">
      <c r="A784" s="13">
        <v>43922.708333333336</v>
      </c>
      <c r="B784" s="12" t="s">
        <v>22</v>
      </c>
      <c r="C784" s="82">
        <v>8</v>
      </c>
      <c r="D784" s="12" t="s">
        <v>95</v>
      </c>
      <c r="E784" s="82">
        <v>4449436681</v>
      </c>
      <c r="F784" s="82">
        <v>113417208</v>
      </c>
      <c r="G784" s="82">
        <v>3898</v>
      </c>
      <c r="H784" s="82">
        <v>359</v>
      </c>
      <c r="I784" s="82">
        <v>4257</v>
      </c>
      <c r="J784" s="82">
        <v>7232</v>
      </c>
      <c r="K784" s="82">
        <v>11489</v>
      </c>
      <c r="L784" s="82">
        <v>536</v>
      </c>
      <c r="M784" s="82">
        <v>713</v>
      </c>
      <c r="N784" s="82">
        <v>1566</v>
      </c>
      <c r="O784" s="82">
        <v>1732</v>
      </c>
      <c r="P784" s="82">
        <v>14787</v>
      </c>
      <c r="Q784" s="82">
        <v>58457</v>
      </c>
      <c r="R784" s="12" t="s">
        <v>25</v>
      </c>
      <c r="S784" s="12" t="s">
        <v>25</v>
      </c>
      <c r="T784" s="12" t="s">
        <v>25</v>
      </c>
    </row>
    <row r="785" spans="1:20" hidden="1" x14ac:dyDescent="0.3">
      <c r="A785" s="13">
        <v>43922.708333333336</v>
      </c>
      <c r="B785" s="12" t="s">
        <v>22</v>
      </c>
      <c r="C785" s="82">
        <v>6</v>
      </c>
      <c r="D785" s="12" t="s">
        <v>47</v>
      </c>
      <c r="E785" s="82">
        <v>456494354</v>
      </c>
      <c r="F785" s="82">
        <v>1376813649</v>
      </c>
      <c r="G785" s="82">
        <v>206</v>
      </c>
      <c r="H785" s="82">
        <v>60</v>
      </c>
      <c r="I785" s="82">
        <v>266</v>
      </c>
      <c r="J785" s="82">
        <v>940</v>
      </c>
      <c r="K785" s="82">
        <v>1206</v>
      </c>
      <c r="L785" s="82">
        <v>46</v>
      </c>
      <c r="M785" s="82">
        <v>92</v>
      </c>
      <c r="N785" s="82">
        <v>357</v>
      </c>
      <c r="O785" s="82">
        <v>122</v>
      </c>
      <c r="P785" s="82">
        <v>1685</v>
      </c>
      <c r="Q785" s="82">
        <v>15987</v>
      </c>
      <c r="R785" s="12" t="s">
        <v>25</v>
      </c>
      <c r="S785" s="12" t="s">
        <v>25</v>
      </c>
      <c r="T785" s="12" t="s">
        <v>25</v>
      </c>
    </row>
    <row r="786" spans="1:20" hidden="1" x14ac:dyDescent="0.3">
      <c r="A786" s="13">
        <v>43922.708333333336</v>
      </c>
      <c r="B786" s="12" t="s">
        <v>22</v>
      </c>
      <c r="C786" s="82">
        <v>12</v>
      </c>
      <c r="D786" s="12" t="s">
        <v>48</v>
      </c>
      <c r="E786" s="82">
        <v>4189277044</v>
      </c>
      <c r="F786" s="82">
        <v>1248366722</v>
      </c>
      <c r="G786" s="82">
        <v>1131</v>
      </c>
      <c r="H786" s="82">
        <v>177</v>
      </c>
      <c r="I786" s="82">
        <v>1308</v>
      </c>
      <c r="J786" s="82">
        <v>1450</v>
      </c>
      <c r="K786" s="82">
        <v>2758</v>
      </c>
      <c r="L786" s="82">
        <v>116</v>
      </c>
      <c r="M786" s="82">
        <v>169</v>
      </c>
      <c r="N786" s="82">
        <v>337</v>
      </c>
      <c r="O786" s="82">
        <v>169</v>
      </c>
      <c r="P786" s="82">
        <v>3264</v>
      </c>
      <c r="Q786" s="82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82">
        <v>7</v>
      </c>
      <c r="D787" s="12" t="s">
        <v>49</v>
      </c>
      <c r="E787" s="82">
        <v>4441149315</v>
      </c>
      <c r="F787" s="82">
        <v>89326992</v>
      </c>
      <c r="G787" s="82">
        <v>1114</v>
      </c>
      <c r="H787" s="82">
        <v>179</v>
      </c>
      <c r="I787" s="82">
        <v>1293</v>
      </c>
      <c r="J787" s="82">
        <v>1352</v>
      </c>
      <c r="K787" s="82">
        <v>2645</v>
      </c>
      <c r="L787" s="82">
        <v>137</v>
      </c>
      <c r="M787" s="82">
        <v>244</v>
      </c>
      <c r="N787" s="82">
        <v>555</v>
      </c>
      <c r="O787" s="82">
        <v>460</v>
      </c>
      <c r="P787" s="82">
        <v>3660</v>
      </c>
      <c r="Q787" s="82">
        <v>11334</v>
      </c>
      <c r="R787" s="12" t="s">
        <v>25</v>
      </c>
      <c r="S787" s="12" t="s">
        <v>25</v>
      </c>
      <c r="T787" s="12" t="s">
        <v>25</v>
      </c>
    </row>
    <row r="788" spans="1:20" hidden="1" x14ac:dyDescent="0.3">
      <c r="A788" s="13">
        <v>43922.708333333336</v>
      </c>
      <c r="B788" s="12" t="s">
        <v>22</v>
      </c>
      <c r="C788" s="82">
        <v>3</v>
      </c>
      <c r="D788" s="12" t="s">
        <v>50</v>
      </c>
      <c r="E788" s="82">
        <v>4546679409</v>
      </c>
      <c r="F788" s="82">
        <v>9190347404</v>
      </c>
      <c r="G788" s="82">
        <v>11927</v>
      </c>
      <c r="H788" s="82">
        <v>1342</v>
      </c>
      <c r="I788" s="82">
        <v>13269</v>
      </c>
      <c r="J788" s="82">
        <v>12496</v>
      </c>
      <c r="K788" s="82">
        <v>25765</v>
      </c>
      <c r="L788" s="82">
        <v>641</v>
      </c>
      <c r="M788" s="82">
        <v>1565</v>
      </c>
      <c r="N788" s="82">
        <v>11415</v>
      </c>
      <c r="O788" s="82">
        <v>7593</v>
      </c>
      <c r="P788" s="82">
        <v>44773</v>
      </c>
      <c r="Q788" s="82">
        <v>121449</v>
      </c>
      <c r="R788" s="12" t="s">
        <v>25</v>
      </c>
      <c r="S788" s="12" t="s">
        <v>25</v>
      </c>
      <c r="T788" s="12" t="s">
        <v>25</v>
      </c>
    </row>
    <row r="789" spans="1:20" hidden="1" x14ac:dyDescent="0.3">
      <c r="A789" s="13">
        <v>43922.708333333336</v>
      </c>
      <c r="B789" s="12" t="s">
        <v>22</v>
      </c>
      <c r="C789" s="82">
        <v>11</v>
      </c>
      <c r="D789" s="12" t="s">
        <v>51</v>
      </c>
      <c r="E789" s="82">
        <v>4361675973</v>
      </c>
      <c r="F789" s="82">
        <v>135188753</v>
      </c>
      <c r="G789" s="82">
        <v>984</v>
      </c>
      <c r="H789" s="82">
        <v>168</v>
      </c>
      <c r="I789" s="82">
        <v>1152</v>
      </c>
      <c r="J789" s="82">
        <v>2304</v>
      </c>
      <c r="K789" s="82">
        <v>3456</v>
      </c>
      <c r="L789" s="82">
        <v>104</v>
      </c>
      <c r="M789" s="82">
        <v>137</v>
      </c>
      <c r="N789" s="82">
        <v>29</v>
      </c>
      <c r="O789" s="82">
        <v>477</v>
      </c>
      <c r="P789" s="82">
        <v>3962</v>
      </c>
      <c r="Q789" s="82">
        <v>12296</v>
      </c>
      <c r="R789" s="12" t="s">
        <v>25</v>
      </c>
      <c r="S789" s="12" t="s">
        <v>25</v>
      </c>
      <c r="T789" s="12" t="s">
        <v>25</v>
      </c>
    </row>
    <row r="790" spans="1:20" hidden="1" x14ac:dyDescent="0.3">
      <c r="A790" s="13">
        <v>43922.708333333336</v>
      </c>
      <c r="B790" s="12" t="s">
        <v>22</v>
      </c>
      <c r="C790" s="82">
        <v>14</v>
      </c>
      <c r="D790" s="12" t="s">
        <v>52</v>
      </c>
      <c r="E790" s="82">
        <v>4155774754</v>
      </c>
      <c r="F790" s="82">
        <v>1465916051</v>
      </c>
      <c r="G790" s="82">
        <v>32</v>
      </c>
      <c r="H790" s="82">
        <v>8</v>
      </c>
      <c r="I790" s="82">
        <v>40</v>
      </c>
      <c r="J790" s="82">
        <v>91</v>
      </c>
      <c r="K790" s="82">
        <v>131</v>
      </c>
      <c r="L790" s="82">
        <v>14</v>
      </c>
      <c r="M790" s="82">
        <v>16</v>
      </c>
      <c r="N790" s="82">
        <v>19</v>
      </c>
      <c r="O790" s="82">
        <v>10</v>
      </c>
      <c r="P790" s="82">
        <v>160</v>
      </c>
      <c r="Q790" s="82">
        <v>1157</v>
      </c>
      <c r="R790" s="12" t="s">
        <v>25</v>
      </c>
      <c r="S790" s="12" t="s">
        <v>25</v>
      </c>
      <c r="T790" s="12" t="s">
        <v>25</v>
      </c>
    </row>
    <row r="791" spans="1:20" hidden="1" x14ac:dyDescent="0.3">
      <c r="A791" s="13">
        <v>43922.708333333336</v>
      </c>
      <c r="B791" s="12" t="s">
        <v>22</v>
      </c>
      <c r="C791" s="82">
        <v>1</v>
      </c>
      <c r="D791" s="12" t="s">
        <v>53</v>
      </c>
      <c r="E791" s="82">
        <v>450732745</v>
      </c>
      <c r="F791" s="82">
        <v>7680687483</v>
      </c>
      <c r="G791" s="82">
        <v>3146</v>
      </c>
      <c r="H791" s="82">
        <v>453</v>
      </c>
      <c r="I791" s="82">
        <v>3599</v>
      </c>
      <c r="J791" s="82">
        <v>4871</v>
      </c>
      <c r="K791" s="82">
        <v>8470</v>
      </c>
      <c r="L791" s="82">
        <v>388</v>
      </c>
      <c r="M791" s="82">
        <v>494</v>
      </c>
      <c r="N791" s="82">
        <v>439</v>
      </c>
      <c r="O791" s="82">
        <v>886</v>
      </c>
      <c r="P791" s="82">
        <v>9795</v>
      </c>
      <c r="Q791" s="82">
        <v>30060</v>
      </c>
      <c r="R791" s="12" t="s">
        <v>25</v>
      </c>
      <c r="S791" s="12" t="s">
        <v>25</v>
      </c>
      <c r="T791" s="12" t="s">
        <v>25</v>
      </c>
    </row>
    <row r="792" spans="1:20" hidden="1" x14ac:dyDescent="0.3">
      <c r="A792" s="13">
        <v>43922.708333333336</v>
      </c>
      <c r="B792" s="12" t="s">
        <v>22</v>
      </c>
      <c r="C792" s="82">
        <v>16</v>
      </c>
      <c r="D792" s="12" t="s">
        <v>54</v>
      </c>
      <c r="E792" s="82">
        <v>4112559576</v>
      </c>
      <c r="F792" s="82">
        <v>1686736689</v>
      </c>
      <c r="G792" s="82">
        <v>637</v>
      </c>
      <c r="H792" s="82">
        <v>107</v>
      </c>
      <c r="I792" s="82">
        <v>744</v>
      </c>
      <c r="J792" s="82">
        <v>1012</v>
      </c>
      <c r="K792" s="82">
        <v>1756</v>
      </c>
      <c r="L792" s="82">
        <v>102</v>
      </c>
      <c r="M792" s="82">
        <v>143</v>
      </c>
      <c r="N792" s="82">
        <v>61</v>
      </c>
      <c r="O792" s="82">
        <v>129</v>
      </c>
      <c r="P792" s="82">
        <v>1946</v>
      </c>
      <c r="Q792" s="82">
        <v>15209</v>
      </c>
      <c r="R792" s="12" t="s">
        <v>25</v>
      </c>
      <c r="S792" s="12" t="s">
        <v>25</v>
      </c>
      <c r="T792" s="12" t="s">
        <v>25</v>
      </c>
    </row>
    <row r="793" spans="1:20" hidden="1" x14ac:dyDescent="0.3">
      <c r="A793" s="13">
        <v>43922.708333333336</v>
      </c>
      <c r="B793" s="12" t="s">
        <v>22</v>
      </c>
      <c r="C793" s="82">
        <v>20</v>
      </c>
      <c r="D793" s="12" t="s">
        <v>55</v>
      </c>
      <c r="E793" s="82">
        <v>3921531192</v>
      </c>
      <c r="F793" s="82">
        <v>9110616306</v>
      </c>
      <c r="G793" s="82">
        <v>119</v>
      </c>
      <c r="H793" s="82">
        <v>27</v>
      </c>
      <c r="I793" s="82">
        <v>146</v>
      </c>
      <c r="J793" s="82">
        <v>529</v>
      </c>
      <c r="K793" s="82">
        <v>675</v>
      </c>
      <c r="L793" s="82">
        <v>18</v>
      </c>
      <c r="M793" s="82">
        <v>23</v>
      </c>
      <c r="N793" s="82">
        <v>36</v>
      </c>
      <c r="O793" s="82">
        <v>34</v>
      </c>
      <c r="P793" s="82">
        <v>745</v>
      </c>
      <c r="Q793" s="82">
        <v>5501</v>
      </c>
      <c r="R793" s="12" t="s">
        <v>25</v>
      </c>
      <c r="S793" s="12" t="s">
        <v>25</v>
      </c>
      <c r="T793" s="12" t="s">
        <v>25</v>
      </c>
    </row>
    <row r="794" spans="1:20" hidden="1" x14ac:dyDescent="0.3">
      <c r="A794" s="13">
        <v>43922.708333333336</v>
      </c>
      <c r="B794" s="12" t="s">
        <v>22</v>
      </c>
      <c r="C794" s="82">
        <v>19</v>
      </c>
      <c r="D794" s="12" t="s">
        <v>56</v>
      </c>
      <c r="E794" s="82">
        <v>3811569725</v>
      </c>
      <c r="F794" s="82">
        <v>133623567</v>
      </c>
      <c r="G794" s="82">
        <v>496</v>
      </c>
      <c r="H794" s="82">
        <v>72</v>
      </c>
      <c r="I794" s="82">
        <v>568</v>
      </c>
      <c r="J794" s="82">
        <v>976</v>
      </c>
      <c r="K794" s="82">
        <v>1544</v>
      </c>
      <c r="L794" s="82">
        <v>52</v>
      </c>
      <c r="M794" s="82">
        <v>71</v>
      </c>
      <c r="N794" s="82">
        <v>86</v>
      </c>
      <c r="O794" s="82">
        <v>88</v>
      </c>
      <c r="P794" s="82">
        <v>1718</v>
      </c>
      <c r="Q794" s="82">
        <v>16836</v>
      </c>
      <c r="R794" s="12" t="s">
        <v>25</v>
      </c>
      <c r="S794" s="12" t="s">
        <v>25</v>
      </c>
      <c r="T794" s="12" t="s">
        <v>25</v>
      </c>
    </row>
    <row r="795" spans="1:20" hidden="1" x14ac:dyDescent="0.3">
      <c r="A795" s="13">
        <v>43922.708333333336</v>
      </c>
      <c r="B795" s="12" t="s">
        <v>22</v>
      </c>
      <c r="C795" s="82">
        <v>9</v>
      </c>
      <c r="D795" s="12" t="s">
        <v>57</v>
      </c>
      <c r="E795" s="82">
        <v>4376923077</v>
      </c>
      <c r="F795" s="82">
        <v>1125588885</v>
      </c>
      <c r="G795" s="82">
        <v>1120</v>
      </c>
      <c r="H795" s="82">
        <v>297</v>
      </c>
      <c r="I795" s="82">
        <v>1417</v>
      </c>
      <c r="J795" s="82">
        <v>3015</v>
      </c>
      <c r="K795" s="82">
        <v>4432</v>
      </c>
      <c r="L795" s="82">
        <v>206</v>
      </c>
      <c r="M795" s="82">
        <v>259</v>
      </c>
      <c r="N795" s="82">
        <v>182</v>
      </c>
      <c r="O795" s="82">
        <v>253</v>
      </c>
      <c r="P795" s="82">
        <v>4867</v>
      </c>
      <c r="Q795" s="82">
        <v>36575</v>
      </c>
      <c r="R795" s="12" t="s">
        <v>25</v>
      </c>
      <c r="S795" s="12" t="s">
        <v>25</v>
      </c>
      <c r="T795" s="12" t="s">
        <v>25</v>
      </c>
    </row>
    <row r="796" spans="1:20" hidden="1" x14ac:dyDescent="0.3">
      <c r="A796" s="13">
        <v>43922.708333333336</v>
      </c>
      <c r="B796" s="12" t="s">
        <v>22</v>
      </c>
      <c r="C796" s="82">
        <v>22</v>
      </c>
      <c r="D796" s="12" t="s">
        <v>58</v>
      </c>
      <c r="E796" s="82">
        <v>4606893511</v>
      </c>
      <c r="F796" s="82">
        <v>1112123097</v>
      </c>
      <c r="G796" s="82">
        <v>345</v>
      </c>
      <c r="H796" s="82">
        <v>76</v>
      </c>
      <c r="I796" s="82">
        <v>421</v>
      </c>
      <c r="J796" s="82">
        <v>1062</v>
      </c>
      <c r="K796" s="82">
        <v>1483</v>
      </c>
      <c r="L796" s="82">
        <v>94</v>
      </c>
      <c r="M796" s="82">
        <v>124</v>
      </c>
      <c r="N796" s="82">
        <v>214</v>
      </c>
      <c r="O796" s="82">
        <v>173</v>
      </c>
      <c r="P796" s="82">
        <v>1870</v>
      </c>
      <c r="Q796" s="82">
        <v>7675</v>
      </c>
      <c r="R796" s="12" t="s">
        <v>25</v>
      </c>
      <c r="S796" s="12" t="s">
        <v>25</v>
      </c>
      <c r="T796" s="12" t="s">
        <v>25</v>
      </c>
    </row>
    <row r="797" spans="1:20" hidden="1" x14ac:dyDescent="0.3">
      <c r="A797" s="13">
        <v>43922.708333333336</v>
      </c>
      <c r="B797" s="12" t="s">
        <v>22</v>
      </c>
      <c r="C797" s="82">
        <v>10</v>
      </c>
      <c r="D797" s="12" t="s">
        <v>59</v>
      </c>
      <c r="E797" s="82">
        <v>4310675841</v>
      </c>
      <c r="F797" s="82">
        <v>1238824698</v>
      </c>
      <c r="G797" s="82">
        <v>173</v>
      </c>
      <c r="H797" s="82">
        <v>45</v>
      </c>
      <c r="I797" s="82">
        <v>218</v>
      </c>
      <c r="J797" s="82">
        <v>646</v>
      </c>
      <c r="K797" s="82">
        <v>864</v>
      </c>
      <c r="L797" s="82">
        <v>13</v>
      </c>
      <c r="M797" s="82">
        <v>17</v>
      </c>
      <c r="N797" s="82">
        <v>194</v>
      </c>
      <c r="O797" s="82">
        <v>37</v>
      </c>
      <c r="P797" s="82">
        <v>1095</v>
      </c>
      <c r="Q797" s="82">
        <v>9080</v>
      </c>
      <c r="R797" s="12" t="s">
        <v>25</v>
      </c>
      <c r="S797" s="12" t="s">
        <v>25</v>
      </c>
      <c r="T797" s="12" t="s">
        <v>25</v>
      </c>
    </row>
    <row r="798" spans="1:20" hidden="1" x14ac:dyDescent="0.3">
      <c r="A798" s="13">
        <v>43922.708333333336</v>
      </c>
      <c r="B798" s="12" t="s">
        <v>22</v>
      </c>
      <c r="C798" s="82">
        <v>2</v>
      </c>
      <c r="D798" s="12" t="s">
        <v>60</v>
      </c>
      <c r="E798" s="82">
        <v>4573750286</v>
      </c>
      <c r="F798" s="82">
        <v>7320149366</v>
      </c>
      <c r="G798" s="82">
        <v>85</v>
      </c>
      <c r="H798" s="82">
        <v>27</v>
      </c>
      <c r="I798" s="82">
        <v>112</v>
      </c>
      <c r="J798" s="82">
        <v>428</v>
      </c>
      <c r="K798" s="82">
        <v>540</v>
      </c>
      <c r="L798" s="82">
        <v>-12</v>
      </c>
      <c r="M798" s="82">
        <v>3</v>
      </c>
      <c r="N798" s="82">
        <v>32</v>
      </c>
      <c r="O798" s="82">
        <v>59</v>
      </c>
      <c r="P798" s="82">
        <v>631</v>
      </c>
      <c r="Q798" s="82">
        <v>1717</v>
      </c>
      <c r="R798" s="12" t="s">
        <v>25</v>
      </c>
      <c r="S798" s="12" t="s">
        <v>25</v>
      </c>
      <c r="T798" s="12" t="s">
        <v>25</v>
      </c>
    </row>
    <row r="799" spans="1:20" hidden="1" x14ac:dyDescent="0.3">
      <c r="A799" s="13">
        <v>43922.708333333336</v>
      </c>
      <c r="B799" s="12" t="s">
        <v>22</v>
      </c>
      <c r="C799" s="82">
        <v>5</v>
      </c>
      <c r="D799" s="12" t="s">
        <v>61</v>
      </c>
      <c r="E799" s="82">
        <v>4543490485</v>
      </c>
      <c r="F799" s="82">
        <v>1233845213</v>
      </c>
      <c r="G799" s="82">
        <v>1718</v>
      </c>
      <c r="H799" s="82">
        <v>350</v>
      </c>
      <c r="I799" s="82">
        <v>2068</v>
      </c>
      <c r="J799" s="82">
        <v>6156</v>
      </c>
      <c r="K799" s="82">
        <v>8224</v>
      </c>
      <c r="L799" s="82">
        <v>374</v>
      </c>
      <c r="M799" s="82">
        <v>470</v>
      </c>
      <c r="N799" s="82">
        <v>902</v>
      </c>
      <c r="O799" s="82">
        <v>499</v>
      </c>
      <c r="P799" s="82">
        <v>9625</v>
      </c>
      <c r="Q799" s="82">
        <v>112746</v>
      </c>
      <c r="R799" s="12" t="s">
        <v>25</v>
      </c>
      <c r="S799" s="12" t="s">
        <v>25</v>
      </c>
      <c r="T799" s="12" t="s">
        <v>25</v>
      </c>
    </row>
    <row r="800" spans="1:20" hidden="1" x14ac:dyDescent="0.3">
      <c r="A800" s="13">
        <v>43923.708333333336</v>
      </c>
      <c r="B800" s="12" t="s">
        <v>22</v>
      </c>
      <c r="C800" s="82">
        <v>13</v>
      </c>
      <c r="D800" s="12" t="s">
        <v>42</v>
      </c>
      <c r="E800" s="82">
        <v>4235122196</v>
      </c>
      <c r="F800" s="82">
        <v>1339843823</v>
      </c>
      <c r="G800" s="82">
        <v>341</v>
      </c>
      <c r="H800" s="82">
        <v>75</v>
      </c>
      <c r="I800" s="82">
        <v>416</v>
      </c>
      <c r="J800" s="82">
        <v>835</v>
      </c>
      <c r="K800" s="82">
        <v>1251</v>
      </c>
      <c r="L800" s="82">
        <v>40</v>
      </c>
      <c r="M800" s="82">
        <v>61</v>
      </c>
      <c r="N800" s="82">
        <v>113</v>
      </c>
      <c r="O800" s="82">
        <v>133</v>
      </c>
      <c r="P800" s="82">
        <v>1497</v>
      </c>
      <c r="Q800" s="82">
        <v>10647</v>
      </c>
      <c r="R800" s="12" t="s">
        <v>25</v>
      </c>
      <c r="S800" s="12" t="s">
        <v>25</v>
      </c>
      <c r="T800" s="12" t="s">
        <v>25</v>
      </c>
    </row>
    <row r="801" spans="1:20" hidden="1" x14ac:dyDescent="0.3">
      <c r="A801" s="13">
        <v>43923.708333333336</v>
      </c>
      <c r="B801" s="12" t="s">
        <v>22</v>
      </c>
      <c r="C801" s="82">
        <v>17</v>
      </c>
      <c r="D801" s="12" t="s">
        <v>43</v>
      </c>
      <c r="E801" s="82">
        <v>4063947052</v>
      </c>
      <c r="F801" s="82">
        <v>1580514834</v>
      </c>
      <c r="G801" s="82">
        <v>38</v>
      </c>
      <c r="H801" s="82">
        <v>19</v>
      </c>
      <c r="I801" s="82">
        <v>57</v>
      </c>
      <c r="J801" s="82">
        <v>176</v>
      </c>
      <c r="K801" s="82">
        <v>233</v>
      </c>
      <c r="L801" s="82">
        <v>8</v>
      </c>
      <c r="M801" s="82">
        <v>9</v>
      </c>
      <c r="N801" s="82">
        <v>3</v>
      </c>
      <c r="O801" s="82">
        <v>10</v>
      </c>
      <c r="P801" s="82">
        <v>246</v>
      </c>
      <c r="Q801" s="82">
        <v>2427</v>
      </c>
      <c r="R801" s="12" t="s">
        <v>25</v>
      </c>
      <c r="S801" s="12" t="s">
        <v>25</v>
      </c>
      <c r="T801" s="12" t="s">
        <v>25</v>
      </c>
    </row>
    <row r="802" spans="1:20" hidden="1" x14ac:dyDescent="0.3">
      <c r="A802" s="13">
        <v>43923.708333333336</v>
      </c>
      <c r="B802" s="12" t="s">
        <v>22</v>
      </c>
      <c r="C802" s="82">
        <v>21</v>
      </c>
      <c r="D802" s="12" t="s">
        <v>44</v>
      </c>
      <c r="E802" s="82">
        <v>4649933453</v>
      </c>
      <c r="F802" s="82">
        <v>1135662422</v>
      </c>
      <c r="G802" s="82">
        <v>279</v>
      </c>
      <c r="H802" s="82">
        <v>60</v>
      </c>
      <c r="I802" s="82">
        <v>339</v>
      </c>
      <c r="J802" s="82">
        <v>821</v>
      </c>
      <c r="K802" s="82">
        <v>1160</v>
      </c>
      <c r="L802" s="82">
        <v>48</v>
      </c>
      <c r="M802" s="82">
        <v>61</v>
      </c>
      <c r="N802" s="82">
        <v>190</v>
      </c>
      <c r="O802" s="82">
        <v>129</v>
      </c>
      <c r="P802" s="82">
        <v>1479</v>
      </c>
      <c r="Q802" s="82">
        <v>12677</v>
      </c>
      <c r="R802" s="12" t="s">
        <v>25</v>
      </c>
      <c r="S802" s="12" t="s">
        <v>25</v>
      </c>
      <c r="T802" s="12" t="s">
        <v>25</v>
      </c>
    </row>
    <row r="803" spans="1:20" hidden="1" x14ac:dyDescent="0.3">
      <c r="A803" s="13">
        <v>43923.708333333336</v>
      </c>
      <c r="B803" s="12" t="s">
        <v>22</v>
      </c>
      <c r="C803" s="82">
        <v>18</v>
      </c>
      <c r="D803" s="12" t="s">
        <v>45</v>
      </c>
      <c r="E803" s="82">
        <v>3890597598</v>
      </c>
      <c r="F803" s="82">
        <v>1659440194</v>
      </c>
      <c r="G803" s="82">
        <v>163</v>
      </c>
      <c r="H803" s="82">
        <v>19</v>
      </c>
      <c r="I803" s="82">
        <v>182</v>
      </c>
      <c r="J803" s="82">
        <v>445</v>
      </c>
      <c r="K803" s="82">
        <v>627</v>
      </c>
      <c r="L803" s="82">
        <v>17</v>
      </c>
      <c r="M803" s="82">
        <v>22</v>
      </c>
      <c r="N803" s="82">
        <v>23</v>
      </c>
      <c r="O803" s="82">
        <v>41</v>
      </c>
      <c r="P803" s="82">
        <v>691</v>
      </c>
      <c r="Q803" s="82">
        <v>10679</v>
      </c>
      <c r="R803" s="12" t="s">
        <v>25</v>
      </c>
      <c r="S803" s="12" t="s">
        <v>25</v>
      </c>
      <c r="T803" s="12" t="s">
        <v>25</v>
      </c>
    </row>
    <row r="804" spans="1:20" hidden="1" x14ac:dyDescent="0.3">
      <c r="A804" s="13">
        <v>43923.708333333336</v>
      </c>
      <c r="B804" s="12" t="s">
        <v>22</v>
      </c>
      <c r="C804" s="82">
        <v>15</v>
      </c>
      <c r="D804" s="12" t="s">
        <v>46</v>
      </c>
      <c r="E804" s="82">
        <v>4083956555</v>
      </c>
      <c r="F804" s="82">
        <v>1425084984</v>
      </c>
      <c r="G804" s="82">
        <v>503</v>
      </c>
      <c r="H804" s="82">
        <v>120</v>
      </c>
      <c r="I804" s="82">
        <v>623</v>
      </c>
      <c r="J804" s="82">
        <v>1517</v>
      </c>
      <c r="K804" s="82">
        <v>2140</v>
      </c>
      <c r="L804" s="82">
        <v>164</v>
      </c>
      <c r="M804" s="82">
        <v>225</v>
      </c>
      <c r="N804" s="82">
        <v>149</v>
      </c>
      <c r="O804" s="82">
        <v>167</v>
      </c>
      <c r="P804" s="82">
        <v>2456</v>
      </c>
      <c r="Q804" s="82">
        <v>17404</v>
      </c>
      <c r="R804" s="12" t="s">
        <v>25</v>
      </c>
      <c r="S804" s="12" t="s">
        <v>25</v>
      </c>
      <c r="T804" s="12" t="s">
        <v>25</v>
      </c>
    </row>
    <row r="805" spans="1:20" hidden="1" x14ac:dyDescent="0.3">
      <c r="A805" s="13">
        <v>43923.708333333336</v>
      </c>
      <c r="B805" s="12" t="s">
        <v>22</v>
      </c>
      <c r="C805" s="82">
        <v>8</v>
      </c>
      <c r="D805" s="12" t="s">
        <v>95</v>
      </c>
      <c r="E805" s="82">
        <v>4449436681</v>
      </c>
      <c r="F805" s="82">
        <v>113417208</v>
      </c>
      <c r="G805" s="82">
        <v>3944</v>
      </c>
      <c r="H805" s="82">
        <v>366</v>
      </c>
      <c r="I805" s="82">
        <v>4310</v>
      </c>
      <c r="J805" s="82">
        <v>7549</v>
      </c>
      <c r="K805" s="82">
        <v>11859</v>
      </c>
      <c r="L805" s="82">
        <v>370</v>
      </c>
      <c r="M805" s="82">
        <v>546</v>
      </c>
      <c r="N805" s="82">
        <v>1663</v>
      </c>
      <c r="O805" s="82">
        <v>1811</v>
      </c>
      <c r="P805" s="82">
        <v>15333</v>
      </c>
      <c r="Q805" s="82">
        <v>60507</v>
      </c>
      <c r="R805" s="12" t="s">
        <v>25</v>
      </c>
      <c r="S805" s="12" t="s">
        <v>25</v>
      </c>
      <c r="T805" s="12" t="s">
        <v>25</v>
      </c>
    </row>
    <row r="806" spans="1:20" hidden="1" x14ac:dyDescent="0.3">
      <c r="A806" s="13">
        <v>43923.708333333336</v>
      </c>
      <c r="B806" s="12" t="s">
        <v>22</v>
      </c>
      <c r="C806" s="82">
        <v>6</v>
      </c>
      <c r="D806" s="12" t="s">
        <v>47</v>
      </c>
      <c r="E806" s="82">
        <v>456494354</v>
      </c>
      <c r="F806" s="82">
        <v>1376813649</v>
      </c>
      <c r="G806" s="82">
        <v>199</v>
      </c>
      <c r="H806" s="82">
        <v>60</v>
      </c>
      <c r="I806" s="82">
        <v>259</v>
      </c>
      <c r="J806" s="82">
        <v>1035</v>
      </c>
      <c r="K806" s="82">
        <v>1294</v>
      </c>
      <c r="L806" s="82">
        <v>88</v>
      </c>
      <c r="M806" s="82">
        <v>114</v>
      </c>
      <c r="N806" s="82">
        <v>376</v>
      </c>
      <c r="O806" s="82">
        <v>129</v>
      </c>
      <c r="P806" s="82">
        <v>1799</v>
      </c>
      <c r="Q806" s="82">
        <v>17121</v>
      </c>
      <c r="R806" s="12" t="s">
        <v>25</v>
      </c>
      <c r="S806" s="12" t="s">
        <v>25</v>
      </c>
      <c r="T806" s="12" t="s">
        <v>25</v>
      </c>
    </row>
    <row r="807" spans="1:20" hidden="1" x14ac:dyDescent="0.3">
      <c r="A807" s="13">
        <v>43923.708333333336</v>
      </c>
      <c r="B807" s="12" t="s">
        <v>22</v>
      </c>
      <c r="C807" s="82">
        <v>12</v>
      </c>
      <c r="D807" s="12" t="s">
        <v>48</v>
      </c>
      <c r="E807" s="82">
        <v>4189277044</v>
      </c>
      <c r="F807" s="82">
        <v>1248366722</v>
      </c>
      <c r="G807" s="82">
        <v>1169</v>
      </c>
      <c r="H807" s="82">
        <v>181</v>
      </c>
      <c r="I807" s="82">
        <v>1350</v>
      </c>
      <c r="J807" s="82">
        <v>1529</v>
      </c>
      <c r="K807" s="82">
        <v>2879</v>
      </c>
      <c r="L807" s="82">
        <v>121</v>
      </c>
      <c r="M807" s="82">
        <v>169</v>
      </c>
      <c r="N807" s="82">
        <v>369</v>
      </c>
      <c r="O807" s="82">
        <v>185</v>
      </c>
      <c r="P807" s="82">
        <v>3433</v>
      </c>
      <c r="Q807" s="82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82">
        <v>7</v>
      </c>
      <c r="D808" s="12" t="s">
        <v>49</v>
      </c>
      <c r="E808" s="82">
        <v>4441149315</v>
      </c>
      <c r="F808" s="82">
        <v>89326992</v>
      </c>
      <c r="G808" s="82">
        <v>1120</v>
      </c>
      <c r="H808" s="82">
        <v>172</v>
      </c>
      <c r="I808" s="82">
        <v>1292</v>
      </c>
      <c r="J808" s="82">
        <v>1368</v>
      </c>
      <c r="K808" s="82">
        <v>2660</v>
      </c>
      <c r="L808" s="82">
        <v>15</v>
      </c>
      <c r="M808" s="82">
        <v>122</v>
      </c>
      <c r="N808" s="82">
        <v>634</v>
      </c>
      <c r="O808" s="82">
        <v>488</v>
      </c>
      <c r="P808" s="82">
        <v>3782</v>
      </c>
      <c r="Q808" s="82">
        <v>12069</v>
      </c>
      <c r="R808" s="12" t="s">
        <v>25</v>
      </c>
      <c r="S808" s="12" t="s">
        <v>25</v>
      </c>
      <c r="T808" s="12" t="s">
        <v>25</v>
      </c>
    </row>
    <row r="809" spans="1:20" hidden="1" x14ac:dyDescent="0.3">
      <c r="A809" s="13">
        <v>43923.708333333336</v>
      </c>
      <c r="B809" s="12" t="s">
        <v>22</v>
      </c>
      <c r="C809" s="82">
        <v>3</v>
      </c>
      <c r="D809" s="12" t="s">
        <v>50</v>
      </c>
      <c r="E809" s="82">
        <v>4546679409</v>
      </c>
      <c r="F809" s="82">
        <v>9190347404</v>
      </c>
      <c r="G809" s="82">
        <v>11762</v>
      </c>
      <c r="H809" s="82">
        <v>1351</v>
      </c>
      <c r="I809" s="82">
        <v>13113</v>
      </c>
      <c r="J809" s="82">
        <v>12763</v>
      </c>
      <c r="K809" s="82">
        <v>25876</v>
      </c>
      <c r="L809" s="82">
        <v>111</v>
      </c>
      <c r="M809" s="82">
        <v>1292</v>
      </c>
      <c r="N809" s="82">
        <v>12229</v>
      </c>
      <c r="O809" s="82">
        <v>7960</v>
      </c>
      <c r="P809" s="82">
        <v>46065</v>
      </c>
      <c r="Q809" s="82">
        <v>128286</v>
      </c>
      <c r="R809" s="12" t="s">
        <v>25</v>
      </c>
      <c r="S809" s="12" t="s">
        <v>25</v>
      </c>
      <c r="T809" s="12" t="s">
        <v>25</v>
      </c>
    </row>
    <row r="810" spans="1:20" hidden="1" x14ac:dyDescent="0.3">
      <c r="A810" s="13">
        <v>43923.708333333336</v>
      </c>
      <c r="B810" s="12" t="s">
        <v>22</v>
      </c>
      <c r="C810" s="82">
        <v>11</v>
      </c>
      <c r="D810" s="12" t="s">
        <v>51</v>
      </c>
      <c r="E810" s="82">
        <v>4361675973</v>
      </c>
      <c r="F810" s="82">
        <v>135188753</v>
      </c>
      <c r="G810" s="82">
        <v>986</v>
      </c>
      <c r="H810" s="82">
        <v>164</v>
      </c>
      <c r="I810" s="82">
        <v>1150</v>
      </c>
      <c r="J810" s="82">
        <v>2405</v>
      </c>
      <c r="K810" s="82">
        <v>3555</v>
      </c>
      <c r="L810" s="82">
        <v>99</v>
      </c>
      <c r="M810" s="82">
        <v>136</v>
      </c>
      <c r="N810" s="82">
        <v>40</v>
      </c>
      <c r="O810" s="82">
        <v>503</v>
      </c>
      <c r="P810" s="82">
        <v>4098</v>
      </c>
      <c r="Q810" s="82">
        <v>12943</v>
      </c>
      <c r="R810" s="12" t="s">
        <v>25</v>
      </c>
      <c r="S810" s="12" t="s">
        <v>25</v>
      </c>
      <c r="T810" s="12" t="s">
        <v>25</v>
      </c>
    </row>
    <row r="811" spans="1:20" hidden="1" x14ac:dyDescent="0.3">
      <c r="A811" s="13">
        <v>43923.708333333336</v>
      </c>
      <c r="B811" s="12" t="s">
        <v>22</v>
      </c>
      <c r="C811" s="82">
        <v>14</v>
      </c>
      <c r="D811" s="12" t="s">
        <v>52</v>
      </c>
      <c r="E811" s="82">
        <v>4155774754</v>
      </c>
      <c r="F811" s="82">
        <v>1465916051</v>
      </c>
      <c r="G811" s="82">
        <v>30</v>
      </c>
      <c r="H811" s="82">
        <v>8</v>
      </c>
      <c r="I811" s="82">
        <v>38</v>
      </c>
      <c r="J811" s="82">
        <v>95</v>
      </c>
      <c r="K811" s="82">
        <v>133</v>
      </c>
      <c r="L811" s="82">
        <v>2</v>
      </c>
      <c r="M811" s="82">
        <v>5</v>
      </c>
      <c r="N811" s="82">
        <v>21</v>
      </c>
      <c r="O811" s="82">
        <v>11</v>
      </c>
      <c r="P811" s="82">
        <v>165</v>
      </c>
      <c r="Q811" s="82">
        <v>1229</v>
      </c>
      <c r="R811" s="12" t="s">
        <v>25</v>
      </c>
      <c r="S811" s="12" t="s">
        <v>25</v>
      </c>
      <c r="T811" s="12" t="s">
        <v>25</v>
      </c>
    </row>
    <row r="812" spans="1:20" hidden="1" x14ac:dyDescent="0.3">
      <c r="A812" s="13">
        <v>43923.708333333336</v>
      </c>
      <c r="B812" s="12" t="s">
        <v>22</v>
      </c>
      <c r="C812" s="82">
        <v>1</v>
      </c>
      <c r="D812" s="12" t="s">
        <v>53</v>
      </c>
      <c r="E812" s="82">
        <v>450732745</v>
      </c>
      <c r="F812" s="82">
        <v>7680687483</v>
      </c>
      <c r="G812" s="82">
        <v>3341</v>
      </c>
      <c r="H812" s="82">
        <v>453</v>
      </c>
      <c r="I812" s="82">
        <v>3794</v>
      </c>
      <c r="J812" s="82">
        <v>5005</v>
      </c>
      <c r="K812" s="82">
        <v>8799</v>
      </c>
      <c r="L812" s="82">
        <v>329</v>
      </c>
      <c r="M812" s="82">
        <v>558</v>
      </c>
      <c r="N812" s="82">
        <v>571</v>
      </c>
      <c r="O812" s="82">
        <v>983</v>
      </c>
      <c r="P812" s="82">
        <v>10353</v>
      </c>
      <c r="Q812" s="82">
        <v>32100</v>
      </c>
      <c r="R812" s="12" t="s">
        <v>25</v>
      </c>
      <c r="S812" s="12" t="s">
        <v>25</v>
      </c>
      <c r="T812" s="12" t="s">
        <v>25</v>
      </c>
    </row>
    <row r="813" spans="1:20" hidden="1" x14ac:dyDescent="0.3">
      <c r="A813" s="13">
        <v>43923.708333333336</v>
      </c>
      <c r="B813" s="12" t="s">
        <v>22</v>
      </c>
      <c r="C813" s="82">
        <v>16</v>
      </c>
      <c r="D813" s="12" t="s">
        <v>54</v>
      </c>
      <c r="E813" s="82">
        <v>4112559576</v>
      </c>
      <c r="F813" s="82">
        <v>1686736689</v>
      </c>
      <c r="G813" s="82">
        <v>645</v>
      </c>
      <c r="H813" s="82">
        <v>118</v>
      </c>
      <c r="I813" s="82">
        <v>763</v>
      </c>
      <c r="J813" s="82">
        <v>1101</v>
      </c>
      <c r="K813" s="82">
        <v>1864</v>
      </c>
      <c r="L813" s="82">
        <v>108</v>
      </c>
      <c r="M813" s="82">
        <v>131</v>
      </c>
      <c r="N813" s="82">
        <v>69</v>
      </c>
      <c r="O813" s="82">
        <v>144</v>
      </c>
      <c r="P813" s="82">
        <v>2077</v>
      </c>
      <c r="Q813" s="82">
        <v>16554</v>
      </c>
      <c r="R813" s="12" t="s">
        <v>25</v>
      </c>
      <c r="S813" s="12" t="s">
        <v>25</v>
      </c>
      <c r="T813" s="12" t="s">
        <v>25</v>
      </c>
    </row>
    <row r="814" spans="1:20" hidden="1" x14ac:dyDescent="0.3">
      <c r="A814" s="13">
        <v>43923.708333333336</v>
      </c>
      <c r="B814" s="12" t="s">
        <v>22</v>
      </c>
      <c r="C814" s="82">
        <v>20</v>
      </c>
      <c r="D814" s="12" t="s">
        <v>55</v>
      </c>
      <c r="E814" s="82">
        <v>3921531192</v>
      </c>
      <c r="F814" s="82">
        <v>9110616306</v>
      </c>
      <c r="G814" s="82">
        <v>117</v>
      </c>
      <c r="H814" s="82">
        <v>24</v>
      </c>
      <c r="I814" s="82">
        <v>141</v>
      </c>
      <c r="J814" s="82">
        <v>577</v>
      </c>
      <c r="K814" s="82">
        <v>718</v>
      </c>
      <c r="L814" s="82">
        <v>43</v>
      </c>
      <c r="M814" s="82">
        <v>49</v>
      </c>
      <c r="N814" s="82">
        <v>36</v>
      </c>
      <c r="O814" s="82">
        <v>40</v>
      </c>
      <c r="P814" s="82">
        <v>794</v>
      </c>
      <c r="Q814" s="82">
        <v>5970</v>
      </c>
      <c r="R814" s="12" t="s">
        <v>25</v>
      </c>
      <c r="S814" s="12" t="s">
        <v>25</v>
      </c>
      <c r="T814" s="12" t="s">
        <v>25</v>
      </c>
    </row>
    <row r="815" spans="1:20" hidden="1" x14ac:dyDescent="0.3">
      <c r="A815" s="13">
        <v>43923.708333333336</v>
      </c>
      <c r="B815" s="12" t="s">
        <v>22</v>
      </c>
      <c r="C815" s="82">
        <v>19</v>
      </c>
      <c r="D815" s="12" t="s">
        <v>56</v>
      </c>
      <c r="E815" s="82">
        <v>3811569725</v>
      </c>
      <c r="F815" s="82">
        <v>133623567</v>
      </c>
      <c r="G815" s="82">
        <v>503</v>
      </c>
      <c r="H815" s="82">
        <v>73</v>
      </c>
      <c r="I815" s="82">
        <v>576</v>
      </c>
      <c r="J815" s="82">
        <v>1030</v>
      </c>
      <c r="K815" s="82">
        <v>1606</v>
      </c>
      <c r="L815" s="82">
        <v>62</v>
      </c>
      <c r="M815" s="82">
        <v>73</v>
      </c>
      <c r="N815" s="82">
        <v>92</v>
      </c>
      <c r="O815" s="82">
        <v>93</v>
      </c>
      <c r="P815" s="82">
        <v>1791</v>
      </c>
      <c r="Q815" s="82">
        <v>17833</v>
      </c>
      <c r="R815" s="12" t="s">
        <v>25</v>
      </c>
      <c r="S815" s="12" t="s">
        <v>25</v>
      </c>
      <c r="T815" s="12" t="s">
        <v>25</v>
      </c>
    </row>
    <row r="816" spans="1:20" hidden="1" x14ac:dyDescent="0.3">
      <c r="A816" s="13">
        <v>43923.708333333336</v>
      </c>
      <c r="B816" s="12" t="s">
        <v>22</v>
      </c>
      <c r="C816" s="82">
        <v>9</v>
      </c>
      <c r="D816" s="12" t="s">
        <v>57</v>
      </c>
      <c r="E816" s="82">
        <v>4376923077</v>
      </c>
      <c r="F816" s="82">
        <v>1125588885</v>
      </c>
      <c r="G816" s="82">
        <v>1135</v>
      </c>
      <c r="H816" s="82">
        <v>295</v>
      </c>
      <c r="I816" s="82">
        <v>1430</v>
      </c>
      <c r="J816" s="82">
        <v>3359</v>
      </c>
      <c r="K816" s="82">
        <v>4789</v>
      </c>
      <c r="L816" s="82">
        <v>357</v>
      </c>
      <c r="M816" s="82">
        <v>406</v>
      </c>
      <c r="N816" s="82">
        <v>216</v>
      </c>
      <c r="O816" s="82">
        <v>268</v>
      </c>
      <c r="P816" s="82">
        <v>5273</v>
      </c>
      <c r="Q816" s="82">
        <v>40724</v>
      </c>
      <c r="R816" s="12" t="s">
        <v>25</v>
      </c>
      <c r="S816" s="12" t="s">
        <v>25</v>
      </c>
      <c r="T816" s="12" t="s">
        <v>25</v>
      </c>
    </row>
    <row r="817" spans="1:20" hidden="1" x14ac:dyDescent="0.3">
      <c r="A817" s="13">
        <v>43923.708333333336</v>
      </c>
      <c r="B817" s="12" t="s">
        <v>22</v>
      </c>
      <c r="C817" s="82">
        <v>22</v>
      </c>
      <c r="D817" s="12" t="s">
        <v>58</v>
      </c>
      <c r="E817" s="82">
        <v>4606893511</v>
      </c>
      <c r="F817" s="82">
        <v>1112123097</v>
      </c>
      <c r="G817" s="82">
        <v>339</v>
      </c>
      <c r="H817" s="82">
        <v>78</v>
      </c>
      <c r="I817" s="82">
        <v>417</v>
      </c>
      <c r="J817" s="82">
        <v>1170</v>
      </c>
      <c r="K817" s="82">
        <v>1587</v>
      </c>
      <c r="L817" s="82">
        <v>104</v>
      </c>
      <c r="M817" s="82">
        <v>133</v>
      </c>
      <c r="N817" s="82">
        <v>229</v>
      </c>
      <c r="O817" s="82">
        <v>187</v>
      </c>
      <c r="P817" s="82">
        <v>2003</v>
      </c>
      <c r="Q817" s="82">
        <v>8496</v>
      </c>
      <c r="R817" s="12" t="s">
        <v>25</v>
      </c>
      <c r="S817" s="12" t="s">
        <v>25</v>
      </c>
      <c r="T817" s="12" t="s">
        <v>25</v>
      </c>
    </row>
    <row r="818" spans="1:20" hidden="1" x14ac:dyDescent="0.3">
      <c r="A818" s="13">
        <v>43923.708333333336</v>
      </c>
      <c r="B818" s="12" t="s">
        <v>22</v>
      </c>
      <c r="C818" s="82">
        <v>10</v>
      </c>
      <c r="D818" s="12" t="s">
        <v>59</v>
      </c>
      <c r="E818" s="82">
        <v>4310675841</v>
      </c>
      <c r="F818" s="82">
        <v>1238824698</v>
      </c>
      <c r="G818" s="82">
        <v>171</v>
      </c>
      <c r="H818" s="82">
        <v>47</v>
      </c>
      <c r="I818" s="82">
        <v>218</v>
      </c>
      <c r="J818" s="82">
        <v>667</v>
      </c>
      <c r="K818" s="82">
        <v>885</v>
      </c>
      <c r="L818" s="82">
        <v>21</v>
      </c>
      <c r="M818" s="82">
        <v>33</v>
      </c>
      <c r="N818" s="82">
        <v>205</v>
      </c>
      <c r="O818" s="82">
        <v>38</v>
      </c>
      <c r="P818" s="82">
        <v>1128</v>
      </c>
      <c r="Q818" s="82">
        <v>9737</v>
      </c>
      <c r="R818" s="12" t="s">
        <v>25</v>
      </c>
      <c r="S818" s="12" t="s">
        <v>25</v>
      </c>
      <c r="T818" s="12" t="s">
        <v>25</v>
      </c>
    </row>
    <row r="819" spans="1:20" hidden="1" x14ac:dyDescent="0.3">
      <c r="A819" s="13">
        <v>43923.708333333336</v>
      </c>
      <c r="B819" s="12" t="s">
        <v>22</v>
      </c>
      <c r="C819" s="82">
        <v>2</v>
      </c>
      <c r="D819" s="12" t="s">
        <v>60</v>
      </c>
      <c r="E819" s="82">
        <v>4573750286</v>
      </c>
      <c r="F819" s="82">
        <v>7320149366</v>
      </c>
      <c r="G819" s="82">
        <v>85</v>
      </c>
      <c r="H819" s="82">
        <v>25</v>
      </c>
      <c r="I819" s="82">
        <v>110</v>
      </c>
      <c r="J819" s="82">
        <v>446</v>
      </c>
      <c r="K819" s="82">
        <v>556</v>
      </c>
      <c r="L819" s="82">
        <v>16</v>
      </c>
      <c r="M819" s="82">
        <v>37</v>
      </c>
      <c r="N819" s="82">
        <v>49</v>
      </c>
      <c r="O819" s="82">
        <v>63</v>
      </c>
      <c r="P819" s="82">
        <v>668</v>
      </c>
      <c r="Q819" s="82">
        <v>1934</v>
      </c>
      <c r="R819" s="12" t="s">
        <v>25</v>
      </c>
      <c r="S819" s="12" t="s">
        <v>25</v>
      </c>
      <c r="T819" s="12" t="s">
        <v>25</v>
      </c>
    </row>
    <row r="820" spans="1:20" hidden="1" x14ac:dyDescent="0.3">
      <c r="A820" s="13">
        <v>43923.708333333336</v>
      </c>
      <c r="B820" s="12" t="s">
        <v>22</v>
      </c>
      <c r="C820" s="82">
        <v>5</v>
      </c>
      <c r="D820" s="12" t="s">
        <v>61</v>
      </c>
      <c r="E820" s="82">
        <v>4543490485</v>
      </c>
      <c r="F820" s="82">
        <v>1233845213</v>
      </c>
      <c r="G820" s="82">
        <v>1670</v>
      </c>
      <c r="H820" s="82">
        <v>345</v>
      </c>
      <c r="I820" s="82">
        <v>2015</v>
      </c>
      <c r="J820" s="82">
        <v>6563</v>
      </c>
      <c r="K820" s="82">
        <v>8578</v>
      </c>
      <c r="L820" s="82">
        <v>354</v>
      </c>
      <c r="M820" s="82">
        <v>486</v>
      </c>
      <c r="N820" s="82">
        <v>1001</v>
      </c>
      <c r="O820" s="82">
        <v>532</v>
      </c>
      <c r="P820" s="82">
        <v>10111</v>
      </c>
      <c r="Q820" s="82">
        <v>120320</v>
      </c>
      <c r="R820" s="12" t="s">
        <v>25</v>
      </c>
      <c r="S820" s="12" t="s">
        <v>25</v>
      </c>
      <c r="T820" s="12" t="s">
        <v>25</v>
      </c>
    </row>
    <row r="821" spans="1:20" hidden="1" x14ac:dyDescent="0.3">
      <c r="A821" s="13">
        <v>43924.708333333336</v>
      </c>
      <c r="B821" s="12" t="s">
        <v>22</v>
      </c>
      <c r="C821" s="82">
        <v>13</v>
      </c>
      <c r="D821" s="12" t="s">
        <v>42</v>
      </c>
      <c r="E821" s="82">
        <v>4235122196</v>
      </c>
      <c r="F821" s="82">
        <v>1339843823</v>
      </c>
      <c r="G821" s="82">
        <v>361</v>
      </c>
      <c r="H821" s="82">
        <v>76</v>
      </c>
      <c r="I821" s="82">
        <v>437</v>
      </c>
      <c r="J821" s="82">
        <v>864</v>
      </c>
      <c r="K821" s="82">
        <v>1301</v>
      </c>
      <c r="L821" s="82">
        <v>50</v>
      </c>
      <c r="M821" s="82">
        <v>66</v>
      </c>
      <c r="N821" s="82">
        <v>116</v>
      </c>
      <c r="O821" s="82">
        <v>146</v>
      </c>
      <c r="P821" s="82">
        <v>1563</v>
      </c>
      <c r="Q821" s="82">
        <v>11890</v>
      </c>
      <c r="R821" s="12" t="s">
        <v>25</v>
      </c>
      <c r="S821" s="12" t="s">
        <v>25</v>
      </c>
      <c r="T821" s="12" t="s">
        <v>25</v>
      </c>
    </row>
    <row r="822" spans="1:20" hidden="1" x14ac:dyDescent="0.3">
      <c r="A822" s="13">
        <v>43924.708333333336</v>
      </c>
      <c r="B822" s="12" t="s">
        <v>22</v>
      </c>
      <c r="C822" s="82">
        <v>17</v>
      </c>
      <c r="D822" s="12" t="s">
        <v>43</v>
      </c>
      <c r="E822" s="82">
        <v>4063947052</v>
      </c>
      <c r="F822" s="82">
        <v>1580514834</v>
      </c>
      <c r="G822" s="82">
        <v>41</v>
      </c>
      <c r="H822" s="82">
        <v>19</v>
      </c>
      <c r="I822" s="82">
        <v>60</v>
      </c>
      <c r="J822" s="82">
        <v>187</v>
      </c>
      <c r="K822" s="82">
        <v>247</v>
      </c>
      <c r="L822" s="82">
        <v>14</v>
      </c>
      <c r="M822" s="82">
        <v>15</v>
      </c>
      <c r="N822" s="82">
        <v>3</v>
      </c>
      <c r="O822" s="82">
        <v>11</v>
      </c>
      <c r="P822" s="82">
        <v>261</v>
      </c>
      <c r="Q822" s="82">
        <v>2622</v>
      </c>
      <c r="R822" s="12" t="s">
        <v>25</v>
      </c>
      <c r="S822" s="12" t="s">
        <v>25</v>
      </c>
      <c r="T822" s="12" t="s">
        <v>25</v>
      </c>
    </row>
    <row r="823" spans="1:20" hidden="1" x14ac:dyDescent="0.3">
      <c r="A823" s="13">
        <v>43924.708333333336</v>
      </c>
      <c r="B823" s="12" t="s">
        <v>22</v>
      </c>
      <c r="C823" s="82">
        <v>21</v>
      </c>
      <c r="D823" s="12" t="s">
        <v>44</v>
      </c>
      <c r="E823" s="82">
        <v>4649933453</v>
      </c>
      <c r="F823" s="82">
        <v>1135662422</v>
      </c>
      <c r="G823" s="82">
        <v>291</v>
      </c>
      <c r="H823" s="82">
        <v>60</v>
      </c>
      <c r="I823" s="82">
        <v>351</v>
      </c>
      <c r="J823" s="82">
        <v>858</v>
      </c>
      <c r="K823" s="82">
        <v>1209</v>
      </c>
      <c r="L823" s="82">
        <v>49</v>
      </c>
      <c r="M823" s="82">
        <v>80</v>
      </c>
      <c r="N823" s="82">
        <v>211</v>
      </c>
      <c r="O823" s="82">
        <v>139</v>
      </c>
      <c r="P823" s="82">
        <v>1559</v>
      </c>
      <c r="Q823" s="82">
        <v>13976</v>
      </c>
      <c r="R823" s="12" t="s">
        <v>25</v>
      </c>
      <c r="S823" s="12" t="s">
        <v>25</v>
      </c>
      <c r="T823" s="12" t="s">
        <v>25</v>
      </c>
    </row>
    <row r="824" spans="1:20" hidden="1" x14ac:dyDescent="0.3">
      <c r="A824" s="13">
        <v>43924.708333333336</v>
      </c>
      <c r="B824" s="12" t="s">
        <v>22</v>
      </c>
      <c r="C824" s="82">
        <v>18</v>
      </c>
      <c r="D824" s="12" t="s">
        <v>45</v>
      </c>
      <c r="E824" s="82">
        <v>3890597598</v>
      </c>
      <c r="F824" s="82">
        <v>1659440194</v>
      </c>
      <c r="G824" s="82">
        <v>183</v>
      </c>
      <c r="H824" s="82">
        <v>17</v>
      </c>
      <c r="I824" s="82">
        <v>200</v>
      </c>
      <c r="J824" s="82">
        <v>462</v>
      </c>
      <c r="K824" s="82">
        <v>662</v>
      </c>
      <c r="L824" s="82">
        <v>35</v>
      </c>
      <c r="M824" s="82">
        <v>42</v>
      </c>
      <c r="N824" s="82">
        <v>26</v>
      </c>
      <c r="O824" s="82">
        <v>45</v>
      </c>
      <c r="P824" s="82">
        <v>733</v>
      </c>
      <c r="Q824" s="82">
        <v>11608</v>
      </c>
      <c r="R824" s="12" t="s">
        <v>25</v>
      </c>
      <c r="S824" s="12" t="s">
        <v>25</v>
      </c>
      <c r="T824" s="12" t="s">
        <v>25</v>
      </c>
    </row>
    <row r="825" spans="1:20" hidden="1" x14ac:dyDescent="0.3">
      <c r="A825" s="13">
        <v>43924.708333333336</v>
      </c>
      <c r="B825" s="12" t="s">
        <v>22</v>
      </c>
      <c r="C825" s="82">
        <v>15</v>
      </c>
      <c r="D825" s="12" t="s">
        <v>46</v>
      </c>
      <c r="E825" s="82">
        <v>4083956555</v>
      </c>
      <c r="F825" s="82">
        <v>1425084984</v>
      </c>
      <c r="G825" s="82">
        <v>532</v>
      </c>
      <c r="H825" s="82">
        <v>115</v>
      </c>
      <c r="I825" s="82">
        <v>647</v>
      </c>
      <c r="J825" s="82">
        <v>1705</v>
      </c>
      <c r="K825" s="82">
        <v>2352</v>
      </c>
      <c r="L825" s="82">
        <v>212</v>
      </c>
      <c r="M825" s="82">
        <v>221</v>
      </c>
      <c r="N825" s="82">
        <v>144</v>
      </c>
      <c r="O825" s="82">
        <v>181</v>
      </c>
      <c r="P825" s="82">
        <v>2677</v>
      </c>
      <c r="Q825" s="82">
        <v>19237</v>
      </c>
      <c r="R825" s="12" t="s">
        <v>25</v>
      </c>
      <c r="S825" s="12" t="s">
        <v>25</v>
      </c>
      <c r="T825" s="12" t="s">
        <v>25</v>
      </c>
    </row>
    <row r="826" spans="1:20" hidden="1" x14ac:dyDescent="0.3">
      <c r="A826" s="13">
        <v>43924.708333333336</v>
      </c>
      <c r="B826" s="12" t="s">
        <v>22</v>
      </c>
      <c r="C826" s="82">
        <v>8</v>
      </c>
      <c r="D826" s="12" t="s">
        <v>95</v>
      </c>
      <c r="E826" s="82">
        <v>4449436681</v>
      </c>
      <c r="F826" s="82">
        <v>113417208</v>
      </c>
      <c r="G826" s="82">
        <v>3915</v>
      </c>
      <c r="H826" s="82">
        <v>364</v>
      </c>
      <c r="I826" s="82">
        <v>4279</v>
      </c>
      <c r="J826" s="82">
        <v>7899</v>
      </c>
      <c r="K826" s="82">
        <v>12178</v>
      </c>
      <c r="L826" s="82">
        <v>319</v>
      </c>
      <c r="M826" s="82">
        <v>599</v>
      </c>
      <c r="N826" s="82">
        <v>1852</v>
      </c>
      <c r="O826" s="82">
        <v>1902</v>
      </c>
      <c r="P826" s="82">
        <v>15932</v>
      </c>
      <c r="Q826" s="82">
        <v>63682</v>
      </c>
      <c r="R826" s="12" t="s">
        <v>25</v>
      </c>
      <c r="S826" s="12" t="s">
        <v>25</v>
      </c>
      <c r="T826" s="12" t="s">
        <v>25</v>
      </c>
    </row>
    <row r="827" spans="1:20" hidden="1" x14ac:dyDescent="0.3">
      <c r="A827" s="13">
        <v>43924.708333333336</v>
      </c>
      <c r="B827" s="12" t="s">
        <v>22</v>
      </c>
      <c r="C827" s="82">
        <v>6</v>
      </c>
      <c r="D827" s="12" t="s">
        <v>47</v>
      </c>
      <c r="E827" s="82">
        <v>456494354</v>
      </c>
      <c r="F827" s="82">
        <v>1376813649</v>
      </c>
      <c r="G827" s="82">
        <v>201</v>
      </c>
      <c r="H827" s="82">
        <v>61</v>
      </c>
      <c r="I827" s="82">
        <v>262</v>
      </c>
      <c r="J827" s="82">
        <v>1062</v>
      </c>
      <c r="K827" s="82">
        <v>1324</v>
      </c>
      <c r="L827" s="82">
        <v>30</v>
      </c>
      <c r="M827" s="82">
        <v>80</v>
      </c>
      <c r="N827" s="82">
        <v>419</v>
      </c>
      <c r="O827" s="82">
        <v>136</v>
      </c>
      <c r="P827" s="82">
        <v>1879</v>
      </c>
      <c r="Q827" s="82">
        <v>19985</v>
      </c>
      <c r="R827" s="12" t="s">
        <v>25</v>
      </c>
      <c r="S827" s="12" t="s">
        <v>25</v>
      </c>
      <c r="T827" s="12" t="s">
        <v>25</v>
      </c>
    </row>
    <row r="828" spans="1:20" hidden="1" x14ac:dyDescent="0.3">
      <c r="A828" s="13">
        <v>43924.708333333336</v>
      </c>
      <c r="B828" s="12" t="s">
        <v>22</v>
      </c>
      <c r="C828" s="82">
        <v>12</v>
      </c>
      <c r="D828" s="12" t="s">
        <v>48</v>
      </c>
      <c r="E828" s="82">
        <v>4189277044</v>
      </c>
      <c r="F828" s="82">
        <v>1248366722</v>
      </c>
      <c r="G828" s="82">
        <v>1194</v>
      </c>
      <c r="H828" s="82">
        <v>188</v>
      </c>
      <c r="I828" s="82">
        <v>1382</v>
      </c>
      <c r="J828" s="82">
        <v>1627</v>
      </c>
      <c r="K828" s="82">
        <v>3009</v>
      </c>
      <c r="L828" s="82">
        <v>130</v>
      </c>
      <c r="M828" s="82">
        <v>167</v>
      </c>
      <c r="N828" s="82">
        <v>392</v>
      </c>
      <c r="O828" s="82">
        <v>199</v>
      </c>
      <c r="P828" s="82">
        <v>3600</v>
      </c>
      <c r="Q828" s="82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82">
        <v>7</v>
      </c>
      <c r="D829" s="12" t="s">
        <v>49</v>
      </c>
      <c r="E829" s="82">
        <v>4441149315</v>
      </c>
      <c r="F829" s="82">
        <v>89326992</v>
      </c>
      <c r="G829" s="82">
        <v>1147</v>
      </c>
      <c r="H829" s="82">
        <v>173</v>
      </c>
      <c r="I829" s="82">
        <v>1320</v>
      </c>
      <c r="J829" s="82">
        <v>1426</v>
      </c>
      <c r="K829" s="82">
        <v>2746</v>
      </c>
      <c r="L829" s="82">
        <v>86</v>
      </c>
      <c r="M829" s="82">
        <v>183</v>
      </c>
      <c r="N829" s="82">
        <v>700</v>
      </c>
      <c r="O829" s="82">
        <v>519</v>
      </c>
      <c r="P829" s="82">
        <v>3965</v>
      </c>
      <c r="Q829" s="82">
        <v>12934</v>
      </c>
      <c r="R829" s="12" t="s">
        <v>25</v>
      </c>
      <c r="S829" s="12" t="s">
        <v>25</v>
      </c>
      <c r="T829" s="12" t="s">
        <v>25</v>
      </c>
    </row>
    <row r="830" spans="1:20" hidden="1" x14ac:dyDescent="0.3">
      <c r="A830" s="13">
        <v>43924.708333333336</v>
      </c>
      <c r="B830" s="12" t="s">
        <v>22</v>
      </c>
      <c r="C830" s="82">
        <v>3</v>
      </c>
      <c r="D830" s="12" t="s">
        <v>50</v>
      </c>
      <c r="E830" s="82">
        <v>4546679409</v>
      </c>
      <c r="F830" s="82">
        <v>9190347404</v>
      </c>
      <c r="G830" s="82">
        <v>11802</v>
      </c>
      <c r="H830" s="82">
        <v>1381</v>
      </c>
      <c r="I830" s="82">
        <v>13183</v>
      </c>
      <c r="J830" s="82">
        <v>13006</v>
      </c>
      <c r="K830" s="82">
        <v>26189</v>
      </c>
      <c r="L830" s="82">
        <v>313</v>
      </c>
      <c r="M830" s="82">
        <v>1455</v>
      </c>
      <c r="N830" s="82">
        <v>13020</v>
      </c>
      <c r="O830" s="82">
        <v>8311</v>
      </c>
      <c r="P830" s="82">
        <v>47520</v>
      </c>
      <c r="Q830" s="82">
        <v>135051</v>
      </c>
      <c r="R830" s="12" t="s">
        <v>25</v>
      </c>
      <c r="S830" s="12" t="s">
        <v>25</v>
      </c>
      <c r="T830" s="12" t="s">
        <v>25</v>
      </c>
    </row>
    <row r="831" spans="1:20" hidden="1" x14ac:dyDescent="0.3">
      <c r="A831" s="13">
        <v>43924.708333333336</v>
      </c>
      <c r="B831" s="12" t="s">
        <v>22</v>
      </c>
      <c r="C831" s="82">
        <v>11</v>
      </c>
      <c r="D831" s="12" t="s">
        <v>51</v>
      </c>
      <c r="E831" s="82">
        <v>4361675973</v>
      </c>
      <c r="F831" s="82">
        <v>135188753</v>
      </c>
      <c r="G831" s="82">
        <v>982</v>
      </c>
      <c r="H831" s="82">
        <v>158</v>
      </c>
      <c r="I831" s="82">
        <v>1140</v>
      </c>
      <c r="J831" s="82">
        <v>2491</v>
      </c>
      <c r="K831" s="82">
        <v>3631</v>
      </c>
      <c r="L831" s="82">
        <v>76</v>
      </c>
      <c r="M831" s="82">
        <v>132</v>
      </c>
      <c r="N831" s="82">
        <v>42</v>
      </c>
      <c r="O831" s="82">
        <v>557</v>
      </c>
      <c r="P831" s="82">
        <v>4230</v>
      </c>
      <c r="Q831" s="82">
        <v>13678</v>
      </c>
      <c r="R831" s="12" t="s">
        <v>25</v>
      </c>
      <c r="S831" s="12" t="s">
        <v>25</v>
      </c>
      <c r="T831" s="12" t="s">
        <v>25</v>
      </c>
    </row>
    <row r="832" spans="1:20" hidden="1" x14ac:dyDescent="0.3">
      <c r="A832" s="13">
        <v>43924.708333333336</v>
      </c>
      <c r="B832" s="12" t="s">
        <v>22</v>
      </c>
      <c r="C832" s="82">
        <v>14</v>
      </c>
      <c r="D832" s="12" t="s">
        <v>52</v>
      </c>
      <c r="E832" s="82">
        <v>4155774754</v>
      </c>
      <c r="F832" s="82">
        <v>1465916051</v>
      </c>
      <c r="G832" s="82">
        <v>31</v>
      </c>
      <c r="H832" s="82">
        <v>8</v>
      </c>
      <c r="I832" s="82">
        <v>39</v>
      </c>
      <c r="J832" s="82">
        <v>105</v>
      </c>
      <c r="K832" s="82">
        <v>144</v>
      </c>
      <c r="L832" s="82">
        <v>11</v>
      </c>
      <c r="M832" s="82">
        <v>11</v>
      </c>
      <c r="N832" s="82">
        <v>21</v>
      </c>
      <c r="O832" s="82">
        <v>11</v>
      </c>
      <c r="P832" s="82">
        <v>176</v>
      </c>
      <c r="Q832" s="82">
        <v>1378</v>
      </c>
      <c r="R832" s="12" t="s">
        <v>25</v>
      </c>
      <c r="S832" s="12" t="s">
        <v>25</v>
      </c>
      <c r="T832" s="12" t="s">
        <v>25</v>
      </c>
    </row>
    <row r="833" spans="1:20" hidden="1" x14ac:dyDescent="0.3">
      <c r="A833" s="13">
        <v>43924.708333333336</v>
      </c>
      <c r="B833" s="12" t="s">
        <v>22</v>
      </c>
      <c r="C833" s="82">
        <v>1</v>
      </c>
      <c r="D833" s="12" t="s">
        <v>53</v>
      </c>
      <c r="E833" s="82">
        <v>450732745</v>
      </c>
      <c r="F833" s="82">
        <v>7680687483</v>
      </c>
      <c r="G833" s="82">
        <v>3300</v>
      </c>
      <c r="H833" s="82">
        <v>452</v>
      </c>
      <c r="I833" s="82">
        <v>3752</v>
      </c>
      <c r="J833" s="82">
        <v>5378</v>
      </c>
      <c r="K833" s="82">
        <v>9130</v>
      </c>
      <c r="L833" s="82">
        <v>331</v>
      </c>
      <c r="M833" s="82">
        <v>543</v>
      </c>
      <c r="N833" s="82">
        <v>723</v>
      </c>
      <c r="O833" s="82">
        <v>1043</v>
      </c>
      <c r="P833" s="82">
        <v>10896</v>
      </c>
      <c r="Q833" s="82">
        <v>34281</v>
      </c>
      <c r="R833" s="12" t="s">
        <v>25</v>
      </c>
      <c r="S833" s="12" t="s">
        <v>25</v>
      </c>
      <c r="T833" s="12" t="s">
        <v>25</v>
      </c>
    </row>
    <row r="834" spans="1:20" hidden="1" x14ac:dyDescent="0.3">
      <c r="A834" s="13">
        <v>43924.708333333336</v>
      </c>
      <c r="B834" s="12" t="s">
        <v>22</v>
      </c>
      <c r="C834" s="82">
        <v>16</v>
      </c>
      <c r="D834" s="12" t="s">
        <v>54</v>
      </c>
      <c r="E834" s="82">
        <v>4112559576</v>
      </c>
      <c r="F834" s="82">
        <v>1686736689</v>
      </c>
      <c r="G834" s="82">
        <v>648</v>
      </c>
      <c r="H834" s="82">
        <v>123</v>
      </c>
      <c r="I834" s="82">
        <v>771</v>
      </c>
      <c r="J834" s="82">
        <v>1178</v>
      </c>
      <c r="K834" s="82">
        <v>1949</v>
      </c>
      <c r="L834" s="82">
        <v>85</v>
      </c>
      <c r="M834" s="82">
        <v>105</v>
      </c>
      <c r="N834" s="82">
        <v>69</v>
      </c>
      <c r="O834" s="82">
        <v>164</v>
      </c>
      <c r="P834" s="82">
        <v>2182</v>
      </c>
      <c r="Q834" s="82">
        <v>17924</v>
      </c>
      <c r="R834" s="12" t="s">
        <v>25</v>
      </c>
      <c r="S834" s="12" t="s">
        <v>25</v>
      </c>
      <c r="T834" s="12" t="s">
        <v>25</v>
      </c>
    </row>
    <row r="835" spans="1:20" hidden="1" x14ac:dyDescent="0.3">
      <c r="A835" s="13">
        <v>43924.708333333336</v>
      </c>
      <c r="B835" s="12" t="s">
        <v>22</v>
      </c>
      <c r="C835" s="82">
        <v>20</v>
      </c>
      <c r="D835" s="12" t="s">
        <v>55</v>
      </c>
      <c r="E835" s="82">
        <v>3921531192</v>
      </c>
      <c r="F835" s="82">
        <v>9110616306</v>
      </c>
      <c r="G835" s="82">
        <v>122</v>
      </c>
      <c r="H835" s="82">
        <v>24</v>
      </c>
      <c r="I835" s="82">
        <v>146</v>
      </c>
      <c r="J835" s="82">
        <v>598</v>
      </c>
      <c r="K835" s="82">
        <v>744</v>
      </c>
      <c r="L835" s="82">
        <v>26</v>
      </c>
      <c r="M835" s="82">
        <v>31</v>
      </c>
      <c r="N835" s="82">
        <v>40</v>
      </c>
      <c r="O835" s="82">
        <v>41</v>
      </c>
      <c r="P835" s="82">
        <v>825</v>
      </c>
      <c r="Q835" s="82">
        <v>6478</v>
      </c>
      <c r="R835" s="12" t="s">
        <v>25</v>
      </c>
      <c r="S835" s="12" t="s">
        <v>25</v>
      </c>
      <c r="T835" s="12" t="s">
        <v>25</v>
      </c>
    </row>
    <row r="836" spans="1:20" hidden="1" x14ac:dyDescent="0.3">
      <c r="A836" s="13">
        <v>43924.708333333336</v>
      </c>
      <c r="B836" s="12" t="s">
        <v>22</v>
      </c>
      <c r="C836" s="82">
        <v>19</v>
      </c>
      <c r="D836" s="12" t="s">
        <v>56</v>
      </c>
      <c r="E836" s="82">
        <v>3811569725</v>
      </c>
      <c r="F836" s="82">
        <v>133623567</v>
      </c>
      <c r="G836" s="82">
        <v>535</v>
      </c>
      <c r="H836" s="82">
        <v>73</v>
      </c>
      <c r="I836" s="82">
        <v>608</v>
      </c>
      <c r="J836" s="82">
        <v>1056</v>
      </c>
      <c r="K836" s="82">
        <v>1664</v>
      </c>
      <c r="L836" s="82">
        <v>58</v>
      </c>
      <c r="M836" s="82">
        <v>68</v>
      </c>
      <c r="N836" s="82">
        <v>94</v>
      </c>
      <c r="O836" s="82">
        <v>101</v>
      </c>
      <c r="P836" s="82">
        <v>1859</v>
      </c>
      <c r="Q836" s="82">
        <v>18686</v>
      </c>
      <c r="R836" s="12" t="s">
        <v>25</v>
      </c>
      <c r="S836" s="12" t="s">
        <v>25</v>
      </c>
      <c r="T836" s="12" t="s">
        <v>25</v>
      </c>
    </row>
    <row r="837" spans="1:20" hidden="1" x14ac:dyDescent="0.3">
      <c r="A837" s="13">
        <v>43924.708333333336</v>
      </c>
      <c r="B837" s="12" t="s">
        <v>22</v>
      </c>
      <c r="C837" s="82">
        <v>9</v>
      </c>
      <c r="D837" s="12" t="s">
        <v>57</v>
      </c>
      <c r="E837" s="82">
        <v>4376923077</v>
      </c>
      <c r="F837" s="82">
        <v>1125588885</v>
      </c>
      <c r="G837" s="82">
        <v>1149</v>
      </c>
      <c r="H837" s="82">
        <v>288</v>
      </c>
      <c r="I837" s="82">
        <v>1437</v>
      </c>
      <c r="J837" s="82">
        <v>3472</v>
      </c>
      <c r="K837" s="82">
        <v>4909</v>
      </c>
      <c r="L837" s="82">
        <v>120</v>
      </c>
      <c r="M837" s="82">
        <v>226</v>
      </c>
      <c r="N837" s="82">
        <v>300</v>
      </c>
      <c r="O837" s="82">
        <v>290</v>
      </c>
      <c r="P837" s="82">
        <v>5499</v>
      </c>
      <c r="Q837" s="82">
        <v>44460</v>
      </c>
      <c r="R837" s="12" t="s">
        <v>25</v>
      </c>
      <c r="S837" s="12" t="s">
        <v>25</v>
      </c>
      <c r="T837" s="12" t="s">
        <v>25</v>
      </c>
    </row>
    <row r="838" spans="1:20" hidden="1" x14ac:dyDescent="0.3">
      <c r="A838" s="13">
        <v>43924.708333333336</v>
      </c>
      <c r="B838" s="12" t="s">
        <v>22</v>
      </c>
      <c r="C838" s="82">
        <v>22</v>
      </c>
      <c r="D838" s="12" t="s">
        <v>58</v>
      </c>
      <c r="E838" s="82">
        <v>4606893511</v>
      </c>
      <c r="F838" s="82">
        <v>1112123097</v>
      </c>
      <c r="G838" s="82">
        <v>343</v>
      </c>
      <c r="H838" s="82">
        <v>80</v>
      </c>
      <c r="I838" s="82">
        <v>423</v>
      </c>
      <c r="J838" s="82">
        <v>1236</v>
      </c>
      <c r="K838" s="82">
        <v>1659</v>
      </c>
      <c r="L838" s="82">
        <v>72</v>
      </c>
      <c r="M838" s="82">
        <v>106</v>
      </c>
      <c r="N838" s="82">
        <v>246</v>
      </c>
      <c r="O838" s="82">
        <v>204</v>
      </c>
      <c r="P838" s="82">
        <v>2109</v>
      </c>
      <c r="Q838" s="82">
        <v>8993</v>
      </c>
      <c r="R838" s="12" t="s">
        <v>25</v>
      </c>
      <c r="S838" s="12" t="s">
        <v>25</v>
      </c>
      <c r="T838" s="12" t="s">
        <v>25</v>
      </c>
    </row>
    <row r="839" spans="1:20" hidden="1" x14ac:dyDescent="0.3">
      <c r="A839" s="13">
        <v>43924.708333333336</v>
      </c>
      <c r="B839" s="12" t="s">
        <v>22</v>
      </c>
      <c r="C839" s="82">
        <v>10</v>
      </c>
      <c r="D839" s="12" t="s">
        <v>59</v>
      </c>
      <c r="E839" s="82">
        <v>4310675841</v>
      </c>
      <c r="F839" s="82">
        <v>1238824698</v>
      </c>
      <c r="G839" s="82">
        <v>165</v>
      </c>
      <c r="H839" s="82">
        <v>48</v>
      </c>
      <c r="I839" s="82">
        <v>213</v>
      </c>
      <c r="J839" s="82">
        <v>707</v>
      </c>
      <c r="K839" s="82">
        <v>920</v>
      </c>
      <c r="L839" s="82">
        <v>35</v>
      </c>
      <c r="M839" s="82">
        <v>51</v>
      </c>
      <c r="N839" s="82">
        <v>220</v>
      </c>
      <c r="O839" s="82">
        <v>39</v>
      </c>
      <c r="P839" s="82">
        <v>1179</v>
      </c>
      <c r="Q839" s="82">
        <v>10614</v>
      </c>
      <c r="R839" s="12" t="s">
        <v>25</v>
      </c>
      <c r="S839" s="12" t="s">
        <v>25</v>
      </c>
      <c r="T839" s="12" t="s">
        <v>25</v>
      </c>
    </row>
    <row r="840" spans="1:20" hidden="1" x14ac:dyDescent="0.3">
      <c r="A840" s="13">
        <v>43924.708333333336</v>
      </c>
      <c r="B840" s="12" t="s">
        <v>22</v>
      </c>
      <c r="C840" s="82">
        <v>2</v>
      </c>
      <c r="D840" s="12" t="s">
        <v>60</v>
      </c>
      <c r="E840" s="82">
        <v>4573750286</v>
      </c>
      <c r="F840" s="82">
        <v>7320149366</v>
      </c>
      <c r="G840" s="82">
        <v>85</v>
      </c>
      <c r="H840" s="82">
        <v>25</v>
      </c>
      <c r="I840" s="82">
        <v>110</v>
      </c>
      <c r="J840" s="82">
        <v>450</v>
      </c>
      <c r="K840" s="82">
        <v>560</v>
      </c>
      <c r="L840" s="82">
        <v>4</v>
      </c>
      <c r="M840" s="82">
        <v>51</v>
      </c>
      <c r="N840" s="82">
        <v>89</v>
      </c>
      <c r="O840" s="82">
        <v>70</v>
      </c>
      <c r="P840" s="82">
        <v>719</v>
      </c>
      <c r="Q840" s="82">
        <v>2106</v>
      </c>
      <c r="R840" s="12" t="s">
        <v>25</v>
      </c>
      <c r="S840" s="12" t="s">
        <v>25</v>
      </c>
      <c r="T840" s="12" t="s">
        <v>25</v>
      </c>
    </row>
    <row r="841" spans="1:20" hidden="1" x14ac:dyDescent="0.3">
      <c r="A841" s="13">
        <v>43924.708333333336</v>
      </c>
      <c r="B841" s="12" t="s">
        <v>22</v>
      </c>
      <c r="C841" s="82">
        <v>5</v>
      </c>
      <c r="D841" s="12" t="s">
        <v>61</v>
      </c>
      <c r="E841" s="82">
        <v>4543490485</v>
      </c>
      <c r="F841" s="82">
        <v>1233845213</v>
      </c>
      <c r="G841" s="82">
        <v>1714</v>
      </c>
      <c r="H841" s="82">
        <v>335</v>
      </c>
      <c r="I841" s="82">
        <v>2049</v>
      </c>
      <c r="J841" s="82">
        <v>6812</v>
      </c>
      <c r="K841" s="82">
        <v>8861</v>
      </c>
      <c r="L841" s="82">
        <v>283</v>
      </c>
      <c r="M841" s="82">
        <v>353</v>
      </c>
      <c r="N841" s="82">
        <v>1031</v>
      </c>
      <c r="O841" s="82">
        <v>572</v>
      </c>
      <c r="P841" s="82">
        <v>10464</v>
      </c>
      <c r="Q841" s="82">
        <v>126490</v>
      </c>
      <c r="R841" s="12" t="s">
        <v>25</v>
      </c>
      <c r="S841" s="12" t="s">
        <v>25</v>
      </c>
      <c r="T841" s="12" t="s">
        <v>25</v>
      </c>
    </row>
    <row r="842" spans="1:20" hidden="1" x14ac:dyDescent="0.3">
      <c r="A842" s="13">
        <v>43925.708333333336</v>
      </c>
      <c r="B842" s="12" t="s">
        <v>22</v>
      </c>
      <c r="C842" s="82">
        <v>13</v>
      </c>
      <c r="D842" s="12" t="s">
        <v>42</v>
      </c>
      <c r="E842" s="82">
        <v>4235122196</v>
      </c>
      <c r="F842" s="82">
        <v>1339843823</v>
      </c>
      <c r="G842" s="82">
        <v>354</v>
      </c>
      <c r="H842" s="82">
        <v>71</v>
      </c>
      <c r="I842" s="82">
        <v>425</v>
      </c>
      <c r="J842" s="82">
        <v>931</v>
      </c>
      <c r="K842" s="82">
        <v>1356</v>
      </c>
      <c r="L842" s="82">
        <v>55</v>
      </c>
      <c r="M842" s="82">
        <v>65</v>
      </c>
      <c r="N842" s="82">
        <v>119</v>
      </c>
      <c r="O842" s="82">
        <v>153</v>
      </c>
      <c r="P842" s="82">
        <v>1628</v>
      </c>
      <c r="Q842" s="82">
        <v>12837</v>
      </c>
      <c r="R842" s="12" t="s">
        <v>25</v>
      </c>
      <c r="S842" s="12" t="s">
        <v>25</v>
      </c>
      <c r="T842" s="12" t="s">
        <v>25</v>
      </c>
    </row>
    <row r="843" spans="1:20" hidden="1" x14ac:dyDescent="0.3">
      <c r="A843" s="13">
        <v>43925.708333333336</v>
      </c>
      <c r="B843" s="12" t="s">
        <v>22</v>
      </c>
      <c r="C843" s="82">
        <v>17</v>
      </c>
      <c r="D843" s="12" t="s">
        <v>43</v>
      </c>
      <c r="E843" s="82">
        <v>4063947052</v>
      </c>
      <c r="F843" s="82">
        <v>1580514834</v>
      </c>
      <c r="G843" s="82">
        <v>44</v>
      </c>
      <c r="H843" s="82">
        <v>19</v>
      </c>
      <c r="I843" s="82">
        <v>63</v>
      </c>
      <c r="J843" s="82">
        <v>181</v>
      </c>
      <c r="K843" s="82">
        <v>244</v>
      </c>
      <c r="L843" s="82">
        <v>-3</v>
      </c>
      <c r="M843" s="82">
        <v>3</v>
      </c>
      <c r="N843" s="82">
        <v>9</v>
      </c>
      <c r="O843" s="82">
        <v>11</v>
      </c>
      <c r="P843" s="82">
        <v>264</v>
      </c>
      <c r="Q843" s="82">
        <v>2765</v>
      </c>
      <c r="R843" s="12" t="s">
        <v>25</v>
      </c>
      <c r="S843" s="12" t="s">
        <v>25</v>
      </c>
      <c r="T843" s="12" t="s">
        <v>25</v>
      </c>
    </row>
    <row r="844" spans="1:20" hidden="1" x14ac:dyDescent="0.3">
      <c r="A844" s="13">
        <v>43925.708333333336</v>
      </c>
      <c r="B844" s="12" t="s">
        <v>22</v>
      </c>
      <c r="C844" s="82">
        <v>21</v>
      </c>
      <c r="D844" s="12" t="s">
        <v>44</v>
      </c>
      <c r="E844" s="82">
        <v>4649933453</v>
      </c>
      <c r="F844" s="82">
        <v>1135662422</v>
      </c>
      <c r="G844" s="82">
        <v>291</v>
      </c>
      <c r="H844" s="82">
        <v>61</v>
      </c>
      <c r="I844" s="82">
        <v>352</v>
      </c>
      <c r="J844" s="82">
        <v>849</v>
      </c>
      <c r="K844" s="82">
        <v>1201</v>
      </c>
      <c r="L844" s="82">
        <v>-8</v>
      </c>
      <c r="M844" s="82">
        <v>33</v>
      </c>
      <c r="N844" s="82">
        <v>245</v>
      </c>
      <c r="O844" s="82">
        <v>146</v>
      </c>
      <c r="P844" s="82">
        <v>1592</v>
      </c>
      <c r="Q844" s="82">
        <v>15045</v>
      </c>
      <c r="R844" s="12" t="s">
        <v>25</v>
      </c>
      <c r="S844" s="12" t="s">
        <v>25</v>
      </c>
      <c r="T844" s="12" t="s">
        <v>25</v>
      </c>
    </row>
    <row r="845" spans="1:20" hidden="1" x14ac:dyDescent="0.3">
      <c r="A845" s="13">
        <v>43925.708333333336</v>
      </c>
      <c r="B845" s="12" t="s">
        <v>22</v>
      </c>
      <c r="C845" s="82">
        <v>18</v>
      </c>
      <c r="D845" s="12" t="s">
        <v>45</v>
      </c>
      <c r="E845" s="82">
        <v>3890597598</v>
      </c>
      <c r="F845" s="82">
        <v>1659440194</v>
      </c>
      <c r="G845" s="82">
        <v>178</v>
      </c>
      <c r="H845" s="82">
        <v>15</v>
      </c>
      <c r="I845" s="82">
        <v>193</v>
      </c>
      <c r="J845" s="82">
        <v>469</v>
      </c>
      <c r="K845" s="82">
        <v>662</v>
      </c>
      <c r="L845" s="82">
        <v>0</v>
      </c>
      <c r="M845" s="82">
        <v>8</v>
      </c>
      <c r="N845" s="82">
        <v>30</v>
      </c>
      <c r="O845" s="82">
        <v>49</v>
      </c>
      <c r="P845" s="82">
        <v>741</v>
      </c>
      <c r="Q845" s="82">
        <v>12314</v>
      </c>
      <c r="R845" s="12" t="s">
        <v>25</v>
      </c>
      <c r="S845" s="12" t="s">
        <v>25</v>
      </c>
      <c r="T845" s="12" t="s">
        <v>25</v>
      </c>
    </row>
    <row r="846" spans="1:20" hidden="1" x14ac:dyDescent="0.3">
      <c r="A846" s="13">
        <v>43925.708333333336</v>
      </c>
      <c r="B846" s="12" t="s">
        <v>22</v>
      </c>
      <c r="C846" s="82">
        <v>15</v>
      </c>
      <c r="D846" s="12" t="s">
        <v>46</v>
      </c>
      <c r="E846" s="82">
        <v>4083956555</v>
      </c>
      <c r="F846" s="82">
        <v>1425084984</v>
      </c>
      <c r="G846" s="82">
        <v>567</v>
      </c>
      <c r="H846" s="82">
        <v>114</v>
      </c>
      <c r="I846" s="82">
        <v>681</v>
      </c>
      <c r="J846" s="82">
        <v>1815</v>
      </c>
      <c r="K846" s="82">
        <v>2496</v>
      </c>
      <c r="L846" s="82">
        <v>144</v>
      </c>
      <c r="M846" s="82">
        <v>151</v>
      </c>
      <c r="N846" s="82">
        <v>146</v>
      </c>
      <c r="O846" s="82">
        <v>186</v>
      </c>
      <c r="P846" s="82">
        <v>2828</v>
      </c>
      <c r="Q846" s="82">
        <v>21534</v>
      </c>
      <c r="R846" s="12" t="s">
        <v>25</v>
      </c>
      <c r="S846" s="12" t="s">
        <v>25</v>
      </c>
      <c r="T846" s="12" t="s">
        <v>25</v>
      </c>
    </row>
    <row r="847" spans="1:20" hidden="1" x14ac:dyDescent="0.3">
      <c r="A847" s="13">
        <v>43925.708333333336</v>
      </c>
      <c r="B847" s="12" t="s">
        <v>22</v>
      </c>
      <c r="C847" s="82">
        <v>8</v>
      </c>
      <c r="D847" s="12" t="s">
        <v>95</v>
      </c>
      <c r="E847" s="82">
        <v>4449436681</v>
      </c>
      <c r="F847" s="82">
        <v>113417208</v>
      </c>
      <c r="G847" s="82">
        <v>3859</v>
      </c>
      <c r="H847" s="82">
        <v>358</v>
      </c>
      <c r="I847" s="82">
        <v>4217</v>
      </c>
      <c r="J847" s="82">
        <v>8306</v>
      </c>
      <c r="K847" s="82">
        <v>12523</v>
      </c>
      <c r="L847" s="82">
        <v>345</v>
      </c>
      <c r="M847" s="82">
        <v>608</v>
      </c>
      <c r="N847" s="82">
        <v>2040</v>
      </c>
      <c r="O847" s="82">
        <v>1977</v>
      </c>
      <c r="P847" s="82">
        <v>16540</v>
      </c>
      <c r="Q847" s="82">
        <v>67075</v>
      </c>
      <c r="R847" s="12" t="s">
        <v>25</v>
      </c>
      <c r="S847" s="12" t="s">
        <v>25</v>
      </c>
      <c r="T847" s="12" t="s">
        <v>25</v>
      </c>
    </row>
    <row r="848" spans="1:20" hidden="1" x14ac:dyDescent="0.3">
      <c r="A848" s="13">
        <v>43925.708333333336</v>
      </c>
      <c r="B848" s="12" t="s">
        <v>22</v>
      </c>
      <c r="C848" s="82">
        <v>6</v>
      </c>
      <c r="D848" s="12" t="s">
        <v>47</v>
      </c>
      <c r="E848" s="82">
        <v>456494354</v>
      </c>
      <c r="F848" s="82">
        <v>1376813649</v>
      </c>
      <c r="G848" s="82">
        <v>183</v>
      </c>
      <c r="H848" s="82">
        <v>50</v>
      </c>
      <c r="I848" s="82">
        <v>233</v>
      </c>
      <c r="J848" s="82">
        <v>1103</v>
      </c>
      <c r="K848" s="82">
        <v>1336</v>
      </c>
      <c r="L848" s="82">
        <v>12</v>
      </c>
      <c r="M848" s="82">
        <v>107</v>
      </c>
      <c r="N848" s="82">
        <v>505</v>
      </c>
      <c r="O848" s="82">
        <v>145</v>
      </c>
      <c r="P848" s="82">
        <v>1986</v>
      </c>
      <c r="Q848" s="82">
        <v>21126</v>
      </c>
      <c r="R848" s="12" t="s">
        <v>25</v>
      </c>
      <c r="S848" s="12" t="s">
        <v>25</v>
      </c>
      <c r="T848" s="12" t="s">
        <v>25</v>
      </c>
    </row>
    <row r="849" spans="1:20" hidden="1" x14ac:dyDescent="0.3">
      <c r="A849" s="13">
        <v>43925.708333333336</v>
      </c>
      <c r="B849" s="12" t="s">
        <v>22</v>
      </c>
      <c r="C849" s="82">
        <v>12</v>
      </c>
      <c r="D849" s="12" t="s">
        <v>48</v>
      </c>
      <c r="E849" s="82">
        <v>4189277044</v>
      </c>
      <c r="F849" s="82">
        <v>1248366722</v>
      </c>
      <c r="G849" s="82">
        <v>1236</v>
      </c>
      <c r="H849" s="82">
        <v>193</v>
      </c>
      <c r="I849" s="82">
        <v>1429</v>
      </c>
      <c r="J849" s="82">
        <v>1677</v>
      </c>
      <c r="K849" s="82">
        <v>3106</v>
      </c>
      <c r="L849" s="82">
        <v>97</v>
      </c>
      <c r="M849" s="82">
        <v>157</v>
      </c>
      <c r="N849" s="82">
        <v>439</v>
      </c>
      <c r="O849" s="82">
        <v>212</v>
      </c>
      <c r="P849" s="82">
        <v>3757</v>
      </c>
      <c r="Q849" s="82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82">
        <v>7</v>
      </c>
      <c r="D850" s="12" t="s">
        <v>49</v>
      </c>
      <c r="E850" s="82">
        <v>4441149315</v>
      </c>
      <c r="F850" s="82">
        <v>89326992</v>
      </c>
      <c r="G850" s="82">
        <v>1121</v>
      </c>
      <c r="H850" s="82">
        <v>169</v>
      </c>
      <c r="I850" s="82">
        <v>1290</v>
      </c>
      <c r="J850" s="82">
        <v>1604</v>
      </c>
      <c r="K850" s="82">
        <v>2894</v>
      </c>
      <c r="L850" s="82">
        <v>148</v>
      </c>
      <c r="M850" s="82">
        <v>238</v>
      </c>
      <c r="N850" s="82">
        <v>767</v>
      </c>
      <c r="O850" s="82">
        <v>542</v>
      </c>
      <c r="P850" s="82">
        <v>4203</v>
      </c>
      <c r="Q850" s="82">
        <v>14087</v>
      </c>
      <c r="R850" s="12" t="s">
        <v>25</v>
      </c>
      <c r="S850" s="12" t="s">
        <v>25</v>
      </c>
      <c r="T850" s="12" t="s">
        <v>25</v>
      </c>
    </row>
    <row r="851" spans="1:20" hidden="1" x14ac:dyDescent="0.3">
      <c r="A851" s="13">
        <v>43925.708333333336</v>
      </c>
      <c r="B851" s="12" t="s">
        <v>22</v>
      </c>
      <c r="C851" s="82">
        <v>3</v>
      </c>
      <c r="D851" s="12" t="s">
        <v>50</v>
      </c>
      <c r="E851" s="82">
        <v>4546679409</v>
      </c>
      <c r="F851" s="82">
        <v>9190347404</v>
      </c>
      <c r="G851" s="82">
        <v>12002</v>
      </c>
      <c r="H851" s="82">
        <v>1326</v>
      </c>
      <c r="I851" s="82">
        <v>13328</v>
      </c>
      <c r="J851" s="82">
        <v>13892</v>
      </c>
      <c r="K851" s="82">
        <v>27220</v>
      </c>
      <c r="L851" s="82">
        <v>1031</v>
      </c>
      <c r="M851" s="82">
        <v>1598</v>
      </c>
      <c r="N851" s="82">
        <v>13242</v>
      </c>
      <c r="O851" s="82">
        <v>8656</v>
      </c>
      <c r="P851" s="82">
        <v>49118</v>
      </c>
      <c r="Q851" s="82">
        <v>141877</v>
      </c>
      <c r="R851" s="12" t="s">
        <v>25</v>
      </c>
      <c r="S851" s="12" t="s">
        <v>25</v>
      </c>
      <c r="T851" s="12" t="s">
        <v>25</v>
      </c>
    </row>
    <row r="852" spans="1:20" hidden="1" x14ac:dyDescent="0.3">
      <c r="A852" s="13">
        <v>43925.708333333336</v>
      </c>
      <c r="B852" s="12" t="s">
        <v>22</v>
      </c>
      <c r="C852" s="82">
        <v>11</v>
      </c>
      <c r="D852" s="12" t="s">
        <v>51</v>
      </c>
      <c r="E852" s="82">
        <v>4361675973</v>
      </c>
      <c r="F852" s="82">
        <v>135188753</v>
      </c>
      <c r="G852" s="82">
        <v>997</v>
      </c>
      <c r="H852" s="82">
        <v>153</v>
      </c>
      <c r="I852" s="82">
        <v>1150</v>
      </c>
      <c r="J852" s="82">
        <v>2347</v>
      </c>
      <c r="K852" s="82">
        <v>3497</v>
      </c>
      <c r="L852" s="82">
        <v>-134</v>
      </c>
      <c r="M852" s="82">
        <v>111</v>
      </c>
      <c r="N852" s="82">
        <v>270</v>
      </c>
      <c r="O852" s="82">
        <v>574</v>
      </c>
      <c r="P852" s="82">
        <v>4341</v>
      </c>
      <c r="Q852" s="82">
        <v>14472</v>
      </c>
      <c r="R852" s="12" t="s">
        <v>25</v>
      </c>
      <c r="S852" s="12" t="s">
        <v>25</v>
      </c>
      <c r="T852" s="12" t="s">
        <v>25</v>
      </c>
    </row>
    <row r="853" spans="1:20" hidden="1" x14ac:dyDescent="0.3">
      <c r="A853" s="13">
        <v>43925.708333333336</v>
      </c>
      <c r="B853" s="12" t="s">
        <v>22</v>
      </c>
      <c r="C853" s="82">
        <v>14</v>
      </c>
      <c r="D853" s="12" t="s">
        <v>52</v>
      </c>
      <c r="E853" s="82">
        <v>4155774754</v>
      </c>
      <c r="F853" s="82">
        <v>1465916051</v>
      </c>
      <c r="G853" s="82">
        <v>31</v>
      </c>
      <c r="H853" s="82">
        <v>6</v>
      </c>
      <c r="I853" s="82">
        <v>37</v>
      </c>
      <c r="J853" s="82">
        <v>134</v>
      </c>
      <c r="K853" s="82">
        <v>171</v>
      </c>
      <c r="L853" s="82">
        <v>27</v>
      </c>
      <c r="M853" s="82">
        <v>30</v>
      </c>
      <c r="N853" s="82">
        <v>24</v>
      </c>
      <c r="O853" s="82">
        <v>11</v>
      </c>
      <c r="P853" s="82">
        <v>206</v>
      </c>
      <c r="Q853" s="82">
        <v>1504</v>
      </c>
      <c r="R853" s="12" t="s">
        <v>25</v>
      </c>
      <c r="S853" s="12" t="s">
        <v>25</v>
      </c>
      <c r="T853" s="12" t="s">
        <v>25</v>
      </c>
    </row>
    <row r="854" spans="1:20" hidden="1" x14ac:dyDescent="0.3">
      <c r="A854" s="13">
        <v>43925.708333333336</v>
      </c>
      <c r="B854" s="12" t="s">
        <v>22</v>
      </c>
      <c r="C854" s="82">
        <v>1</v>
      </c>
      <c r="D854" s="12" t="s">
        <v>53</v>
      </c>
      <c r="E854" s="82">
        <v>450732745</v>
      </c>
      <c r="F854" s="82">
        <v>7680687483</v>
      </c>
      <c r="G854" s="82">
        <v>3441</v>
      </c>
      <c r="H854" s="82">
        <v>450</v>
      </c>
      <c r="I854" s="82">
        <v>3891</v>
      </c>
      <c r="J854" s="82">
        <v>5802</v>
      </c>
      <c r="K854" s="82">
        <v>9693</v>
      </c>
      <c r="L854" s="82">
        <v>563</v>
      </c>
      <c r="M854" s="82">
        <v>813</v>
      </c>
      <c r="N854" s="82">
        <v>888</v>
      </c>
      <c r="O854" s="82">
        <v>1128</v>
      </c>
      <c r="P854" s="82">
        <v>11709</v>
      </c>
      <c r="Q854" s="82">
        <v>37181</v>
      </c>
      <c r="R854" s="12" t="s">
        <v>25</v>
      </c>
      <c r="S854" s="12" t="s">
        <v>25</v>
      </c>
      <c r="T854" s="12" t="s">
        <v>25</v>
      </c>
    </row>
    <row r="855" spans="1:20" hidden="1" x14ac:dyDescent="0.3">
      <c r="A855" s="13">
        <v>43925.708333333336</v>
      </c>
      <c r="B855" s="12" t="s">
        <v>22</v>
      </c>
      <c r="C855" s="82">
        <v>16</v>
      </c>
      <c r="D855" s="12" t="s">
        <v>54</v>
      </c>
      <c r="E855" s="82">
        <v>4112559576</v>
      </c>
      <c r="F855" s="82">
        <v>1686736689</v>
      </c>
      <c r="G855" s="82">
        <v>627</v>
      </c>
      <c r="H855" s="82">
        <v>153</v>
      </c>
      <c r="I855" s="82">
        <v>780</v>
      </c>
      <c r="J855" s="82">
        <v>1193</v>
      </c>
      <c r="K855" s="82">
        <v>1973</v>
      </c>
      <c r="L855" s="82">
        <v>24</v>
      </c>
      <c r="M855" s="82">
        <v>58</v>
      </c>
      <c r="N855" s="82">
        <v>94</v>
      </c>
      <c r="O855" s="82">
        <v>173</v>
      </c>
      <c r="P855" s="82">
        <v>2240</v>
      </c>
      <c r="Q855" s="82">
        <v>18977</v>
      </c>
      <c r="R855" s="12" t="s">
        <v>25</v>
      </c>
      <c r="S855" s="12" t="s">
        <v>25</v>
      </c>
      <c r="T855" s="12" t="s">
        <v>25</v>
      </c>
    </row>
    <row r="856" spans="1:20" hidden="1" x14ac:dyDescent="0.3">
      <c r="A856" s="13">
        <v>43925.708333333336</v>
      </c>
      <c r="B856" s="12" t="s">
        <v>22</v>
      </c>
      <c r="C856" s="82">
        <v>20</v>
      </c>
      <c r="D856" s="12" t="s">
        <v>55</v>
      </c>
      <c r="E856" s="82">
        <v>3921531192</v>
      </c>
      <c r="F856" s="82">
        <v>9110616306</v>
      </c>
      <c r="G856" s="82">
        <v>123</v>
      </c>
      <c r="H856" s="82">
        <v>24</v>
      </c>
      <c r="I856" s="82">
        <v>147</v>
      </c>
      <c r="J856" s="82">
        <v>642</v>
      </c>
      <c r="K856" s="82">
        <v>789</v>
      </c>
      <c r="L856" s="82">
        <v>45</v>
      </c>
      <c r="M856" s="82">
        <v>49</v>
      </c>
      <c r="N856" s="82">
        <v>44</v>
      </c>
      <c r="O856" s="82">
        <v>41</v>
      </c>
      <c r="P856" s="82">
        <v>874</v>
      </c>
      <c r="Q856" s="82">
        <v>6789</v>
      </c>
      <c r="R856" s="12" t="s">
        <v>25</v>
      </c>
      <c r="S856" s="12" t="s">
        <v>25</v>
      </c>
      <c r="T856" s="12" t="s">
        <v>25</v>
      </c>
    </row>
    <row r="857" spans="1:20" hidden="1" x14ac:dyDescent="0.3">
      <c r="A857" s="13">
        <v>43925.708333333336</v>
      </c>
      <c r="B857" s="12" t="s">
        <v>22</v>
      </c>
      <c r="C857" s="82">
        <v>19</v>
      </c>
      <c r="D857" s="12" t="s">
        <v>56</v>
      </c>
      <c r="E857" s="82">
        <v>3811569725</v>
      </c>
      <c r="F857" s="82">
        <v>133623567</v>
      </c>
      <c r="G857" s="82">
        <v>553</v>
      </c>
      <c r="H857" s="82">
        <v>74</v>
      </c>
      <c r="I857" s="82">
        <v>627</v>
      </c>
      <c r="J857" s="82">
        <v>1099</v>
      </c>
      <c r="K857" s="82">
        <v>1726</v>
      </c>
      <c r="L857" s="82">
        <v>62</v>
      </c>
      <c r="M857" s="82">
        <v>73</v>
      </c>
      <c r="N857" s="82">
        <v>95</v>
      </c>
      <c r="O857" s="82">
        <v>111</v>
      </c>
      <c r="P857" s="82">
        <v>1932</v>
      </c>
      <c r="Q857" s="82">
        <v>19896</v>
      </c>
      <c r="R857" s="12" t="s">
        <v>25</v>
      </c>
      <c r="S857" s="12" t="s">
        <v>25</v>
      </c>
      <c r="T857" s="12" t="s">
        <v>25</v>
      </c>
    </row>
    <row r="858" spans="1:20" hidden="1" x14ac:dyDescent="0.3">
      <c r="A858" s="13">
        <v>43925.708333333336</v>
      </c>
      <c r="B858" s="12" t="s">
        <v>22</v>
      </c>
      <c r="C858" s="82">
        <v>9</v>
      </c>
      <c r="D858" s="12" t="s">
        <v>57</v>
      </c>
      <c r="E858" s="82">
        <v>4376923077</v>
      </c>
      <c r="F858" s="82">
        <v>1125588885</v>
      </c>
      <c r="G858" s="82">
        <v>1129</v>
      </c>
      <c r="H858" s="82">
        <v>286</v>
      </c>
      <c r="I858" s="82">
        <v>1415</v>
      </c>
      <c r="J858" s="82">
        <v>3639</v>
      </c>
      <c r="K858" s="82">
        <v>5054</v>
      </c>
      <c r="L858" s="82">
        <v>145</v>
      </c>
      <c r="M858" s="82">
        <v>172</v>
      </c>
      <c r="N858" s="82">
        <v>310</v>
      </c>
      <c r="O858" s="82">
        <v>307</v>
      </c>
      <c r="P858" s="82">
        <v>5671</v>
      </c>
      <c r="Q858" s="82">
        <v>47886</v>
      </c>
      <c r="R858" s="12" t="s">
        <v>25</v>
      </c>
      <c r="S858" s="12" t="s">
        <v>25</v>
      </c>
      <c r="T858" s="12" t="s">
        <v>25</v>
      </c>
    </row>
    <row r="859" spans="1:20" hidden="1" x14ac:dyDescent="0.3">
      <c r="A859" s="13">
        <v>43925.708333333336</v>
      </c>
      <c r="B859" s="12" t="s">
        <v>22</v>
      </c>
      <c r="C859" s="82">
        <v>22</v>
      </c>
      <c r="D859" s="12" t="s">
        <v>58</v>
      </c>
      <c r="E859" s="82">
        <v>4606893511</v>
      </c>
      <c r="F859" s="82">
        <v>1112123097</v>
      </c>
      <c r="G859" s="82">
        <v>353</v>
      </c>
      <c r="H859" s="82">
        <v>81</v>
      </c>
      <c r="I859" s="82">
        <v>434</v>
      </c>
      <c r="J859" s="82">
        <v>1319</v>
      </c>
      <c r="K859" s="82">
        <v>1753</v>
      </c>
      <c r="L859" s="82">
        <v>94</v>
      </c>
      <c r="M859" s="82">
        <v>111</v>
      </c>
      <c r="N859" s="82">
        <v>257</v>
      </c>
      <c r="O859" s="82">
        <v>210</v>
      </c>
      <c r="P859" s="82">
        <v>2220</v>
      </c>
      <c r="Q859" s="82">
        <v>9863</v>
      </c>
      <c r="R859" s="12" t="s">
        <v>25</v>
      </c>
      <c r="S859" s="12" t="s">
        <v>25</v>
      </c>
      <c r="T859" s="12" t="s">
        <v>25</v>
      </c>
    </row>
    <row r="860" spans="1:20" hidden="1" x14ac:dyDescent="0.3">
      <c r="A860" s="13">
        <v>43925.708333333336</v>
      </c>
      <c r="B860" s="12" t="s">
        <v>22</v>
      </c>
      <c r="C860" s="82">
        <v>10</v>
      </c>
      <c r="D860" s="12" t="s">
        <v>59</v>
      </c>
      <c r="E860" s="82">
        <v>4310675841</v>
      </c>
      <c r="F860" s="82">
        <v>1238824698</v>
      </c>
      <c r="G860" s="82">
        <v>167</v>
      </c>
      <c r="H860" s="82">
        <v>44</v>
      </c>
      <c r="I860" s="82">
        <v>211</v>
      </c>
      <c r="J860" s="82">
        <v>716</v>
      </c>
      <c r="K860" s="82">
        <v>927</v>
      </c>
      <c r="L860" s="82">
        <v>7</v>
      </c>
      <c r="M860" s="82">
        <v>31</v>
      </c>
      <c r="N860" s="82">
        <v>242</v>
      </c>
      <c r="O860" s="82">
        <v>41</v>
      </c>
      <c r="P860" s="82">
        <v>1210</v>
      </c>
      <c r="Q860" s="82">
        <v>11809</v>
      </c>
      <c r="R860" s="12" t="s">
        <v>25</v>
      </c>
      <c r="S860" s="12" t="s">
        <v>25</v>
      </c>
      <c r="T860" s="12" t="s">
        <v>25</v>
      </c>
    </row>
    <row r="861" spans="1:20" hidden="1" x14ac:dyDescent="0.3">
      <c r="A861" s="13">
        <v>43925.708333333336</v>
      </c>
      <c r="B861" s="12" t="s">
        <v>22</v>
      </c>
      <c r="C861" s="82">
        <v>2</v>
      </c>
      <c r="D861" s="12" t="s">
        <v>60</v>
      </c>
      <c r="E861" s="82">
        <v>4573750286</v>
      </c>
      <c r="F861" s="82">
        <v>7320149366</v>
      </c>
      <c r="G861" s="82">
        <v>63</v>
      </c>
      <c r="H861" s="82">
        <v>23</v>
      </c>
      <c r="I861" s="82">
        <v>86</v>
      </c>
      <c r="J861" s="82">
        <v>474</v>
      </c>
      <c r="K861" s="82">
        <v>560</v>
      </c>
      <c r="L861" s="82">
        <v>0</v>
      </c>
      <c r="M861" s="82">
        <v>29</v>
      </c>
      <c r="N861" s="82">
        <v>106</v>
      </c>
      <c r="O861" s="82">
        <v>82</v>
      </c>
      <c r="P861" s="82">
        <v>748</v>
      </c>
      <c r="Q861" s="82">
        <v>2274</v>
      </c>
      <c r="R861" s="12" t="s">
        <v>25</v>
      </c>
      <c r="S861" s="12" t="s">
        <v>25</v>
      </c>
      <c r="T861" s="12" t="s">
        <v>25</v>
      </c>
    </row>
    <row r="862" spans="1:20" hidden="1" x14ac:dyDescent="0.3">
      <c r="A862" s="13">
        <v>43925.708333333336</v>
      </c>
      <c r="B862" s="12" t="s">
        <v>22</v>
      </c>
      <c r="C862" s="82">
        <v>5</v>
      </c>
      <c r="D862" s="12" t="s">
        <v>61</v>
      </c>
      <c r="E862" s="82">
        <v>4543490485</v>
      </c>
      <c r="F862" s="82">
        <v>1233845213</v>
      </c>
      <c r="G862" s="82">
        <v>1691</v>
      </c>
      <c r="H862" s="82">
        <v>324</v>
      </c>
      <c r="I862" s="82">
        <v>2015</v>
      </c>
      <c r="J862" s="82">
        <v>7078</v>
      </c>
      <c r="K862" s="82">
        <v>9093</v>
      </c>
      <c r="L862" s="82">
        <v>232</v>
      </c>
      <c r="M862" s="82">
        <v>360</v>
      </c>
      <c r="N862" s="82">
        <v>1124</v>
      </c>
      <c r="O862" s="82">
        <v>607</v>
      </c>
      <c r="P862" s="82">
        <v>10824</v>
      </c>
      <c r="Q862" s="82">
        <v>133289</v>
      </c>
      <c r="R862" s="12" t="s">
        <v>25</v>
      </c>
      <c r="S862" s="12" t="s">
        <v>25</v>
      </c>
      <c r="T862" s="12" t="s">
        <v>25</v>
      </c>
    </row>
    <row r="863" spans="1:20" hidden="1" x14ac:dyDescent="0.3">
      <c r="A863" s="13">
        <v>43926.708333333336</v>
      </c>
      <c r="B863" s="12" t="s">
        <v>22</v>
      </c>
      <c r="C863" s="82">
        <v>13</v>
      </c>
      <c r="D863" s="12" t="s">
        <v>42</v>
      </c>
      <c r="E863" s="82">
        <v>4235122196</v>
      </c>
      <c r="F863" s="82">
        <v>1339843823</v>
      </c>
      <c r="G863" s="82">
        <v>347</v>
      </c>
      <c r="H863" s="82">
        <v>67</v>
      </c>
      <c r="I863" s="82">
        <v>414</v>
      </c>
      <c r="J863" s="82">
        <v>1006</v>
      </c>
      <c r="K863" s="82">
        <v>1420</v>
      </c>
      <c r="L863" s="82">
        <v>64</v>
      </c>
      <c r="M863" s="82">
        <v>75</v>
      </c>
      <c r="N863" s="82">
        <v>125</v>
      </c>
      <c r="O863" s="82">
        <v>158</v>
      </c>
      <c r="P863" s="82">
        <v>1703</v>
      </c>
      <c r="Q863" s="82">
        <v>13598</v>
      </c>
      <c r="R863" s="12" t="s">
        <v>25</v>
      </c>
      <c r="S863" s="12" t="s">
        <v>25</v>
      </c>
      <c r="T863" s="12" t="s">
        <v>25</v>
      </c>
    </row>
    <row r="864" spans="1:20" hidden="1" x14ac:dyDescent="0.3">
      <c r="A864" s="13">
        <v>43926.708333333336</v>
      </c>
      <c r="B864" s="12" t="s">
        <v>22</v>
      </c>
      <c r="C864" s="82">
        <v>17</v>
      </c>
      <c r="D864" s="12" t="s">
        <v>43</v>
      </c>
      <c r="E864" s="82">
        <v>4063947052</v>
      </c>
      <c r="F864" s="82">
        <v>1580514834</v>
      </c>
      <c r="G864" s="82">
        <v>46</v>
      </c>
      <c r="H864" s="82">
        <v>18</v>
      </c>
      <c r="I864" s="82">
        <v>64</v>
      </c>
      <c r="J864" s="82">
        <v>190</v>
      </c>
      <c r="K864" s="82">
        <v>254</v>
      </c>
      <c r="L864" s="82">
        <v>10</v>
      </c>
      <c r="M864" s="82">
        <v>14</v>
      </c>
      <c r="N864" s="82">
        <v>11</v>
      </c>
      <c r="O864" s="82">
        <v>13</v>
      </c>
      <c r="P864" s="82">
        <v>278</v>
      </c>
      <c r="Q864" s="82">
        <v>2931</v>
      </c>
      <c r="R864" s="12" t="s">
        <v>25</v>
      </c>
      <c r="S864" s="12" t="s">
        <v>25</v>
      </c>
      <c r="T864" s="12" t="s">
        <v>25</v>
      </c>
    </row>
    <row r="865" spans="1:20" hidden="1" x14ac:dyDescent="0.3">
      <c r="A865" s="13">
        <v>43926.708333333336</v>
      </c>
      <c r="B865" s="12" t="s">
        <v>22</v>
      </c>
      <c r="C865" s="82">
        <v>21</v>
      </c>
      <c r="D865" s="12" t="s">
        <v>44</v>
      </c>
      <c r="E865" s="82">
        <v>4649933453</v>
      </c>
      <c r="F865" s="82">
        <v>1135662422</v>
      </c>
      <c r="G865" s="82">
        <v>239</v>
      </c>
      <c r="H865" s="82">
        <v>53</v>
      </c>
      <c r="I865" s="82">
        <v>292</v>
      </c>
      <c r="J865" s="82">
        <v>934</v>
      </c>
      <c r="K865" s="82">
        <v>1226</v>
      </c>
      <c r="L865" s="82">
        <v>25</v>
      </c>
      <c r="M865" s="82">
        <v>52</v>
      </c>
      <c r="N865" s="82">
        <v>260</v>
      </c>
      <c r="O865" s="82">
        <v>158</v>
      </c>
      <c r="P865" s="82">
        <v>1644</v>
      </c>
      <c r="Q865" s="82">
        <v>15723</v>
      </c>
      <c r="R865" s="12" t="s">
        <v>25</v>
      </c>
      <c r="S865" s="12" t="s">
        <v>25</v>
      </c>
      <c r="T865" s="12" t="s">
        <v>25</v>
      </c>
    </row>
    <row r="866" spans="1:20" hidden="1" x14ac:dyDescent="0.3">
      <c r="A866" s="13">
        <v>43926.708333333336</v>
      </c>
      <c r="B866" s="12" t="s">
        <v>22</v>
      </c>
      <c r="C866" s="82">
        <v>18</v>
      </c>
      <c r="D866" s="12" t="s">
        <v>45</v>
      </c>
      <c r="E866" s="82">
        <v>3890597598</v>
      </c>
      <c r="F866" s="82">
        <v>1659440194</v>
      </c>
      <c r="G866" s="82">
        <v>174</v>
      </c>
      <c r="H866" s="82">
        <v>13</v>
      </c>
      <c r="I866" s="82">
        <v>187</v>
      </c>
      <c r="J866" s="82">
        <v>519</v>
      </c>
      <c r="K866" s="82">
        <v>706</v>
      </c>
      <c r="L866" s="82">
        <v>44</v>
      </c>
      <c r="M866" s="82">
        <v>54</v>
      </c>
      <c r="N866" s="82">
        <v>33</v>
      </c>
      <c r="O866" s="82">
        <v>56</v>
      </c>
      <c r="P866" s="82">
        <v>795</v>
      </c>
      <c r="Q866" s="82">
        <v>13077</v>
      </c>
      <c r="R866" s="12" t="s">
        <v>25</v>
      </c>
      <c r="S866" s="12" t="s">
        <v>25</v>
      </c>
      <c r="T866" s="12" t="s">
        <v>25</v>
      </c>
    </row>
    <row r="867" spans="1:20" hidden="1" x14ac:dyDescent="0.3">
      <c r="A867" s="13">
        <v>43926.708333333336</v>
      </c>
      <c r="B867" s="12" t="s">
        <v>22</v>
      </c>
      <c r="C867" s="82">
        <v>15</v>
      </c>
      <c r="D867" s="12" t="s">
        <v>46</v>
      </c>
      <c r="E867" s="82">
        <v>4083956555</v>
      </c>
      <c r="F867" s="82">
        <v>1425084984</v>
      </c>
      <c r="G867" s="82">
        <v>609</v>
      </c>
      <c r="H867" s="82">
        <v>108</v>
      </c>
      <c r="I867" s="82">
        <v>717</v>
      </c>
      <c r="J867" s="82">
        <v>1904</v>
      </c>
      <c r="K867" s="82">
        <v>2621</v>
      </c>
      <c r="L867" s="82">
        <v>125</v>
      </c>
      <c r="M867" s="82">
        <v>132</v>
      </c>
      <c r="N867" s="82">
        <v>150</v>
      </c>
      <c r="O867" s="82">
        <v>189</v>
      </c>
      <c r="P867" s="82">
        <v>2960</v>
      </c>
      <c r="Q867" s="82">
        <v>23139</v>
      </c>
      <c r="R867" s="12" t="s">
        <v>25</v>
      </c>
      <c r="S867" s="12" t="s">
        <v>25</v>
      </c>
      <c r="T867" s="12" t="s">
        <v>25</v>
      </c>
    </row>
    <row r="868" spans="1:20" hidden="1" x14ac:dyDescent="0.3">
      <c r="A868" s="13">
        <v>43926.708333333336</v>
      </c>
      <c r="B868" s="12" t="s">
        <v>22</v>
      </c>
      <c r="C868" s="82">
        <v>8</v>
      </c>
      <c r="D868" s="12" t="s">
        <v>95</v>
      </c>
      <c r="E868" s="82">
        <v>4449436681</v>
      </c>
      <c r="F868" s="82">
        <v>113417208</v>
      </c>
      <c r="G868" s="82">
        <v>3839</v>
      </c>
      <c r="H868" s="82">
        <v>375</v>
      </c>
      <c r="I868" s="82">
        <v>4214</v>
      </c>
      <c r="J868" s="82">
        <v>8623</v>
      </c>
      <c r="K868" s="82">
        <v>12837</v>
      </c>
      <c r="L868" s="82">
        <v>314</v>
      </c>
      <c r="M868" s="82">
        <v>549</v>
      </c>
      <c r="N868" s="82">
        <v>2201</v>
      </c>
      <c r="O868" s="82">
        <v>2051</v>
      </c>
      <c r="P868" s="82">
        <v>17089</v>
      </c>
      <c r="Q868" s="82">
        <v>69986</v>
      </c>
      <c r="R868" s="12" t="s">
        <v>25</v>
      </c>
      <c r="S868" s="12" t="s">
        <v>25</v>
      </c>
      <c r="T868" s="12" t="s">
        <v>25</v>
      </c>
    </row>
    <row r="869" spans="1:20" hidden="1" x14ac:dyDescent="0.3">
      <c r="A869" s="13">
        <v>43926.708333333336</v>
      </c>
      <c r="B869" s="12" t="s">
        <v>22</v>
      </c>
      <c r="C869" s="82">
        <v>6</v>
      </c>
      <c r="D869" s="12" t="s">
        <v>47</v>
      </c>
      <c r="E869" s="82">
        <v>456494354</v>
      </c>
      <c r="F869" s="82">
        <v>1376813649</v>
      </c>
      <c r="G869" s="82">
        <v>185</v>
      </c>
      <c r="H869" s="82">
        <v>50</v>
      </c>
      <c r="I869" s="82">
        <v>235</v>
      </c>
      <c r="J869" s="82">
        <v>1128</v>
      </c>
      <c r="K869" s="82">
        <v>1363</v>
      </c>
      <c r="L869" s="82">
        <v>27</v>
      </c>
      <c r="M869" s="82">
        <v>62</v>
      </c>
      <c r="N869" s="82">
        <v>531</v>
      </c>
      <c r="O869" s="82">
        <v>154</v>
      </c>
      <c r="P869" s="82">
        <v>2048</v>
      </c>
      <c r="Q869" s="82">
        <v>21652</v>
      </c>
      <c r="R869" s="12" t="s">
        <v>25</v>
      </c>
      <c r="S869" s="12" t="s">
        <v>25</v>
      </c>
      <c r="T869" s="12" t="s">
        <v>25</v>
      </c>
    </row>
    <row r="870" spans="1:20" hidden="1" x14ac:dyDescent="0.3">
      <c r="A870" s="13">
        <v>43926.708333333336</v>
      </c>
      <c r="B870" s="12" t="s">
        <v>22</v>
      </c>
      <c r="C870" s="82">
        <v>12</v>
      </c>
      <c r="D870" s="12" t="s">
        <v>48</v>
      </c>
      <c r="E870" s="82">
        <v>4189277044</v>
      </c>
      <c r="F870" s="82">
        <v>1248366722</v>
      </c>
      <c r="G870" s="82">
        <v>1235</v>
      </c>
      <c r="H870" s="82">
        <v>197</v>
      </c>
      <c r="I870" s="82">
        <v>1432</v>
      </c>
      <c r="J870" s="82">
        <v>1754</v>
      </c>
      <c r="K870" s="82">
        <v>3186</v>
      </c>
      <c r="L870" s="82">
        <v>80</v>
      </c>
      <c r="M870" s="82">
        <v>123</v>
      </c>
      <c r="N870" s="82">
        <v>475</v>
      </c>
      <c r="O870" s="82">
        <v>219</v>
      </c>
      <c r="P870" s="82">
        <v>3880</v>
      </c>
      <c r="Q870" s="82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82">
        <v>7</v>
      </c>
      <c r="D871" s="12" t="s">
        <v>49</v>
      </c>
      <c r="E871" s="82">
        <v>4441149315</v>
      </c>
      <c r="F871" s="82">
        <v>89326992</v>
      </c>
      <c r="G871" s="82">
        <v>1126</v>
      </c>
      <c r="H871" s="82">
        <v>165</v>
      </c>
      <c r="I871" s="82">
        <v>1291</v>
      </c>
      <c r="J871" s="82">
        <v>1802</v>
      </c>
      <c r="K871" s="82">
        <v>3093</v>
      </c>
      <c r="L871" s="82">
        <v>199</v>
      </c>
      <c r="M871" s="82">
        <v>246</v>
      </c>
      <c r="N871" s="82">
        <v>800</v>
      </c>
      <c r="O871" s="82">
        <v>556</v>
      </c>
      <c r="P871" s="82">
        <v>4449</v>
      </c>
      <c r="Q871" s="82">
        <v>15047</v>
      </c>
      <c r="R871" s="12" t="s">
        <v>25</v>
      </c>
      <c r="S871" s="12" t="s">
        <v>25</v>
      </c>
      <c r="T871" s="12" t="s">
        <v>25</v>
      </c>
    </row>
    <row r="872" spans="1:20" hidden="1" x14ac:dyDescent="0.3">
      <c r="A872" s="13">
        <v>43926.708333333336</v>
      </c>
      <c r="B872" s="12" t="s">
        <v>22</v>
      </c>
      <c r="C872" s="82">
        <v>3</v>
      </c>
      <c r="D872" s="12" t="s">
        <v>50</v>
      </c>
      <c r="E872" s="82">
        <v>4546679409</v>
      </c>
      <c r="F872" s="82">
        <v>9190347404</v>
      </c>
      <c r="G872" s="82">
        <v>12009</v>
      </c>
      <c r="H872" s="82">
        <v>1317</v>
      </c>
      <c r="I872" s="82">
        <v>13326</v>
      </c>
      <c r="J872" s="82">
        <v>14798</v>
      </c>
      <c r="K872" s="82">
        <v>28124</v>
      </c>
      <c r="L872" s="82">
        <v>904</v>
      </c>
      <c r="M872" s="82">
        <v>1337</v>
      </c>
      <c r="N872" s="82">
        <v>13426</v>
      </c>
      <c r="O872" s="82">
        <v>8905</v>
      </c>
      <c r="P872" s="82">
        <v>50455</v>
      </c>
      <c r="Q872" s="82">
        <v>149984</v>
      </c>
      <c r="R872" s="12" t="s">
        <v>25</v>
      </c>
      <c r="S872" s="12" t="s">
        <v>25</v>
      </c>
      <c r="T872" s="12" t="s">
        <v>25</v>
      </c>
    </row>
    <row r="873" spans="1:20" hidden="1" x14ac:dyDescent="0.3">
      <c r="A873" s="13">
        <v>43926.708333333336</v>
      </c>
      <c r="B873" s="12" t="s">
        <v>22</v>
      </c>
      <c r="C873" s="82">
        <v>11</v>
      </c>
      <c r="D873" s="12" t="s">
        <v>51</v>
      </c>
      <c r="E873" s="82">
        <v>4361675973</v>
      </c>
      <c r="F873" s="82">
        <v>135188753</v>
      </c>
      <c r="G873" s="82">
        <v>987</v>
      </c>
      <c r="H873" s="82">
        <v>151</v>
      </c>
      <c r="I873" s="82">
        <v>1138</v>
      </c>
      <c r="J873" s="82">
        <v>2440</v>
      </c>
      <c r="K873" s="82">
        <v>3578</v>
      </c>
      <c r="L873" s="82">
        <v>81</v>
      </c>
      <c r="M873" s="82">
        <v>123</v>
      </c>
      <c r="N873" s="82">
        <v>287</v>
      </c>
      <c r="O873" s="82">
        <v>599</v>
      </c>
      <c r="P873" s="82">
        <v>4464</v>
      </c>
      <c r="Q873" s="82">
        <v>15252</v>
      </c>
      <c r="R873" s="12" t="s">
        <v>25</v>
      </c>
      <c r="S873" s="12" t="s">
        <v>25</v>
      </c>
      <c r="T873" s="12" t="s">
        <v>25</v>
      </c>
    </row>
    <row r="874" spans="1:20" hidden="1" x14ac:dyDescent="0.3">
      <c r="A874" s="13">
        <v>43926.708333333336</v>
      </c>
      <c r="B874" s="12" t="s">
        <v>22</v>
      </c>
      <c r="C874" s="82">
        <v>14</v>
      </c>
      <c r="D874" s="12" t="s">
        <v>52</v>
      </c>
      <c r="E874" s="82">
        <v>4155774754</v>
      </c>
      <c r="F874" s="82">
        <v>1465916051</v>
      </c>
      <c r="G874" s="82">
        <v>33</v>
      </c>
      <c r="H874" s="82">
        <v>6</v>
      </c>
      <c r="I874" s="82">
        <v>39</v>
      </c>
      <c r="J874" s="82">
        <v>148</v>
      </c>
      <c r="K874" s="82">
        <v>187</v>
      </c>
      <c r="L874" s="82">
        <v>16</v>
      </c>
      <c r="M874" s="82">
        <v>18</v>
      </c>
      <c r="N874" s="82">
        <v>24</v>
      </c>
      <c r="O874" s="82">
        <v>13</v>
      </c>
      <c r="P874" s="82">
        <v>224</v>
      </c>
      <c r="Q874" s="82">
        <v>1504</v>
      </c>
      <c r="R874" s="12" t="s">
        <v>25</v>
      </c>
      <c r="S874" s="12" t="s">
        <v>25</v>
      </c>
      <c r="T874" s="12" t="s">
        <v>25</v>
      </c>
    </row>
    <row r="875" spans="1:20" hidden="1" x14ac:dyDescent="0.3">
      <c r="A875" s="13">
        <v>43926.708333333336</v>
      </c>
      <c r="B875" s="12" t="s">
        <v>22</v>
      </c>
      <c r="C875" s="82">
        <v>1</v>
      </c>
      <c r="D875" s="12" t="s">
        <v>53</v>
      </c>
      <c r="E875" s="82">
        <v>450732745</v>
      </c>
      <c r="F875" s="82">
        <v>7680687483</v>
      </c>
      <c r="G875" s="82">
        <v>3472</v>
      </c>
      <c r="H875" s="82">
        <v>444</v>
      </c>
      <c r="I875" s="82">
        <v>3916</v>
      </c>
      <c r="J875" s="82">
        <v>6261</v>
      </c>
      <c r="K875" s="82">
        <v>10177</v>
      </c>
      <c r="L875" s="82">
        <v>484</v>
      </c>
      <c r="M875" s="82">
        <v>653</v>
      </c>
      <c r="N875" s="82">
        <v>1017</v>
      </c>
      <c r="O875" s="82">
        <v>1168</v>
      </c>
      <c r="P875" s="82">
        <v>12362</v>
      </c>
      <c r="Q875" s="82">
        <v>38539</v>
      </c>
      <c r="R875" s="12" t="s">
        <v>25</v>
      </c>
      <c r="S875" s="12" t="s">
        <v>25</v>
      </c>
      <c r="T875" s="12" t="s">
        <v>25</v>
      </c>
    </row>
    <row r="876" spans="1:20" hidden="1" x14ac:dyDescent="0.3">
      <c r="A876" s="13">
        <v>43926.708333333336</v>
      </c>
      <c r="B876" s="12" t="s">
        <v>22</v>
      </c>
      <c r="C876" s="82">
        <v>16</v>
      </c>
      <c r="D876" s="12" t="s">
        <v>54</v>
      </c>
      <c r="E876" s="82">
        <v>4112559576</v>
      </c>
      <c r="F876" s="82">
        <v>1686736689</v>
      </c>
      <c r="G876" s="82">
        <v>574</v>
      </c>
      <c r="H876" s="82">
        <v>159</v>
      </c>
      <c r="I876" s="82">
        <v>733</v>
      </c>
      <c r="J876" s="82">
        <v>1289</v>
      </c>
      <c r="K876" s="82">
        <v>2022</v>
      </c>
      <c r="L876" s="82">
        <v>49</v>
      </c>
      <c r="M876" s="82">
        <v>77</v>
      </c>
      <c r="N876" s="82">
        <v>113</v>
      </c>
      <c r="O876" s="82">
        <v>182</v>
      </c>
      <c r="P876" s="82">
        <v>2317</v>
      </c>
      <c r="Q876" s="82">
        <v>20080</v>
      </c>
      <c r="R876" s="12" t="s">
        <v>25</v>
      </c>
      <c r="S876" s="12" t="s">
        <v>25</v>
      </c>
      <c r="T876" s="12" t="s">
        <v>25</v>
      </c>
    </row>
    <row r="877" spans="1:20" hidden="1" x14ac:dyDescent="0.3">
      <c r="A877" s="13">
        <v>43926.708333333336</v>
      </c>
      <c r="B877" s="12" t="s">
        <v>22</v>
      </c>
      <c r="C877" s="82">
        <v>20</v>
      </c>
      <c r="D877" s="12" t="s">
        <v>55</v>
      </c>
      <c r="E877" s="82">
        <v>3921531192</v>
      </c>
      <c r="F877" s="82">
        <v>9110616306</v>
      </c>
      <c r="G877" s="82">
        <v>126</v>
      </c>
      <c r="H877" s="82">
        <v>25</v>
      </c>
      <c r="I877" s="82">
        <v>151</v>
      </c>
      <c r="J877" s="82">
        <v>664</v>
      </c>
      <c r="K877" s="82">
        <v>815</v>
      </c>
      <c r="L877" s="82">
        <v>26</v>
      </c>
      <c r="M877" s="82">
        <v>33</v>
      </c>
      <c r="N877" s="82">
        <v>49</v>
      </c>
      <c r="O877" s="82">
        <v>43</v>
      </c>
      <c r="P877" s="82">
        <v>907</v>
      </c>
      <c r="Q877" s="82">
        <v>7157</v>
      </c>
      <c r="R877" s="12" t="s">
        <v>25</v>
      </c>
      <c r="S877" s="12" t="s">
        <v>25</v>
      </c>
      <c r="T877" s="12" t="s">
        <v>25</v>
      </c>
    </row>
    <row r="878" spans="1:20" hidden="1" x14ac:dyDescent="0.3">
      <c r="A878" s="13">
        <v>43926.708333333336</v>
      </c>
      <c r="B878" s="12" t="s">
        <v>22</v>
      </c>
      <c r="C878" s="82">
        <v>19</v>
      </c>
      <c r="D878" s="12" t="s">
        <v>56</v>
      </c>
      <c r="E878" s="82">
        <v>3811569725</v>
      </c>
      <c r="F878" s="82">
        <v>133623567</v>
      </c>
      <c r="G878" s="82">
        <v>556</v>
      </c>
      <c r="H878" s="82">
        <v>76</v>
      </c>
      <c r="I878" s="82">
        <v>632</v>
      </c>
      <c r="J878" s="82">
        <v>1142</v>
      </c>
      <c r="K878" s="82">
        <v>1774</v>
      </c>
      <c r="L878" s="82">
        <v>48</v>
      </c>
      <c r="M878" s="82">
        <v>62</v>
      </c>
      <c r="N878" s="82">
        <v>104</v>
      </c>
      <c r="O878" s="82">
        <v>116</v>
      </c>
      <c r="P878" s="82">
        <v>1994</v>
      </c>
      <c r="Q878" s="82">
        <v>21904</v>
      </c>
      <c r="R878" s="12" t="s">
        <v>25</v>
      </c>
      <c r="S878" s="12" t="s">
        <v>25</v>
      </c>
      <c r="T878" s="12" t="s">
        <v>25</v>
      </c>
    </row>
    <row r="879" spans="1:20" hidden="1" x14ac:dyDescent="0.3">
      <c r="A879" s="13">
        <v>43926.708333333336</v>
      </c>
      <c r="B879" s="12" t="s">
        <v>22</v>
      </c>
      <c r="C879" s="82">
        <v>9</v>
      </c>
      <c r="D879" s="12" t="s">
        <v>57</v>
      </c>
      <c r="E879" s="82">
        <v>4376923077</v>
      </c>
      <c r="F879" s="82">
        <v>1125588885</v>
      </c>
      <c r="G879" s="82">
        <v>1111</v>
      </c>
      <c r="H879" s="82">
        <v>276</v>
      </c>
      <c r="I879" s="82">
        <v>1387</v>
      </c>
      <c r="J879" s="82">
        <v>3798</v>
      </c>
      <c r="K879" s="82">
        <v>5185</v>
      </c>
      <c r="L879" s="82">
        <v>131</v>
      </c>
      <c r="M879" s="82">
        <v>176</v>
      </c>
      <c r="N879" s="82">
        <v>337</v>
      </c>
      <c r="O879" s="82">
        <v>325</v>
      </c>
      <c r="P879" s="82">
        <v>5847</v>
      </c>
      <c r="Q879" s="82">
        <v>51006</v>
      </c>
      <c r="R879" s="12" t="s">
        <v>25</v>
      </c>
      <c r="S879" s="12" t="s">
        <v>25</v>
      </c>
      <c r="T879" s="12" t="s">
        <v>25</v>
      </c>
    </row>
    <row r="880" spans="1:20" hidden="1" x14ac:dyDescent="0.3">
      <c r="A880" s="13">
        <v>43926.708333333336</v>
      </c>
      <c r="B880" s="12" t="s">
        <v>22</v>
      </c>
      <c r="C880" s="82">
        <v>22</v>
      </c>
      <c r="D880" s="12" t="s">
        <v>58</v>
      </c>
      <c r="E880" s="82">
        <v>4606893511</v>
      </c>
      <c r="F880" s="82">
        <v>1112123097</v>
      </c>
      <c r="G880" s="82">
        <v>352</v>
      </c>
      <c r="H880" s="82">
        <v>80</v>
      </c>
      <c r="I880" s="82">
        <v>432</v>
      </c>
      <c r="J880" s="82">
        <v>1363</v>
      </c>
      <c r="K880" s="82">
        <v>1795</v>
      </c>
      <c r="L880" s="82">
        <v>42</v>
      </c>
      <c r="M880" s="82">
        <v>65</v>
      </c>
      <c r="N880" s="82">
        <v>273</v>
      </c>
      <c r="O880" s="82">
        <v>217</v>
      </c>
      <c r="P880" s="82">
        <v>2285</v>
      </c>
      <c r="Q880" s="82">
        <v>10476</v>
      </c>
      <c r="R880" s="12" t="s">
        <v>25</v>
      </c>
      <c r="S880" s="12" t="s">
        <v>25</v>
      </c>
      <c r="T880" s="12" t="s">
        <v>25</v>
      </c>
    </row>
    <row r="881" spans="1:20" hidden="1" x14ac:dyDescent="0.3">
      <c r="A881" s="13">
        <v>43926.708333333336</v>
      </c>
      <c r="B881" s="12" t="s">
        <v>22</v>
      </c>
      <c r="C881" s="82">
        <v>10</v>
      </c>
      <c r="D881" s="12" t="s">
        <v>59</v>
      </c>
      <c r="E881" s="82">
        <v>4310675841</v>
      </c>
      <c r="F881" s="82">
        <v>1238824698</v>
      </c>
      <c r="G881" s="82">
        <v>159</v>
      </c>
      <c r="H881" s="82">
        <v>45</v>
      </c>
      <c r="I881" s="82">
        <v>204</v>
      </c>
      <c r="J881" s="82">
        <v>694</v>
      </c>
      <c r="K881" s="82">
        <v>898</v>
      </c>
      <c r="L881" s="82">
        <v>-29</v>
      </c>
      <c r="M881" s="82">
        <v>29</v>
      </c>
      <c r="N881" s="82">
        <v>298</v>
      </c>
      <c r="O881" s="82">
        <v>43</v>
      </c>
      <c r="P881" s="82">
        <v>1239</v>
      </c>
      <c r="Q881" s="82">
        <v>12448</v>
      </c>
      <c r="R881" s="12" t="s">
        <v>25</v>
      </c>
      <c r="S881" s="12" t="s">
        <v>25</v>
      </c>
      <c r="T881" s="12" t="s">
        <v>25</v>
      </c>
    </row>
    <row r="882" spans="1:20" hidden="1" x14ac:dyDescent="0.3">
      <c r="A882" s="13">
        <v>43926.708333333336</v>
      </c>
      <c r="B882" s="12" t="s">
        <v>22</v>
      </c>
      <c r="C882" s="82">
        <v>2</v>
      </c>
      <c r="D882" s="12" t="s">
        <v>60</v>
      </c>
      <c r="E882" s="82">
        <v>4573750286</v>
      </c>
      <c r="F882" s="82">
        <v>7320149366</v>
      </c>
      <c r="G882" s="82">
        <v>96</v>
      </c>
      <c r="H882" s="82">
        <v>23</v>
      </c>
      <c r="I882" s="82">
        <v>119</v>
      </c>
      <c r="J882" s="82">
        <v>457</v>
      </c>
      <c r="K882" s="82">
        <v>576</v>
      </c>
      <c r="L882" s="82">
        <v>16</v>
      </c>
      <c r="M882" s="82">
        <v>34</v>
      </c>
      <c r="N882" s="82">
        <v>115</v>
      </c>
      <c r="O882" s="82">
        <v>91</v>
      </c>
      <c r="P882" s="82">
        <v>782</v>
      </c>
      <c r="Q882" s="82">
        <v>2390</v>
      </c>
      <c r="R882" s="12" t="s">
        <v>25</v>
      </c>
      <c r="S882" s="12" t="s">
        <v>25</v>
      </c>
      <c r="T882" s="12" t="s">
        <v>25</v>
      </c>
    </row>
    <row r="883" spans="1:20" hidden="1" x14ac:dyDescent="0.3">
      <c r="A883" s="13">
        <v>43926.708333333336</v>
      </c>
      <c r="B883" s="12" t="s">
        <v>22</v>
      </c>
      <c r="C883" s="82">
        <v>5</v>
      </c>
      <c r="D883" s="12" t="s">
        <v>61</v>
      </c>
      <c r="E883" s="82">
        <v>4543490485</v>
      </c>
      <c r="F883" s="82">
        <v>1233845213</v>
      </c>
      <c r="G883" s="82">
        <v>1674</v>
      </c>
      <c r="H883" s="82">
        <v>329</v>
      </c>
      <c r="I883" s="82">
        <v>2003</v>
      </c>
      <c r="J883" s="82">
        <v>7406</v>
      </c>
      <c r="K883" s="82">
        <v>9409</v>
      </c>
      <c r="L883" s="82">
        <v>316</v>
      </c>
      <c r="M883" s="82">
        <v>402</v>
      </c>
      <c r="N883" s="82">
        <v>1186</v>
      </c>
      <c r="O883" s="82">
        <v>631</v>
      </c>
      <c r="P883" s="82">
        <v>11226</v>
      </c>
      <c r="Q883" s="82">
        <v>140910</v>
      </c>
      <c r="R883" s="12" t="s">
        <v>25</v>
      </c>
      <c r="S883" s="12" t="s">
        <v>25</v>
      </c>
      <c r="T883" s="12" t="s">
        <v>25</v>
      </c>
    </row>
    <row r="884" spans="1:20" hidden="1" x14ac:dyDescent="0.3">
      <c r="A884" s="13">
        <v>43927.708333333336</v>
      </c>
      <c r="B884" s="12" t="s">
        <v>22</v>
      </c>
      <c r="C884" s="82">
        <v>13</v>
      </c>
      <c r="D884" s="12" t="s">
        <v>42</v>
      </c>
      <c r="E884" s="82">
        <v>4235122196</v>
      </c>
      <c r="F884" s="82">
        <v>1339843823</v>
      </c>
      <c r="G884" s="82">
        <v>340</v>
      </c>
      <c r="H884" s="82">
        <v>66</v>
      </c>
      <c r="I884" s="82">
        <v>406</v>
      </c>
      <c r="J884" s="82">
        <v>1019</v>
      </c>
      <c r="K884" s="82">
        <v>1425</v>
      </c>
      <c r="L884" s="82">
        <v>5</v>
      </c>
      <c r="M884" s="82">
        <v>18</v>
      </c>
      <c r="N884" s="82">
        <v>127</v>
      </c>
      <c r="O884" s="82">
        <v>169</v>
      </c>
      <c r="P884" s="82">
        <v>1721</v>
      </c>
      <c r="Q884" s="82">
        <v>14198</v>
      </c>
      <c r="R884" s="12" t="s">
        <v>25</v>
      </c>
      <c r="S884" s="12" t="s">
        <v>25</v>
      </c>
      <c r="T884" s="12" t="s">
        <v>25</v>
      </c>
    </row>
    <row r="885" spans="1:20" hidden="1" x14ac:dyDescent="0.3">
      <c r="A885" s="13">
        <v>43927.708333333336</v>
      </c>
      <c r="B885" s="12" t="s">
        <v>22</v>
      </c>
      <c r="C885" s="82">
        <v>17</v>
      </c>
      <c r="D885" s="12" t="s">
        <v>43</v>
      </c>
      <c r="E885" s="82">
        <v>4063947052</v>
      </c>
      <c r="F885" s="82">
        <v>1580514834</v>
      </c>
      <c r="G885" s="82">
        <v>46</v>
      </c>
      <c r="H885" s="82">
        <v>18</v>
      </c>
      <c r="I885" s="82">
        <v>64</v>
      </c>
      <c r="J885" s="82">
        <v>198</v>
      </c>
      <c r="K885" s="82">
        <v>262</v>
      </c>
      <c r="L885" s="82">
        <v>8</v>
      </c>
      <c r="M885" s="82">
        <v>9</v>
      </c>
      <c r="N885" s="82">
        <v>12</v>
      </c>
      <c r="O885" s="82">
        <v>13</v>
      </c>
      <c r="P885" s="82">
        <v>287</v>
      </c>
      <c r="Q885" s="82">
        <v>3061</v>
      </c>
      <c r="R885" s="12" t="s">
        <v>25</v>
      </c>
      <c r="S885" s="12" t="s">
        <v>25</v>
      </c>
      <c r="T885" s="12" t="s">
        <v>25</v>
      </c>
    </row>
    <row r="886" spans="1:20" hidden="1" x14ac:dyDescent="0.3">
      <c r="A886" s="13">
        <v>43927.708333333336</v>
      </c>
      <c r="B886" s="12" t="s">
        <v>22</v>
      </c>
      <c r="C886" s="82">
        <v>21</v>
      </c>
      <c r="D886" s="12" t="s">
        <v>44</v>
      </c>
      <c r="E886" s="82">
        <v>4649933453</v>
      </c>
      <c r="F886" s="82">
        <v>1135662422</v>
      </c>
      <c r="G886" s="82">
        <v>245</v>
      </c>
      <c r="H886" s="82">
        <v>52</v>
      </c>
      <c r="I886" s="82">
        <v>297</v>
      </c>
      <c r="J886" s="82">
        <v>963</v>
      </c>
      <c r="K886" s="82">
        <v>1260</v>
      </c>
      <c r="L886" s="82">
        <v>34</v>
      </c>
      <c r="M886" s="82">
        <v>78</v>
      </c>
      <c r="N886" s="82">
        <v>298</v>
      </c>
      <c r="O886" s="82">
        <v>164</v>
      </c>
      <c r="P886" s="82">
        <v>1722</v>
      </c>
      <c r="Q886" s="82">
        <v>16825</v>
      </c>
      <c r="R886" s="12" t="s">
        <v>25</v>
      </c>
      <c r="S886" s="12" t="s">
        <v>25</v>
      </c>
      <c r="T886" s="12" t="s">
        <v>25</v>
      </c>
    </row>
    <row r="887" spans="1:20" hidden="1" x14ac:dyDescent="0.3">
      <c r="A887" s="13">
        <v>43927.708333333336</v>
      </c>
      <c r="B887" s="12" t="s">
        <v>22</v>
      </c>
      <c r="C887" s="82">
        <v>18</v>
      </c>
      <c r="D887" s="12" t="s">
        <v>45</v>
      </c>
      <c r="E887" s="82">
        <v>3890597598</v>
      </c>
      <c r="F887" s="82">
        <v>1659440194</v>
      </c>
      <c r="G887" s="82">
        <v>170</v>
      </c>
      <c r="H887" s="82">
        <v>14</v>
      </c>
      <c r="I887" s="82">
        <v>184</v>
      </c>
      <c r="J887" s="82">
        <v>538</v>
      </c>
      <c r="K887" s="82">
        <v>722</v>
      </c>
      <c r="L887" s="82">
        <v>16</v>
      </c>
      <c r="M887" s="82">
        <v>22</v>
      </c>
      <c r="N887" s="82">
        <v>37</v>
      </c>
      <c r="O887" s="82">
        <v>58</v>
      </c>
      <c r="P887" s="82">
        <v>817</v>
      </c>
      <c r="Q887" s="82">
        <v>13633</v>
      </c>
      <c r="R887" s="12" t="s">
        <v>25</v>
      </c>
      <c r="S887" s="12" t="s">
        <v>25</v>
      </c>
      <c r="T887" s="12" t="s">
        <v>25</v>
      </c>
    </row>
    <row r="888" spans="1:20" hidden="1" x14ac:dyDescent="0.3">
      <c r="A888" s="13">
        <v>43927.708333333336</v>
      </c>
      <c r="B888" s="12" t="s">
        <v>22</v>
      </c>
      <c r="C888" s="82">
        <v>15</v>
      </c>
      <c r="D888" s="12" t="s">
        <v>46</v>
      </c>
      <c r="E888" s="82">
        <v>4083956555</v>
      </c>
      <c r="F888" s="82">
        <v>1425084984</v>
      </c>
      <c r="G888" s="82">
        <v>610</v>
      </c>
      <c r="H888" s="82">
        <v>101</v>
      </c>
      <c r="I888" s="82">
        <v>711</v>
      </c>
      <c r="J888" s="82">
        <v>1987</v>
      </c>
      <c r="K888" s="82">
        <v>2698</v>
      </c>
      <c r="L888" s="82">
        <v>77</v>
      </c>
      <c r="M888" s="82">
        <v>98</v>
      </c>
      <c r="N888" s="82">
        <v>156</v>
      </c>
      <c r="O888" s="82">
        <v>204</v>
      </c>
      <c r="P888" s="82">
        <v>3058</v>
      </c>
      <c r="Q888" s="82">
        <v>24526</v>
      </c>
      <c r="R888" s="12" t="s">
        <v>25</v>
      </c>
      <c r="S888" s="12" t="s">
        <v>25</v>
      </c>
      <c r="T888" s="12" t="s">
        <v>25</v>
      </c>
    </row>
    <row r="889" spans="1:20" hidden="1" x14ac:dyDescent="0.3">
      <c r="A889" s="13">
        <v>43927.708333333336</v>
      </c>
      <c r="B889" s="12" t="s">
        <v>22</v>
      </c>
      <c r="C889" s="82">
        <v>8</v>
      </c>
      <c r="D889" s="12" t="s">
        <v>95</v>
      </c>
      <c r="E889" s="82">
        <v>4449436681</v>
      </c>
      <c r="F889" s="82">
        <v>113417208</v>
      </c>
      <c r="G889" s="82">
        <v>3804</v>
      </c>
      <c r="H889" s="82">
        <v>372</v>
      </c>
      <c r="I889" s="82">
        <v>4176</v>
      </c>
      <c r="J889" s="82">
        <v>8875</v>
      </c>
      <c r="K889" s="82">
        <v>13051</v>
      </c>
      <c r="L889" s="82">
        <v>214</v>
      </c>
      <c r="M889" s="82">
        <v>467</v>
      </c>
      <c r="N889" s="82">
        <v>2397</v>
      </c>
      <c r="O889" s="82">
        <v>2108</v>
      </c>
      <c r="P889" s="82">
        <v>17556</v>
      </c>
      <c r="Q889" s="82">
        <v>72163</v>
      </c>
      <c r="R889" s="12" t="s">
        <v>25</v>
      </c>
      <c r="S889" s="12" t="s">
        <v>25</v>
      </c>
      <c r="T889" s="12" t="s">
        <v>25</v>
      </c>
    </row>
    <row r="890" spans="1:20" hidden="1" x14ac:dyDescent="0.3">
      <c r="A890" s="13">
        <v>43927.708333333336</v>
      </c>
      <c r="B890" s="12" t="s">
        <v>22</v>
      </c>
      <c r="C890" s="82">
        <v>6</v>
      </c>
      <c r="D890" s="12" t="s">
        <v>47</v>
      </c>
      <c r="E890" s="82">
        <v>456494354</v>
      </c>
      <c r="F890" s="82">
        <v>1376813649</v>
      </c>
      <c r="G890" s="82">
        <v>189</v>
      </c>
      <c r="H890" s="82">
        <v>46</v>
      </c>
      <c r="I890" s="82">
        <v>235</v>
      </c>
      <c r="J890" s="82">
        <v>1161</v>
      </c>
      <c r="K890" s="82">
        <v>1396</v>
      </c>
      <c r="L890" s="82">
        <v>33</v>
      </c>
      <c r="M890" s="82">
        <v>55</v>
      </c>
      <c r="N890" s="82">
        <v>549</v>
      </c>
      <c r="O890" s="82">
        <v>158</v>
      </c>
      <c r="P890" s="82">
        <v>2103</v>
      </c>
      <c r="Q890" s="82">
        <v>22272</v>
      </c>
      <c r="R890" s="12" t="s">
        <v>25</v>
      </c>
      <c r="S890" s="12" t="s">
        <v>25</v>
      </c>
      <c r="T890" s="12" t="s">
        <v>25</v>
      </c>
    </row>
    <row r="891" spans="1:20" hidden="1" x14ac:dyDescent="0.3">
      <c r="A891" s="13">
        <v>43927.708333333336</v>
      </c>
      <c r="B891" s="12" t="s">
        <v>22</v>
      </c>
      <c r="C891" s="82">
        <v>12</v>
      </c>
      <c r="D891" s="12" t="s">
        <v>48</v>
      </c>
      <c r="E891" s="82">
        <v>4189277044</v>
      </c>
      <c r="F891" s="82">
        <v>1248366722</v>
      </c>
      <c r="G891" s="82">
        <v>1235</v>
      </c>
      <c r="H891" s="82">
        <v>197</v>
      </c>
      <c r="I891" s="82">
        <v>1432</v>
      </c>
      <c r="J891" s="82">
        <v>1868</v>
      </c>
      <c r="K891" s="82">
        <v>3300</v>
      </c>
      <c r="L891" s="82">
        <v>114</v>
      </c>
      <c r="M891" s="82">
        <v>151</v>
      </c>
      <c r="N891" s="82">
        <v>502</v>
      </c>
      <c r="O891" s="82">
        <v>229</v>
      </c>
      <c r="P891" s="82">
        <v>4031</v>
      </c>
      <c r="Q891" s="82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82">
        <v>7</v>
      </c>
      <c r="D892" s="12" t="s">
        <v>49</v>
      </c>
      <c r="E892" s="82">
        <v>4441149315</v>
      </c>
      <c r="F892" s="82">
        <v>89326992</v>
      </c>
      <c r="G892" s="82">
        <v>1141</v>
      </c>
      <c r="H892" s="82">
        <v>162</v>
      </c>
      <c r="I892" s="82">
        <v>1303</v>
      </c>
      <c r="J892" s="82">
        <v>1814</v>
      </c>
      <c r="K892" s="82">
        <v>3117</v>
      </c>
      <c r="L892" s="82">
        <v>24</v>
      </c>
      <c r="M892" s="82">
        <v>100</v>
      </c>
      <c r="N892" s="82">
        <v>837</v>
      </c>
      <c r="O892" s="82">
        <v>595</v>
      </c>
      <c r="P892" s="82">
        <v>4549</v>
      </c>
      <c r="Q892" s="82">
        <v>15533</v>
      </c>
      <c r="R892" s="12" t="s">
        <v>25</v>
      </c>
      <c r="S892" s="12" t="s">
        <v>25</v>
      </c>
      <c r="T892" s="12" t="s">
        <v>25</v>
      </c>
    </row>
    <row r="893" spans="1:20" hidden="1" x14ac:dyDescent="0.3">
      <c r="A893" s="13">
        <v>43927.708333333336</v>
      </c>
      <c r="B893" s="12" t="s">
        <v>22</v>
      </c>
      <c r="C893" s="82">
        <v>3</v>
      </c>
      <c r="D893" s="12" t="s">
        <v>50</v>
      </c>
      <c r="E893" s="82">
        <v>4546679409</v>
      </c>
      <c r="F893" s="82">
        <v>9190347404</v>
      </c>
      <c r="G893" s="82">
        <v>11914</v>
      </c>
      <c r="H893" s="82">
        <v>1343</v>
      </c>
      <c r="I893" s="82">
        <v>13257</v>
      </c>
      <c r="J893" s="82">
        <v>15212</v>
      </c>
      <c r="K893" s="82">
        <v>28469</v>
      </c>
      <c r="L893" s="82">
        <v>345</v>
      </c>
      <c r="M893" s="82">
        <v>1079</v>
      </c>
      <c r="N893" s="82">
        <v>13863</v>
      </c>
      <c r="O893" s="82">
        <v>9202</v>
      </c>
      <c r="P893" s="82">
        <v>51534</v>
      </c>
      <c r="Q893" s="82">
        <v>154989</v>
      </c>
      <c r="R893" s="12" t="s">
        <v>25</v>
      </c>
      <c r="S893" s="12" t="s">
        <v>25</v>
      </c>
      <c r="T893" s="12" t="s">
        <v>25</v>
      </c>
    </row>
    <row r="894" spans="1:20" hidden="1" x14ac:dyDescent="0.3">
      <c r="A894" s="13">
        <v>43927.708333333336</v>
      </c>
      <c r="B894" s="12" t="s">
        <v>22</v>
      </c>
      <c r="C894" s="82">
        <v>11</v>
      </c>
      <c r="D894" s="12" t="s">
        <v>51</v>
      </c>
      <c r="E894" s="82">
        <v>4361675973</v>
      </c>
      <c r="F894" s="82">
        <v>135188753</v>
      </c>
      <c r="G894" s="82">
        <v>1001</v>
      </c>
      <c r="H894" s="82">
        <v>140</v>
      </c>
      <c r="I894" s="82">
        <v>1141</v>
      </c>
      <c r="J894" s="82">
        <v>2565</v>
      </c>
      <c r="K894" s="82">
        <v>3706</v>
      </c>
      <c r="L894" s="82">
        <v>128</v>
      </c>
      <c r="M894" s="82">
        <v>150</v>
      </c>
      <c r="N894" s="82">
        <v>296</v>
      </c>
      <c r="O894" s="82">
        <v>612</v>
      </c>
      <c r="P894" s="82">
        <v>4614</v>
      </c>
      <c r="Q894" s="82">
        <v>15919</v>
      </c>
      <c r="R894" s="12" t="s">
        <v>25</v>
      </c>
      <c r="S894" s="12" t="s">
        <v>25</v>
      </c>
      <c r="T894" s="12" t="s">
        <v>25</v>
      </c>
    </row>
    <row r="895" spans="1:20" hidden="1" x14ac:dyDescent="0.3">
      <c r="A895" s="13">
        <v>43927.708333333336</v>
      </c>
      <c r="B895" s="12" t="s">
        <v>22</v>
      </c>
      <c r="C895" s="82">
        <v>14</v>
      </c>
      <c r="D895" s="12" t="s">
        <v>52</v>
      </c>
      <c r="E895" s="82">
        <v>4155774754</v>
      </c>
      <c r="F895" s="82">
        <v>1465916051</v>
      </c>
      <c r="G895" s="82">
        <v>34</v>
      </c>
      <c r="H895" s="82">
        <v>5</v>
      </c>
      <c r="I895" s="82">
        <v>39</v>
      </c>
      <c r="J895" s="82">
        <v>148</v>
      </c>
      <c r="K895" s="82">
        <v>187</v>
      </c>
      <c r="L895" s="82">
        <v>0</v>
      </c>
      <c r="M895" s="82">
        <v>0</v>
      </c>
      <c r="N895" s="82">
        <v>24</v>
      </c>
      <c r="O895" s="82">
        <v>13</v>
      </c>
      <c r="P895" s="82">
        <v>224</v>
      </c>
      <c r="Q895" s="82">
        <v>1546</v>
      </c>
      <c r="R895" s="12" t="s">
        <v>25</v>
      </c>
      <c r="S895" s="12" t="s">
        <v>25</v>
      </c>
      <c r="T895" s="12" t="s">
        <v>25</v>
      </c>
    </row>
    <row r="896" spans="1:20" hidden="1" x14ac:dyDescent="0.3">
      <c r="A896" s="13">
        <v>43927.708333333336</v>
      </c>
      <c r="B896" s="12" t="s">
        <v>22</v>
      </c>
      <c r="C896" s="82">
        <v>1</v>
      </c>
      <c r="D896" s="12" t="s">
        <v>53</v>
      </c>
      <c r="E896" s="82">
        <v>450732745</v>
      </c>
      <c r="F896" s="82">
        <v>7680687483</v>
      </c>
      <c r="G896" s="82">
        <v>3484</v>
      </c>
      <c r="H896" s="82">
        <v>438</v>
      </c>
      <c r="I896" s="82">
        <v>3922</v>
      </c>
      <c r="J896" s="82">
        <v>6623</v>
      </c>
      <c r="K896" s="82">
        <v>10545</v>
      </c>
      <c r="L896" s="82">
        <v>368</v>
      </c>
      <c r="M896" s="82">
        <v>562</v>
      </c>
      <c r="N896" s="82">
        <v>1128</v>
      </c>
      <c r="O896" s="82">
        <v>1251</v>
      </c>
      <c r="P896" s="82">
        <v>12924</v>
      </c>
      <c r="Q896" s="82">
        <v>41123</v>
      </c>
      <c r="R896" s="12" t="s">
        <v>25</v>
      </c>
      <c r="S896" s="12" t="s">
        <v>25</v>
      </c>
      <c r="T896" s="12" t="s">
        <v>25</v>
      </c>
    </row>
    <row r="897" spans="1:20" hidden="1" x14ac:dyDescent="0.3">
      <c r="A897" s="13">
        <v>43927.708333333336</v>
      </c>
      <c r="B897" s="12" t="s">
        <v>22</v>
      </c>
      <c r="C897" s="82">
        <v>16</v>
      </c>
      <c r="D897" s="12" t="s">
        <v>54</v>
      </c>
      <c r="E897" s="82">
        <v>4112559576</v>
      </c>
      <c r="F897" s="82">
        <v>1686736689</v>
      </c>
      <c r="G897" s="82">
        <v>625</v>
      </c>
      <c r="H897" s="82">
        <v>97</v>
      </c>
      <c r="I897" s="82">
        <v>722</v>
      </c>
      <c r="J897" s="82">
        <v>1393</v>
      </c>
      <c r="K897" s="82">
        <v>2115</v>
      </c>
      <c r="L897" s="82">
        <v>93</v>
      </c>
      <c r="M897" s="82">
        <v>127</v>
      </c>
      <c r="N897" s="82">
        <v>134</v>
      </c>
      <c r="O897" s="82">
        <v>195</v>
      </c>
      <c r="P897" s="82">
        <v>2444</v>
      </c>
      <c r="Q897" s="82">
        <v>22059</v>
      </c>
      <c r="R897" s="12" t="s">
        <v>25</v>
      </c>
      <c r="S897" s="12" t="s">
        <v>25</v>
      </c>
      <c r="T897" s="12" t="s">
        <v>25</v>
      </c>
    </row>
    <row r="898" spans="1:20" hidden="1" x14ac:dyDescent="0.3">
      <c r="A898" s="13">
        <v>43927.708333333336</v>
      </c>
      <c r="B898" s="12" t="s">
        <v>22</v>
      </c>
      <c r="C898" s="82">
        <v>20</v>
      </c>
      <c r="D898" s="12" t="s">
        <v>55</v>
      </c>
      <c r="E898" s="82">
        <v>3921531192</v>
      </c>
      <c r="F898" s="82">
        <v>9110616306</v>
      </c>
      <c r="G898" s="82">
        <v>123</v>
      </c>
      <c r="H898" s="82">
        <v>26</v>
      </c>
      <c r="I898" s="82">
        <v>149</v>
      </c>
      <c r="J898" s="82">
        <v>670</v>
      </c>
      <c r="K898" s="82">
        <v>819</v>
      </c>
      <c r="L898" s="82">
        <v>4</v>
      </c>
      <c r="M898" s="82">
        <v>15</v>
      </c>
      <c r="N898" s="82">
        <v>56</v>
      </c>
      <c r="O898" s="82">
        <v>47</v>
      </c>
      <c r="P898" s="82">
        <v>922</v>
      </c>
      <c r="Q898" s="82">
        <v>7521</v>
      </c>
      <c r="R898" s="12" t="s">
        <v>25</v>
      </c>
      <c r="S898" s="12" t="s">
        <v>25</v>
      </c>
      <c r="T898" s="12" t="s">
        <v>25</v>
      </c>
    </row>
    <row r="899" spans="1:20" hidden="1" x14ac:dyDescent="0.3">
      <c r="A899" s="13">
        <v>43927.708333333336</v>
      </c>
      <c r="B899" s="12" t="s">
        <v>22</v>
      </c>
      <c r="C899" s="82">
        <v>19</v>
      </c>
      <c r="D899" s="12" t="s">
        <v>56</v>
      </c>
      <c r="E899" s="82">
        <v>3811569725</v>
      </c>
      <c r="F899" s="82">
        <v>133623567</v>
      </c>
      <c r="G899" s="82">
        <v>563</v>
      </c>
      <c r="H899" s="82">
        <v>74</v>
      </c>
      <c r="I899" s="82">
        <v>637</v>
      </c>
      <c r="J899" s="82">
        <v>1178</v>
      </c>
      <c r="K899" s="82">
        <v>1815</v>
      </c>
      <c r="L899" s="82">
        <v>41</v>
      </c>
      <c r="M899" s="82">
        <v>52</v>
      </c>
      <c r="N899" s="82">
        <v>108</v>
      </c>
      <c r="O899" s="82">
        <v>123</v>
      </c>
      <c r="P899" s="82">
        <v>2046</v>
      </c>
      <c r="Q899" s="82">
        <v>23464</v>
      </c>
      <c r="R899" s="12" t="s">
        <v>25</v>
      </c>
      <c r="S899" s="12" t="s">
        <v>25</v>
      </c>
      <c r="T899" s="12" t="s">
        <v>25</v>
      </c>
    </row>
    <row r="900" spans="1:20" hidden="1" x14ac:dyDescent="0.3">
      <c r="A900" s="13">
        <v>43927.708333333336</v>
      </c>
      <c r="B900" s="12" t="s">
        <v>22</v>
      </c>
      <c r="C900" s="82">
        <v>9</v>
      </c>
      <c r="D900" s="12" t="s">
        <v>57</v>
      </c>
      <c r="E900" s="82">
        <v>4376923077</v>
      </c>
      <c r="F900" s="82">
        <v>1125588885</v>
      </c>
      <c r="G900" s="82">
        <v>1116</v>
      </c>
      <c r="H900" s="82">
        <v>279</v>
      </c>
      <c r="I900" s="82">
        <v>1395</v>
      </c>
      <c r="J900" s="82">
        <v>3906</v>
      </c>
      <c r="K900" s="82">
        <v>5301</v>
      </c>
      <c r="L900" s="82">
        <v>116</v>
      </c>
      <c r="M900" s="82">
        <v>154</v>
      </c>
      <c r="N900" s="82">
        <v>350</v>
      </c>
      <c r="O900" s="82">
        <v>350</v>
      </c>
      <c r="P900" s="82">
        <v>6001</v>
      </c>
      <c r="Q900" s="82">
        <v>52849</v>
      </c>
      <c r="R900" s="12" t="s">
        <v>25</v>
      </c>
      <c r="S900" s="12" t="s">
        <v>25</v>
      </c>
      <c r="T900" s="12" t="s">
        <v>25</v>
      </c>
    </row>
    <row r="901" spans="1:20" hidden="1" x14ac:dyDescent="0.3">
      <c r="A901" s="13">
        <v>43927.708333333336</v>
      </c>
      <c r="B901" s="12" t="s">
        <v>22</v>
      </c>
      <c r="C901" s="82">
        <v>22</v>
      </c>
      <c r="D901" s="12" t="s">
        <v>58</v>
      </c>
      <c r="E901" s="82">
        <v>4606893511</v>
      </c>
      <c r="F901" s="82">
        <v>1112123097</v>
      </c>
      <c r="G901" s="82">
        <v>354</v>
      </c>
      <c r="H901" s="82">
        <v>79</v>
      </c>
      <c r="I901" s="82">
        <v>433</v>
      </c>
      <c r="J901" s="82">
        <v>1405</v>
      </c>
      <c r="K901" s="82">
        <v>1838</v>
      </c>
      <c r="L901" s="82">
        <v>43</v>
      </c>
      <c r="M901" s="82">
        <v>63</v>
      </c>
      <c r="N901" s="82">
        <v>280</v>
      </c>
      <c r="O901" s="82">
        <v>230</v>
      </c>
      <c r="P901" s="82">
        <v>2348</v>
      </c>
      <c r="Q901" s="82">
        <v>11130</v>
      </c>
      <c r="R901" s="12" t="s">
        <v>25</v>
      </c>
      <c r="S901" s="12" t="s">
        <v>25</v>
      </c>
      <c r="T901" s="12" t="s">
        <v>25</v>
      </c>
    </row>
    <row r="902" spans="1:20" hidden="1" x14ac:dyDescent="0.3">
      <c r="A902" s="13">
        <v>43927.708333333336</v>
      </c>
      <c r="B902" s="12" t="s">
        <v>22</v>
      </c>
      <c r="C902" s="82">
        <v>10</v>
      </c>
      <c r="D902" s="12" t="s">
        <v>59</v>
      </c>
      <c r="E902" s="82">
        <v>4310675841</v>
      </c>
      <c r="F902" s="82">
        <v>1238824698</v>
      </c>
      <c r="G902" s="82">
        <v>159</v>
      </c>
      <c r="H902" s="82">
        <v>46</v>
      </c>
      <c r="I902" s="82">
        <v>205</v>
      </c>
      <c r="J902" s="82">
        <v>667</v>
      </c>
      <c r="K902" s="82">
        <v>872</v>
      </c>
      <c r="L902" s="82">
        <v>-26</v>
      </c>
      <c r="M902" s="82">
        <v>14</v>
      </c>
      <c r="N902" s="82">
        <v>337</v>
      </c>
      <c r="O902" s="82">
        <v>44</v>
      </c>
      <c r="P902" s="82">
        <v>1253</v>
      </c>
      <c r="Q902" s="82">
        <v>12573</v>
      </c>
      <c r="R902" s="12" t="s">
        <v>25</v>
      </c>
      <c r="S902" s="12" t="s">
        <v>25</v>
      </c>
      <c r="T902" s="12" t="s">
        <v>25</v>
      </c>
    </row>
    <row r="903" spans="1:20" hidden="1" x14ac:dyDescent="0.3">
      <c r="A903" s="13">
        <v>43927.708333333336</v>
      </c>
      <c r="B903" s="12" t="s">
        <v>22</v>
      </c>
      <c r="C903" s="82">
        <v>2</v>
      </c>
      <c r="D903" s="12" t="s">
        <v>60</v>
      </c>
      <c r="E903" s="82">
        <v>4573750286</v>
      </c>
      <c r="F903" s="82">
        <v>7320149366</v>
      </c>
      <c r="G903" s="82">
        <v>109</v>
      </c>
      <c r="H903" s="82">
        <v>21</v>
      </c>
      <c r="I903" s="82">
        <v>130</v>
      </c>
      <c r="J903" s="82">
        <v>437</v>
      </c>
      <c r="K903" s="82">
        <v>567</v>
      </c>
      <c r="L903" s="82">
        <v>-9</v>
      </c>
      <c r="M903" s="82">
        <v>23</v>
      </c>
      <c r="N903" s="82">
        <v>142</v>
      </c>
      <c r="O903" s="82">
        <v>96</v>
      </c>
      <c r="P903" s="82">
        <v>805</v>
      </c>
      <c r="Q903" s="82">
        <v>2590</v>
      </c>
      <c r="R903" s="12" t="s">
        <v>25</v>
      </c>
      <c r="S903" s="12" t="s">
        <v>25</v>
      </c>
      <c r="T903" s="12" t="s">
        <v>25</v>
      </c>
    </row>
    <row r="904" spans="1:20" hidden="1" x14ac:dyDescent="0.3">
      <c r="A904" s="13">
        <v>43927.708333333336</v>
      </c>
      <c r="B904" s="12" t="s">
        <v>22</v>
      </c>
      <c r="C904" s="82">
        <v>5</v>
      </c>
      <c r="D904" s="12" t="s">
        <v>61</v>
      </c>
      <c r="E904" s="82">
        <v>4543490485</v>
      </c>
      <c r="F904" s="82">
        <v>1233845213</v>
      </c>
      <c r="G904" s="82">
        <v>1714</v>
      </c>
      <c r="H904" s="82">
        <v>322</v>
      </c>
      <c r="I904" s="82">
        <v>2036</v>
      </c>
      <c r="J904" s="82">
        <v>7686</v>
      </c>
      <c r="K904" s="82">
        <v>9722</v>
      </c>
      <c r="L904" s="82">
        <v>313</v>
      </c>
      <c r="M904" s="82">
        <v>362</v>
      </c>
      <c r="N904" s="82">
        <v>1204</v>
      </c>
      <c r="O904" s="82">
        <v>662</v>
      </c>
      <c r="P904" s="82">
        <v>11588</v>
      </c>
      <c r="Q904" s="82">
        <v>146288</v>
      </c>
      <c r="R904" s="12" t="s">
        <v>25</v>
      </c>
      <c r="S904" s="12" t="s">
        <v>25</v>
      </c>
      <c r="T904" s="12" t="s">
        <v>25</v>
      </c>
    </row>
    <row r="905" spans="1:20" hidden="1" x14ac:dyDescent="0.3">
      <c r="A905" s="13">
        <v>43928.708333333336</v>
      </c>
      <c r="B905" s="12" t="s">
        <v>22</v>
      </c>
      <c r="C905" s="82">
        <v>13</v>
      </c>
      <c r="D905" s="12" t="s">
        <v>42</v>
      </c>
      <c r="E905" s="82">
        <v>4235122196</v>
      </c>
      <c r="F905" s="82">
        <v>1339843823</v>
      </c>
      <c r="G905" s="82">
        <v>337</v>
      </c>
      <c r="H905" s="82">
        <v>67</v>
      </c>
      <c r="I905" s="82">
        <v>404</v>
      </c>
      <c r="J905" s="82">
        <v>1087</v>
      </c>
      <c r="K905" s="82">
        <v>1491</v>
      </c>
      <c r="L905" s="82">
        <v>66</v>
      </c>
      <c r="M905" s="82">
        <v>78</v>
      </c>
      <c r="N905" s="82">
        <v>136</v>
      </c>
      <c r="O905" s="82">
        <v>172</v>
      </c>
      <c r="P905" s="82">
        <v>1799</v>
      </c>
      <c r="Q905" s="82">
        <v>14904</v>
      </c>
      <c r="R905" s="12" t="s">
        <v>25</v>
      </c>
      <c r="S905" s="12" t="s">
        <v>25</v>
      </c>
      <c r="T905" s="12" t="s">
        <v>25</v>
      </c>
    </row>
    <row r="906" spans="1:20" hidden="1" x14ac:dyDescent="0.3">
      <c r="A906" s="13">
        <v>43928.708333333336</v>
      </c>
      <c r="B906" s="12" t="s">
        <v>22</v>
      </c>
      <c r="C906" s="82">
        <v>17</v>
      </c>
      <c r="D906" s="12" t="s">
        <v>43</v>
      </c>
      <c r="E906" s="82">
        <v>4063947052</v>
      </c>
      <c r="F906" s="82">
        <v>1580514834</v>
      </c>
      <c r="G906" s="82">
        <v>47</v>
      </c>
      <c r="H906" s="82">
        <v>17</v>
      </c>
      <c r="I906" s="82">
        <v>64</v>
      </c>
      <c r="J906" s="82">
        <v>201</v>
      </c>
      <c r="K906" s="82">
        <v>265</v>
      </c>
      <c r="L906" s="82">
        <v>3</v>
      </c>
      <c r="M906" s="82">
        <v>4</v>
      </c>
      <c r="N906" s="82">
        <v>12</v>
      </c>
      <c r="O906" s="82">
        <v>14</v>
      </c>
      <c r="P906" s="82">
        <v>291</v>
      </c>
      <c r="Q906" s="82">
        <v>3160</v>
      </c>
      <c r="R906" s="12" t="s">
        <v>25</v>
      </c>
      <c r="S906" s="12" t="s">
        <v>25</v>
      </c>
      <c r="T906" s="12" t="s">
        <v>25</v>
      </c>
    </row>
    <row r="907" spans="1:20" hidden="1" x14ac:dyDescent="0.3">
      <c r="A907" s="13">
        <v>43928.708333333336</v>
      </c>
      <c r="B907" s="12" t="s">
        <v>22</v>
      </c>
      <c r="C907" s="82">
        <v>21</v>
      </c>
      <c r="D907" s="12" t="s">
        <v>44</v>
      </c>
      <c r="E907" s="82">
        <v>4649933453</v>
      </c>
      <c r="F907" s="82">
        <v>1135662422</v>
      </c>
      <c r="G907" s="82">
        <v>325</v>
      </c>
      <c r="H907" s="82">
        <v>64</v>
      </c>
      <c r="I907" s="82">
        <v>389</v>
      </c>
      <c r="J907" s="82">
        <v>912</v>
      </c>
      <c r="K907" s="82">
        <v>1301</v>
      </c>
      <c r="L907" s="82">
        <v>41</v>
      </c>
      <c r="M907" s="82">
        <v>89</v>
      </c>
      <c r="N907" s="82">
        <v>336</v>
      </c>
      <c r="O907" s="82">
        <v>174</v>
      </c>
      <c r="P907" s="82">
        <v>1811</v>
      </c>
      <c r="Q907" s="82">
        <v>17761</v>
      </c>
      <c r="R907" s="12" t="s">
        <v>25</v>
      </c>
      <c r="S907" s="12" t="s">
        <v>25</v>
      </c>
      <c r="T907" s="12" t="s">
        <v>25</v>
      </c>
    </row>
    <row r="908" spans="1:20" hidden="1" x14ac:dyDescent="0.3">
      <c r="A908" s="13">
        <v>43928.708333333336</v>
      </c>
      <c r="B908" s="12" t="s">
        <v>22</v>
      </c>
      <c r="C908" s="82">
        <v>18</v>
      </c>
      <c r="D908" s="12" t="s">
        <v>45</v>
      </c>
      <c r="E908" s="82">
        <v>3890597598</v>
      </c>
      <c r="F908" s="82">
        <v>1659440194</v>
      </c>
      <c r="G908" s="82">
        <v>169</v>
      </c>
      <c r="H908" s="82">
        <v>14</v>
      </c>
      <c r="I908" s="82">
        <v>183</v>
      </c>
      <c r="J908" s="82">
        <v>550</v>
      </c>
      <c r="K908" s="82">
        <v>733</v>
      </c>
      <c r="L908" s="82">
        <v>11</v>
      </c>
      <c r="M908" s="82">
        <v>16</v>
      </c>
      <c r="N908" s="82">
        <v>40</v>
      </c>
      <c r="O908" s="82">
        <v>60</v>
      </c>
      <c r="P908" s="82">
        <v>833</v>
      </c>
      <c r="Q908" s="82">
        <v>14072</v>
      </c>
      <c r="R908" s="12" t="s">
        <v>25</v>
      </c>
      <c r="S908" s="12" t="s">
        <v>25</v>
      </c>
      <c r="T908" s="12" t="s">
        <v>25</v>
      </c>
    </row>
    <row r="909" spans="1:20" hidden="1" x14ac:dyDescent="0.3">
      <c r="A909" s="13">
        <v>43928.708333333336</v>
      </c>
      <c r="B909" s="12" t="s">
        <v>22</v>
      </c>
      <c r="C909" s="82">
        <v>15</v>
      </c>
      <c r="D909" s="12" t="s">
        <v>46</v>
      </c>
      <c r="E909" s="82">
        <v>4083956555</v>
      </c>
      <c r="F909" s="82">
        <v>1425084984</v>
      </c>
      <c r="G909" s="82">
        <v>603</v>
      </c>
      <c r="H909" s="82">
        <v>103</v>
      </c>
      <c r="I909" s="82">
        <v>706</v>
      </c>
      <c r="J909" s="82">
        <v>2059</v>
      </c>
      <c r="K909" s="82">
        <v>2765</v>
      </c>
      <c r="L909" s="82">
        <v>67</v>
      </c>
      <c r="M909" s="82">
        <v>90</v>
      </c>
      <c r="N909" s="82">
        <v>167</v>
      </c>
      <c r="O909" s="82">
        <v>216</v>
      </c>
      <c r="P909" s="82">
        <v>3148</v>
      </c>
      <c r="Q909" s="82">
        <v>25779</v>
      </c>
      <c r="R909" s="12" t="s">
        <v>25</v>
      </c>
      <c r="S909" s="12" t="s">
        <v>25</v>
      </c>
      <c r="T909" s="12" t="s">
        <v>25</v>
      </c>
    </row>
    <row r="910" spans="1:20" hidden="1" x14ac:dyDescent="0.3">
      <c r="A910" s="13">
        <v>43928.708333333336</v>
      </c>
      <c r="B910" s="12" t="s">
        <v>22</v>
      </c>
      <c r="C910" s="82">
        <v>8</v>
      </c>
      <c r="D910" s="12" t="s">
        <v>95</v>
      </c>
      <c r="E910" s="82">
        <v>4449436681</v>
      </c>
      <c r="F910" s="82">
        <v>113417208</v>
      </c>
      <c r="G910" s="82">
        <v>3750</v>
      </c>
      <c r="H910" s="82">
        <v>366</v>
      </c>
      <c r="I910" s="82">
        <v>4116</v>
      </c>
      <c r="J910" s="82">
        <v>8932</v>
      </c>
      <c r="K910" s="82">
        <v>13048</v>
      </c>
      <c r="L910" s="82">
        <v>-3</v>
      </c>
      <c r="M910" s="82">
        <v>269</v>
      </c>
      <c r="N910" s="82">
        <v>2597</v>
      </c>
      <c r="O910" s="82">
        <v>2180</v>
      </c>
      <c r="P910" s="82">
        <v>17825</v>
      </c>
      <c r="Q910" s="82">
        <v>75191</v>
      </c>
      <c r="R910" s="12" t="s">
        <v>25</v>
      </c>
      <c r="S910" s="12" t="s">
        <v>25</v>
      </c>
      <c r="T910" s="12" t="s">
        <v>25</v>
      </c>
    </row>
    <row r="911" spans="1:20" hidden="1" x14ac:dyDescent="0.3">
      <c r="A911" s="13">
        <v>43928.708333333336</v>
      </c>
      <c r="B911" s="12" t="s">
        <v>22</v>
      </c>
      <c r="C911" s="82">
        <v>6</v>
      </c>
      <c r="D911" s="12" t="s">
        <v>47</v>
      </c>
      <c r="E911" s="82">
        <v>456494354</v>
      </c>
      <c r="F911" s="82">
        <v>1376813649</v>
      </c>
      <c r="G911" s="82">
        <v>185</v>
      </c>
      <c r="H911" s="82">
        <v>44</v>
      </c>
      <c r="I911" s="82">
        <v>229</v>
      </c>
      <c r="J911" s="82">
        <v>1150</v>
      </c>
      <c r="K911" s="82">
        <v>1379</v>
      </c>
      <c r="L911" s="82">
        <v>-17</v>
      </c>
      <c r="M911" s="82">
        <v>50</v>
      </c>
      <c r="N911" s="82">
        <v>610</v>
      </c>
      <c r="O911" s="82">
        <v>164</v>
      </c>
      <c r="P911" s="82">
        <v>2153</v>
      </c>
      <c r="Q911" s="82">
        <v>23536</v>
      </c>
      <c r="R911" s="12" t="s">
        <v>25</v>
      </c>
      <c r="S911" s="12" t="s">
        <v>25</v>
      </c>
      <c r="T911" s="12" t="s">
        <v>25</v>
      </c>
    </row>
    <row r="912" spans="1:20" hidden="1" x14ac:dyDescent="0.3">
      <c r="A912" s="13">
        <v>43928.708333333336</v>
      </c>
      <c r="B912" s="12" t="s">
        <v>22</v>
      </c>
      <c r="C912" s="82">
        <v>12</v>
      </c>
      <c r="D912" s="12" t="s">
        <v>48</v>
      </c>
      <c r="E912" s="82">
        <v>4189277044</v>
      </c>
      <c r="F912" s="82">
        <v>1248366722</v>
      </c>
      <c r="G912" s="82">
        <v>1229</v>
      </c>
      <c r="H912" s="82">
        <v>192</v>
      </c>
      <c r="I912" s="82">
        <v>1421</v>
      </c>
      <c r="J912" s="82">
        <v>1944</v>
      </c>
      <c r="K912" s="82">
        <v>3365</v>
      </c>
      <c r="L912" s="82">
        <v>65</v>
      </c>
      <c r="M912" s="82">
        <v>118</v>
      </c>
      <c r="N912" s="82">
        <v>546</v>
      </c>
      <c r="O912" s="82">
        <v>238</v>
      </c>
      <c r="P912" s="82">
        <v>4149</v>
      </c>
      <c r="Q912" s="82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82">
        <v>7</v>
      </c>
      <c r="D913" s="12" t="s">
        <v>49</v>
      </c>
      <c r="E913" s="82">
        <v>4441149315</v>
      </c>
      <c r="F913" s="82">
        <v>89326992</v>
      </c>
      <c r="G913" s="82">
        <v>1090</v>
      </c>
      <c r="H913" s="82">
        <v>156</v>
      </c>
      <c r="I913" s="82">
        <v>1246</v>
      </c>
      <c r="J913" s="82">
        <v>1966</v>
      </c>
      <c r="K913" s="82">
        <v>3212</v>
      </c>
      <c r="L913" s="82">
        <v>95</v>
      </c>
      <c r="M913" s="82">
        <v>208</v>
      </c>
      <c r="N913" s="82">
        <v>925</v>
      </c>
      <c r="O913" s="82">
        <v>620</v>
      </c>
      <c r="P913" s="82">
        <v>4757</v>
      </c>
      <c r="Q913" s="82">
        <v>16579</v>
      </c>
      <c r="R913" s="12" t="s">
        <v>25</v>
      </c>
      <c r="S913" s="12" t="s">
        <v>25</v>
      </c>
      <c r="T913" s="12" t="s">
        <v>25</v>
      </c>
    </row>
    <row r="914" spans="1:20" hidden="1" x14ac:dyDescent="0.3">
      <c r="A914" s="13">
        <v>43928.708333333336</v>
      </c>
      <c r="B914" s="12" t="s">
        <v>22</v>
      </c>
      <c r="C914" s="82">
        <v>3</v>
      </c>
      <c r="D914" s="12" t="s">
        <v>50</v>
      </c>
      <c r="E914" s="82">
        <v>4546679409</v>
      </c>
      <c r="F914" s="82">
        <v>9190347404</v>
      </c>
      <c r="G914" s="82">
        <v>11833</v>
      </c>
      <c r="H914" s="82">
        <v>1305</v>
      </c>
      <c r="I914" s="82">
        <v>13138</v>
      </c>
      <c r="J914" s="82">
        <v>15205</v>
      </c>
      <c r="K914" s="82">
        <v>28343</v>
      </c>
      <c r="L914" s="82">
        <v>-126</v>
      </c>
      <c r="M914" s="82">
        <v>791</v>
      </c>
      <c r="N914" s="82">
        <v>14498</v>
      </c>
      <c r="O914" s="82">
        <v>9484</v>
      </c>
      <c r="P914" s="82">
        <v>52325</v>
      </c>
      <c r="Q914" s="82">
        <v>159331</v>
      </c>
      <c r="R914" s="12" t="s">
        <v>25</v>
      </c>
      <c r="S914" s="12" t="s">
        <v>25</v>
      </c>
      <c r="T914" s="12" t="s">
        <v>25</v>
      </c>
    </row>
    <row r="915" spans="1:20" hidden="1" x14ac:dyDescent="0.3">
      <c r="A915" s="13">
        <v>43928.708333333336</v>
      </c>
      <c r="B915" s="12" t="s">
        <v>22</v>
      </c>
      <c r="C915" s="82">
        <v>11</v>
      </c>
      <c r="D915" s="12" t="s">
        <v>51</v>
      </c>
      <c r="E915" s="82">
        <v>4361675973</v>
      </c>
      <c r="F915" s="82">
        <v>135188753</v>
      </c>
      <c r="G915" s="82">
        <v>962</v>
      </c>
      <c r="H915" s="82">
        <v>139</v>
      </c>
      <c r="I915" s="82">
        <v>1101</v>
      </c>
      <c r="J915" s="82">
        <v>2637</v>
      </c>
      <c r="K915" s="82">
        <v>3738</v>
      </c>
      <c r="L915" s="82">
        <v>32</v>
      </c>
      <c r="M915" s="82">
        <v>96</v>
      </c>
      <c r="N915" s="82">
        <v>342</v>
      </c>
      <c r="O915" s="82">
        <v>630</v>
      </c>
      <c r="P915" s="82">
        <v>4710</v>
      </c>
      <c r="Q915" s="82">
        <v>16619</v>
      </c>
      <c r="R915" s="12" t="s">
        <v>25</v>
      </c>
      <c r="S915" s="12" t="s">
        <v>25</v>
      </c>
      <c r="T915" s="12" t="s">
        <v>25</v>
      </c>
    </row>
    <row r="916" spans="1:20" hidden="1" x14ac:dyDescent="0.3">
      <c r="A916" s="13">
        <v>43928.708333333336</v>
      </c>
      <c r="B916" s="12" t="s">
        <v>22</v>
      </c>
      <c r="C916" s="82">
        <v>14</v>
      </c>
      <c r="D916" s="12" t="s">
        <v>52</v>
      </c>
      <c r="E916" s="82">
        <v>4155774754</v>
      </c>
      <c r="F916" s="82">
        <v>1465916051</v>
      </c>
      <c r="G916" s="82">
        <v>35</v>
      </c>
      <c r="H916" s="82">
        <v>5</v>
      </c>
      <c r="I916" s="82">
        <v>40</v>
      </c>
      <c r="J916" s="82">
        <v>145</v>
      </c>
      <c r="K916" s="82">
        <v>185</v>
      </c>
      <c r="L916" s="82">
        <v>-2</v>
      </c>
      <c r="M916" s="82">
        <v>0</v>
      </c>
      <c r="N916" s="82">
        <v>26</v>
      </c>
      <c r="O916" s="82">
        <v>13</v>
      </c>
      <c r="P916" s="82">
        <v>224</v>
      </c>
      <c r="Q916" s="82">
        <v>1581</v>
      </c>
      <c r="R916" s="12" t="s">
        <v>25</v>
      </c>
      <c r="S916" s="12" t="s">
        <v>25</v>
      </c>
      <c r="T916" s="12" t="s">
        <v>25</v>
      </c>
    </row>
    <row r="917" spans="1:20" hidden="1" x14ac:dyDescent="0.3">
      <c r="A917" s="13">
        <v>43928.708333333336</v>
      </c>
      <c r="B917" s="12" t="s">
        <v>22</v>
      </c>
      <c r="C917" s="82">
        <v>1</v>
      </c>
      <c r="D917" s="12" t="s">
        <v>53</v>
      </c>
      <c r="E917" s="82">
        <v>450732745</v>
      </c>
      <c r="F917" s="82">
        <v>7680687483</v>
      </c>
      <c r="G917" s="82">
        <v>3553</v>
      </c>
      <c r="H917" s="82">
        <v>432</v>
      </c>
      <c r="I917" s="82">
        <v>3985</v>
      </c>
      <c r="J917" s="82">
        <v>6719</v>
      </c>
      <c r="K917" s="82">
        <v>10704</v>
      </c>
      <c r="L917" s="82">
        <v>159</v>
      </c>
      <c r="M917" s="82">
        <v>419</v>
      </c>
      <c r="N917" s="82">
        <v>1320</v>
      </c>
      <c r="O917" s="82">
        <v>1319</v>
      </c>
      <c r="P917" s="82">
        <v>13343</v>
      </c>
      <c r="Q917" s="82">
        <v>44121</v>
      </c>
      <c r="R917" s="12" t="s">
        <v>25</v>
      </c>
      <c r="S917" s="12" t="s">
        <v>25</v>
      </c>
      <c r="T917" s="12" t="s">
        <v>25</v>
      </c>
    </row>
    <row r="918" spans="1:20" hidden="1" x14ac:dyDescent="0.3">
      <c r="A918" s="13">
        <v>43928.708333333336</v>
      </c>
      <c r="B918" s="12" t="s">
        <v>22</v>
      </c>
      <c r="C918" s="82">
        <v>16</v>
      </c>
      <c r="D918" s="12" t="s">
        <v>54</v>
      </c>
      <c r="E918" s="82">
        <v>4112559576</v>
      </c>
      <c r="F918" s="82">
        <v>1686736689</v>
      </c>
      <c r="G918" s="82">
        <v>615</v>
      </c>
      <c r="H918" s="82">
        <v>93</v>
      </c>
      <c r="I918" s="82">
        <v>708</v>
      </c>
      <c r="J918" s="82">
        <v>1429</v>
      </c>
      <c r="K918" s="82">
        <v>2137</v>
      </c>
      <c r="L918" s="82">
        <v>22</v>
      </c>
      <c r="M918" s="82">
        <v>70</v>
      </c>
      <c r="N918" s="82">
        <v>168</v>
      </c>
      <c r="O918" s="82">
        <v>209</v>
      </c>
      <c r="P918" s="82">
        <v>2514</v>
      </c>
      <c r="Q918" s="82">
        <v>23149</v>
      </c>
      <c r="R918" s="12" t="s">
        <v>25</v>
      </c>
      <c r="S918" s="12" t="s">
        <v>25</v>
      </c>
      <c r="T918" s="12" t="s">
        <v>25</v>
      </c>
    </row>
    <row r="919" spans="1:20" hidden="1" x14ac:dyDescent="0.3">
      <c r="A919" s="13">
        <v>43928.708333333336</v>
      </c>
      <c r="B919" s="12" t="s">
        <v>22</v>
      </c>
      <c r="C919" s="82">
        <v>20</v>
      </c>
      <c r="D919" s="12" t="s">
        <v>55</v>
      </c>
      <c r="E919" s="82">
        <v>3921531192</v>
      </c>
      <c r="F919" s="82">
        <v>9110616306</v>
      </c>
      <c r="G919" s="82">
        <v>122</v>
      </c>
      <c r="H919" s="82">
        <v>26</v>
      </c>
      <c r="I919" s="82">
        <v>148</v>
      </c>
      <c r="J919" s="82">
        <v>673</v>
      </c>
      <c r="K919" s="82">
        <v>821</v>
      </c>
      <c r="L919" s="82">
        <v>2</v>
      </c>
      <c r="M919" s="82">
        <v>13</v>
      </c>
      <c r="N919" s="82">
        <v>62</v>
      </c>
      <c r="O919" s="82">
        <v>52</v>
      </c>
      <c r="P919" s="82">
        <v>935</v>
      </c>
      <c r="Q919" s="82">
        <v>7680</v>
      </c>
      <c r="R919" s="12" t="s">
        <v>25</v>
      </c>
      <c r="S919" s="12" t="s">
        <v>25</v>
      </c>
      <c r="T919" s="12" t="s">
        <v>25</v>
      </c>
    </row>
    <row r="920" spans="1:20" hidden="1" x14ac:dyDescent="0.3">
      <c r="A920" s="13">
        <v>43928.708333333336</v>
      </c>
      <c r="B920" s="12" t="s">
        <v>22</v>
      </c>
      <c r="C920" s="82">
        <v>19</v>
      </c>
      <c r="D920" s="12" t="s">
        <v>56</v>
      </c>
      <c r="E920" s="82">
        <v>3811569725</v>
      </c>
      <c r="F920" s="82">
        <v>133623567</v>
      </c>
      <c r="G920" s="82">
        <v>562</v>
      </c>
      <c r="H920" s="82">
        <v>73</v>
      </c>
      <c r="I920" s="82">
        <v>635</v>
      </c>
      <c r="J920" s="82">
        <v>1224</v>
      </c>
      <c r="K920" s="82">
        <v>1859</v>
      </c>
      <c r="L920" s="82">
        <v>44</v>
      </c>
      <c r="M920" s="82">
        <v>51</v>
      </c>
      <c r="N920" s="82">
        <v>113</v>
      </c>
      <c r="O920" s="82">
        <v>125</v>
      </c>
      <c r="P920" s="82">
        <v>2097</v>
      </c>
      <c r="Q920" s="82">
        <v>24857</v>
      </c>
      <c r="R920" s="12" t="s">
        <v>25</v>
      </c>
      <c r="S920" s="12" t="s">
        <v>25</v>
      </c>
      <c r="T920" s="12" t="s">
        <v>25</v>
      </c>
    </row>
    <row r="921" spans="1:20" hidden="1" x14ac:dyDescent="0.3">
      <c r="A921" s="13">
        <v>43928.708333333336</v>
      </c>
      <c r="B921" s="12" t="s">
        <v>22</v>
      </c>
      <c r="C921" s="82">
        <v>9</v>
      </c>
      <c r="D921" s="12" t="s">
        <v>57</v>
      </c>
      <c r="E921" s="82">
        <v>4376923077</v>
      </c>
      <c r="F921" s="82">
        <v>1125588885</v>
      </c>
      <c r="G921" s="82">
        <v>1087</v>
      </c>
      <c r="H921" s="82">
        <v>263</v>
      </c>
      <c r="I921" s="82">
        <v>1350</v>
      </c>
      <c r="J921" s="82">
        <v>4077</v>
      </c>
      <c r="K921" s="82">
        <v>5427</v>
      </c>
      <c r="L921" s="82">
        <v>126</v>
      </c>
      <c r="M921" s="82">
        <v>172</v>
      </c>
      <c r="N921" s="82">
        <v>377</v>
      </c>
      <c r="O921" s="82">
        <v>369</v>
      </c>
      <c r="P921" s="82">
        <v>6173</v>
      </c>
      <c r="Q921" s="82">
        <v>56651</v>
      </c>
      <c r="R921" s="12" t="s">
        <v>25</v>
      </c>
      <c r="S921" s="12" t="s">
        <v>25</v>
      </c>
      <c r="T921" s="12" t="s">
        <v>25</v>
      </c>
    </row>
    <row r="922" spans="1:20" hidden="1" x14ac:dyDescent="0.3">
      <c r="A922" s="13">
        <v>43928.708333333336</v>
      </c>
      <c r="B922" s="12" t="s">
        <v>22</v>
      </c>
      <c r="C922" s="82">
        <v>22</v>
      </c>
      <c r="D922" s="12" t="s">
        <v>58</v>
      </c>
      <c r="E922" s="82">
        <v>4606893511</v>
      </c>
      <c r="F922" s="82">
        <v>1112123097</v>
      </c>
      <c r="G922" s="82">
        <v>360</v>
      </c>
      <c r="H922" s="82">
        <v>78</v>
      </c>
      <c r="I922" s="82">
        <v>438</v>
      </c>
      <c r="J922" s="82">
        <v>1452</v>
      </c>
      <c r="K922" s="82">
        <v>1890</v>
      </c>
      <c r="L922" s="82">
        <v>52</v>
      </c>
      <c r="M922" s="82">
        <v>128</v>
      </c>
      <c r="N922" s="82">
        <v>342</v>
      </c>
      <c r="O922" s="82">
        <v>244</v>
      </c>
      <c r="P922" s="82">
        <v>2476</v>
      </c>
      <c r="Q922" s="82">
        <v>12030</v>
      </c>
      <c r="R922" s="12" t="s">
        <v>25</v>
      </c>
      <c r="S922" s="12" t="s">
        <v>25</v>
      </c>
      <c r="T922" s="12" t="s">
        <v>25</v>
      </c>
    </row>
    <row r="923" spans="1:20" hidden="1" x14ac:dyDescent="0.3">
      <c r="A923" s="13">
        <v>43928.708333333336</v>
      </c>
      <c r="B923" s="12" t="s">
        <v>22</v>
      </c>
      <c r="C923" s="82">
        <v>10</v>
      </c>
      <c r="D923" s="12" t="s">
        <v>59</v>
      </c>
      <c r="E923" s="82">
        <v>4310675841</v>
      </c>
      <c r="F923" s="82">
        <v>1238824698</v>
      </c>
      <c r="G923" s="82">
        <v>157</v>
      </c>
      <c r="H923" s="82">
        <v>41</v>
      </c>
      <c r="I923" s="82">
        <v>198</v>
      </c>
      <c r="J923" s="82">
        <v>648</v>
      </c>
      <c r="K923" s="82">
        <v>846</v>
      </c>
      <c r="L923" s="82">
        <v>-26</v>
      </c>
      <c r="M923" s="82">
        <v>10</v>
      </c>
      <c r="N923" s="82">
        <v>368</v>
      </c>
      <c r="O923" s="82">
        <v>49</v>
      </c>
      <c r="P923" s="82">
        <v>1263</v>
      </c>
      <c r="Q923" s="82">
        <v>13274</v>
      </c>
      <c r="R923" s="12" t="s">
        <v>25</v>
      </c>
      <c r="S923" s="12" t="s">
        <v>25</v>
      </c>
      <c r="T923" s="12" t="s">
        <v>25</v>
      </c>
    </row>
    <row r="924" spans="1:20" hidden="1" x14ac:dyDescent="0.3">
      <c r="A924" s="13">
        <v>43928.708333333336</v>
      </c>
      <c r="B924" s="12" t="s">
        <v>22</v>
      </c>
      <c r="C924" s="82">
        <v>2</v>
      </c>
      <c r="D924" s="12" t="s">
        <v>60</v>
      </c>
      <c r="E924" s="82">
        <v>4573750286</v>
      </c>
      <c r="F924" s="82">
        <v>7320149366</v>
      </c>
      <c r="G924" s="82">
        <v>118</v>
      </c>
      <c r="H924" s="82">
        <v>17</v>
      </c>
      <c r="I924" s="82">
        <v>135</v>
      </c>
      <c r="J924" s="82">
        <v>458</v>
      </c>
      <c r="K924" s="82">
        <v>593</v>
      </c>
      <c r="L924" s="82">
        <v>26</v>
      </c>
      <c r="M924" s="82">
        <v>30</v>
      </c>
      <c r="N924" s="82">
        <v>142</v>
      </c>
      <c r="O924" s="82">
        <v>100</v>
      </c>
      <c r="P924" s="82">
        <v>835</v>
      </c>
      <c r="Q924" s="82">
        <v>2754</v>
      </c>
      <c r="R924" s="12" t="s">
        <v>25</v>
      </c>
      <c r="S924" s="12" t="s">
        <v>25</v>
      </c>
      <c r="T924" s="12" t="s">
        <v>25</v>
      </c>
    </row>
    <row r="925" spans="1:20" hidden="1" x14ac:dyDescent="0.3">
      <c r="A925" s="13">
        <v>43928.708333333336</v>
      </c>
      <c r="B925" s="12" t="s">
        <v>22</v>
      </c>
      <c r="C925" s="82">
        <v>5</v>
      </c>
      <c r="D925" s="12" t="s">
        <v>61</v>
      </c>
      <c r="E925" s="82">
        <v>4543490485</v>
      </c>
      <c r="F925" s="82">
        <v>1233845213</v>
      </c>
      <c r="G925" s="82">
        <v>1579</v>
      </c>
      <c r="H925" s="82">
        <v>297</v>
      </c>
      <c r="I925" s="82">
        <v>1876</v>
      </c>
      <c r="J925" s="82">
        <v>8089</v>
      </c>
      <c r="K925" s="82">
        <v>9965</v>
      </c>
      <c r="L925" s="82">
        <v>243</v>
      </c>
      <c r="M925" s="82">
        <v>337</v>
      </c>
      <c r="N925" s="82">
        <v>1265</v>
      </c>
      <c r="O925" s="82">
        <v>695</v>
      </c>
      <c r="P925" s="82">
        <v>11925</v>
      </c>
      <c r="Q925" s="82">
        <v>153542</v>
      </c>
      <c r="R925" s="12" t="s">
        <v>25</v>
      </c>
      <c r="S925" s="12" t="s">
        <v>25</v>
      </c>
      <c r="T925" s="12" t="s">
        <v>25</v>
      </c>
    </row>
    <row r="926" spans="1:20" hidden="1" x14ac:dyDescent="0.3">
      <c r="A926" s="13">
        <v>43929.708333333336</v>
      </c>
      <c r="B926" s="12" t="s">
        <v>22</v>
      </c>
      <c r="C926" s="82">
        <v>13</v>
      </c>
      <c r="D926" s="12" t="s">
        <v>42</v>
      </c>
      <c r="E926" s="82">
        <v>4235122196</v>
      </c>
      <c r="F926" s="82">
        <v>1339843823</v>
      </c>
      <c r="G926" s="82">
        <v>331</v>
      </c>
      <c r="H926" s="82">
        <v>62</v>
      </c>
      <c r="I926" s="82">
        <v>393</v>
      </c>
      <c r="J926" s="82">
        <v>1141</v>
      </c>
      <c r="K926" s="82">
        <v>1534</v>
      </c>
      <c r="L926" s="82">
        <v>43</v>
      </c>
      <c r="M926" s="82">
        <v>60</v>
      </c>
      <c r="N926" s="82">
        <v>146</v>
      </c>
      <c r="O926" s="82">
        <v>179</v>
      </c>
      <c r="P926" s="82">
        <v>1859</v>
      </c>
      <c r="Q926" s="82">
        <v>15846</v>
      </c>
      <c r="R926" s="12" t="s">
        <v>25</v>
      </c>
      <c r="S926" s="12" t="s">
        <v>25</v>
      </c>
      <c r="T926" s="12" t="s">
        <v>25</v>
      </c>
    </row>
    <row r="927" spans="1:20" hidden="1" x14ac:dyDescent="0.3">
      <c r="A927" s="13">
        <v>43929.708333333336</v>
      </c>
      <c r="B927" s="12" t="s">
        <v>22</v>
      </c>
      <c r="C927" s="82">
        <v>17</v>
      </c>
      <c r="D927" s="12" t="s">
        <v>43</v>
      </c>
      <c r="E927" s="82">
        <v>4063947052</v>
      </c>
      <c r="F927" s="82">
        <v>1580514834</v>
      </c>
      <c r="G927" s="82">
        <v>48</v>
      </c>
      <c r="H927" s="82">
        <v>17</v>
      </c>
      <c r="I927" s="82">
        <v>65</v>
      </c>
      <c r="J927" s="82">
        <v>205</v>
      </c>
      <c r="K927" s="82">
        <v>270</v>
      </c>
      <c r="L927" s="82">
        <v>5</v>
      </c>
      <c r="M927" s="82">
        <v>6</v>
      </c>
      <c r="N927" s="82">
        <v>13</v>
      </c>
      <c r="O927" s="82">
        <v>14</v>
      </c>
      <c r="P927" s="82">
        <v>297</v>
      </c>
      <c r="Q927" s="82">
        <v>3296</v>
      </c>
      <c r="R927" s="12" t="s">
        <v>25</v>
      </c>
      <c r="S927" s="12" t="s">
        <v>25</v>
      </c>
      <c r="T927" s="12" t="s">
        <v>25</v>
      </c>
    </row>
    <row r="928" spans="1:20" hidden="1" x14ac:dyDescent="0.3">
      <c r="A928" s="13">
        <v>43929.708333333336</v>
      </c>
      <c r="B928" s="12" t="s">
        <v>22</v>
      </c>
      <c r="C928" s="82">
        <v>21</v>
      </c>
      <c r="D928" s="12" t="s">
        <v>44</v>
      </c>
      <c r="E928" s="82">
        <v>4649933453</v>
      </c>
      <c r="F928" s="82">
        <v>1135662422</v>
      </c>
      <c r="G928" s="82">
        <v>268</v>
      </c>
      <c r="H928" s="82">
        <v>65</v>
      </c>
      <c r="I928" s="82">
        <v>333</v>
      </c>
      <c r="J928" s="82">
        <v>948</v>
      </c>
      <c r="K928" s="82">
        <v>1281</v>
      </c>
      <c r="L928" s="82">
        <v>-20</v>
      </c>
      <c r="M928" s="82">
        <v>24</v>
      </c>
      <c r="N928" s="82">
        <v>371</v>
      </c>
      <c r="O928" s="82">
        <v>183</v>
      </c>
      <c r="P928" s="82">
        <v>1835</v>
      </c>
      <c r="Q928" s="82">
        <v>18865</v>
      </c>
      <c r="R928" s="12" t="s">
        <v>25</v>
      </c>
      <c r="S928" s="12" t="s">
        <v>25</v>
      </c>
      <c r="T928" s="12" t="s">
        <v>25</v>
      </c>
    </row>
    <row r="929" spans="1:20" hidden="1" x14ac:dyDescent="0.3">
      <c r="A929" s="13">
        <v>43929.708333333336</v>
      </c>
      <c r="B929" s="12" t="s">
        <v>22</v>
      </c>
      <c r="C929" s="82">
        <v>18</v>
      </c>
      <c r="D929" s="12" t="s">
        <v>45</v>
      </c>
      <c r="E929" s="82">
        <v>3890597598</v>
      </c>
      <c r="F929" s="82">
        <v>1659440194</v>
      </c>
      <c r="G929" s="82">
        <v>170</v>
      </c>
      <c r="H929" s="82">
        <v>15</v>
      </c>
      <c r="I929" s="82">
        <v>185</v>
      </c>
      <c r="J929" s="82">
        <v>570</v>
      </c>
      <c r="K929" s="82">
        <v>755</v>
      </c>
      <c r="L929" s="82">
        <v>22</v>
      </c>
      <c r="M929" s="82">
        <v>26</v>
      </c>
      <c r="N929" s="82">
        <v>44</v>
      </c>
      <c r="O929" s="82">
        <v>60</v>
      </c>
      <c r="P929" s="82">
        <v>859</v>
      </c>
      <c r="Q929" s="82">
        <v>14977</v>
      </c>
      <c r="R929" s="12" t="s">
        <v>25</v>
      </c>
      <c r="S929" s="12" t="s">
        <v>25</v>
      </c>
      <c r="T929" s="12" t="s">
        <v>25</v>
      </c>
    </row>
    <row r="930" spans="1:20" hidden="1" x14ac:dyDescent="0.3">
      <c r="A930" s="13">
        <v>43929.708333333336</v>
      </c>
      <c r="B930" s="12" t="s">
        <v>22</v>
      </c>
      <c r="C930" s="82">
        <v>15</v>
      </c>
      <c r="D930" s="12" t="s">
        <v>46</v>
      </c>
      <c r="E930" s="82">
        <v>4083956555</v>
      </c>
      <c r="F930" s="82">
        <v>1425084984</v>
      </c>
      <c r="G930" s="82">
        <v>608</v>
      </c>
      <c r="H930" s="82">
        <v>97</v>
      </c>
      <c r="I930" s="82">
        <v>705</v>
      </c>
      <c r="J930" s="82">
        <v>2154</v>
      </c>
      <c r="K930" s="82">
        <v>2859</v>
      </c>
      <c r="L930" s="82">
        <v>94</v>
      </c>
      <c r="M930" s="82">
        <v>120</v>
      </c>
      <c r="N930" s="82">
        <v>188</v>
      </c>
      <c r="O930" s="82">
        <v>221</v>
      </c>
      <c r="P930" s="82">
        <v>3268</v>
      </c>
      <c r="Q930" s="82">
        <v>27784</v>
      </c>
      <c r="R930" s="12" t="s">
        <v>25</v>
      </c>
      <c r="S930" s="12" t="s">
        <v>25</v>
      </c>
      <c r="T930" s="12" t="s">
        <v>25</v>
      </c>
    </row>
    <row r="931" spans="1:20" hidden="1" x14ac:dyDescent="0.3">
      <c r="A931" s="13">
        <v>43929.708333333336</v>
      </c>
      <c r="B931" s="12" t="s">
        <v>22</v>
      </c>
      <c r="C931" s="82">
        <v>8</v>
      </c>
      <c r="D931" s="12" t="s">
        <v>95</v>
      </c>
      <c r="E931" s="82">
        <v>4449436681</v>
      </c>
      <c r="F931" s="82">
        <v>113417208</v>
      </c>
      <c r="G931" s="82">
        <v>3769</v>
      </c>
      <c r="H931" s="82">
        <v>361</v>
      </c>
      <c r="I931" s="82">
        <v>4130</v>
      </c>
      <c r="J931" s="82">
        <v>8980</v>
      </c>
      <c r="K931" s="82">
        <v>13110</v>
      </c>
      <c r="L931" s="82">
        <v>62</v>
      </c>
      <c r="M931" s="82">
        <v>409</v>
      </c>
      <c r="N931" s="82">
        <v>2890</v>
      </c>
      <c r="O931" s="82">
        <v>2234</v>
      </c>
      <c r="P931" s="82">
        <v>18234</v>
      </c>
      <c r="Q931" s="82">
        <v>78367</v>
      </c>
      <c r="R931" s="12" t="s">
        <v>25</v>
      </c>
      <c r="S931" s="12" t="s">
        <v>25</v>
      </c>
      <c r="T931" s="12" t="s">
        <v>25</v>
      </c>
    </row>
    <row r="932" spans="1:20" hidden="1" x14ac:dyDescent="0.3">
      <c r="A932" s="13">
        <v>43929.708333333336</v>
      </c>
      <c r="B932" s="12" t="s">
        <v>22</v>
      </c>
      <c r="C932" s="82">
        <v>6</v>
      </c>
      <c r="D932" s="12" t="s">
        <v>47</v>
      </c>
      <c r="E932" s="82">
        <v>456494354</v>
      </c>
      <c r="F932" s="82">
        <v>1376813649</v>
      </c>
      <c r="G932" s="82">
        <v>162</v>
      </c>
      <c r="H932" s="82">
        <v>41</v>
      </c>
      <c r="I932" s="82">
        <v>203</v>
      </c>
      <c r="J932" s="82">
        <v>1212</v>
      </c>
      <c r="K932" s="82">
        <v>1415</v>
      </c>
      <c r="L932" s="82">
        <v>36</v>
      </c>
      <c r="M932" s="82">
        <v>65</v>
      </c>
      <c r="N932" s="82">
        <v>634</v>
      </c>
      <c r="O932" s="82">
        <v>169</v>
      </c>
      <c r="P932" s="82">
        <v>2218</v>
      </c>
      <c r="Q932" s="82">
        <v>24798</v>
      </c>
      <c r="R932" s="12" t="s">
        <v>25</v>
      </c>
      <c r="S932" s="12" t="s">
        <v>25</v>
      </c>
      <c r="T932" s="12" t="s">
        <v>25</v>
      </c>
    </row>
    <row r="933" spans="1:20" hidden="1" x14ac:dyDescent="0.3">
      <c r="A933" s="13">
        <v>43929.708333333336</v>
      </c>
      <c r="B933" s="12" t="s">
        <v>22</v>
      </c>
      <c r="C933" s="82">
        <v>12</v>
      </c>
      <c r="D933" s="12" t="s">
        <v>48</v>
      </c>
      <c r="E933" s="82">
        <v>4189277044</v>
      </c>
      <c r="F933" s="82">
        <v>1248366722</v>
      </c>
      <c r="G933" s="82">
        <v>1241</v>
      </c>
      <c r="H933" s="82">
        <v>196</v>
      </c>
      <c r="I933" s="82">
        <v>1437</v>
      </c>
      <c r="J933" s="82">
        <v>2011</v>
      </c>
      <c r="K933" s="82">
        <v>3448</v>
      </c>
      <c r="L933" s="82">
        <v>83</v>
      </c>
      <c r="M933" s="82">
        <v>117</v>
      </c>
      <c r="N933" s="82">
        <v>574</v>
      </c>
      <c r="O933" s="82">
        <v>244</v>
      </c>
      <c r="P933" s="82">
        <v>4266</v>
      </c>
      <c r="Q933" s="82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82">
        <v>7</v>
      </c>
      <c r="D934" s="12" t="s">
        <v>49</v>
      </c>
      <c r="E934" s="82">
        <v>4441149315</v>
      </c>
      <c r="F934" s="82">
        <v>89326992</v>
      </c>
      <c r="G934" s="82">
        <v>1109</v>
      </c>
      <c r="H934" s="82">
        <v>153</v>
      </c>
      <c r="I934" s="82">
        <v>1262</v>
      </c>
      <c r="J934" s="82">
        <v>1983</v>
      </c>
      <c r="K934" s="82">
        <v>3245</v>
      </c>
      <c r="L934" s="82">
        <v>33</v>
      </c>
      <c r="M934" s="82">
        <v>149</v>
      </c>
      <c r="N934" s="82">
        <v>1007</v>
      </c>
      <c r="O934" s="82">
        <v>654</v>
      </c>
      <c r="P934" s="82">
        <v>4906</v>
      </c>
      <c r="Q934" s="82">
        <v>17521</v>
      </c>
      <c r="R934" s="12" t="s">
        <v>25</v>
      </c>
      <c r="S934" s="12" t="s">
        <v>25</v>
      </c>
      <c r="T934" s="12" t="s">
        <v>25</v>
      </c>
    </row>
    <row r="935" spans="1:20" hidden="1" x14ac:dyDescent="0.3">
      <c r="A935" s="13">
        <v>43929.708333333336</v>
      </c>
      <c r="B935" s="12" t="s">
        <v>22</v>
      </c>
      <c r="C935" s="82">
        <v>3</v>
      </c>
      <c r="D935" s="12" t="s">
        <v>50</v>
      </c>
      <c r="E935" s="82">
        <v>4546679409</v>
      </c>
      <c r="F935" s="82">
        <v>9190347404</v>
      </c>
      <c r="G935" s="82">
        <v>11719</v>
      </c>
      <c r="H935" s="82">
        <v>1257</v>
      </c>
      <c r="I935" s="82">
        <v>12976</v>
      </c>
      <c r="J935" s="82">
        <v>15569</v>
      </c>
      <c r="K935" s="82">
        <v>28545</v>
      </c>
      <c r="L935" s="82">
        <v>202</v>
      </c>
      <c r="M935" s="82">
        <v>1089</v>
      </c>
      <c r="N935" s="82">
        <v>15147</v>
      </c>
      <c r="O935" s="82">
        <v>9722</v>
      </c>
      <c r="P935" s="82">
        <v>53414</v>
      </c>
      <c r="Q935" s="82">
        <v>167557</v>
      </c>
      <c r="R935" s="12" t="s">
        <v>25</v>
      </c>
      <c r="S935" s="12" t="s">
        <v>25</v>
      </c>
      <c r="T935" s="12" t="s">
        <v>25</v>
      </c>
    </row>
    <row r="936" spans="1:20" hidden="1" x14ac:dyDescent="0.3">
      <c r="A936" s="13">
        <v>43929.708333333336</v>
      </c>
      <c r="B936" s="12" t="s">
        <v>22</v>
      </c>
      <c r="C936" s="82">
        <v>11</v>
      </c>
      <c r="D936" s="12" t="s">
        <v>51</v>
      </c>
      <c r="E936" s="82">
        <v>4361675973</v>
      </c>
      <c r="F936" s="82">
        <v>135188753</v>
      </c>
      <c r="G936" s="82">
        <v>974</v>
      </c>
      <c r="H936" s="82">
        <v>133</v>
      </c>
      <c r="I936" s="82">
        <v>1107</v>
      </c>
      <c r="J936" s="82">
        <v>2455</v>
      </c>
      <c r="K936" s="82">
        <v>3562</v>
      </c>
      <c r="L936" s="82">
        <v>-176</v>
      </c>
      <c r="M936" s="82">
        <v>149</v>
      </c>
      <c r="N936" s="82">
        <v>645</v>
      </c>
      <c r="O936" s="82">
        <v>652</v>
      </c>
      <c r="P936" s="82">
        <v>4859</v>
      </c>
      <c r="Q936" s="82">
        <v>17532</v>
      </c>
      <c r="R936" s="12" t="s">
        <v>25</v>
      </c>
      <c r="S936" s="12" t="s">
        <v>25</v>
      </c>
      <c r="T936" s="12" t="s">
        <v>25</v>
      </c>
    </row>
    <row r="937" spans="1:20" hidden="1" x14ac:dyDescent="0.3">
      <c r="A937" s="13">
        <v>43929.708333333336</v>
      </c>
      <c r="B937" s="12" t="s">
        <v>22</v>
      </c>
      <c r="C937" s="82">
        <v>14</v>
      </c>
      <c r="D937" s="12" t="s">
        <v>52</v>
      </c>
      <c r="E937" s="82">
        <v>4155774754</v>
      </c>
      <c r="F937" s="82">
        <v>1465916051</v>
      </c>
      <c r="G937" s="82">
        <v>30</v>
      </c>
      <c r="H937" s="82">
        <v>4</v>
      </c>
      <c r="I937" s="82">
        <v>34</v>
      </c>
      <c r="J937" s="82">
        <v>147</v>
      </c>
      <c r="K937" s="82">
        <v>181</v>
      </c>
      <c r="L937" s="82">
        <v>-4</v>
      </c>
      <c r="M937" s="82">
        <v>2</v>
      </c>
      <c r="N937" s="82">
        <v>32</v>
      </c>
      <c r="O937" s="82">
        <v>13</v>
      </c>
      <c r="P937" s="82">
        <v>226</v>
      </c>
      <c r="Q937" s="82">
        <v>2002</v>
      </c>
      <c r="R937" s="12" t="s">
        <v>25</v>
      </c>
      <c r="S937" s="12" t="s">
        <v>25</v>
      </c>
      <c r="T937" s="12" t="s">
        <v>25</v>
      </c>
    </row>
    <row r="938" spans="1:20" hidden="1" x14ac:dyDescent="0.3">
      <c r="A938" s="13">
        <v>43929.708333333336</v>
      </c>
      <c r="B938" s="12" t="s">
        <v>22</v>
      </c>
      <c r="C938" s="82">
        <v>1</v>
      </c>
      <c r="D938" s="12" t="s">
        <v>53</v>
      </c>
      <c r="E938" s="82">
        <v>450732745</v>
      </c>
      <c r="F938" s="82">
        <v>7680687483</v>
      </c>
      <c r="G938" s="82">
        <v>3493</v>
      </c>
      <c r="H938" s="82">
        <v>423</v>
      </c>
      <c r="I938" s="82">
        <v>3916</v>
      </c>
      <c r="J938" s="82">
        <v>7073</v>
      </c>
      <c r="K938" s="82">
        <v>10989</v>
      </c>
      <c r="L938" s="82">
        <v>285</v>
      </c>
      <c r="M938" s="82">
        <v>540</v>
      </c>
      <c r="N938" s="82">
        <v>1516</v>
      </c>
      <c r="O938" s="82">
        <v>1378</v>
      </c>
      <c r="P938" s="82">
        <v>13883</v>
      </c>
      <c r="Q938" s="82">
        <v>48495</v>
      </c>
      <c r="R938" s="12" t="s">
        <v>25</v>
      </c>
      <c r="S938" s="12" t="s">
        <v>25</v>
      </c>
      <c r="T938" s="12" t="s">
        <v>25</v>
      </c>
    </row>
    <row r="939" spans="1:20" hidden="1" x14ac:dyDescent="0.3">
      <c r="A939" s="13">
        <v>43929.708333333336</v>
      </c>
      <c r="B939" s="12" t="s">
        <v>22</v>
      </c>
      <c r="C939" s="82">
        <v>16</v>
      </c>
      <c r="D939" s="12" t="s">
        <v>54</v>
      </c>
      <c r="E939" s="82">
        <v>4112559576</v>
      </c>
      <c r="F939" s="82">
        <v>1686736689</v>
      </c>
      <c r="G939" s="82">
        <v>639</v>
      </c>
      <c r="H939" s="82">
        <v>90</v>
      </c>
      <c r="I939" s="82">
        <v>729</v>
      </c>
      <c r="J939" s="82">
        <v>1509</v>
      </c>
      <c r="K939" s="82">
        <v>2238</v>
      </c>
      <c r="L939" s="82">
        <v>101</v>
      </c>
      <c r="M939" s="82">
        <v>120</v>
      </c>
      <c r="N939" s="82">
        <v>177</v>
      </c>
      <c r="O939" s="82">
        <v>219</v>
      </c>
      <c r="P939" s="82">
        <v>2634</v>
      </c>
      <c r="Q939" s="82">
        <v>24493</v>
      </c>
      <c r="R939" s="12" t="s">
        <v>25</v>
      </c>
      <c r="S939" s="12" t="s">
        <v>25</v>
      </c>
      <c r="T939" s="12" t="s">
        <v>25</v>
      </c>
    </row>
    <row r="940" spans="1:20" hidden="1" x14ac:dyDescent="0.3">
      <c r="A940" s="13">
        <v>43929.708333333336</v>
      </c>
      <c r="B940" s="12" t="s">
        <v>22</v>
      </c>
      <c r="C940" s="82">
        <v>20</v>
      </c>
      <c r="D940" s="12" t="s">
        <v>55</v>
      </c>
      <c r="E940" s="82">
        <v>3921531192</v>
      </c>
      <c r="F940" s="82">
        <v>9110616306</v>
      </c>
      <c r="G940" s="82">
        <v>112</v>
      </c>
      <c r="H940" s="82">
        <v>31</v>
      </c>
      <c r="I940" s="82">
        <v>143</v>
      </c>
      <c r="J940" s="82">
        <v>697</v>
      </c>
      <c r="K940" s="82">
        <v>840</v>
      </c>
      <c r="L940" s="82">
        <v>19</v>
      </c>
      <c r="M940" s="82">
        <v>40</v>
      </c>
      <c r="N940" s="82">
        <v>76</v>
      </c>
      <c r="O940" s="82">
        <v>59</v>
      </c>
      <c r="P940" s="82">
        <v>975</v>
      </c>
      <c r="Q940" s="82">
        <v>8493</v>
      </c>
      <c r="R940" s="12" t="s">
        <v>25</v>
      </c>
      <c r="S940" s="12" t="s">
        <v>25</v>
      </c>
      <c r="T940" s="12" t="s">
        <v>25</v>
      </c>
    </row>
    <row r="941" spans="1:20" hidden="1" x14ac:dyDescent="0.3">
      <c r="A941" s="13">
        <v>43929.708333333336</v>
      </c>
      <c r="B941" s="12" t="s">
        <v>22</v>
      </c>
      <c r="C941" s="82">
        <v>19</v>
      </c>
      <c r="D941" s="12" t="s">
        <v>56</v>
      </c>
      <c r="E941" s="82">
        <v>3811569725</v>
      </c>
      <c r="F941" s="82">
        <v>133623567</v>
      </c>
      <c r="G941" s="82">
        <v>563</v>
      </c>
      <c r="H941" s="82">
        <v>65</v>
      </c>
      <c r="I941" s="82">
        <v>628</v>
      </c>
      <c r="J941" s="82">
        <v>1265</v>
      </c>
      <c r="K941" s="82">
        <v>1893</v>
      </c>
      <c r="L941" s="82">
        <v>34</v>
      </c>
      <c r="M941" s="82">
        <v>62</v>
      </c>
      <c r="N941" s="82">
        <v>133</v>
      </c>
      <c r="O941" s="82">
        <v>133</v>
      </c>
      <c r="P941" s="82">
        <v>2159</v>
      </c>
      <c r="Q941" s="82">
        <v>27438</v>
      </c>
      <c r="R941" s="12" t="s">
        <v>25</v>
      </c>
      <c r="S941" s="12" t="s">
        <v>25</v>
      </c>
      <c r="T941" s="12" t="s">
        <v>25</v>
      </c>
    </row>
    <row r="942" spans="1:20" hidden="1" x14ac:dyDescent="0.3">
      <c r="A942" s="13">
        <v>43929.708333333336</v>
      </c>
      <c r="B942" s="12" t="s">
        <v>22</v>
      </c>
      <c r="C942" s="82">
        <v>9</v>
      </c>
      <c r="D942" s="12" t="s">
        <v>57</v>
      </c>
      <c r="E942" s="82">
        <v>4376923077</v>
      </c>
      <c r="F942" s="82">
        <v>1125588885</v>
      </c>
      <c r="G942" s="82">
        <v>1066</v>
      </c>
      <c r="H942" s="82">
        <v>260</v>
      </c>
      <c r="I942" s="82">
        <v>1326</v>
      </c>
      <c r="J942" s="82">
        <v>4231</v>
      </c>
      <c r="K942" s="82">
        <v>5557</v>
      </c>
      <c r="L942" s="82">
        <v>130</v>
      </c>
      <c r="M942" s="82">
        <v>206</v>
      </c>
      <c r="N942" s="82">
        <v>430</v>
      </c>
      <c r="O942" s="82">
        <v>392</v>
      </c>
      <c r="P942" s="82">
        <v>6379</v>
      </c>
      <c r="Q942" s="82">
        <v>60985</v>
      </c>
      <c r="R942" s="12" t="s">
        <v>25</v>
      </c>
      <c r="S942" s="12" t="s">
        <v>25</v>
      </c>
      <c r="T942" s="12" t="s">
        <v>25</v>
      </c>
    </row>
    <row r="943" spans="1:20" hidden="1" x14ac:dyDescent="0.3">
      <c r="A943" s="13">
        <v>43929.708333333336</v>
      </c>
      <c r="B943" s="12" t="s">
        <v>22</v>
      </c>
      <c r="C943" s="82">
        <v>22</v>
      </c>
      <c r="D943" s="12" t="s">
        <v>58</v>
      </c>
      <c r="E943" s="82">
        <v>4606893511</v>
      </c>
      <c r="F943" s="82">
        <v>1112123097</v>
      </c>
      <c r="G943" s="82">
        <v>354</v>
      </c>
      <c r="H943" s="82">
        <v>77</v>
      </c>
      <c r="I943" s="82">
        <v>431</v>
      </c>
      <c r="J943" s="82">
        <v>1509</v>
      </c>
      <c r="K943" s="82">
        <v>1940</v>
      </c>
      <c r="L943" s="82">
        <v>50</v>
      </c>
      <c r="M943" s="82">
        <v>126</v>
      </c>
      <c r="N943" s="82">
        <v>407</v>
      </c>
      <c r="O943" s="82">
        <v>255</v>
      </c>
      <c r="P943" s="82">
        <v>2602</v>
      </c>
      <c r="Q943" s="82">
        <v>13258</v>
      </c>
      <c r="R943" s="12" t="s">
        <v>25</v>
      </c>
      <c r="S943" s="12" t="s">
        <v>25</v>
      </c>
      <c r="T943" s="12" t="s">
        <v>25</v>
      </c>
    </row>
    <row r="944" spans="1:20" hidden="1" x14ac:dyDescent="0.3">
      <c r="A944" s="13">
        <v>43929.708333333336</v>
      </c>
      <c r="B944" s="12" t="s">
        <v>22</v>
      </c>
      <c r="C944" s="82">
        <v>10</v>
      </c>
      <c r="D944" s="12" t="s">
        <v>59</v>
      </c>
      <c r="E944" s="82">
        <v>4310675841</v>
      </c>
      <c r="F944" s="82">
        <v>1238824698</v>
      </c>
      <c r="G944" s="82">
        <v>155</v>
      </c>
      <c r="H944" s="82">
        <v>41</v>
      </c>
      <c r="I944" s="82">
        <v>196</v>
      </c>
      <c r="J944" s="82">
        <v>627</v>
      </c>
      <c r="K944" s="82">
        <v>823</v>
      </c>
      <c r="L944" s="82">
        <v>-23</v>
      </c>
      <c r="M944" s="82">
        <v>26</v>
      </c>
      <c r="N944" s="82">
        <v>416</v>
      </c>
      <c r="O944" s="82">
        <v>50</v>
      </c>
      <c r="P944" s="82">
        <v>1289</v>
      </c>
      <c r="Q944" s="82">
        <v>14105</v>
      </c>
      <c r="R944" s="12" t="s">
        <v>25</v>
      </c>
      <c r="S944" s="12" t="s">
        <v>25</v>
      </c>
      <c r="T944" s="12" t="s">
        <v>25</v>
      </c>
    </row>
    <row r="945" spans="1:20" hidden="1" x14ac:dyDescent="0.3">
      <c r="A945" s="13">
        <v>43929.708333333336</v>
      </c>
      <c r="B945" s="12" t="s">
        <v>22</v>
      </c>
      <c r="C945" s="82">
        <v>2</v>
      </c>
      <c r="D945" s="12" t="s">
        <v>60</v>
      </c>
      <c r="E945" s="82">
        <v>4573750286</v>
      </c>
      <c r="F945" s="82">
        <v>7320149366</v>
      </c>
      <c r="G945" s="82">
        <v>120</v>
      </c>
      <c r="H945" s="82">
        <v>20</v>
      </c>
      <c r="I945" s="82">
        <v>140</v>
      </c>
      <c r="J945" s="82">
        <v>466</v>
      </c>
      <c r="K945" s="82">
        <v>606</v>
      </c>
      <c r="L945" s="82">
        <v>13</v>
      </c>
      <c r="M945" s="82">
        <v>15</v>
      </c>
      <c r="N945" s="82">
        <v>142</v>
      </c>
      <c r="O945" s="82">
        <v>102</v>
      </c>
      <c r="P945" s="82">
        <v>850</v>
      </c>
      <c r="Q945" s="82">
        <v>2953</v>
      </c>
      <c r="R945" s="12" t="s">
        <v>25</v>
      </c>
      <c r="S945" s="12" t="s">
        <v>25</v>
      </c>
      <c r="T945" s="12" t="s">
        <v>25</v>
      </c>
    </row>
    <row r="946" spans="1:20" hidden="1" x14ac:dyDescent="0.3">
      <c r="A946" s="13">
        <v>43929.708333333336</v>
      </c>
      <c r="B946" s="12" t="s">
        <v>22</v>
      </c>
      <c r="C946" s="82">
        <v>5</v>
      </c>
      <c r="D946" s="12" t="s">
        <v>61</v>
      </c>
      <c r="E946" s="82">
        <v>4543490485</v>
      </c>
      <c r="F946" s="82">
        <v>1233845213</v>
      </c>
      <c r="G946" s="82">
        <v>1554</v>
      </c>
      <c r="H946" s="82">
        <v>285</v>
      </c>
      <c r="I946" s="82">
        <v>1839</v>
      </c>
      <c r="J946" s="82">
        <v>8332</v>
      </c>
      <c r="K946" s="82">
        <v>10171</v>
      </c>
      <c r="L946" s="82">
        <v>206</v>
      </c>
      <c r="M946" s="82">
        <v>485</v>
      </c>
      <c r="N946" s="82">
        <v>1503</v>
      </c>
      <c r="O946" s="82">
        <v>736</v>
      </c>
      <c r="P946" s="82">
        <v>12410</v>
      </c>
      <c r="Q946" s="82">
        <v>163247</v>
      </c>
      <c r="R946" s="12" t="s">
        <v>25</v>
      </c>
      <c r="S946" s="12" t="s">
        <v>25</v>
      </c>
      <c r="T946" s="12" t="s">
        <v>25</v>
      </c>
    </row>
    <row r="947" spans="1:20" hidden="1" x14ac:dyDescent="0.3">
      <c r="A947" s="13">
        <v>43930.708333333336</v>
      </c>
      <c r="B947" s="12" t="s">
        <v>22</v>
      </c>
      <c r="C947" s="82">
        <v>13</v>
      </c>
      <c r="D947" s="12" t="s">
        <v>42</v>
      </c>
      <c r="E947" s="82">
        <v>4235122196</v>
      </c>
      <c r="F947" s="82">
        <v>1339843823</v>
      </c>
      <c r="G947" s="82">
        <v>306</v>
      </c>
      <c r="H947" s="82">
        <v>57</v>
      </c>
      <c r="I947" s="82">
        <v>363</v>
      </c>
      <c r="J947" s="82">
        <v>1203</v>
      </c>
      <c r="K947" s="82">
        <v>1566</v>
      </c>
      <c r="L947" s="82">
        <v>32</v>
      </c>
      <c r="M947" s="82">
        <v>72</v>
      </c>
      <c r="N947" s="82">
        <v>171</v>
      </c>
      <c r="O947" s="82">
        <v>194</v>
      </c>
      <c r="P947" s="82">
        <v>1931</v>
      </c>
      <c r="Q947" s="82">
        <v>16847</v>
      </c>
      <c r="R947" s="12" t="s">
        <v>25</v>
      </c>
      <c r="S947" s="12" t="s">
        <v>25</v>
      </c>
      <c r="T947" s="12" t="s">
        <v>25</v>
      </c>
    </row>
    <row r="948" spans="1:20" hidden="1" x14ac:dyDescent="0.3">
      <c r="A948" s="13">
        <v>43930.708333333336</v>
      </c>
      <c r="B948" s="12" t="s">
        <v>22</v>
      </c>
      <c r="C948" s="82">
        <v>17</v>
      </c>
      <c r="D948" s="12" t="s">
        <v>43</v>
      </c>
      <c r="E948" s="82">
        <v>4063947052</v>
      </c>
      <c r="F948" s="82">
        <v>1580514834</v>
      </c>
      <c r="G948" s="82">
        <v>50</v>
      </c>
      <c r="H948" s="82">
        <v>17</v>
      </c>
      <c r="I948" s="82">
        <v>67</v>
      </c>
      <c r="J948" s="82">
        <v>208</v>
      </c>
      <c r="K948" s="82">
        <v>275</v>
      </c>
      <c r="L948" s="82">
        <v>5</v>
      </c>
      <c r="M948" s="82">
        <v>6</v>
      </c>
      <c r="N948" s="82">
        <v>13</v>
      </c>
      <c r="O948" s="82">
        <v>15</v>
      </c>
      <c r="P948" s="82">
        <v>303</v>
      </c>
      <c r="Q948" s="82">
        <v>3474</v>
      </c>
      <c r="R948" s="12" t="s">
        <v>25</v>
      </c>
      <c r="S948" s="12" t="s">
        <v>25</v>
      </c>
      <c r="T948" s="12" t="s">
        <v>25</v>
      </c>
    </row>
    <row r="949" spans="1:20" hidden="1" x14ac:dyDescent="0.3">
      <c r="A949" s="13">
        <v>43930.708333333336</v>
      </c>
      <c r="B949" s="12" t="s">
        <v>22</v>
      </c>
      <c r="C949" s="82">
        <v>21</v>
      </c>
      <c r="D949" s="12" t="s">
        <v>44</v>
      </c>
      <c r="E949" s="82">
        <v>4649933453</v>
      </c>
      <c r="F949" s="82">
        <v>1135662422</v>
      </c>
      <c r="G949" s="82">
        <v>263</v>
      </c>
      <c r="H949" s="82">
        <v>64</v>
      </c>
      <c r="I949" s="82">
        <v>327</v>
      </c>
      <c r="J949" s="82">
        <v>988</v>
      </c>
      <c r="K949" s="82">
        <v>1315</v>
      </c>
      <c r="L949" s="82">
        <v>34</v>
      </c>
      <c r="M949" s="82">
        <v>68</v>
      </c>
      <c r="N949" s="82">
        <v>401</v>
      </c>
      <c r="O949" s="82">
        <v>187</v>
      </c>
      <c r="P949" s="82">
        <v>1903</v>
      </c>
      <c r="Q949" s="82">
        <v>19875</v>
      </c>
      <c r="R949" s="12" t="s">
        <v>25</v>
      </c>
      <c r="S949" s="12" t="s">
        <v>25</v>
      </c>
      <c r="T949" s="12" t="s">
        <v>25</v>
      </c>
    </row>
    <row r="950" spans="1:20" hidden="1" x14ac:dyDescent="0.3">
      <c r="A950" s="13">
        <v>43930.708333333336</v>
      </c>
      <c r="B950" s="12" t="s">
        <v>22</v>
      </c>
      <c r="C950" s="82">
        <v>18</v>
      </c>
      <c r="D950" s="12" t="s">
        <v>45</v>
      </c>
      <c r="E950" s="82">
        <v>3890597598</v>
      </c>
      <c r="F950" s="82">
        <v>1659440194</v>
      </c>
      <c r="G950" s="82">
        <v>168</v>
      </c>
      <c r="H950" s="82">
        <v>15</v>
      </c>
      <c r="I950" s="82">
        <v>183</v>
      </c>
      <c r="J950" s="82">
        <v>582</v>
      </c>
      <c r="K950" s="82">
        <v>765</v>
      </c>
      <c r="L950" s="82">
        <v>10</v>
      </c>
      <c r="M950" s="82">
        <v>15</v>
      </c>
      <c r="N950" s="82">
        <v>48</v>
      </c>
      <c r="O950" s="82">
        <v>61</v>
      </c>
      <c r="P950" s="82">
        <v>874</v>
      </c>
      <c r="Q950" s="82">
        <v>15698</v>
      </c>
      <c r="R950" s="12" t="s">
        <v>25</v>
      </c>
      <c r="S950" s="12" t="s">
        <v>25</v>
      </c>
      <c r="T950" s="12" t="s">
        <v>25</v>
      </c>
    </row>
    <row r="951" spans="1:20" hidden="1" x14ac:dyDescent="0.3">
      <c r="A951" s="13">
        <v>43930.708333333336</v>
      </c>
      <c r="B951" s="12" t="s">
        <v>22</v>
      </c>
      <c r="C951" s="82">
        <v>15</v>
      </c>
      <c r="D951" s="12" t="s">
        <v>46</v>
      </c>
      <c r="E951" s="82">
        <v>4083956555</v>
      </c>
      <c r="F951" s="82">
        <v>1425084984</v>
      </c>
      <c r="G951" s="82">
        <v>604</v>
      </c>
      <c r="H951" s="82">
        <v>94</v>
      </c>
      <c r="I951" s="82">
        <v>698</v>
      </c>
      <c r="J951" s="82">
        <v>2175</v>
      </c>
      <c r="K951" s="82">
        <v>2873</v>
      </c>
      <c r="L951" s="82">
        <v>14</v>
      </c>
      <c r="M951" s="82">
        <v>76</v>
      </c>
      <c r="N951" s="82">
        <v>244</v>
      </c>
      <c r="O951" s="82">
        <v>227</v>
      </c>
      <c r="P951" s="82">
        <v>3344</v>
      </c>
      <c r="Q951" s="82">
        <v>29664</v>
      </c>
      <c r="R951" s="12" t="s">
        <v>25</v>
      </c>
      <c r="S951" s="12" t="s">
        <v>25</v>
      </c>
      <c r="T951" s="12" t="s">
        <v>25</v>
      </c>
    </row>
    <row r="952" spans="1:20" hidden="1" x14ac:dyDescent="0.3">
      <c r="A952" s="13">
        <v>43930.708333333336</v>
      </c>
      <c r="B952" s="12" t="s">
        <v>22</v>
      </c>
      <c r="C952" s="82">
        <v>8</v>
      </c>
      <c r="D952" s="12" t="s">
        <v>95</v>
      </c>
      <c r="E952" s="82">
        <v>4449436681</v>
      </c>
      <c r="F952" s="82">
        <v>113417208</v>
      </c>
      <c r="G952" s="82">
        <v>3722</v>
      </c>
      <c r="H952" s="82">
        <v>355</v>
      </c>
      <c r="I952" s="82">
        <v>4077</v>
      </c>
      <c r="J952" s="82">
        <v>9181</v>
      </c>
      <c r="K952" s="82">
        <v>13258</v>
      </c>
      <c r="L952" s="82">
        <v>148</v>
      </c>
      <c r="M952" s="82">
        <v>443</v>
      </c>
      <c r="N952" s="82">
        <v>3103</v>
      </c>
      <c r="O952" s="82">
        <v>2316</v>
      </c>
      <c r="P952" s="82">
        <v>18677</v>
      </c>
      <c r="Q952" s="82">
        <v>81715</v>
      </c>
      <c r="R952" s="12" t="s">
        <v>25</v>
      </c>
      <c r="S952" s="12" t="s">
        <v>25</v>
      </c>
      <c r="T952" s="12" t="s">
        <v>25</v>
      </c>
    </row>
    <row r="953" spans="1:20" hidden="1" x14ac:dyDescent="0.3">
      <c r="A953" s="13">
        <v>43930.708333333336</v>
      </c>
      <c r="B953" s="12" t="s">
        <v>22</v>
      </c>
      <c r="C953" s="82">
        <v>6</v>
      </c>
      <c r="D953" s="12" t="s">
        <v>47</v>
      </c>
      <c r="E953" s="82">
        <v>456494354</v>
      </c>
      <c r="F953" s="82">
        <v>1376813649</v>
      </c>
      <c r="G953" s="82">
        <v>167</v>
      </c>
      <c r="H953" s="82">
        <v>37</v>
      </c>
      <c r="I953" s="82">
        <v>204</v>
      </c>
      <c r="J953" s="82">
        <v>1186</v>
      </c>
      <c r="K953" s="82">
        <v>1390</v>
      </c>
      <c r="L953" s="82">
        <v>-25</v>
      </c>
      <c r="M953" s="82">
        <v>81</v>
      </c>
      <c r="N953" s="82">
        <v>738</v>
      </c>
      <c r="O953" s="82">
        <v>171</v>
      </c>
      <c r="P953" s="82">
        <v>2299</v>
      </c>
      <c r="Q953" s="82">
        <v>26205</v>
      </c>
      <c r="R953" s="12" t="s">
        <v>25</v>
      </c>
      <c r="S953" s="12" t="s">
        <v>25</v>
      </c>
      <c r="T953" s="12" t="s">
        <v>25</v>
      </c>
    </row>
    <row r="954" spans="1:20" hidden="1" x14ac:dyDescent="0.3">
      <c r="A954" s="13">
        <v>43930.708333333336</v>
      </c>
      <c r="B954" s="12" t="s">
        <v>22</v>
      </c>
      <c r="C954" s="82">
        <v>12</v>
      </c>
      <c r="D954" s="12" t="s">
        <v>48</v>
      </c>
      <c r="E954" s="82">
        <v>4189277044</v>
      </c>
      <c r="F954" s="82">
        <v>1248366722</v>
      </c>
      <c r="G954" s="82">
        <v>1244</v>
      </c>
      <c r="H954" s="82">
        <v>198</v>
      </c>
      <c r="I954" s="82">
        <v>1442</v>
      </c>
      <c r="J954" s="82">
        <v>2090</v>
      </c>
      <c r="K954" s="82">
        <v>3532</v>
      </c>
      <c r="L954" s="82">
        <v>84</v>
      </c>
      <c r="M954" s="82">
        <v>163</v>
      </c>
      <c r="N954" s="82">
        <v>644</v>
      </c>
      <c r="O954" s="82">
        <v>253</v>
      </c>
      <c r="P954" s="82">
        <v>4429</v>
      </c>
      <c r="Q954" s="82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82">
        <v>7</v>
      </c>
      <c r="D955" s="12" t="s">
        <v>49</v>
      </c>
      <c r="E955" s="82">
        <v>4441149315</v>
      </c>
      <c r="F955" s="82">
        <v>89326992</v>
      </c>
      <c r="G955" s="82">
        <v>1103</v>
      </c>
      <c r="H955" s="82">
        <v>154</v>
      </c>
      <c r="I955" s="82">
        <v>1257</v>
      </c>
      <c r="J955" s="82">
        <v>1996</v>
      </c>
      <c r="K955" s="82">
        <v>3253</v>
      </c>
      <c r="L955" s="82">
        <v>8</v>
      </c>
      <c r="M955" s="82">
        <v>114</v>
      </c>
      <c r="N955" s="82">
        <v>1085</v>
      </c>
      <c r="O955" s="82">
        <v>682</v>
      </c>
      <c r="P955" s="82">
        <v>5020</v>
      </c>
      <c r="Q955" s="82">
        <v>18446</v>
      </c>
      <c r="R955" s="12" t="s">
        <v>25</v>
      </c>
      <c r="S955" s="12" t="s">
        <v>25</v>
      </c>
      <c r="T955" s="12" t="s">
        <v>25</v>
      </c>
    </row>
    <row r="956" spans="1:20" hidden="1" x14ac:dyDescent="0.3">
      <c r="A956" s="13">
        <v>43930.708333333336</v>
      </c>
      <c r="B956" s="12" t="s">
        <v>22</v>
      </c>
      <c r="C956" s="82">
        <v>3</v>
      </c>
      <c r="D956" s="12" t="s">
        <v>50</v>
      </c>
      <c r="E956" s="82">
        <v>4546679409</v>
      </c>
      <c r="F956" s="82">
        <v>9190347404</v>
      </c>
      <c r="G956" s="82">
        <v>11796</v>
      </c>
      <c r="H956" s="82">
        <v>1236</v>
      </c>
      <c r="I956" s="82">
        <v>13032</v>
      </c>
      <c r="J956" s="82">
        <v>16042</v>
      </c>
      <c r="K956" s="82">
        <v>29074</v>
      </c>
      <c r="L956" s="82">
        <v>529</v>
      </c>
      <c r="M956" s="82">
        <v>1388</v>
      </c>
      <c r="N956" s="82">
        <v>15706</v>
      </c>
      <c r="O956" s="82">
        <v>10022</v>
      </c>
      <c r="P956" s="82">
        <v>54802</v>
      </c>
      <c r="Q956" s="82">
        <v>176953</v>
      </c>
      <c r="R956" s="12" t="s">
        <v>25</v>
      </c>
      <c r="S956" s="12" t="s">
        <v>25</v>
      </c>
      <c r="T956" s="12" t="s">
        <v>25</v>
      </c>
    </row>
    <row r="957" spans="1:20" hidden="1" x14ac:dyDescent="0.3">
      <c r="A957" s="13">
        <v>43930.708333333336</v>
      </c>
      <c r="B957" s="12" t="s">
        <v>22</v>
      </c>
      <c r="C957" s="82">
        <v>11</v>
      </c>
      <c r="D957" s="12" t="s">
        <v>51</v>
      </c>
      <c r="E957" s="82">
        <v>4361675973</v>
      </c>
      <c r="F957" s="82">
        <v>135188753</v>
      </c>
      <c r="G957" s="82">
        <v>945</v>
      </c>
      <c r="H957" s="82">
        <v>133</v>
      </c>
      <c r="I957" s="82">
        <v>1078</v>
      </c>
      <c r="J957" s="82">
        <v>2323</v>
      </c>
      <c r="K957" s="82">
        <v>3401</v>
      </c>
      <c r="L957" s="82">
        <v>-161</v>
      </c>
      <c r="M957" s="82">
        <v>96</v>
      </c>
      <c r="N957" s="82">
        <v>885</v>
      </c>
      <c r="O957" s="82">
        <v>669</v>
      </c>
      <c r="P957" s="82">
        <v>4955</v>
      </c>
      <c r="Q957" s="82">
        <v>18194</v>
      </c>
      <c r="R957" s="12" t="s">
        <v>25</v>
      </c>
      <c r="S957" s="12" t="s">
        <v>25</v>
      </c>
      <c r="T957" s="12" t="s">
        <v>25</v>
      </c>
    </row>
    <row r="958" spans="1:20" hidden="1" x14ac:dyDescent="0.3">
      <c r="A958" s="13">
        <v>43930.708333333336</v>
      </c>
      <c r="B958" s="12" t="s">
        <v>22</v>
      </c>
      <c r="C958" s="82">
        <v>14</v>
      </c>
      <c r="D958" s="12" t="s">
        <v>52</v>
      </c>
      <c r="E958" s="82">
        <v>4155774754</v>
      </c>
      <c r="F958" s="82">
        <v>1465916051</v>
      </c>
      <c r="G958" s="82">
        <v>30</v>
      </c>
      <c r="H958" s="82">
        <v>4</v>
      </c>
      <c r="I958" s="82">
        <v>34</v>
      </c>
      <c r="J958" s="82">
        <v>155</v>
      </c>
      <c r="K958" s="82">
        <v>189</v>
      </c>
      <c r="L958" s="82">
        <v>8</v>
      </c>
      <c r="M958" s="82">
        <v>8</v>
      </c>
      <c r="N958" s="82">
        <v>32</v>
      </c>
      <c r="O958" s="82">
        <v>13</v>
      </c>
      <c r="P958" s="82">
        <v>234</v>
      </c>
      <c r="Q958" s="82">
        <v>2069</v>
      </c>
      <c r="R958" s="12" t="s">
        <v>25</v>
      </c>
      <c r="S958" s="12" t="s">
        <v>25</v>
      </c>
      <c r="T958" s="12" t="s">
        <v>25</v>
      </c>
    </row>
    <row r="959" spans="1:20" hidden="1" x14ac:dyDescent="0.3">
      <c r="A959" s="13">
        <v>43930.708333333336</v>
      </c>
      <c r="B959" s="12" t="s">
        <v>22</v>
      </c>
      <c r="C959" s="82">
        <v>1</v>
      </c>
      <c r="D959" s="12" t="s">
        <v>53</v>
      </c>
      <c r="E959" s="82">
        <v>450732745</v>
      </c>
      <c r="F959" s="82">
        <v>7680687483</v>
      </c>
      <c r="G959" s="82">
        <v>3514</v>
      </c>
      <c r="H959" s="82">
        <v>412</v>
      </c>
      <c r="I959" s="82">
        <v>3926</v>
      </c>
      <c r="J959" s="82">
        <v>7410</v>
      </c>
      <c r="K959" s="82">
        <v>11336</v>
      </c>
      <c r="L959" s="82">
        <v>347</v>
      </c>
      <c r="M959" s="82">
        <v>639</v>
      </c>
      <c r="N959" s="82">
        <v>1732</v>
      </c>
      <c r="O959" s="82">
        <v>1454</v>
      </c>
      <c r="P959" s="82">
        <v>14522</v>
      </c>
      <c r="Q959" s="82">
        <v>52807</v>
      </c>
      <c r="R959" s="12" t="s">
        <v>25</v>
      </c>
      <c r="S959" s="12" t="s">
        <v>25</v>
      </c>
      <c r="T959" s="12" t="s">
        <v>25</v>
      </c>
    </row>
    <row r="960" spans="1:20" hidden="1" x14ac:dyDescent="0.3">
      <c r="A960" s="13">
        <v>43930.708333333336</v>
      </c>
      <c r="B960" s="12" t="s">
        <v>22</v>
      </c>
      <c r="C960" s="82">
        <v>16</v>
      </c>
      <c r="D960" s="12" t="s">
        <v>54</v>
      </c>
      <c r="E960" s="82">
        <v>4112559576</v>
      </c>
      <c r="F960" s="82">
        <v>1686736689</v>
      </c>
      <c r="G960" s="82">
        <v>630</v>
      </c>
      <c r="H960" s="82">
        <v>86</v>
      </c>
      <c r="I960" s="82">
        <v>716</v>
      </c>
      <c r="J960" s="82">
        <v>1585</v>
      </c>
      <c r="K960" s="82">
        <v>2301</v>
      </c>
      <c r="L960" s="82">
        <v>63</v>
      </c>
      <c r="M960" s="82">
        <v>82</v>
      </c>
      <c r="N960" s="82">
        <v>190</v>
      </c>
      <c r="O960" s="82">
        <v>225</v>
      </c>
      <c r="P960" s="82">
        <v>2716</v>
      </c>
      <c r="Q960" s="82">
        <v>26088</v>
      </c>
      <c r="R960" s="12" t="s">
        <v>25</v>
      </c>
      <c r="S960" s="12" t="s">
        <v>25</v>
      </c>
      <c r="T960" s="12" t="s">
        <v>25</v>
      </c>
    </row>
    <row r="961" spans="1:20" hidden="1" x14ac:dyDescent="0.3">
      <c r="A961" s="13">
        <v>43930.708333333336</v>
      </c>
      <c r="B961" s="12" t="s">
        <v>22</v>
      </c>
      <c r="C961" s="82">
        <v>20</v>
      </c>
      <c r="D961" s="12" t="s">
        <v>55</v>
      </c>
      <c r="E961" s="82">
        <v>3921531192</v>
      </c>
      <c r="F961" s="82">
        <v>9110616306</v>
      </c>
      <c r="G961" s="82">
        <v>106</v>
      </c>
      <c r="H961" s="82">
        <v>25</v>
      </c>
      <c r="I961" s="82">
        <v>131</v>
      </c>
      <c r="J961" s="82">
        <v>745</v>
      </c>
      <c r="K961" s="82">
        <v>876</v>
      </c>
      <c r="L961" s="82">
        <v>36</v>
      </c>
      <c r="M961" s="82">
        <v>51</v>
      </c>
      <c r="N961" s="82">
        <v>86</v>
      </c>
      <c r="O961" s="82">
        <v>64</v>
      </c>
      <c r="P961" s="82">
        <v>1026</v>
      </c>
      <c r="Q961" s="82">
        <v>8918</v>
      </c>
      <c r="R961" s="12" t="s">
        <v>25</v>
      </c>
      <c r="S961" s="12" t="s">
        <v>25</v>
      </c>
      <c r="T961" s="12" t="s">
        <v>25</v>
      </c>
    </row>
    <row r="962" spans="1:20" hidden="1" x14ac:dyDescent="0.3">
      <c r="A962" s="13">
        <v>43930.708333333336</v>
      </c>
      <c r="B962" s="12" t="s">
        <v>22</v>
      </c>
      <c r="C962" s="82">
        <v>19</v>
      </c>
      <c r="D962" s="12" t="s">
        <v>56</v>
      </c>
      <c r="E962" s="82">
        <v>3811569725</v>
      </c>
      <c r="F962" s="82">
        <v>133623567</v>
      </c>
      <c r="G962" s="82">
        <v>566</v>
      </c>
      <c r="H962" s="82">
        <v>63</v>
      </c>
      <c r="I962" s="82">
        <v>629</v>
      </c>
      <c r="J962" s="82">
        <v>1313</v>
      </c>
      <c r="K962" s="82">
        <v>1942</v>
      </c>
      <c r="L962" s="82">
        <v>49</v>
      </c>
      <c r="M962" s="82">
        <v>73</v>
      </c>
      <c r="N962" s="82">
        <v>152</v>
      </c>
      <c r="O962" s="82">
        <v>138</v>
      </c>
      <c r="P962" s="82">
        <v>2232</v>
      </c>
      <c r="Q962" s="82">
        <v>28742</v>
      </c>
      <c r="R962" s="12" t="s">
        <v>25</v>
      </c>
      <c r="S962" s="12" t="s">
        <v>25</v>
      </c>
      <c r="T962" s="12" t="s">
        <v>25</v>
      </c>
    </row>
    <row r="963" spans="1:20" hidden="1" x14ac:dyDescent="0.3">
      <c r="A963" s="13">
        <v>43930.708333333336</v>
      </c>
      <c r="B963" s="12" t="s">
        <v>22</v>
      </c>
      <c r="C963" s="82">
        <v>9</v>
      </c>
      <c r="D963" s="12" t="s">
        <v>57</v>
      </c>
      <c r="E963" s="82">
        <v>4376923077</v>
      </c>
      <c r="F963" s="82">
        <v>1125588885</v>
      </c>
      <c r="G963" s="82">
        <v>1038</v>
      </c>
      <c r="H963" s="82">
        <v>256</v>
      </c>
      <c r="I963" s="82">
        <v>1294</v>
      </c>
      <c r="J963" s="82">
        <v>4409</v>
      </c>
      <c r="K963" s="82">
        <v>5703</v>
      </c>
      <c r="L963" s="82">
        <v>146</v>
      </c>
      <c r="M963" s="82">
        <v>173</v>
      </c>
      <c r="N963" s="82">
        <v>441</v>
      </c>
      <c r="O963" s="82">
        <v>408</v>
      </c>
      <c r="P963" s="82">
        <v>6552</v>
      </c>
      <c r="Q963" s="82">
        <v>65461</v>
      </c>
      <c r="R963" s="12" t="s">
        <v>25</v>
      </c>
      <c r="S963" s="12" t="s">
        <v>25</v>
      </c>
      <c r="T963" s="12" t="s">
        <v>25</v>
      </c>
    </row>
    <row r="964" spans="1:20" hidden="1" x14ac:dyDescent="0.3">
      <c r="A964" s="13">
        <v>43930.708333333336</v>
      </c>
      <c r="B964" s="12" t="s">
        <v>22</v>
      </c>
      <c r="C964" s="82">
        <v>22</v>
      </c>
      <c r="D964" s="12" t="s">
        <v>58</v>
      </c>
      <c r="E964" s="82">
        <v>4606893511</v>
      </c>
      <c r="F964" s="82">
        <v>1112123097</v>
      </c>
      <c r="G964" s="82">
        <v>345</v>
      </c>
      <c r="H964" s="82">
        <v>69</v>
      </c>
      <c r="I964" s="82">
        <v>414</v>
      </c>
      <c r="J964" s="82">
        <v>1564</v>
      </c>
      <c r="K964" s="82">
        <v>1978</v>
      </c>
      <c r="L964" s="82">
        <v>38</v>
      </c>
      <c r="M964" s="82">
        <v>106</v>
      </c>
      <c r="N964" s="82">
        <v>462</v>
      </c>
      <c r="O964" s="82">
        <v>268</v>
      </c>
      <c r="P964" s="82">
        <v>2708</v>
      </c>
      <c r="Q964" s="82">
        <v>14338</v>
      </c>
      <c r="R964" s="12" t="s">
        <v>25</v>
      </c>
      <c r="S964" s="12" t="s">
        <v>25</v>
      </c>
      <c r="T964" s="12" t="s">
        <v>25</v>
      </c>
    </row>
    <row r="965" spans="1:20" hidden="1" x14ac:dyDescent="0.3">
      <c r="A965" s="13">
        <v>43930.708333333336</v>
      </c>
      <c r="B965" s="12" t="s">
        <v>22</v>
      </c>
      <c r="C965" s="82">
        <v>10</v>
      </c>
      <c r="D965" s="12" t="s">
        <v>59</v>
      </c>
      <c r="E965" s="82">
        <v>4310675841</v>
      </c>
      <c r="F965" s="82">
        <v>1238824698</v>
      </c>
      <c r="G965" s="82">
        <v>154</v>
      </c>
      <c r="H965" s="82">
        <v>38</v>
      </c>
      <c r="I965" s="82">
        <v>192</v>
      </c>
      <c r="J965" s="82">
        <v>600</v>
      </c>
      <c r="K965" s="82">
        <v>792</v>
      </c>
      <c r="L965" s="82">
        <v>-31</v>
      </c>
      <c r="M965" s="82">
        <v>9</v>
      </c>
      <c r="N965" s="82">
        <v>455</v>
      </c>
      <c r="O965" s="82">
        <v>51</v>
      </c>
      <c r="P965" s="82">
        <v>1298</v>
      </c>
      <c r="Q965" s="82">
        <v>15170</v>
      </c>
      <c r="R965" s="12" t="s">
        <v>25</v>
      </c>
      <c r="S965" s="12" t="s">
        <v>25</v>
      </c>
      <c r="T965" s="12" t="s">
        <v>25</v>
      </c>
    </row>
    <row r="966" spans="1:20" hidden="1" x14ac:dyDescent="0.3">
      <c r="A966" s="13">
        <v>43930.708333333336</v>
      </c>
      <c r="B966" s="12" t="s">
        <v>22</v>
      </c>
      <c r="C966" s="82">
        <v>2</v>
      </c>
      <c r="D966" s="12" t="s">
        <v>60</v>
      </c>
      <c r="E966" s="82">
        <v>4573750286</v>
      </c>
      <c r="F966" s="82">
        <v>7320149366</v>
      </c>
      <c r="G966" s="82">
        <v>118</v>
      </c>
      <c r="H966" s="82">
        <v>18</v>
      </c>
      <c r="I966" s="82">
        <v>136</v>
      </c>
      <c r="J966" s="82">
        <v>473</v>
      </c>
      <c r="K966" s="82">
        <v>609</v>
      </c>
      <c r="L966" s="82">
        <v>3</v>
      </c>
      <c r="M966" s="82">
        <v>18</v>
      </c>
      <c r="N966" s="82">
        <v>154</v>
      </c>
      <c r="O966" s="82">
        <v>105</v>
      </c>
      <c r="P966" s="82">
        <v>868</v>
      </c>
      <c r="Q966" s="82">
        <v>3142</v>
      </c>
      <c r="R966" s="12" t="s">
        <v>25</v>
      </c>
      <c r="S966" s="12" t="s">
        <v>25</v>
      </c>
      <c r="T966" s="12" t="s">
        <v>25</v>
      </c>
    </row>
    <row r="967" spans="1:20" hidden="1" x14ac:dyDescent="0.3">
      <c r="A967" s="13">
        <v>43930.708333333336</v>
      </c>
      <c r="B967" s="12" t="s">
        <v>22</v>
      </c>
      <c r="C967" s="82">
        <v>5</v>
      </c>
      <c r="D967" s="12" t="s">
        <v>61</v>
      </c>
      <c r="E967" s="82">
        <v>4543490485</v>
      </c>
      <c r="F967" s="82">
        <v>1233845213</v>
      </c>
      <c r="G967" s="82">
        <v>1530</v>
      </c>
      <c r="H967" s="82">
        <v>274</v>
      </c>
      <c r="I967" s="82">
        <v>1804</v>
      </c>
      <c r="J967" s="82">
        <v>8645</v>
      </c>
      <c r="K967" s="82">
        <v>10449</v>
      </c>
      <c r="L967" s="82">
        <v>278</v>
      </c>
      <c r="M967" s="82">
        <v>523</v>
      </c>
      <c r="N967" s="82">
        <v>1728</v>
      </c>
      <c r="O967" s="82">
        <v>756</v>
      </c>
      <c r="P967" s="82">
        <v>12933</v>
      </c>
      <c r="Q967" s="82">
        <v>171456</v>
      </c>
      <c r="R967" s="12" t="s">
        <v>25</v>
      </c>
      <c r="S967" s="12" t="s">
        <v>25</v>
      </c>
      <c r="T967" s="12" t="s">
        <v>25</v>
      </c>
    </row>
    <row r="968" spans="1:20" hidden="1" x14ac:dyDescent="0.3">
      <c r="A968" s="13">
        <v>43931.708333333336</v>
      </c>
      <c r="B968" s="12" t="s">
        <v>22</v>
      </c>
      <c r="C968" s="82">
        <v>13</v>
      </c>
      <c r="D968" s="12" t="s">
        <v>42</v>
      </c>
      <c r="E968" s="82">
        <v>4235122196</v>
      </c>
      <c r="F968" s="82">
        <v>1339843823</v>
      </c>
      <c r="G968" s="82">
        <v>305</v>
      </c>
      <c r="H968" s="82">
        <v>53</v>
      </c>
      <c r="I968" s="82">
        <v>358</v>
      </c>
      <c r="J968" s="82">
        <v>1277</v>
      </c>
      <c r="K968" s="82">
        <v>1635</v>
      </c>
      <c r="L968" s="82">
        <v>69</v>
      </c>
      <c r="M968" s="82">
        <v>83</v>
      </c>
      <c r="N968" s="82">
        <v>181</v>
      </c>
      <c r="O968" s="82">
        <v>198</v>
      </c>
      <c r="P968" s="82">
        <v>2014</v>
      </c>
      <c r="Q968" s="82">
        <v>18088</v>
      </c>
      <c r="R968" s="12" t="s">
        <v>25</v>
      </c>
      <c r="S968" s="12" t="s">
        <v>25</v>
      </c>
      <c r="T968" s="12" t="s">
        <v>25</v>
      </c>
    </row>
    <row r="969" spans="1:20" hidden="1" x14ac:dyDescent="0.3">
      <c r="A969" s="13">
        <v>43931.708333333336</v>
      </c>
      <c r="B969" s="12" t="s">
        <v>22</v>
      </c>
      <c r="C969" s="82">
        <v>17</v>
      </c>
      <c r="D969" s="12" t="s">
        <v>43</v>
      </c>
      <c r="E969" s="82">
        <v>4063947052</v>
      </c>
      <c r="F969" s="82">
        <v>1580514834</v>
      </c>
      <c r="G969" s="82">
        <v>59</v>
      </c>
      <c r="H969" s="82">
        <v>15</v>
      </c>
      <c r="I969" s="82">
        <v>74</v>
      </c>
      <c r="J969" s="82">
        <v>205</v>
      </c>
      <c r="K969" s="82">
        <v>279</v>
      </c>
      <c r="L969" s="82">
        <v>4</v>
      </c>
      <c r="M969" s="82">
        <v>5</v>
      </c>
      <c r="N969" s="82">
        <v>14</v>
      </c>
      <c r="O969" s="82">
        <v>15</v>
      </c>
      <c r="P969" s="82">
        <v>308</v>
      </c>
      <c r="Q969" s="82">
        <v>3696</v>
      </c>
      <c r="R969" s="12" t="s">
        <v>25</v>
      </c>
      <c r="S969" s="12" t="s">
        <v>25</v>
      </c>
      <c r="T969" s="12" t="s">
        <v>25</v>
      </c>
    </row>
    <row r="970" spans="1:20" hidden="1" x14ac:dyDescent="0.3">
      <c r="A970" s="13">
        <v>43931.708333333336</v>
      </c>
      <c r="B970" s="12" t="s">
        <v>22</v>
      </c>
      <c r="C970" s="82">
        <v>21</v>
      </c>
      <c r="D970" s="12" t="s">
        <v>44</v>
      </c>
      <c r="E970" s="82">
        <v>4649933453</v>
      </c>
      <c r="F970" s="82">
        <v>1135662422</v>
      </c>
      <c r="G970" s="82">
        <v>258</v>
      </c>
      <c r="H970" s="82">
        <v>58</v>
      </c>
      <c r="I970" s="82">
        <v>316</v>
      </c>
      <c r="J970" s="82">
        <v>1001</v>
      </c>
      <c r="K970" s="82">
        <v>1317</v>
      </c>
      <c r="L970" s="82">
        <v>2</v>
      </c>
      <c r="M970" s="82">
        <v>52</v>
      </c>
      <c r="N970" s="82">
        <v>447</v>
      </c>
      <c r="O970" s="82">
        <v>191</v>
      </c>
      <c r="P970" s="82">
        <v>1955</v>
      </c>
      <c r="Q970" s="82">
        <v>20866</v>
      </c>
      <c r="R970" s="12" t="s">
        <v>25</v>
      </c>
      <c r="S970" s="12" t="s">
        <v>25</v>
      </c>
      <c r="T970" s="12" t="s">
        <v>25</v>
      </c>
    </row>
    <row r="971" spans="1:20" hidden="1" x14ac:dyDescent="0.3">
      <c r="A971" s="13">
        <v>43931.708333333336</v>
      </c>
      <c r="B971" s="12" t="s">
        <v>22</v>
      </c>
      <c r="C971" s="82">
        <v>18</v>
      </c>
      <c r="D971" s="12" t="s">
        <v>45</v>
      </c>
      <c r="E971" s="82">
        <v>3890597598</v>
      </c>
      <c r="F971" s="82">
        <v>1659440194</v>
      </c>
      <c r="G971" s="82">
        <v>168</v>
      </c>
      <c r="H971" s="82">
        <v>14</v>
      </c>
      <c r="I971" s="82">
        <v>182</v>
      </c>
      <c r="J971" s="82">
        <v>604</v>
      </c>
      <c r="K971" s="82">
        <v>786</v>
      </c>
      <c r="L971" s="82">
        <v>21</v>
      </c>
      <c r="M971" s="82">
        <v>27</v>
      </c>
      <c r="N971" s="82">
        <v>50</v>
      </c>
      <c r="O971" s="82">
        <v>65</v>
      </c>
      <c r="P971" s="82">
        <v>901</v>
      </c>
      <c r="Q971" s="82">
        <v>16637</v>
      </c>
      <c r="R971" s="12" t="s">
        <v>25</v>
      </c>
      <c r="S971" s="12" t="s">
        <v>25</v>
      </c>
      <c r="T971" s="12" t="s">
        <v>25</v>
      </c>
    </row>
    <row r="972" spans="1:20" hidden="1" x14ac:dyDescent="0.3">
      <c r="A972" s="13">
        <v>43931.708333333336</v>
      </c>
      <c r="B972" s="12" t="s">
        <v>22</v>
      </c>
      <c r="C972" s="82">
        <v>15</v>
      </c>
      <c r="D972" s="12" t="s">
        <v>46</v>
      </c>
      <c r="E972" s="82">
        <v>4083956555</v>
      </c>
      <c r="F972" s="82">
        <v>1425084984</v>
      </c>
      <c r="G972" s="82">
        <v>600</v>
      </c>
      <c r="H972" s="82">
        <v>90</v>
      </c>
      <c r="I972" s="82">
        <v>690</v>
      </c>
      <c r="J972" s="82">
        <v>2273</v>
      </c>
      <c r="K972" s="82">
        <v>2963</v>
      </c>
      <c r="L972" s="82">
        <v>90</v>
      </c>
      <c r="M972" s="82">
        <v>98</v>
      </c>
      <c r="N972" s="82">
        <v>248</v>
      </c>
      <c r="O972" s="82">
        <v>231</v>
      </c>
      <c r="P972" s="82">
        <v>3442</v>
      </c>
      <c r="Q972" s="82">
        <v>31745</v>
      </c>
      <c r="R972" s="12" t="s">
        <v>25</v>
      </c>
      <c r="S972" s="12" t="s">
        <v>25</v>
      </c>
      <c r="T972" s="12" t="s">
        <v>25</v>
      </c>
    </row>
    <row r="973" spans="1:20" hidden="1" x14ac:dyDescent="0.3">
      <c r="A973" s="13">
        <v>43931.708333333336</v>
      </c>
      <c r="B973" s="12" t="s">
        <v>22</v>
      </c>
      <c r="C973" s="82">
        <v>8</v>
      </c>
      <c r="D973" s="12" t="s">
        <v>95</v>
      </c>
      <c r="E973" s="82">
        <v>4449436681</v>
      </c>
      <c r="F973" s="82">
        <v>113417208</v>
      </c>
      <c r="G973" s="82">
        <v>3596</v>
      </c>
      <c r="H973" s="82">
        <v>349</v>
      </c>
      <c r="I973" s="82">
        <v>3945</v>
      </c>
      <c r="J973" s="82">
        <v>9405</v>
      </c>
      <c r="K973" s="82">
        <v>13350</v>
      </c>
      <c r="L973" s="82">
        <v>92</v>
      </c>
      <c r="M973" s="82">
        <v>451</v>
      </c>
      <c r="N973" s="82">
        <v>3381</v>
      </c>
      <c r="O973" s="82">
        <v>2397</v>
      </c>
      <c r="P973" s="82">
        <v>19128</v>
      </c>
      <c r="Q973" s="82">
        <v>85884</v>
      </c>
      <c r="R973" s="12" t="s">
        <v>25</v>
      </c>
      <c r="S973" s="12" t="s">
        <v>25</v>
      </c>
      <c r="T973" s="12" t="s">
        <v>25</v>
      </c>
    </row>
    <row r="974" spans="1:20" hidden="1" x14ac:dyDescent="0.3">
      <c r="A974" s="13">
        <v>43931.708333333336</v>
      </c>
      <c r="B974" s="12" t="s">
        <v>22</v>
      </c>
      <c r="C974" s="82">
        <v>6</v>
      </c>
      <c r="D974" s="12" t="s">
        <v>47</v>
      </c>
      <c r="E974" s="82">
        <v>456494354</v>
      </c>
      <c r="F974" s="82">
        <v>1376813649</v>
      </c>
      <c r="G974" s="82">
        <v>167</v>
      </c>
      <c r="H974" s="82">
        <v>33</v>
      </c>
      <c r="I974" s="82">
        <v>200</v>
      </c>
      <c r="J974" s="82">
        <v>1198</v>
      </c>
      <c r="K974" s="82">
        <v>1398</v>
      </c>
      <c r="L974" s="82">
        <v>8</v>
      </c>
      <c r="M974" s="82">
        <v>50</v>
      </c>
      <c r="N974" s="82">
        <v>772</v>
      </c>
      <c r="O974" s="82">
        <v>179</v>
      </c>
      <c r="P974" s="82">
        <v>2349</v>
      </c>
      <c r="Q974" s="82">
        <v>28097</v>
      </c>
      <c r="R974" s="12" t="s">
        <v>25</v>
      </c>
      <c r="S974" s="12" t="s">
        <v>25</v>
      </c>
      <c r="T974" s="12" t="s">
        <v>25</v>
      </c>
    </row>
    <row r="975" spans="1:20" hidden="1" x14ac:dyDescent="0.3">
      <c r="A975" s="13">
        <v>43931.708333333336</v>
      </c>
      <c r="B975" s="12" t="s">
        <v>22</v>
      </c>
      <c r="C975" s="82">
        <v>12</v>
      </c>
      <c r="D975" s="12" t="s">
        <v>48</v>
      </c>
      <c r="E975" s="82">
        <v>4189277044</v>
      </c>
      <c r="F975" s="82">
        <v>1248366722</v>
      </c>
      <c r="G975" s="82">
        <v>1236</v>
      </c>
      <c r="H975" s="82">
        <v>201</v>
      </c>
      <c r="I975" s="82">
        <v>1437</v>
      </c>
      <c r="J975" s="82">
        <v>2196</v>
      </c>
      <c r="K975" s="82">
        <v>3633</v>
      </c>
      <c r="L975" s="82">
        <v>101</v>
      </c>
      <c r="M975" s="82">
        <v>154</v>
      </c>
      <c r="N975" s="82">
        <v>687</v>
      </c>
      <c r="O975" s="82">
        <v>263</v>
      </c>
      <c r="P975" s="82">
        <v>4583</v>
      </c>
      <c r="Q975" s="82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82">
        <v>7</v>
      </c>
      <c r="D976" s="12" t="s">
        <v>49</v>
      </c>
      <c r="E976" s="82">
        <v>4441149315</v>
      </c>
      <c r="F976" s="82">
        <v>89326992</v>
      </c>
      <c r="G976" s="82">
        <v>1076</v>
      </c>
      <c r="H976" s="82">
        <v>151</v>
      </c>
      <c r="I976" s="82">
        <v>1227</v>
      </c>
      <c r="J976" s="82">
        <v>2074</v>
      </c>
      <c r="K976" s="82">
        <v>3301</v>
      </c>
      <c r="L976" s="82">
        <v>48</v>
      </c>
      <c r="M976" s="82">
        <v>171</v>
      </c>
      <c r="N976" s="82">
        <v>1181</v>
      </c>
      <c r="O976" s="82">
        <v>709</v>
      </c>
      <c r="P976" s="82">
        <v>5191</v>
      </c>
      <c r="Q976" s="82">
        <v>19514</v>
      </c>
      <c r="R976" s="12" t="s">
        <v>25</v>
      </c>
      <c r="S976" s="12" t="s">
        <v>25</v>
      </c>
      <c r="T976" s="12" t="s">
        <v>25</v>
      </c>
    </row>
    <row r="977" spans="1:20" hidden="1" x14ac:dyDescent="0.3">
      <c r="A977" s="13">
        <v>43931.708333333336</v>
      </c>
      <c r="B977" s="12" t="s">
        <v>22</v>
      </c>
      <c r="C977" s="82">
        <v>3</v>
      </c>
      <c r="D977" s="12" t="s">
        <v>50</v>
      </c>
      <c r="E977" s="82">
        <v>4546679409</v>
      </c>
      <c r="F977" s="82">
        <v>9190347404</v>
      </c>
      <c r="G977" s="82">
        <v>11877</v>
      </c>
      <c r="H977" s="82">
        <v>1202</v>
      </c>
      <c r="I977" s="82">
        <v>13079</v>
      </c>
      <c r="J977" s="82">
        <v>16451</v>
      </c>
      <c r="K977" s="82">
        <v>29530</v>
      </c>
      <c r="L977" s="82">
        <v>456</v>
      </c>
      <c r="M977" s="82">
        <v>1246</v>
      </c>
      <c r="N977" s="82">
        <v>16280</v>
      </c>
      <c r="O977" s="82">
        <v>10238</v>
      </c>
      <c r="P977" s="82">
        <v>56048</v>
      </c>
      <c r="Q977" s="82">
        <v>186325</v>
      </c>
      <c r="R977" s="12" t="s">
        <v>25</v>
      </c>
      <c r="S977" s="12" t="s">
        <v>25</v>
      </c>
      <c r="T977" s="12" t="s">
        <v>25</v>
      </c>
    </row>
    <row r="978" spans="1:20" hidden="1" x14ac:dyDescent="0.3">
      <c r="A978" s="13">
        <v>43931.708333333336</v>
      </c>
      <c r="B978" s="12" t="s">
        <v>22</v>
      </c>
      <c r="C978" s="82">
        <v>11</v>
      </c>
      <c r="D978" s="12" t="s">
        <v>51</v>
      </c>
      <c r="E978" s="82">
        <v>4361675973</v>
      </c>
      <c r="F978" s="82">
        <v>135188753</v>
      </c>
      <c r="G978" s="82">
        <v>925</v>
      </c>
      <c r="H978" s="82">
        <v>127</v>
      </c>
      <c r="I978" s="82">
        <v>1052</v>
      </c>
      <c r="J978" s="82">
        <v>2264</v>
      </c>
      <c r="K978" s="82">
        <v>3316</v>
      </c>
      <c r="L978" s="82">
        <v>-85</v>
      </c>
      <c r="M978" s="82">
        <v>129</v>
      </c>
      <c r="N978" s="82">
        <v>1086</v>
      </c>
      <c r="O978" s="82">
        <v>682</v>
      </c>
      <c r="P978" s="82">
        <v>5084</v>
      </c>
      <c r="Q978" s="82">
        <v>18970</v>
      </c>
      <c r="R978" s="12" t="s">
        <v>25</v>
      </c>
      <c r="S978" s="12" t="s">
        <v>25</v>
      </c>
      <c r="T978" s="12" t="s">
        <v>25</v>
      </c>
    </row>
    <row r="979" spans="1:20" hidden="1" x14ac:dyDescent="0.3">
      <c r="A979" s="13">
        <v>43931.708333333336</v>
      </c>
      <c r="B979" s="12" t="s">
        <v>22</v>
      </c>
      <c r="C979" s="82">
        <v>14</v>
      </c>
      <c r="D979" s="12" t="s">
        <v>52</v>
      </c>
      <c r="E979" s="82">
        <v>4155774754</v>
      </c>
      <c r="F979" s="82">
        <v>1465916051</v>
      </c>
      <c r="G979" s="82">
        <v>28</v>
      </c>
      <c r="H979" s="82">
        <v>4</v>
      </c>
      <c r="I979" s="82">
        <v>32</v>
      </c>
      <c r="J979" s="82">
        <v>161</v>
      </c>
      <c r="K979" s="82">
        <v>193</v>
      </c>
      <c r="L979" s="82">
        <v>4</v>
      </c>
      <c r="M979" s="82">
        <v>9</v>
      </c>
      <c r="N979" s="82">
        <v>37</v>
      </c>
      <c r="O979" s="82">
        <v>13</v>
      </c>
      <c r="P979" s="82">
        <v>243</v>
      </c>
      <c r="Q979" s="82">
        <v>2069</v>
      </c>
      <c r="R979" s="12" t="s">
        <v>25</v>
      </c>
      <c r="S979" s="12" t="s">
        <v>111</v>
      </c>
      <c r="T979" s="12" t="s">
        <v>112</v>
      </c>
    </row>
    <row r="980" spans="1:20" hidden="1" x14ac:dyDescent="0.3">
      <c r="A980" s="13">
        <v>43931.708333333336</v>
      </c>
      <c r="B980" s="12" t="s">
        <v>22</v>
      </c>
      <c r="C980" s="82">
        <v>1</v>
      </c>
      <c r="D980" s="12" t="s">
        <v>53</v>
      </c>
      <c r="E980" s="82">
        <v>450732745</v>
      </c>
      <c r="F980" s="82">
        <v>7680687483</v>
      </c>
      <c r="G980" s="82">
        <v>3497</v>
      </c>
      <c r="H980" s="82">
        <v>394</v>
      </c>
      <c r="I980" s="82">
        <v>3891</v>
      </c>
      <c r="J980" s="82">
        <v>7685</v>
      </c>
      <c r="K980" s="82">
        <v>11576</v>
      </c>
      <c r="L980" s="82">
        <v>240</v>
      </c>
      <c r="M980" s="82">
        <v>490</v>
      </c>
      <c r="N980" s="82">
        <v>1904</v>
      </c>
      <c r="O980" s="82">
        <v>1532</v>
      </c>
      <c r="P980" s="82">
        <v>15012</v>
      </c>
      <c r="Q980" s="82">
        <v>57457</v>
      </c>
      <c r="R980" s="12" t="s">
        <v>25</v>
      </c>
      <c r="S980" s="12" t="s">
        <v>25</v>
      </c>
      <c r="T980" s="12" t="s">
        <v>25</v>
      </c>
    </row>
    <row r="981" spans="1:20" hidden="1" x14ac:dyDescent="0.3">
      <c r="A981" s="13">
        <v>43931.708333333336</v>
      </c>
      <c r="B981" s="12" t="s">
        <v>22</v>
      </c>
      <c r="C981" s="82">
        <v>16</v>
      </c>
      <c r="D981" s="12" t="s">
        <v>54</v>
      </c>
      <c r="E981" s="82">
        <v>4112559576</v>
      </c>
      <c r="F981" s="82">
        <v>1686736689</v>
      </c>
      <c r="G981" s="82">
        <v>631</v>
      </c>
      <c r="H981" s="82">
        <v>80</v>
      </c>
      <c r="I981" s="82">
        <v>711</v>
      </c>
      <c r="J981" s="82">
        <v>1625</v>
      </c>
      <c r="K981" s="82">
        <v>2336</v>
      </c>
      <c r="L981" s="82">
        <v>35</v>
      </c>
      <c r="M981" s="82">
        <v>93</v>
      </c>
      <c r="N981" s="82">
        <v>235</v>
      </c>
      <c r="O981" s="82">
        <v>238</v>
      </c>
      <c r="P981" s="82">
        <v>2809</v>
      </c>
      <c r="Q981" s="82">
        <v>27812</v>
      </c>
      <c r="R981" s="12" t="s">
        <v>25</v>
      </c>
      <c r="S981" s="12" t="s">
        <v>25</v>
      </c>
      <c r="T981" s="12" t="s">
        <v>25</v>
      </c>
    </row>
    <row r="982" spans="1:20" hidden="1" x14ac:dyDescent="0.3">
      <c r="A982" s="13">
        <v>43931.708333333336</v>
      </c>
      <c r="B982" s="12" t="s">
        <v>22</v>
      </c>
      <c r="C982" s="82">
        <v>20</v>
      </c>
      <c r="D982" s="12" t="s">
        <v>55</v>
      </c>
      <c r="E982" s="82">
        <v>3921531192</v>
      </c>
      <c r="F982" s="82">
        <v>9110616306</v>
      </c>
      <c r="G982" s="82">
        <v>107</v>
      </c>
      <c r="H982" s="82">
        <v>26</v>
      </c>
      <c r="I982" s="82">
        <v>133</v>
      </c>
      <c r="J982" s="82">
        <v>743</v>
      </c>
      <c r="K982" s="82">
        <v>876</v>
      </c>
      <c r="L982" s="82">
        <v>0</v>
      </c>
      <c r="M982" s="82">
        <v>37</v>
      </c>
      <c r="N982" s="82">
        <v>118</v>
      </c>
      <c r="O982" s="82">
        <v>69</v>
      </c>
      <c r="P982" s="82">
        <v>1063</v>
      </c>
      <c r="Q982" s="82">
        <v>9444</v>
      </c>
      <c r="R982" s="12" t="s">
        <v>25</v>
      </c>
      <c r="S982" s="12" t="s">
        <v>25</v>
      </c>
      <c r="T982" s="12" t="s">
        <v>25</v>
      </c>
    </row>
    <row r="983" spans="1:20" hidden="1" x14ac:dyDescent="0.3">
      <c r="A983" s="13">
        <v>43931.708333333336</v>
      </c>
      <c r="B983" s="12" t="s">
        <v>22</v>
      </c>
      <c r="C983" s="82">
        <v>19</v>
      </c>
      <c r="D983" s="12" t="s">
        <v>56</v>
      </c>
      <c r="E983" s="82">
        <v>3811569725</v>
      </c>
      <c r="F983" s="82">
        <v>133623567</v>
      </c>
      <c r="G983" s="82">
        <v>568</v>
      </c>
      <c r="H983" s="82">
        <v>62</v>
      </c>
      <c r="I983" s="82">
        <v>630</v>
      </c>
      <c r="J983" s="82">
        <v>1337</v>
      </c>
      <c r="K983" s="82">
        <v>1967</v>
      </c>
      <c r="L983" s="82">
        <v>25</v>
      </c>
      <c r="M983" s="82">
        <v>70</v>
      </c>
      <c r="N983" s="82">
        <v>187</v>
      </c>
      <c r="O983" s="82">
        <v>148</v>
      </c>
      <c r="P983" s="82">
        <v>2302</v>
      </c>
      <c r="Q983" s="82">
        <v>31156</v>
      </c>
      <c r="R983" s="12" t="s">
        <v>25</v>
      </c>
      <c r="S983" s="12" t="s">
        <v>25</v>
      </c>
      <c r="T983" s="12" t="s">
        <v>25</v>
      </c>
    </row>
    <row r="984" spans="1:20" hidden="1" x14ac:dyDescent="0.3">
      <c r="A984" s="13">
        <v>43931.708333333336</v>
      </c>
      <c r="B984" s="12" t="s">
        <v>22</v>
      </c>
      <c r="C984" s="82">
        <v>9</v>
      </c>
      <c r="D984" s="12" t="s">
        <v>57</v>
      </c>
      <c r="E984" s="82">
        <v>4376923077</v>
      </c>
      <c r="F984" s="82">
        <v>1125588885</v>
      </c>
      <c r="G984" s="82">
        <v>1011</v>
      </c>
      <c r="H984" s="82">
        <v>256</v>
      </c>
      <c r="I984" s="82">
        <v>1267</v>
      </c>
      <c r="J984" s="82">
        <v>4555</v>
      </c>
      <c r="K984" s="82">
        <v>5822</v>
      </c>
      <c r="L984" s="82">
        <v>119</v>
      </c>
      <c r="M984" s="82">
        <v>175</v>
      </c>
      <c r="N984" s="82">
        <v>451</v>
      </c>
      <c r="O984" s="82">
        <v>454</v>
      </c>
      <c r="P984" s="82">
        <v>6727</v>
      </c>
      <c r="Q984" s="82">
        <v>72001</v>
      </c>
      <c r="R984" s="12" t="s">
        <v>25</v>
      </c>
      <c r="S984" s="12" t="s">
        <v>25</v>
      </c>
      <c r="T984" s="12" t="s">
        <v>25</v>
      </c>
    </row>
    <row r="985" spans="1:20" hidden="1" x14ac:dyDescent="0.3">
      <c r="A985" s="13">
        <v>43931.708333333336</v>
      </c>
      <c r="B985" s="12" t="s">
        <v>22</v>
      </c>
      <c r="C985" s="82">
        <v>22</v>
      </c>
      <c r="D985" s="12" t="s">
        <v>58</v>
      </c>
      <c r="E985" s="82">
        <v>4606893511</v>
      </c>
      <c r="F985" s="82">
        <v>1112123097</v>
      </c>
      <c r="G985" s="82">
        <v>335</v>
      </c>
      <c r="H985" s="82">
        <v>70</v>
      </c>
      <c r="I985" s="82">
        <v>405</v>
      </c>
      <c r="J985" s="82">
        <v>1589</v>
      </c>
      <c r="K985" s="82">
        <v>1994</v>
      </c>
      <c r="L985" s="82">
        <v>16</v>
      </c>
      <c r="M985" s="82">
        <v>108</v>
      </c>
      <c r="N985" s="82">
        <v>547</v>
      </c>
      <c r="O985" s="82">
        <v>275</v>
      </c>
      <c r="P985" s="82">
        <v>2816</v>
      </c>
      <c r="Q985" s="82">
        <v>14981</v>
      </c>
      <c r="R985" s="12" t="s">
        <v>25</v>
      </c>
      <c r="S985" s="12" t="s">
        <v>25</v>
      </c>
      <c r="T985" s="12" t="s">
        <v>25</v>
      </c>
    </row>
    <row r="986" spans="1:20" hidden="1" x14ac:dyDescent="0.3">
      <c r="A986" s="13">
        <v>43931.708333333336</v>
      </c>
      <c r="B986" s="12" t="s">
        <v>22</v>
      </c>
      <c r="C986" s="82">
        <v>10</v>
      </c>
      <c r="D986" s="12" t="s">
        <v>59</v>
      </c>
      <c r="E986" s="82">
        <v>4310675841</v>
      </c>
      <c r="F986" s="82">
        <v>1238824698</v>
      </c>
      <c r="G986" s="82">
        <v>146</v>
      </c>
      <c r="H986" s="82">
        <v>39</v>
      </c>
      <c r="I986" s="82">
        <v>185</v>
      </c>
      <c r="J986" s="82">
        <v>567</v>
      </c>
      <c r="K986" s="82">
        <v>752</v>
      </c>
      <c r="L986" s="82">
        <v>-40</v>
      </c>
      <c r="M986" s="82">
        <v>4</v>
      </c>
      <c r="N986" s="82">
        <v>498</v>
      </c>
      <c r="O986" s="82">
        <v>52</v>
      </c>
      <c r="P986" s="82">
        <v>1302</v>
      </c>
      <c r="Q986" s="82">
        <v>16325</v>
      </c>
      <c r="R986" s="12" t="s">
        <v>25</v>
      </c>
      <c r="S986" s="12" t="s">
        <v>25</v>
      </c>
      <c r="T986" s="12" t="s">
        <v>25</v>
      </c>
    </row>
    <row r="987" spans="1:20" hidden="1" x14ac:dyDescent="0.3">
      <c r="A987" s="13">
        <v>43931.708333333336</v>
      </c>
      <c r="B987" s="12" t="s">
        <v>22</v>
      </c>
      <c r="C987" s="82">
        <v>2</v>
      </c>
      <c r="D987" s="12" t="s">
        <v>60</v>
      </c>
      <c r="E987" s="82">
        <v>4573750286</v>
      </c>
      <c r="F987" s="82">
        <v>7320149366</v>
      </c>
      <c r="G987" s="82">
        <v>131</v>
      </c>
      <c r="H987" s="82">
        <v>16</v>
      </c>
      <c r="I987" s="82">
        <v>147</v>
      </c>
      <c r="J987" s="82">
        <v>455</v>
      </c>
      <c r="K987" s="82">
        <v>602</v>
      </c>
      <c r="L987" s="82">
        <v>-7</v>
      </c>
      <c r="M987" s="82">
        <v>11</v>
      </c>
      <c r="N987" s="82">
        <v>170</v>
      </c>
      <c r="O987" s="82">
        <v>107</v>
      </c>
      <c r="P987" s="82">
        <v>879</v>
      </c>
      <c r="Q987" s="82">
        <v>3328</v>
      </c>
      <c r="R987" s="12" t="s">
        <v>25</v>
      </c>
      <c r="S987" s="12" t="s">
        <v>25</v>
      </c>
      <c r="T987" s="12" t="s">
        <v>25</v>
      </c>
    </row>
    <row r="988" spans="1:20" hidden="1" x14ac:dyDescent="0.3">
      <c r="A988" s="13">
        <v>43931.708333333336</v>
      </c>
      <c r="B988" s="12" t="s">
        <v>22</v>
      </c>
      <c r="C988" s="82">
        <v>5</v>
      </c>
      <c r="D988" s="12" t="s">
        <v>61</v>
      </c>
      <c r="E988" s="82">
        <v>4543490485</v>
      </c>
      <c r="F988" s="82">
        <v>1233845213</v>
      </c>
      <c r="G988" s="82">
        <v>1521</v>
      </c>
      <c r="H988" s="82">
        <v>257</v>
      </c>
      <c r="I988" s="82">
        <v>1778</v>
      </c>
      <c r="J988" s="82">
        <v>8869</v>
      </c>
      <c r="K988" s="82">
        <v>10647</v>
      </c>
      <c r="L988" s="82">
        <v>198</v>
      </c>
      <c r="M988" s="82">
        <v>488</v>
      </c>
      <c r="N988" s="82">
        <v>1981</v>
      </c>
      <c r="O988" s="82">
        <v>793</v>
      </c>
      <c r="P988" s="82">
        <v>13421</v>
      </c>
      <c r="Q988" s="82">
        <v>180700</v>
      </c>
      <c r="R988" s="12" t="s">
        <v>25</v>
      </c>
      <c r="S988" s="12" t="s">
        <v>25</v>
      </c>
      <c r="T988" s="12" t="s">
        <v>25</v>
      </c>
    </row>
    <row r="989" spans="1:20" hidden="1" x14ac:dyDescent="0.3">
      <c r="A989" s="13">
        <v>43932.708333333336</v>
      </c>
      <c r="B989" s="12" t="s">
        <v>22</v>
      </c>
      <c r="C989" s="82">
        <v>13</v>
      </c>
      <c r="D989" s="12" t="s">
        <v>42</v>
      </c>
      <c r="E989" s="82">
        <v>4235122196</v>
      </c>
      <c r="F989" s="82">
        <v>1339843823</v>
      </c>
      <c r="G989" s="82">
        <v>315</v>
      </c>
      <c r="H989" s="82">
        <v>54</v>
      </c>
      <c r="I989" s="82">
        <v>369</v>
      </c>
      <c r="J989" s="82">
        <v>1355</v>
      </c>
      <c r="K989" s="82">
        <v>1724</v>
      </c>
      <c r="L989" s="82">
        <v>89</v>
      </c>
      <c r="M989" s="82">
        <v>106</v>
      </c>
      <c r="N989" s="82">
        <v>190</v>
      </c>
      <c r="O989" s="82">
        <v>206</v>
      </c>
      <c r="P989" s="82">
        <v>2120</v>
      </c>
      <c r="Q989" s="82">
        <v>19441</v>
      </c>
      <c r="R989" s="12" t="s">
        <v>25</v>
      </c>
      <c r="S989" s="12" t="s">
        <v>25</v>
      </c>
      <c r="T989" s="12" t="s">
        <v>25</v>
      </c>
    </row>
    <row r="990" spans="1:20" hidden="1" x14ac:dyDescent="0.3">
      <c r="A990" s="13">
        <v>43932.708333333336</v>
      </c>
      <c r="B990" s="12" t="s">
        <v>22</v>
      </c>
      <c r="C990" s="82">
        <v>17</v>
      </c>
      <c r="D990" s="12" t="s">
        <v>43</v>
      </c>
      <c r="E990" s="82">
        <v>4063947052</v>
      </c>
      <c r="F990" s="82">
        <v>1580514834</v>
      </c>
      <c r="G990" s="82">
        <v>60</v>
      </c>
      <c r="H990" s="82">
        <v>12</v>
      </c>
      <c r="I990" s="82">
        <v>72</v>
      </c>
      <c r="J990" s="82">
        <v>209</v>
      </c>
      <c r="K990" s="82">
        <v>281</v>
      </c>
      <c r="L990" s="82">
        <v>2</v>
      </c>
      <c r="M990" s="82">
        <v>4</v>
      </c>
      <c r="N990" s="82">
        <v>14</v>
      </c>
      <c r="O990" s="82">
        <v>17</v>
      </c>
      <c r="P990" s="82">
        <v>312</v>
      </c>
      <c r="Q990" s="82">
        <v>4050</v>
      </c>
      <c r="R990" s="12" t="s">
        <v>25</v>
      </c>
      <c r="S990" s="12" t="s">
        <v>25</v>
      </c>
      <c r="T990" s="12" t="s">
        <v>25</v>
      </c>
    </row>
    <row r="991" spans="1:20" hidden="1" x14ac:dyDescent="0.3">
      <c r="A991" s="13">
        <v>43932.708333333336</v>
      </c>
      <c r="B991" s="12" t="s">
        <v>22</v>
      </c>
      <c r="C991" s="82">
        <v>21</v>
      </c>
      <c r="D991" s="12" t="s">
        <v>44</v>
      </c>
      <c r="E991" s="82">
        <v>4649933453</v>
      </c>
      <c r="F991" s="82">
        <v>1135662422</v>
      </c>
      <c r="G991" s="82">
        <v>246</v>
      </c>
      <c r="H991" s="82">
        <v>56</v>
      </c>
      <c r="I991" s="82">
        <v>302</v>
      </c>
      <c r="J991" s="82">
        <v>967</v>
      </c>
      <c r="K991" s="82">
        <v>1269</v>
      </c>
      <c r="L991" s="82">
        <v>-48</v>
      </c>
      <c r="M991" s="82">
        <v>2</v>
      </c>
      <c r="N991" s="82">
        <v>488</v>
      </c>
      <c r="O991" s="82">
        <v>200</v>
      </c>
      <c r="P991" s="82">
        <v>1957</v>
      </c>
      <c r="Q991" s="82">
        <v>22186</v>
      </c>
      <c r="R991" s="12" t="s">
        <v>25</v>
      </c>
      <c r="S991" s="12" t="s">
        <v>25</v>
      </c>
      <c r="T991" s="12" t="s">
        <v>25</v>
      </c>
    </row>
    <row r="992" spans="1:20" hidden="1" x14ac:dyDescent="0.3">
      <c r="A992" s="13">
        <v>43932.708333333336</v>
      </c>
      <c r="B992" s="12" t="s">
        <v>22</v>
      </c>
      <c r="C992" s="82">
        <v>18</v>
      </c>
      <c r="D992" s="12" t="s">
        <v>45</v>
      </c>
      <c r="E992" s="82">
        <v>3890597598</v>
      </c>
      <c r="F992" s="82">
        <v>1659440194</v>
      </c>
      <c r="G992" s="82">
        <v>169</v>
      </c>
      <c r="H992" s="82">
        <v>15</v>
      </c>
      <c r="I992" s="82">
        <v>184</v>
      </c>
      <c r="J992" s="82">
        <v>608</v>
      </c>
      <c r="K992" s="82">
        <v>792</v>
      </c>
      <c r="L992" s="82">
        <v>6</v>
      </c>
      <c r="M992" s="82">
        <v>14</v>
      </c>
      <c r="N992" s="82">
        <v>57</v>
      </c>
      <c r="O992" s="82">
        <v>66</v>
      </c>
      <c r="P992" s="82">
        <v>915</v>
      </c>
      <c r="Q992" s="82">
        <v>17493</v>
      </c>
      <c r="R992" s="12" t="s">
        <v>25</v>
      </c>
      <c r="S992" s="12" t="s">
        <v>25</v>
      </c>
      <c r="T992" s="12" t="s">
        <v>25</v>
      </c>
    </row>
    <row r="993" spans="1:20" hidden="1" x14ac:dyDescent="0.3">
      <c r="A993" s="13">
        <v>43932.708333333336</v>
      </c>
      <c r="B993" s="12" t="s">
        <v>22</v>
      </c>
      <c r="C993" s="82">
        <v>15</v>
      </c>
      <c r="D993" s="12" t="s">
        <v>46</v>
      </c>
      <c r="E993" s="82">
        <v>4083956555</v>
      </c>
      <c r="F993" s="82">
        <v>1425084984</v>
      </c>
      <c r="G993" s="82">
        <v>582</v>
      </c>
      <c r="H993" s="82">
        <v>85</v>
      </c>
      <c r="I993" s="82">
        <v>667</v>
      </c>
      <c r="J993" s="82">
        <v>2335</v>
      </c>
      <c r="K993" s="82">
        <v>3002</v>
      </c>
      <c r="L993" s="82">
        <v>39</v>
      </c>
      <c r="M993" s="82">
        <v>75</v>
      </c>
      <c r="N993" s="82">
        <v>277</v>
      </c>
      <c r="O993" s="82">
        <v>238</v>
      </c>
      <c r="P993" s="82">
        <v>3517</v>
      </c>
      <c r="Q993" s="82">
        <v>33781</v>
      </c>
      <c r="R993" s="12" t="s">
        <v>25</v>
      </c>
      <c r="S993" s="12" t="s">
        <v>25</v>
      </c>
      <c r="T993" s="12" t="s">
        <v>25</v>
      </c>
    </row>
    <row r="994" spans="1:20" hidden="1" x14ac:dyDescent="0.3">
      <c r="A994" s="13">
        <v>43932.708333333336</v>
      </c>
      <c r="B994" s="12" t="s">
        <v>22</v>
      </c>
      <c r="C994" s="82">
        <v>8</v>
      </c>
      <c r="D994" s="12" t="s">
        <v>95</v>
      </c>
      <c r="E994" s="82">
        <v>4449436681</v>
      </c>
      <c r="F994" s="82">
        <v>113417208</v>
      </c>
      <c r="G994" s="82">
        <v>3530</v>
      </c>
      <c r="H994" s="82">
        <v>341</v>
      </c>
      <c r="I994" s="82">
        <v>3871</v>
      </c>
      <c r="J994" s="82">
        <v>9624</v>
      </c>
      <c r="K994" s="82">
        <v>13495</v>
      </c>
      <c r="L994" s="82">
        <v>145</v>
      </c>
      <c r="M994" s="82">
        <v>507</v>
      </c>
      <c r="N994" s="82">
        <v>3659</v>
      </c>
      <c r="O994" s="82">
        <v>2481</v>
      </c>
      <c r="P994" s="82">
        <v>19635</v>
      </c>
      <c r="Q994" s="82">
        <v>91759</v>
      </c>
      <c r="R994" s="12" t="s">
        <v>25</v>
      </c>
      <c r="S994" s="12" t="s">
        <v>25</v>
      </c>
      <c r="T994" s="12" t="s">
        <v>25</v>
      </c>
    </row>
    <row r="995" spans="1:20" hidden="1" x14ac:dyDescent="0.3">
      <c r="A995" s="13">
        <v>43932.708333333336</v>
      </c>
      <c r="B995" s="12" t="s">
        <v>22</v>
      </c>
      <c r="C995" s="82">
        <v>6</v>
      </c>
      <c r="D995" s="12" t="s">
        <v>47</v>
      </c>
      <c r="E995" s="82">
        <v>456494354</v>
      </c>
      <c r="F995" s="82">
        <v>1376813649</v>
      </c>
      <c r="G995" s="82">
        <v>172</v>
      </c>
      <c r="H995" s="82">
        <v>28</v>
      </c>
      <c r="I995" s="82">
        <v>200</v>
      </c>
      <c r="J995" s="82">
        <v>1182</v>
      </c>
      <c r="K995" s="82">
        <v>1382</v>
      </c>
      <c r="L995" s="82">
        <v>-16</v>
      </c>
      <c r="M995" s="82">
        <v>44</v>
      </c>
      <c r="N995" s="82">
        <v>826</v>
      </c>
      <c r="O995" s="82">
        <v>185</v>
      </c>
      <c r="P995" s="82">
        <v>2393</v>
      </c>
      <c r="Q995" s="82">
        <v>29685</v>
      </c>
      <c r="R995" s="12" t="s">
        <v>25</v>
      </c>
      <c r="S995" s="12" t="s">
        <v>25</v>
      </c>
      <c r="T995" s="12" t="s">
        <v>25</v>
      </c>
    </row>
    <row r="996" spans="1:20" hidden="1" x14ac:dyDescent="0.3">
      <c r="A996" s="13">
        <v>43932.708333333336</v>
      </c>
      <c r="B996" s="12" t="s">
        <v>22</v>
      </c>
      <c r="C996" s="82">
        <v>12</v>
      </c>
      <c r="D996" s="12" t="s">
        <v>48</v>
      </c>
      <c r="E996" s="82">
        <v>4189277044</v>
      </c>
      <c r="F996" s="82">
        <v>1248366722</v>
      </c>
      <c r="G996" s="82">
        <v>1264</v>
      </c>
      <c r="H996" s="82">
        <v>203</v>
      </c>
      <c r="I996" s="82">
        <v>1467</v>
      </c>
      <c r="J996" s="82">
        <v>2263</v>
      </c>
      <c r="K996" s="82">
        <v>3730</v>
      </c>
      <c r="L996" s="82">
        <v>97</v>
      </c>
      <c r="M996" s="82">
        <v>140</v>
      </c>
      <c r="N996" s="82">
        <v>720</v>
      </c>
      <c r="O996" s="82">
        <v>273</v>
      </c>
      <c r="P996" s="82">
        <v>4723</v>
      </c>
      <c r="Q996" s="82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82">
        <v>7</v>
      </c>
      <c r="D997" s="12" t="s">
        <v>49</v>
      </c>
      <c r="E997" s="82">
        <v>4441149315</v>
      </c>
      <c r="F997" s="82">
        <v>89326992</v>
      </c>
      <c r="G997" s="82">
        <v>1003</v>
      </c>
      <c r="H997" s="82">
        <v>146</v>
      </c>
      <c r="I997" s="82">
        <v>1149</v>
      </c>
      <c r="J997" s="82">
        <v>2184</v>
      </c>
      <c r="K997" s="82">
        <v>3333</v>
      </c>
      <c r="L997" s="82">
        <v>32</v>
      </c>
      <c r="M997" s="82">
        <v>185</v>
      </c>
      <c r="N997" s="82">
        <v>1309</v>
      </c>
      <c r="O997" s="82">
        <v>734</v>
      </c>
      <c r="P997" s="82">
        <v>5376</v>
      </c>
      <c r="Q997" s="82">
        <v>20888</v>
      </c>
      <c r="R997" s="12" t="s">
        <v>25</v>
      </c>
      <c r="S997" s="12" t="s">
        <v>25</v>
      </c>
      <c r="T997" s="12" t="s">
        <v>25</v>
      </c>
    </row>
    <row r="998" spans="1:20" hidden="1" x14ac:dyDescent="0.3">
      <c r="A998" s="13">
        <v>43932.708333333336</v>
      </c>
      <c r="B998" s="12" t="s">
        <v>22</v>
      </c>
      <c r="C998" s="82">
        <v>3</v>
      </c>
      <c r="D998" s="12" t="s">
        <v>50</v>
      </c>
      <c r="E998" s="82">
        <v>4546679409</v>
      </c>
      <c r="F998" s="82">
        <v>9190347404</v>
      </c>
      <c r="G998" s="82">
        <v>12026</v>
      </c>
      <c r="H998" s="82">
        <v>1174</v>
      </c>
      <c r="I998" s="82">
        <v>13200</v>
      </c>
      <c r="J998" s="82">
        <v>17058</v>
      </c>
      <c r="K998" s="82">
        <v>30258</v>
      </c>
      <c r="L998" s="82">
        <v>728</v>
      </c>
      <c r="M998" s="82">
        <v>1544</v>
      </c>
      <c r="N998" s="82">
        <v>16823</v>
      </c>
      <c r="O998" s="82">
        <v>10511</v>
      </c>
      <c r="P998" s="82">
        <v>57592</v>
      </c>
      <c r="Q998" s="82">
        <v>196302</v>
      </c>
      <c r="R998" s="12" t="s">
        <v>25</v>
      </c>
      <c r="S998" s="12" t="s">
        <v>25</v>
      </c>
      <c r="T998" s="12" t="s">
        <v>25</v>
      </c>
    </row>
    <row r="999" spans="1:20" hidden="1" x14ac:dyDescent="0.3">
      <c r="A999" s="13">
        <v>43932.708333333336</v>
      </c>
      <c r="B999" s="12" t="s">
        <v>22</v>
      </c>
      <c r="C999" s="82">
        <v>11</v>
      </c>
      <c r="D999" s="12" t="s">
        <v>51</v>
      </c>
      <c r="E999" s="82">
        <v>4361675973</v>
      </c>
      <c r="F999" s="82">
        <v>135188753</v>
      </c>
      <c r="G999" s="82">
        <v>960</v>
      </c>
      <c r="H999" s="82">
        <v>118</v>
      </c>
      <c r="I999" s="82">
        <v>1078</v>
      </c>
      <c r="J999" s="82">
        <v>2153</v>
      </c>
      <c r="K999" s="82">
        <v>3231</v>
      </c>
      <c r="L999" s="82">
        <v>-85</v>
      </c>
      <c r="M999" s="82">
        <v>127</v>
      </c>
      <c r="N999" s="82">
        <v>1291</v>
      </c>
      <c r="O999" s="82">
        <v>689</v>
      </c>
      <c r="P999" s="82">
        <v>5211</v>
      </c>
      <c r="Q999" s="82">
        <v>20060</v>
      </c>
      <c r="R999" s="12" t="s">
        <v>25</v>
      </c>
      <c r="S999" s="12" t="s">
        <v>25</v>
      </c>
      <c r="T999" s="12" t="s">
        <v>25</v>
      </c>
    </row>
    <row r="1000" spans="1:20" hidden="1" x14ac:dyDescent="0.3">
      <c r="A1000" s="13">
        <v>43932.708333333336</v>
      </c>
      <c r="B1000" s="12" t="s">
        <v>22</v>
      </c>
      <c r="C1000" s="82">
        <v>14</v>
      </c>
      <c r="D1000" s="12" t="s">
        <v>52</v>
      </c>
      <c r="E1000" s="82">
        <v>4155774754</v>
      </c>
      <c r="F1000" s="82">
        <v>1465916051</v>
      </c>
      <c r="G1000" s="82">
        <v>28</v>
      </c>
      <c r="H1000" s="82">
        <v>4</v>
      </c>
      <c r="I1000" s="82">
        <v>32</v>
      </c>
      <c r="J1000" s="82">
        <v>161</v>
      </c>
      <c r="K1000" s="82">
        <v>193</v>
      </c>
      <c r="L1000" s="82">
        <v>0</v>
      </c>
      <c r="M1000" s="82">
        <v>3</v>
      </c>
      <c r="N1000" s="82">
        <v>39</v>
      </c>
      <c r="O1000" s="82">
        <v>14</v>
      </c>
      <c r="P1000" s="82">
        <v>246</v>
      </c>
      <c r="Q1000" s="82">
        <v>2201</v>
      </c>
      <c r="R1000" s="12" t="s">
        <v>25</v>
      </c>
      <c r="S1000" s="12" t="s">
        <v>25</v>
      </c>
      <c r="T1000" s="12" t="s">
        <v>25</v>
      </c>
    </row>
    <row r="1001" spans="1:20" hidden="1" x14ac:dyDescent="0.3">
      <c r="A1001" s="13">
        <v>43932.708333333336</v>
      </c>
      <c r="B1001" s="12" t="s">
        <v>22</v>
      </c>
      <c r="C1001" s="82">
        <v>1</v>
      </c>
      <c r="D1001" s="12" t="s">
        <v>53</v>
      </c>
      <c r="E1001" s="82">
        <v>450732745</v>
      </c>
      <c r="F1001" s="82">
        <v>7680687483</v>
      </c>
      <c r="G1001" s="82">
        <v>3435</v>
      </c>
      <c r="H1001" s="82">
        <v>384</v>
      </c>
      <c r="I1001" s="82">
        <v>3819</v>
      </c>
      <c r="J1001" s="82">
        <v>8351</v>
      </c>
      <c r="K1001" s="82">
        <v>12170</v>
      </c>
      <c r="L1001" s="82">
        <v>594</v>
      </c>
      <c r="M1001" s="82">
        <v>996</v>
      </c>
      <c r="N1001" s="82">
        <v>2205</v>
      </c>
      <c r="O1001" s="82">
        <v>1633</v>
      </c>
      <c r="P1001" s="82">
        <v>16008</v>
      </c>
      <c r="Q1001" s="82">
        <v>62577</v>
      </c>
      <c r="R1001" s="12" t="s">
        <v>25</v>
      </c>
      <c r="S1001" s="12" t="s">
        <v>25</v>
      </c>
      <c r="T1001" s="12" t="s">
        <v>25</v>
      </c>
    </row>
    <row r="1002" spans="1:20" hidden="1" x14ac:dyDescent="0.3">
      <c r="A1002" s="13">
        <v>43932.708333333336</v>
      </c>
      <c r="B1002" s="12" t="s">
        <v>22</v>
      </c>
      <c r="C1002" s="82">
        <v>16</v>
      </c>
      <c r="D1002" s="12" t="s">
        <v>54</v>
      </c>
      <c r="E1002" s="82">
        <v>4112559576</v>
      </c>
      <c r="F1002" s="82">
        <v>1686736689</v>
      </c>
      <c r="G1002" s="82">
        <v>627</v>
      </c>
      <c r="H1002" s="82">
        <v>73</v>
      </c>
      <c r="I1002" s="82">
        <v>700</v>
      </c>
      <c r="J1002" s="82">
        <v>1702</v>
      </c>
      <c r="K1002" s="82">
        <v>2402</v>
      </c>
      <c r="L1002" s="82">
        <v>66</v>
      </c>
      <c r="M1002" s="82">
        <v>95</v>
      </c>
      <c r="N1002" s="82">
        <v>249</v>
      </c>
      <c r="O1002" s="82">
        <v>253</v>
      </c>
      <c r="P1002" s="82">
        <v>2904</v>
      </c>
      <c r="Q1002" s="82">
        <v>29463</v>
      </c>
      <c r="R1002" s="12" t="s">
        <v>25</v>
      </c>
      <c r="S1002" s="12" t="s">
        <v>25</v>
      </c>
      <c r="T1002" s="12" t="s">
        <v>25</v>
      </c>
    </row>
    <row r="1003" spans="1:20" hidden="1" x14ac:dyDescent="0.3">
      <c r="A1003" s="13">
        <v>43932.708333333336</v>
      </c>
      <c r="B1003" s="12" t="s">
        <v>22</v>
      </c>
      <c r="C1003" s="82">
        <v>20</v>
      </c>
      <c r="D1003" s="12" t="s">
        <v>55</v>
      </c>
      <c r="E1003" s="82">
        <v>3921531192</v>
      </c>
      <c r="F1003" s="82">
        <v>9110616306</v>
      </c>
      <c r="G1003" s="82">
        <v>113</v>
      </c>
      <c r="H1003" s="82">
        <v>24</v>
      </c>
      <c r="I1003" s="82">
        <v>137</v>
      </c>
      <c r="J1003" s="82">
        <v>751</v>
      </c>
      <c r="K1003" s="82">
        <v>888</v>
      </c>
      <c r="L1003" s="82">
        <v>12</v>
      </c>
      <c r="M1003" s="82">
        <v>28</v>
      </c>
      <c r="N1003" s="82">
        <v>130</v>
      </c>
      <c r="O1003" s="82">
        <v>73</v>
      </c>
      <c r="P1003" s="82">
        <v>1091</v>
      </c>
      <c r="Q1003" s="82">
        <v>10120</v>
      </c>
      <c r="R1003" s="12" t="s">
        <v>25</v>
      </c>
      <c r="S1003" s="12" t="s">
        <v>25</v>
      </c>
      <c r="T1003" s="12" t="s">
        <v>25</v>
      </c>
    </row>
    <row r="1004" spans="1:20" hidden="1" x14ac:dyDescent="0.3">
      <c r="A1004" s="13">
        <v>43932.708333333336</v>
      </c>
      <c r="B1004" s="12" t="s">
        <v>22</v>
      </c>
      <c r="C1004" s="82">
        <v>19</v>
      </c>
      <c r="D1004" s="12" t="s">
        <v>56</v>
      </c>
      <c r="E1004" s="82">
        <v>3811569725</v>
      </c>
      <c r="F1004" s="82">
        <v>133623567</v>
      </c>
      <c r="G1004" s="82">
        <v>562</v>
      </c>
      <c r="H1004" s="82">
        <v>58</v>
      </c>
      <c r="I1004" s="82">
        <v>620</v>
      </c>
      <c r="J1004" s="82">
        <v>1381</v>
      </c>
      <c r="K1004" s="82">
        <v>2001</v>
      </c>
      <c r="L1004" s="82">
        <v>34</v>
      </c>
      <c r="M1004" s="82">
        <v>62</v>
      </c>
      <c r="N1004" s="82">
        <v>209</v>
      </c>
      <c r="O1004" s="82">
        <v>154</v>
      </c>
      <c r="P1004" s="82">
        <v>2364</v>
      </c>
      <c r="Q1004" s="82">
        <v>33787</v>
      </c>
      <c r="R1004" s="12" t="s">
        <v>25</v>
      </c>
      <c r="S1004" s="12" t="s">
        <v>25</v>
      </c>
      <c r="T1004" s="12" t="s">
        <v>25</v>
      </c>
    </row>
    <row r="1005" spans="1:20" hidden="1" x14ac:dyDescent="0.3">
      <c r="A1005" s="13">
        <v>43932.708333333336</v>
      </c>
      <c r="B1005" s="12" t="s">
        <v>22</v>
      </c>
      <c r="C1005" s="82">
        <v>9</v>
      </c>
      <c r="D1005" s="12" t="s">
        <v>57</v>
      </c>
      <c r="E1005" s="82">
        <v>4376923077</v>
      </c>
      <c r="F1005" s="82">
        <v>1125588885</v>
      </c>
      <c r="G1005" s="82">
        <v>997</v>
      </c>
      <c r="H1005" s="82">
        <v>237</v>
      </c>
      <c r="I1005" s="82">
        <v>1234</v>
      </c>
      <c r="J1005" s="82">
        <v>4758</v>
      </c>
      <c r="K1005" s="82">
        <v>5992</v>
      </c>
      <c r="L1005" s="82">
        <v>170</v>
      </c>
      <c r="M1005" s="82">
        <v>231</v>
      </c>
      <c r="N1005" s="82">
        <v>499</v>
      </c>
      <c r="O1005" s="82">
        <v>467</v>
      </c>
      <c r="P1005" s="82">
        <v>6958</v>
      </c>
      <c r="Q1005" s="82">
        <v>75756</v>
      </c>
      <c r="R1005" s="12" t="s">
        <v>25</v>
      </c>
      <c r="S1005" s="12" t="s">
        <v>25</v>
      </c>
      <c r="T1005" s="12" t="s">
        <v>25</v>
      </c>
    </row>
    <row r="1006" spans="1:20" hidden="1" x14ac:dyDescent="0.3">
      <c r="A1006" s="13">
        <v>43932.708333333336</v>
      </c>
      <c r="B1006" s="12" t="s">
        <v>22</v>
      </c>
      <c r="C1006" s="82">
        <v>22</v>
      </c>
      <c r="D1006" s="12" t="s">
        <v>58</v>
      </c>
      <c r="E1006" s="82">
        <v>4606893511</v>
      </c>
      <c r="F1006" s="82">
        <v>1112123097</v>
      </c>
      <c r="G1006" s="82">
        <v>335</v>
      </c>
      <c r="H1006" s="82">
        <v>62</v>
      </c>
      <c r="I1006" s="82">
        <v>397</v>
      </c>
      <c r="J1006" s="82">
        <v>1667</v>
      </c>
      <c r="K1006" s="82">
        <v>2064</v>
      </c>
      <c r="L1006" s="82">
        <v>70</v>
      </c>
      <c r="M1006" s="82">
        <v>154</v>
      </c>
      <c r="N1006" s="82">
        <v>622</v>
      </c>
      <c r="O1006" s="82">
        <v>284</v>
      </c>
      <c r="P1006" s="82">
        <v>2970</v>
      </c>
      <c r="Q1006" s="82">
        <v>16646</v>
      </c>
      <c r="R1006" s="12" t="s">
        <v>25</v>
      </c>
      <c r="S1006" s="12" t="s">
        <v>25</v>
      </c>
      <c r="T1006" s="12" t="s">
        <v>25</v>
      </c>
    </row>
    <row r="1007" spans="1:20" hidden="1" x14ac:dyDescent="0.3">
      <c r="A1007" s="13">
        <v>43932.708333333336</v>
      </c>
      <c r="B1007" s="12" t="s">
        <v>22</v>
      </c>
      <c r="C1007" s="82">
        <v>10</v>
      </c>
      <c r="D1007" s="12" t="s">
        <v>59</v>
      </c>
      <c r="E1007" s="82">
        <v>4310675841</v>
      </c>
      <c r="F1007" s="82">
        <v>1238824698</v>
      </c>
      <c r="G1007" s="82">
        <v>137</v>
      </c>
      <c r="H1007" s="82">
        <v>39</v>
      </c>
      <c r="I1007" s="82">
        <v>176</v>
      </c>
      <c r="J1007" s="82">
        <v>547</v>
      </c>
      <c r="K1007" s="82">
        <v>723</v>
      </c>
      <c r="L1007" s="82">
        <v>-29</v>
      </c>
      <c r="M1007" s="82">
        <v>7</v>
      </c>
      <c r="N1007" s="82">
        <v>534</v>
      </c>
      <c r="O1007" s="82">
        <v>52</v>
      </c>
      <c r="P1007" s="82">
        <v>1309</v>
      </c>
      <c r="Q1007" s="82">
        <v>17661</v>
      </c>
      <c r="R1007" s="12" t="s">
        <v>25</v>
      </c>
      <c r="S1007" s="12" t="s">
        <v>25</v>
      </c>
      <c r="T1007" s="12" t="s">
        <v>25</v>
      </c>
    </row>
    <row r="1008" spans="1:20" hidden="1" x14ac:dyDescent="0.3">
      <c r="A1008" s="13">
        <v>43932.708333333336</v>
      </c>
      <c r="B1008" s="12" t="s">
        <v>22</v>
      </c>
      <c r="C1008" s="82">
        <v>2</v>
      </c>
      <c r="D1008" s="12" t="s">
        <v>60</v>
      </c>
      <c r="E1008" s="82">
        <v>4573750286</v>
      </c>
      <c r="F1008" s="82">
        <v>7320149366</v>
      </c>
      <c r="G1008" s="82">
        <v>118</v>
      </c>
      <c r="H1008" s="82">
        <v>17</v>
      </c>
      <c r="I1008" s="82">
        <v>135</v>
      </c>
      <c r="J1008" s="82">
        <v>455</v>
      </c>
      <c r="K1008" s="82">
        <v>590</v>
      </c>
      <c r="L1008" s="82">
        <v>-12</v>
      </c>
      <c r="M1008" s="82">
        <v>23</v>
      </c>
      <c r="N1008" s="82">
        <v>205</v>
      </c>
      <c r="O1008" s="82">
        <v>107</v>
      </c>
      <c r="P1008" s="82">
        <v>902</v>
      </c>
      <c r="Q1008" s="82">
        <v>3464</v>
      </c>
      <c r="R1008" s="12" t="s">
        <v>25</v>
      </c>
      <c r="S1008" s="12" t="s">
        <v>25</v>
      </c>
      <c r="T1008" s="12" t="s">
        <v>25</v>
      </c>
    </row>
    <row r="1009" spans="1:20" hidden="1" x14ac:dyDescent="0.3">
      <c r="A1009" s="13">
        <v>43932.708333333336</v>
      </c>
      <c r="B1009" s="12" t="s">
        <v>22</v>
      </c>
      <c r="C1009" s="82">
        <v>5</v>
      </c>
      <c r="D1009" s="12" t="s">
        <v>61</v>
      </c>
      <c r="E1009" s="82">
        <v>4543490485</v>
      </c>
      <c r="F1009" s="82">
        <v>1233845213</v>
      </c>
      <c r="G1009" s="82">
        <v>1465</v>
      </c>
      <c r="H1009" s="82">
        <v>251</v>
      </c>
      <c r="I1009" s="82">
        <v>1716</v>
      </c>
      <c r="J1009" s="82">
        <v>9033</v>
      </c>
      <c r="K1009" s="82">
        <v>10749</v>
      </c>
      <c r="L1009" s="82">
        <v>102</v>
      </c>
      <c r="M1009" s="82">
        <v>347</v>
      </c>
      <c r="N1009" s="82">
        <v>2188</v>
      </c>
      <c r="O1009" s="82">
        <v>831</v>
      </c>
      <c r="P1009" s="82">
        <v>13768</v>
      </c>
      <c r="Q1009" s="82">
        <v>190912</v>
      </c>
      <c r="R1009" s="12" t="s">
        <v>25</v>
      </c>
      <c r="S1009" s="12" t="s">
        <v>25</v>
      </c>
      <c r="T1009" s="12" t="s">
        <v>25</v>
      </c>
    </row>
    <row r="1010" spans="1:20" hidden="1" x14ac:dyDescent="0.3">
      <c r="A1010" s="13">
        <v>43933.708333333336</v>
      </c>
      <c r="B1010" s="12" t="s">
        <v>22</v>
      </c>
      <c r="C1010" s="82">
        <v>13</v>
      </c>
      <c r="D1010" s="12" t="s">
        <v>42</v>
      </c>
      <c r="E1010" s="82">
        <v>4235122196</v>
      </c>
      <c r="F1010" s="82">
        <v>1339843823</v>
      </c>
      <c r="G1010" s="82">
        <v>346</v>
      </c>
      <c r="H1010" s="82">
        <v>54</v>
      </c>
      <c r="I1010" s="82">
        <v>400</v>
      </c>
      <c r="J1010" s="82">
        <v>1342</v>
      </c>
      <c r="K1010" s="82">
        <v>1742</v>
      </c>
      <c r="L1010" s="82">
        <v>18</v>
      </c>
      <c r="M1010" s="82">
        <v>40</v>
      </c>
      <c r="N1010" s="82">
        <v>206</v>
      </c>
      <c r="O1010" s="82">
        <v>212</v>
      </c>
      <c r="P1010" s="82">
        <v>2160</v>
      </c>
      <c r="Q1010" s="82">
        <v>20594</v>
      </c>
      <c r="R1010" s="12" t="s">
        <v>25</v>
      </c>
      <c r="S1010" s="12" t="s">
        <v>25</v>
      </c>
      <c r="T1010" s="12" t="s">
        <v>25</v>
      </c>
    </row>
    <row r="1011" spans="1:20" hidden="1" x14ac:dyDescent="0.3">
      <c r="A1011" s="13">
        <v>43933.708333333336</v>
      </c>
      <c r="B1011" s="12" t="s">
        <v>22</v>
      </c>
      <c r="C1011" s="82">
        <v>17</v>
      </c>
      <c r="D1011" s="12" t="s">
        <v>43</v>
      </c>
      <c r="E1011" s="82">
        <v>4063947052</v>
      </c>
      <c r="F1011" s="82">
        <v>1580514834</v>
      </c>
      <c r="G1011" s="82">
        <v>61</v>
      </c>
      <c r="H1011" s="82">
        <v>12</v>
      </c>
      <c r="I1011" s="82">
        <v>73</v>
      </c>
      <c r="J1011" s="82">
        <v>204</v>
      </c>
      <c r="K1011" s="82">
        <v>277</v>
      </c>
      <c r="L1011" s="82">
        <v>-4</v>
      </c>
      <c r="M1011" s="82">
        <v>3</v>
      </c>
      <c r="N1011" s="82">
        <v>20</v>
      </c>
      <c r="O1011" s="82">
        <v>18</v>
      </c>
      <c r="P1011" s="82">
        <v>315</v>
      </c>
      <c r="Q1011" s="82">
        <v>4355</v>
      </c>
      <c r="R1011" s="12" t="s">
        <v>25</v>
      </c>
      <c r="S1011" s="12" t="s">
        <v>25</v>
      </c>
      <c r="T1011" s="12" t="s">
        <v>25</v>
      </c>
    </row>
    <row r="1012" spans="1:20" hidden="1" x14ac:dyDescent="0.3">
      <c r="A1012" s="13">
        <v>43933.708333333336</v>
      </c>
      <c r="B1012" s="12" t="s">
        <v>22</v>
      </c>
      <c r="C1012" s="82">
        <v>21</v>
      </c>
      <c r="D1012" s="12" t="s">
        <v>44</v>
      </c>
      <c r="E1012" s="82">
        <v>4649933453</v>
      </c>
      <c r="F1012" s="82">
        <v>1135662422</v>
      </c>
      <c r="G1012" s="82">
        <v>183</v>
      </c>
      <c r="H1012" s="82">
        <v>45</v>
      </c>
      <c r="I1012" s="82">
        <v>228</v>
      </c>
      <c r="J1012" s="82">
        <v>1287</v>
      </c>
      <c r="K1012" s="82">
        <v>1515</v>
      </c>
      <c r="L1012" s="82">
        <v>246</v>
      </c>
      <c r="M1012" s="82">
        <v>141</v>
      </c>
      <c r="N1012" s="82">
        <v>378</v>
      </c>
      <c r="O1012" s="82">
        <v>205</v>
      </c>
      <c r="P1012" s="82">
        <v>2098</v>
      </c>
      <c r="Q1012" s="82">
        <v>23246</v>
      </c>
      <c r="R1012" s="12" t="s">
        <v>25</v>
      </c>
      <c r="S1012" s="12" t="s">
        <v>113</v>
      </c>
      <c r="T1012" s="12" t="s">
        <v>114</v>
      </c>
    </row>
    <row r="1013" spans="1:20" hidden="1" x14ac:dyDescent="0.3">
      <c r="A1013" s="13">
        <v>43933.708333333336</v>
      </c>
      <c r="B1013" s="12" t="s">
        <v>22</v>
      </c>
      <c r="C1013" s="82">
        <v>18</v>
      </c>
      <c r="D1013" s="12" t="s">
        <v>45</v>
      </c>
      <c r="E1013" s="82">
        <v>3890597598</v>
      </c>
      <c r="F1013" s="82">
        <v>1659440194</v>
      </c>
      <c r="G1013" s="82">
        <v>165</v>
      </c>
      <c r="H1013" s="82">
        <v>14</v>
      </c>
      <c r="I1013" s="82">
        <v>179</v>
      </c>
      <c r="J1013" s="82">
        <v>616</v>
      </c>
      <c r="K1013" s="82">
        <v>795</v>
      </c>
      <c r="L1013" s="82">
        <v>3</v>
      </c>
      <c r="M1013" s="82">
        <v>8</v>
      </c>
      <c r="N1013" s="82">
        <v>62</v>
      </c>
      <c r="O1013" s="82">
        <v>66</v>
      </c>
      <c r="P1013" s="82">
        <v>923</v>
      </c>
      <c r="Q1013" s="82">
        <v>18211</v>
      </c>
      <c r="R1013" s="12" t="s">
        <v>25</v>
      </c>
      <c r="S1013" s="12" t="s">
        <v>25</v>
      </c>
      <c r="T1013" s="12" t="s">
        <v>25</v>
      </c>
    </row>
    <row r="1014" spans="1:20" hidden="1" x14ac:dyDescent="0.3">
      <c r="A1014" s="13">
        <v>43933.708333333336</v>
      </c>
      <c r="B1014" s="12" t="s">
        <v>22</v>
      </c>
      <c r="C1014" s="82">
        <v>15</v>
      </c>
      <c r="D1014" s="12" t="s">
        <v>46</v>
      </c>
      <c r="E1014" s="82">
        <v>4083956555</v>
      </c>
      <c r="F1014" s="82">
        <v>1425084984</v>
      </c>
      <c r="G1014" s="82">
        <v>526</v>
      </c>
      <c r="H1014" s="82">
        <v>82</v>
      </c>
      <c r="I1014" s="82">
        <v>608</v>
      </c>
      <c r="J1014" s="82">
        <v>2449</v>
      </c>
      <c r="K1014" s="82">
        <v>3057</v>
      </c>
      <c r="L1014" s="82">
        <v>55</v>
      </c>
      <c r="M1014" s="82">
        <v>87</v>
      </c>
      <c r="N1014" s="82">
        <v>305</v>
      </c>
      <c r="O1014" s="82">
        <v>242</v>
      </c>
      <c r="P1014" s="82">
        <v>3604</v>
      </c>
      <c r="Q1014" s="82">
        <v>35448</v>
      </c>
      <c r="R1014" s="12" t="s">
        <v>25</v>
      </c>
      <c r="S1014" s="12" t="s">
        <v>25</v>
      </c>
      <c r="T1014" s="12" t="s">
        <v>25</v>
      </c>
    </row>
    <row r="1015" spans="1:20" hidden="1" x14ac:dyDescent="0.3">
      <c r="A1015" s="13">
        <v>43933.708333333336</v>
      </c>
      <c r="B1015" s="12" t="s">
        <v>22</v>
      </c>
      <c r="C1015" s="82">
        <v>8</v>
      </c>
      <c r="D1015" s="12" t="s">
        <v>95</v>
      </c>
      <c r="E1015" s="82">
        <v>4449436681</v>
      </c>
      <c r="F1015" s="82">
        <v>113417208</v>
      </c>
      <c r="G1015" s="82">
        <v>3491</v>
      </c>
      <c r="H1015" s="82">
        <v>335</v>
      </c>
      <c r="I1015" s="82">
        <v>3826</v>
      </c>
      <c r="J1015" s="82">
        <v>9846</v>
      </c>
      <c r="K1015" s="82">
        <v>13672</v>
      </c>
      <c r="L1015" s="82">
        <v>177</v>
      </c>
      <c r="M1015" s="82">
        <v>463</v>
      </c>
      <c r="N1015" s="82">
        <v>3862</v>
      </c>
      <c r="O1015" s="82">
        <v>2564</v>
      </c>
      <c r="P1015" s="82">
        <v>20098</v>
      </c>
      <c r="Q1015" s="82">
        <v>96704</v>
      </c>
      <c r="R1015" s="12" t="s">
        <v>25</v>
      </c>
      <c r="S1015" s="12" t="s">
        <v>25</v>
      </c>
      <c r="T1015" s="12" t="s">
        <v>25</v>
      </c>
    </row>
    <row r="1016" spans="1:20" hidden="1" x14ac:dyDescent="0.3">
      <c r="A1016" s="13">
        <v>43933.708333333336</v>
      </c>
      <c r="B1016" s="12" t="s">
        <v>22</v>
      </c>
      <c r="C1016" s="82">
        <v>6</v>
      </c>
      <c r="D1016" s="12" t="s">
        <v>47</v>
      </c>
      <c r="E1016" s="82">
        <v>456494354</v>
      </c>
      <c r="F1016" s="82">
        <v>1376813649</v>
      </c>
      <c r="G1016" s="82">
        <v>160</v>
      </c>
      <c r="H1016" s="82">
        <v>28</v>
      </c>
      <c r="I1016" s="82">
        <v>188</v>
      </c>
      <c r="J1016" s="82">
        <v>1138</v>
      </c>
      <c r="K1016" s="82">
        <v>1326</v>
      </c>
      <c r="L1016" s="82">
        <v>-56</v>
      </c>
      <c r="M1016" s="82">
        <v>38</v>
      </c>
      <c r="N1016" s="82">
        <v>910</v>
      </c>
      <c r="O1016" s="82">
        <v>195</v>
      </c>
      <c r="P1016" s="82">
        <v>2431</v>
      </c>
      <c r="Q1016" s="82">
        <v>29988</v>
      </c>
      <c r="R1016" s="12" t="s">
        <v>25</v>
      </c>
      <c r="S1016" s="12" t="s">
        <v>25</v>
      </c>
      <c r="T1016" s="12" t="s">
        <v>25</v>
      </c>
    </row>
    <row r="1017" spans="1:20" hidden="1" x14ac:dyDescent="0.3">
      <c r="A1017" s="13">
        <v>43933.708333333336</v>
      </c>
      <c r="B1017" s="12" t="s">
        <v>22</v>
      </c>
      <c r="C1017" s="82">
        <v>12</v>
      </c>
      <c r="D1017" s="12" t="s">
        <v>48</v>
      </c>
      <c r="E1017" s="82">
        <v>4189277044</v>
      </c>
      <c r="F1017" s="82">
        <v>1248366722</v>
      </c>
      <c r="G1017" s="82">
        <v>1268</v>
      </c>
      <c r="H1017" s="82">
        <v>201</v>
      </c>
      <c r="I1017" s="82">
        <v>1469</v>
      </c>
      <c r="J1017" s="82">
        <v>2348</v>
      </c>
      <c r="K1017" s="82">
        <v>3817</v>
      </c>
      <c r="L1017" s="82">
        <v>87</v>
      </c>
      <c r="M1017" s="82">
        <v>122</v>
      </c>
      <c r="N1017" s="82">
        <v>749</v>
      </c>
      <c r="O1017" s="82">
        <v>279</v>
      </c>
      <c r="P1017" s="82">
        <v>4845</v>
      </c>
      <c r="Q1017" s="82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82">
        <v>7</v>
      </c>
      <c r="D1018" s="12" t="s">
        <v>49</v>
      </c>
      <c r="E1018" s="82">
        <v>4441149315</v>
      </c>
      <c r="F1018" s="82">
        <v>89326992</v>
      </c>
      <c r="G1018" s="82">
        <v>1032</v>
      </c>
      <c r="H1018" s="82">
        <v>144</v>
      </c>
      <c r="I1018" s="82">
        <v>1176</v>
      </c>
      <c r="J1018" s="82">
        <v>2157</v>
      </c>
      <c r="K1018" s="82">
        <v>3333</v>
      </c>
      <c r="L1018" s="82">
        <v>0</v>
      </c>
      <c r="M1018" s="82">
        <v>118</v>
      </c>
      <c r="N1018" s="82">
        <v>1412</v>
      </c>
      <c r="O1018" s="82">
        <v>749</v>
      </c>
      <c r="P1018" s="82">
        <v>5494</v>
      </c>
      <c r="Q1018" s="82">
        <v>21983</v>
      </c>
      <c r="R1018" s="12" t="s">
        <v>25</v>
      </c>
      <c r="S1018" s="12" t="s">
        <v>25</v>
      </c>
      <c r="T1018" s="12" t="s">
        <v>25</v>
      </c>
    </row>
    <row r="1019" spans="1:20" hidden="1" x14ac:dyDescent="0.3">
      <c r="A1019" s="13">
        <v>43933.708333333336</v>
      </c>
      <c r="B1019" s="12" t="s">
        <v>22</v>
      </c>
      <c r="C1019" s="82">
        <v>3</v>
      </c>
      <c r="D1019" s="12" t="s">
        <v>50</v>
      </c>
      <c r="E1019" s="82">
        <v>4546679409</v>
      </c>
      <c r="F1019" s="82">
        <v>9190347404</v>
      </c>
      <c r="G1019" s="82">
        <v>11969</v>
      </c>
      <c r="H1019" s="82">
        <v>1176</v>
      </c>
      <c r="I1019" s="82">
        <v>13145</v>
      </c>
      <c r="J1019" s="82">
        <v>18120</v>
      </c>
      <c r="K1019" s="82">
        <v>31265</v>
      </c>
      <c r="L1019" s="82">
        <v>1007</v>
      </c>
      <c r="M1019" s="82">
        <v>1460</v>
      </c>
      <c r="N1019" s="82">
        <v>17166</v>
      </c>
      <c r="O1019" s="82">
        <v>10621</v>
      </c>
      <c r="P1019" s="82">
        <v>59052</v>
      </c>
      <c r="Q1019" s="82">
        <v>205832</v>
      </c>
      <c r="R1019" s="12" t="s">
        <v>25</v>
      </c>
      <c r="S1019" s="12" t="s">
        <v>25</v>
      </c>
      <c r="T1019" s="12" t="s">
        <v>25</v>
      </c>
    </row>
    <row r="1020" spans="1:20" hidden="1" x14ac:dyDescent="0.3">
      <c r="A1020" s="13">
        <v>43933.708333333336</v>
      </c>
      <c r="B1020" s="12" t="s">
        <v>22</v>
      </c>
      <c r="C1020" s="82">
        <v>11</v>
      </c>
      <c r="D1020" s="12" t="s">
        <v>51</v>
      </c>
      <c r="E1020" s="82">
        <v>4361675973</v>
      </c>
      <c r="F1020" s="82">
        <v>135188753</v>
      </c>
      <c r="G1020" s="82">
        <v>949</v>
      </c>
      <c r="H1020" s="82">
        <v>114</v>
      </c>
      <c r="I1020" s="82">
        <v>1063</v>
      </c>
      <c r="J1020" s="82">
        <v>2051</v>
      </c>
      <c r="K1020" s="82">
        <v>3114</v>
      </c>
      <c r="L1020" s="82">
        <v>-117</v>
      </c>
      <c r="M1020" s="82">
        <v>92</v>
      </c>
      <c r="N1020" s="82">
        <v>1489</v>
      </c>
      <c r="O1020" s="82">
        <v>700</v>
      </c>
      <c r="P1020" s="82">
        <v>5303</v>
      </c>
      <c r="Q1020" s="82">
        <v>21057</v>
      </c>
      <c r="R1020" s="12" t="s">
        <v>25</v>
      </c>
      <c r="S1020" s="12" t="s">
        <v>25</v>
      </c>
      <c r="T1020" s="12" t="s">
        <v>25</v>
      </c>
    </row>
    <row r="1021" spans="1:20" hidden="1" x14ac:dyDescent="0.3">
      <c r="A1021" s="13">
        <v>43933.708333333336</v>
      </c>
      <c r="B1021" s="12" t="s">
        <v>22</v>
      </c>
      <c r="C1021" s="82">
        <v>14</v>
      </c>
      <c r="D1021" s="12" t="s">
        <v>52</v>
      </c>
      <c r="E1021" s="82">
        <v>4155774754</v>
      </c>
      <c r="F1021" s="82">
        <v>1465916051</v>
      </c>
      <c r="G1021" s="82">
        <v>27</v>
      </c>
      <c r="H1021" s="82">
        <v>4</v>
      </c>
      <c r="I1021" s="82">
        <v>31</v>
      </c>
      <c r="J1021" s="82">
        <v>171</v>
      </c>
      <c r="K1021" s="82">
        <v>202</v>
      </c>
      <c r="L1021" s="82">
        <v>9</v>
      </c>
      <c r="M1021" s="82">
        <v>11</v>
      </c>
      <c r="N1021" s="82">
        <v>40</v>
      </c>
      <c r="O1021" s="82">
        <v>15</v>
      </c>
      <c r="P1021" s="82">
        <v>257</v>
      </c>
      <c r="Q1021" s="82">
        <v>2471</v>
      </c>
      <c r="R1021" s="12" t="s">
        <v>25</v>
      </c>
      <c r="S1021" s="12" t="s">
        <v>25</v>
      </c>
      <c r="T1021" s="12" t="s">
        <v>25</v>
      </c>
    </row>
    <row r="1022" spans="1:20" hidden="1" x14ac:dyDescent="0.3">
      <c r="A1022" s="13">
        <v>43933.708333333336</v>
      </c>
      <c r="B1022" s="12" t="s">
        <v>22</v>
      </c>
      <c r="C1022" s="82">
        <v>1</v>
      </c>
      <c r="D1022" s="12" t="s">
        <v>53</v>
      </c>
      <c r="E1022" s="82">
        <v>450732745</v>
      </c>
      <c r="F1022" s="82">
        <v>7680687483</v>
      </c>
      <c r="G1022" s="82">
        <v>3429</v>
      </c>
      <c r="H1022" s="82">
        <v>381</v>
      </c>
      <c r="I1022" s="82">
        <v>3810</v>
      </c>
      <c r="J1022" s="82">
        <v>8695</v>
      </c>
      <c r="K1022" s="82">
        <v>12505</v>
      </c>
      <c r="L1022" s="82">
        <v>335</v>
      </c>
      <c r="M1022" s="82">
        <v>652</v>
      </c>
      <c r="N1022" s="82">
        <v>2426</v>
      </c>
      <c r="O1022" s="82">
        <v>1729</v>
      </c>
      <c r="P1022" s="82">
        <v>16660</v>
      </c>
      <c r="Q1022" s="82">
        <v>66555</v>
      </c>
      <c r="R1022" s="12" t="s">
        <v>25</v>
      </c>
      <c r="S1022" s="12" t="s">
        <v>25</v>
      </c>
      <c r="T1022" s="12" t="s">
        <v>25</v>
      </c>
    </row>
    <row r="1023" spans="1:20" hidden="1" x14ac:dyDescent="0.3">
      <c r="A1023" s="13">
        <v>43933.708333333336</v>
      </c>
      <c r="B1023" s="12" t="s">
        <v>22</v>
      </c>
      <c r="C1023" s="82">
        <v>16</v>
      </c>
      <c r="D1023" s="12" t="s">
        <v>54</v>
      </c>
      <c r="E1023" s="82">
        <v>4112559576</v>
      </c>
      <c r="F1023" s="82">
        <v>1686736689</v>
      </c>
      <c r="G1023" s="82">
        <v>609</v>
      </c>
      <c r="H1023" s="82">
        <v>71</v>
      </c>
      <c r="I1023" s="82">
        <v>680</v>
      </c>
      <c r="J1023" s="82">
        <v>1772</v>
      </c>
      <c r="K1023" s="82">
        <v>2452</v>
      </c>
      <c r="L1023" s="82">
        <v>50</v>
      </c>
      <c r="M1023" s="82">
        <v>85</v>
      </c>
      <c r="N1023" s="82">
        <v>277</v>
      </c>
      <c r="O1023" s="82">
        <v>260</v>
      </c>
      <c r="P1023" s="82">
        <v>2989</v>
      </c>
      <c r="Q1023" s="82">
        <v>30973</v>
      </c>
      <c r="R1023" s="12" t="s">
        <v>25</v>
      </c>
      <c r="S1023" s="12" t="s">
        <v>25</v>
      </c>
      <c r="T1023" s="12" t="s">
        <v>25</v>
      </c>
    </row>
    <row r="1024" spans="1:20" hidden="1" x14ac:dyDescent="0.3">
      <c r="A1024" s="13">
        <v>43933.708333333336</v>
      </c>
      <c r="B1024" s="12" t="s">
        <v>22</v>
      </c>
      <c r="C1024" s="82">
        <v>20</v>
      </c>
      <c r="D1024" s="12" t="s">
        <v>55</v>
      </c>
      <c r="E1024" s="82">
        <v>3921531192</v>
      </c>
      <c r="F1024" s="82">
        <v>9110616306</v>
      </c>
      <c r="G1024" s="82">
        <v>109</v>
      </c>
      <c r="H1024" s="82">
        <v>26</v>
      </c>
      <c r="I1024" s="82">
        <v>135</v>
      </c>
      <c r="J1024" s="82">
        <v>768</v>
      </c>
      <c r="K1024" s="82">
        <v>903</v>
      </c>
      <c r="L1024" s="82">
        <v>15</v>
      </c>
      <c r="M1024" s="82">
        <v>22</v>
      </c>
      <c r="N1024" s="82">
        <v>137</v>
      </c>
      <c r="O1024" s="82">
        <v>73</v>
      </c>
      <c r="P1024" s="82">
        <v>1113</v>
      </c>
      <c r="Q1024" s="82">
        <v>10663</v>
      </c>
      <c r="R1024" s="12" t="s">
        <v>25</v>
      </c>
      <c r="S1024" s="12" t="s">
        <v>25</v>
      </c>
      <c r="T1024" s="12" t="s">
        <v>25</v>
      </c>
    </row>
    <row r="1025" spans="1:20" hidden="1" x14ac:dyDescent="0.3">
      <c r="A1025" s="13">
        <v>43933.708333333336</v>
      </c>
      <c r="B1025" s="12" t="s">
        <v>22</v>
      </c>
      <c r="C1025" s="82">
        <v>19</v>
      </c>
      <c r="D1025" s="12" t="s">
        <v>56</v>
      </c>
      <c r="E1025" s="82">
        <v>3811569725</v>
      </c>
      <c r="F1025" s="82">
        <v>133623567</v>
      </c>
      <c r="G1025" s="82">
        <v>552</v>
      </c>
      <c r="H1025" s="82">
        <v>53</v>
      </c>
      <c r="I1025" s="82">
        <v>605</v>
      </c>
      <c r="J1025" s="82">
        <v>1425</v>
      </c>
      <c r="K1025" s="82">
        <v>2030</v>
      </c>
      <c r="L1025" s="82">
        <v>29</v>
      </c>
      <c r="M1025" s="82">
        <v>52</v>
      </c>
      <c r="N1025" s="82">
        <v>223</v>
      </c>
      <c r="O1025" s="82">
        <v>163</v>
      </c>
      <c r="P1025" s="82">
        <v>2416</v>
      </c>
      <c r="Q1025" s="82">
        <v>36098</v>
      </c>
      <c r="R1025" s="12" t="s">
        <v>25</v>
      </c>
      <c r="S1025" s="12" t="s">
        <v>25</v>
      </c>
      <c r="T1025" s="12" t="s">
        <v>25</v>
      </c>
    </row>
    <row r="1026" spans="1:20" hidden="1" x14ac:dyDescent="0.3">
      <c r="A1026" s="13">
        <v>43933.708333333336</v>
      </c>
      <c r="B1026" s="12" t="s">
        <v>22</v>
      </c>
      <c r="C1026" s="82">
        <v>9</v>
      </c>
      <c r="D1026" s="12" t="s">
        <v>57</v>
      </c>
      <c r="E1026" s="82">
        <v>4376923077</v>
      </c>
      <c r="F1026" s="82">
        <v>1125588885</v>
      </c>
      <c r="G1026" s="82">
        <v>983</v>
      </c>
      <c r="H1026" s="82">
        <v>238</v>
      </c>
      <c r="I1026" s="82">
        <v>1221</v>
      </c>
      <c r="J1026" s="82">
        <v>4941</v>
      </c>
      <c r="K1026" s="82">
        <v>6162</v>
      </c>
      <c r="L1026" s="82">
        <v>170</v>
      </c>
      <c r="M1026" s="82">
        <v>277</v>
      </c>
      <c r="N1026" s="82">
        <v>578</v>
      </c>
      <c r="O1026" s="82">
        <v>495</v>
      </c>
      <c r="P1026" s="82">
        <v>7235</v>
      </c>
      <c r="Q1026" s="82">
        <v>78640</v>
      </c>
      <c r="R1026" s="12" t="s">
        <v>25</v>
      </c>
      <c r="S1026" s="12" t="s">
        <v>25</v>
      </c>
      <c r="T1026" s="12" t="s">
        <v>25</v>
      </c>
    </row>
    <row r="1027" spans="1:20" hidden="1" x14ac:dyDescent="0.3">
      <c r="A1027" s="13">
        <v>43933.708333333336</v>
      </c>
      <c r="B1027" s="12" t="s">
        <v>22</v>
      </c>
      <c r="C1027" s="82">
        <v>22</v>
      </c>
      <c r="D1027" s="12" t="s">
        <v>58</v>
      </c>
      <c r="E1027" s="82">
        <v>4606893511</v>
      </c>
      <c r="F1027" s="82">
        <v>1112123097</v>
      </c>
      <c r="G1027" s="82">
        <v>322</v>
      </c>
      <c r="H1027" s="82">
        <v>61</v>
      </c>
      <c r="I1027" s="82">
        <v>383</v>
      </c>
      <c r="J1027" s="82">
        <v>1699</v>
      </c>
      <c r="K1027" s="82">
        <v>2082</v>
      </c>
      <c r="L1027" s="82">
        <v>18</v>
      </c>
      <c r="M1027" s="82">
        <v>83</v>
      </c>
      <c r="N1027" s="82">
        <v>678</v>
      </c>
      <c r="O1027" s="82">
        <v>293</v>
      </c>
      <c r="P1027" s="82">
        <v>3053</v>
      </c>
      <c r="Q1027" s="82">
        <v>17797</v>
      </c>
      <c r="R1027" s="12" t="s">
        <v>25</v>
      </c>
      <c r="S1027" s="12" t="s">
        <v>25</v>
      </c>
      <c r="T1027" s="12" t="s">
        <v>25</v>
      </c>
    </row>
    <row r="1028" spans="1:20" hidden="1" x14ac:dyDescent="0.3">
      <c r="A1028" s="13">
        <v>43933.708333333336</v>
      </c>
      <c r="B1028" s="12" t="s">
        <v>22</v>
      </c>
      <c r="C1028" s="82">
        <v>10</v>
      </c>
      <c r="D1028" s="12" t="s">
        <v>59</v>
      </c>
      <c r="E1028" s="82">
        <v>4310675841</v>
      </c>
      <c r="F1028" s="82">
        <v>1238824698</v>
      </c>
      <c r="G1028" s="82">
        <v>129</v>
      </c>
      <c r="H1028" s="82">
        <v>39</v>
      </c>
      <c r="I1028" s="82">
        <v>168</v>
      </c>
      <c r="J1028" s="82">
        <v>519</v>
      </c>
      <c r="K1028" s="82">
        <v>687</v>
      </c>
      <c r="L1028" s="82">
        <v>-36</v>
      </c>
      <c r="M1028" s="82">
        <v>10</v>
      </c>
      <c r="N1028" s="82">
        <v>580</v>
      </c>
      <c r="O1028" s="82">
        <v>52</v>
      </c>
      <c r="P1028" s="82">
        <v>1319</v>
      </c>
      <c r="Q1028" s="82">
        <v>18672</v>
      </c>
      <c r="R1028" s="12" t="s">
        <v>25</v>
      </c>
      <c r="S1028" s="12" t="s">
        <v>25</v>
      </c>
      <c r="T1028" s="12" t="s">
        <v>25</v>
      </c>
    </row>
    <row r="1029" spans="1:20" hidden="1" x14ac:dyDescent="0.3">
      <c r="A1029" s="13">
        <v>43933.708333333336</v>
      </c>
      <c r="B1029" s="12" t="s">
        <v>22</v>
      </c>
      <c r="C1029" s="82">
        <v>2</v>
      </c>
      <c r="D1029" s="12" t="s">
        <v>60</v>
      </c>
      <c r="E1029" s="82">
        <v>4573750286</v>
      </c>
      <c r="F1029" s="82">
        <v>7320149366</v>
      </c>
      <c r="G1029" s="82">
        <v>109</v>
      </c>
      <c r="H1029" s="82">
        <v>16</v>
      </c>
      <c r="I1029" s="82">
        <v>125</v>
      </c>
      <c r="J1029" s="82">
        <v>463</v>
      </c>
      <c r="K1029" s="82">
        <v>588</v>
      </c>
      <c r="L1029" s="82">
        <v>-2</v>
      </c>
      <c r="M1029" s="82">
        <v>19</v>
      </c>
      <c r="N1029" s="82">
        <v>221</v>
      </c>
      <c r="O1029" s="82">
        <v>112</v>
      </c>
      <c r="P1029" s="82">
        <v>921</v>
      </c>
      <c r="Q1029" s="82">
        <v>3510</v>
      </c>
      <c r="R1029" s="12" t="s">
        <v>25</v>
      </c>
      <c r="S1029" s="12" t="s">
        <v>25</v>
      </c>
      <c r="T1029" s="12" t="s">
        <v>25</v>
      </c>
    </row>
    <row r="1030" spans="1:20" hidden="1" x14ac:dyDescent="0.3">
      <c r="A1030" s="13">
        <v>43933.708333333336</v>
      </c>
      <c r="B1030" s="12" t="s">
        <v>22</v>
      </c>
      <c r="C1030" s="82">
        <v>5</v>
      </c>
      <c r="D1030" s="12" t="s">
        <v>61</v>
      </c>
      <c r="E1030" s="82">
        <v>4543490485</v>
      </c>
      <c r="F1030" s="82">
        <v>1233845213</v>
      </c>
      <c r="G1030" s="82">
        <v>1428</v>
      </c>
      <c r="H1030" s="82">
        <v>249</v>
      </c>
      <c r="I1030" s="82">
        <v>1677</v>
      </c>
      <c r="J1030" s="82">
        <v>9052</v>
      </c>
      <c r="K1030" s="82">
        <v>10729</v>
      </c>
      <c r="L1030" s="82">
        <v>-20</v>
      </c>
      <c r="M1030" s="82">
        <v>309</v>
      </c>
      <c r="N1030" s="82">
        <v>2492</v>
      </c>
      <c r="O1030" s="82">
        <v>856</v>
      </c>
      <c r="P1030" s="82">
        <v>14077</v>
      </c>
      <c r="Q1030" s="82">
        <v>198442</v>
      </c>
      <c r="R1030" s="12" t="s">
        <v>25</v>
      </c>
      <c r="S1030" s="12" t="s">
        <v>25</v>
      </c>
      <c r="T1030" s="12" t="s">
        <v>25</v>
      </c>
    </row>
    <row r="1031" spans="1:20" hidden="1" x14ac:dyDescent="0.3">
      <c r="A1031" s="13">
        <v>43934.708333333336</v>
      </c>
      <c r="B1031" s="12" t="s">
        <v>22</v>
      </c>
      <c r="C1031" s="82">
        <v>13</v>
      </c>
      <c r="D1031" s="12" t="s">
        <v>42</v>
      </c>
      <c r="E1031" s="82">
        <v>4235122196</v>
      </c>
      <c r="F1031" s="82">
        <v>1339843823</v>
      </c>
      <c r="G1031" s="82">
        <v>351</v>
      </c>
      <c r="H1031" s="82">
        <v>54</v>
      </c>
      <c r="I1031" s="82">
        <v>405</v>
      </c>
      <c r="J1031" s="82">
        <v>1373</v>
      </c>
      <c r="K1031" s="82">
        <v>1778</v>
      </c>
      <c r="L1031" s="82">
        <v>36</v>
      </c>
      <c r="M1031" s="82">
        <v>53</v>
      </c>
      <c r="N1031" s="82">
        <v>211</v>
      </c>
      <c r="O1031" s="82">
        <v>224</v>
      </c>
      <c r="P1031" s="82">
        <v>2213</v>
      </c>
      <c r="Q1031" s="82">
        <v>20667</v>
      </c>
      <c r="R1031" s="12" t="s">
        <v>25</v>
      </c>
      <c r="S1031" s="12" t="s">
        <v>25</v>
      </c>
      <c r="T1031" s="12" t="s">
        <v>25</v>
      </c>
    </row>
    <row r="1032" spans="1:20" hidden="1" x14ac:dyDescent="0.3">
      <c r="A1032" s="13">
        <v>43934.708333333336</v>
      </c>
      <c r="B1032" s="12" t="s">
        <v>22</v>
      </c>
      <c r="C1032" s="82">
        <v>17</v>
      </c>
      <c r="D1032" s="12" t="s">
        <v>43</v>
      </c>
      <c r="E1032" s="82">
        <v>4063947052</v>
      </c>
      <c r="F1032" s="82">
        <v>1580514834</v>
      </c>
      <c r="G1032" s="82">
        <v>64</v>
      </c>
      <c r="H1032" s="82">
        <v>12</v>
      </c>
      <c r="I1032" s="82">
        <v>76</v>
      </c>
      <c r="J1032" s="82">
        <v>194</v>
      </c>
      <c r="K1032" s="82">
        <v>270</v>
      </c>
      <c r="L1032" s="82">
        <v>-7</v>
      </c>
      <c r="M1032" s="82">
        <v>4</v>
      </c>
      <c r="N1032" s="82">
        <v>31</v>
      </c>
      <c r="O1032" s="82">
        <v>18</v>
      </c>
      <c r="P1032" s="82">
        <v>319</v>
      </c>
      <c r="Q1032" s="82">
        <v>4545</v>
      </c>
      <c r="R1032" s="12" t="s">
        <v>25</v>
      </c>
      <c r="S1032" s="12" t="s">
        <v>25</v>
      </c>
      <c r="T1032" s="12" t="s">
        <v>25</v>
      </c>
    </row>
    <row r="1033" spans="1:20" hidden="1" x14ac:dyDescent="0.3">
      <c r="A1033" s="13">
        <v>43934.708333333336</v>
      </c>
      <c r="B1033" s="12" t="s">
        <v>22</v>
      </c>
      <c r="C1033" s="82">
        <v>21</v>
      </c>
      <c r="D1033" s="12" t="s">
        <v>44</v>
      </c>
      <c r="E1033" s="82">
        <v>4649933453</v>
      </c>
      <c r="F1033" s="82">
        <v>1135662422</v>
      </c>
      <c r="G1033" s="82">
        <v>190</v>
      </c>
      <c r="H1033" s="82">
        <v>41</v>
      </c>
      <c r="I1033" s="82">
        <v>231</v>
      </c>
      <c r="J1033" s="82">
        <v>1306</v>
      </c>
      <c r="K1033" s="82">
        <v>1537</v>
      </c>
      <c r="L1033" s="82">
        <v>22</v>
      </c>
      <c r="M1033" s="82">
        <v>51</v>
      </c>
      <c r="N1033" s="82">
        <v>400</v>
      </c>
      <c r="O1033" s="82">
        <v>212</v>
      </c>
      <c r="P1033" s="82">
        <v>2149</v>
      </c>
      <c r="Q1033" s="82">
        <v>24157</v>
      </c>
      <c r="R1033" s="12" t="s">
        <v>25</v>
      </c>
      <c r="S1033" s="12" t="s">
        <v>25</v>
      </c>
      <c r="T1033" s="12" t="s">
        <v>25</v>
      </c>
    </row>
    <row r="1034" spans="1:20" hidden="1" x14ac:dyDescent="0.3">
      <c r="A1034" s="13">
        <v>43934.708333333336</v>
      </c>
      <c r="B1034" s="12" t="s">
        <v>22</v>
      </c>
      <c r="C1034" s="82">
        <v>18</v>
      </c>
      <c r="D1034" s="12" t="s">
        <v>45</v>
      </c>
      <c r="E1034" s="82">
        <v>3890597598</v>
      </c>
      <c r="F1034" s="82">
        <v>1659440194</v>
      </c>
      <c r="G1034" s="82">
        <v>160</v>
      </c>
      <c r="H1034" s="82">
        <v>12</v>
      </c>
      <c r="I1034" s="82">
        <v>172</v>
      </c>
      <c r="J1034" s="82">
        <v>619</v>
      </c>
      <c r="K1034" s="82">
        <v>791</v>
      </c>
      <c r="L1034" s="82">
        <v>-4</v>
      </c>
      <c r="M1034" s="82">
        <v>5</v>
      </c>
      <c r="N1034" s="82">
        <v>70</v>
      </c>
      <c r="O1034" s="82">
        <v>67</v>
      </c>
      <c r="P1034" s="82">
        <v>928</v>
      </c>
      <c r="Q1034" s="82">
        <v>18596</v>
      </c>
      <c r="R1034" s="12" t="s">
        <v>25</v>
      </c>
      <c r="S1034" s="12" t="s">
        <v>25</v>
      </c>
      <c r="T1034" s="12" t="s">
        <v>25</v>
      </c>
    </row>
    <row r="1035" spans="1:20" hidden="1" x14ac:dyDescent="0.3">
      <c r="A1035" s="13">
        <v>43934.708333333336</v>
      </c>
      <c r="B1035" s="12" t="s">
        <v>22</v>
      </c>
      <c r="C1035" s="82">
        <v>15</v>
      </c>
      <c r="D1035" s="12" t="s">
        <v>46</v>
      </c>
      <c r="E1035" s="82">
        <v>4083956555</v>
      </c>
      <c r="F1035" s="82">
        <v>1425084984</v>
      </c>
      <c r="G1035" s="82">
        <v>606</v>
      </c>
      <c r="H1035" s="82">
        <v>80</v>
      </c>
      <c r="I1035" s="82">
        <v>686</v>
      </c>
      <c r="J1035" s="82">
        <v>2376</v>
      </c>
      <c r="K1035" s="82">
        <v>3062</v>
      </c>
      <c r="L1035" s="82">
        <v>5</v>
      </c>
      <c r="M1035" s="82">
        <v>66</v>
      </c>
      <c r="N1035" s="82">
        <v>360</v>
      </c>
      <c r="O1035" s="82">
        <v>248</v>
      </c>
      <c r="P1035" s="82">
        <v>3670</v>
      </c>
      <c r="Q1035" s="82">
        <v>36770</v>
      </c>
      <c r="R1035" s="12" t="s">
        <v>25</v>
      </c>
      <c r="S1035" s="12" t="s">
        <v>25</v>
      </c>
      <c r="T1035" s="12" t="s">
        <v>25</v>
      </c>
    </row>
    <row r="1036" spans="1:20" hidden="1" x14ac:dyDescent="0.3">
      <c r="A1036" s="13">
        <v>43934.708333333336</v>
      </c>
      <c r="B1036" s="12" t="s">
        <v>22</v>
      </c>
      <c r="C1036" s="82">
        <v>8</v>
      </c>
      <c r="D1036" s="12" t="s">
        <v>95</v>
      </c>
      <c r="E1036" s="82">
        <v>4449436681</v>
      </c>
      <c r="F1036" s="82">
        <v>113417208</v>
      </c>
      <c r="G1036" s="82">
        <v>3490</v>
      </c>
      <c r="H1036" s="82">
        <v>331</v>
      </c>
      <c r="I1036" s="82">
        <v>3821</v>
      </c>
      <c r="J1036" s="82">
        <v>9997</v>
      </c>
      <c r="K1036" s="82">
        <v>13818</v>
      </c>
      <c r="L1036" s="82">
        <v>146</v>
      </c>
      <c r="M1036" s="82">
        <v>342</v>
      </c>
      <c r="N1036" s="82">
        <v>4007</v>
      </c>
      <c r="O1036" s="82">
        <v>2615</v>
      </c>
      <c r="P1036" s="82">
        <v>20440</v>
      </c>
      <c r="Q1036" s="82">
        <v>99047</v>
      </c>
      <c r="R1036" s="12" t="s">
        <v>25</v>
      </c>
      <c r="S1036" s="12" t="s">
        <v>25</v>
      </c>
      <c r="T1036" s="12" t="s">
        <v>25</v>
      </c>
    </row>
    <row r="1037" spans="1:20" hidden="1" x14ac:dyDescent="0.3">
      <c r="A1037" s="13">
        <v>43934.708333333336</v>
      </c>
      <c r="B1037" s="12" t="s">
        <v>22</v>
      </c>
      <c r="C1037" s="82">
        <v>6</v>
      </c>
      <c r="D1037" s="12" t="s">
        <v>47</v>
      </c>
      <c r="E1037" s="82">
        <v>456494354</v>
      </c>
      <c r="F1037" s="82">
        <v>1376813649</v>
      </c>
      <c r="G1037" s="82">
        <v>159</v>
      </c>
      <c r="H1037" s="82">
        <v>30</v>
      </c>
      <c r="I1037" s="82">
        <v>189</v>
      </c>
      <c r="J1037" s="82">
        <v>1118</v>
      </c>
      <c r="K1037" s="82">
        <v>1307</v>
      </c>
      <c r="L1037" s="82">
        <v>-19</v>
      </c>
      <c r="M1037" s="82">
        <v>51</v>
      </c>
      <c r="N1037" s="82">
        <v>973</v>
      </c>
      <c r="O1037" s="82">
        <v>202</v>
      </c>
      <c r="P1037" s="82">
        <v>2482</v>
      </c>
      <c r="Q1037" s="82">
        <v>30941</v>
      </c>
      <c r="R1037" s="12" t="s">
        <v>25</v>
      </c>
      <c r="S1037" s="12" t="s">
        <v>25</v>
      </c>
      <c r="T1037" s="12" t="s">
        <v>25</v>
      </c>
    </row>
    <row r="1038" spans="1:20" hidden="1" x14ac:dyDescent="0.3">
      <c r="A1038" s="13">
        <v>43934.708333333336</v>
      </c>
      <c r="B1038" s="12" t="s">
        <v>22</v>
      </c>
      <c r="C1038" s="82">
        <v>12</v>
      </c>
      <c r="D1038" s="12" t="s">
        <v>48</v>
      </c>
      <c r="E1038" s="82">
        <v>4189277044</v>
      </c>
      <c r="F1038" s="82">
        <v>1248366722</v>
      </c>
      <c r="G1038" s="82">
        <v>1314</v>
      </c>
      <c r="H1038" s="82">
        <v>200</v>
      </c>
      <c r="I1038" s="82">
        <v>1514</v>
      </c>
      <c r="J1038" s="82">
        <v>2406</v>
      </c>
      <c r="K1038" s="82">
        <v>3920</v>
      </c>
      <c r="L1038" s="82">
        <v>103</v>
      </c>
      <c r="M1038" s="82">
        <v>123</v>
      </c>
      <c r="N1038" s="82">
        <v>764</v>
      </c>
      <c r="O1038" s="82">
        <v>284</v>
      </c>
      <c r="P1038" s="82">
        <v>4968</v>
      </c>
      <c r="Q1038" s="82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82">
        <v>7</v>
      </c>
      <c r="D1039" s="12" t="s">
        <v>49</v>
      </c>
      <c r="E1039" s="82">
        <v>4441149315</v>
      </c>
      <c r="F1039" s="82">
        <v>89326992</v>
      </c>
      <c r="G1039" s="82">
        <v>1088</v>
      </c>
      <c r="H1039" s="82">
        <v>138</v>
      </c>
      <c r="I1039" s="82">
        <v>1226</v>
      </c>
      <c r="J1039" s="82">
        <v>2139</v>
      </c>
      <c r="K1039" s="82">
        <v>3365</v>
      </c>
      <c r="L1039" s="82">
        <v>32</v>
      </c>
      <c r="M1039" s="82">
        <v>102</v>
      </c>
      <c r="N1039" s="82">
        <v>1471</v>
      </c>
      <c r="O1039" s="82">
        <v>760</v>
      </c>
      <c r="P1039" s="82">
        <v>5596</v>
      </c>
      <c r="Q1039" s="82">
        <v>23129</v>
      </c>
      <c r="R1039" s="12" t="s">
        <v>25</v>
      </c>
      <c r="S1039" s="12" t="s">
        <v>25</v>
      </c>
      <c r="T1039" s="12" t="s">
        <v>25</v>
      </c>
    </row>
    <row r="1040" spans="1:20" hidden="1" x14ac:dyDescent="0.3">
      <c r="A1040" s="13">
        <v>43934.708333333336</v>
      </c>
      <c r="B1040" s="12" t="s">
        <v>22</v>
      </c>
      <c r="C1040" s="82">
        <v>3</v>
      </c>
      <c r="D1040" s="12" t="s">
        <v>50</v>
      </c>
      <c r="E1040" s="82">
        <v>4546679409</v>
      </c>
      <c r="F1040" s="82">
        <v>9190347404</v>
      </c>
      <c r="G1040" s="82">
        <v>12028</v>
      </c>
      <c r="H1040" s="82">
        <v>1143</v>
      </c>
      <c r="I1040" s="82">
        <v>13171</v>
      </c>
      <c r="J1040" s="82">
        <v>18764</v>
      </c>
      <c r="K1040" s="82">
        <v>31935</v>
      </c>
      <c r="L1040" s="82">
        <v>670</v>
      </c>
      <c r="M1040" s="82">
        <v>1262</v>
      </c>
      <c r="N1040" s="82">
        <v>17478</v>
      </c>
      <c r="O1040" s="82">
        <v>10901</v>
      </c>
      <c r="P1040" s="82">
        <v>60314</v>
      </c>
      <c r="Q1040" s="82">
        <v>211092</v>
      </c>
      <c r="R1040" s="12" t="s">
        <v>25</v>
      </c>
      <c r="S1040" s="12" t="s">
        <v>25</v>
      </c>
      <c r="T1040" s="12" t="s">
        <v>25</v>
      </c>
    </row>
    <row r="1041" spans="1:20" hidden="1" x14ac:dyDescent="0.3">
      <c r="A1041" s="13">
        <v>43934.708333333336</v>
      </c>
      <c r="B1041" s="12" t="s">
        <v>22</v>
      </c>
      <c r="C1041" s="82">
        <v>11</v>
      </c>
      <c r="D1041" s="12" t="s">
        <v>51</v>
      </c>
      <c r="E1041" s="82">
        <v>4361675973</v>
      </c>
      <c r="F1041" s="82">
        <v>135188753</v>
      </c>
      <c r="G1041" s="82">
        <v>959</v>
      </c>
      <c r="H1041" s="82">
        <v>108</v>
      </c>
      <c r="I1041" s="82">
        <v>1067</v>
      </c>
      <c r="J1041" s="82">
        <v>2013</v>
      </c>
      <c r="K1041" s="82">
        <v>3080</v>
      </c>
      <c r="L1041" s="82">
        <v>-34</v>
      </c>
      <c r="M1041" s="82">
        <v>78</v>
      </c>
      <c r="N1041" s="82">
        <v>1588</v>
      </c>
      <c r="O1041" s="82">
        <v>713</v>
      </c>
      <c r="P1041" s="82">
        <v>5381</v>
      </c>
      <c r="Q1041" s="82">
        <v>28379</v>
      </c>
      <c r="R1041" s="12" t="s">
        <v>25</v>
      </c>
      <c r="S1041" s="12" t="s">
        <v>25</v>
      </c>
      <c r="T1041" s="12" t="s">
        <v>25</v>
      </c>
    </row>
    <row r="1042" spans="1:20" hidden="1" x14ac:dyDescent="0.3">
      <c r="A1042" s="13">
        <v>43934.708333333336</v>
      </c>
      <c r="B1042" s="12" t="s">
        <v>22</v>
      </c>
      <c r="C1042" s="82">
        <v>14</v>
      </c>
      <c r="D1042" s="12" t="s">
        <v>52</v>
      </c>
      <c r="E1042" s="82">
        <v>4155774754</v>
      </c>
      <c r="F1042" s="82">
        <v>1465916051</v>
      </c>
      <c r="G1042" s="82">
        <v>28</v>
      </c>
      <c r="H1042" s="82">
        <v>4</v>
      </c>
      <c r="I1042" s="82">
        <v>32</v>
      </c>
      <c r="J1042" s="82">
        <v>170</v>
      </c>
      <c r="K1042" s="82">
        <v>202</v>
      </c>
      <c r="L1042" s="82">
        <v>0</v>
      </c>
      <c r="M1042" s="82">
        <v>0</v>
      </c>
      <c r="N1042" s="82">
        <v>40</v>
      </c>
      <c r="O1042" s="82">
        <v>15</v>
      </c>
      <c r="P1042" s="82">
        <v>257</v>
      </c>
      <c r="Q1042" s="82">
        <v>2522</v>
      </c>
      <c r="R1042" s="12" t="s">
        <v>25</v>
      </c>
      <c r="S1042" s="12" t="s">
        <v>25</v>
      </c>
      <c r="T1042" s="12" t="s">
        <v>25</v>
      </c>
    </row>
    <row r="1043" spans="1:20" hidden="1" x14ac:dyDescent="0.3">
      <c r="A1043" s="13">
        <v>43934.708333333336</v>
      </c>
      <c r="B1043" s="12" t="s">
        <v>22</v>
      </c>
      <c r="C1043" s="82">
        <v>1</v>
      </c>
      <c r="D1043" s="12" t="s">
        <v>53</v>
      </c>
      <c r="E1043" s="82">
        <v>450732745</v>
      </c>
      <c r="F1043" s="82">
        <v>7680687483</v>
      </c>
      <c r="G1043" s="82">
        <v>3344</v>
      </c>
      <c r="H1043" s="82">
        <v>379</v>
      </c>
      <c r="I1043" s="82">
        <v>3723</v>
      </c>
      <c r="J1043" s="82">
        <v>9042</v>
      </c>
      <c r="K1043" s="82">
        <v>12765</v>
      </c>
      <c r="L1043" s="82">
        <v>260</v>
      </c>
      <c r="M1043" s="82">
        <v>474</v>
      </c>
      <c r="N1043" s="82">
        <v>2543</v>
      </c>
      <c r="O1043" s="82">
        <v>1826</v>
      </c>
      <c r="P1043" s="82">
        <v>17134</v>
      </c>
      <c r="Q1043" s="82">
        <v>69170</v>
      </c>
      <c r="R1043" s="12" t="s">
        <v>25</v>
      </c>
      <c r="S1043" s="12" t="s">
        <v>25</v>
      </c>
      <c r="T1043" s="12" t="s">
        <v>25</v>
      </c>
    </row>
    <row r="1044" spans="1:20" hidden="1" x14ac:dyDescent="0.3">
      <c r="A1044" s="13">
        <v>43934.708333333336</v>
      </c>
      <c r="B1044" s="12" t="s">
        <v>22</v>
      </c>
      <c r="C1044" s="82">
        <v>16</v>
      </c>
      <c r="D1044" s="12" t="s">
        <v>54</v>
      </c>
      <c r="E1044" s="82">
        <v>4112559576</v>
      </c>
      <c r="F1044" s="82">
        <v>1686736689</v>
      </c>
      <c r="G1044" s="82">
        <v>600</v>
      </c>
      <c r="H1044" s="82">
        <v>71</v>
      </c>
      <c r="I1044" s="82">
        <v>671</v>
      </c>
      <c r="J1044" s="82">
        <v>1841</v>
      </c>
      <c r="K1044" s="82">
        <v>2512</v>
      </c>
      <c r="L1044" s="82">
        <v>60</v>
      </c>
      <c r="M1044" s="82">
        <v>76</v>
      </c>
      <c r="N1044" s="82">
        <v>286</v>
      </c>
      <c r="O1044" s="82">
        <v>267</v>
      </c>
      <c r="P1044" s="82">
        <v>3065</v>
      </c>
      <c r="Q1044" s="82">
        <v>31922</v>
      </c>
      <c r="R1044" s="12" t="s">
        <v>25</v>
      </c>
      <c r="S1044" s="12" t="s">
        <v>25</v>
      </c>
      <c r="T1044" s="12" t="s">
        <v>25</v>
      </c>
    </row>
    <row r="1045" spans="1:20" hidden="1" x14ac:dyDescent="0.3">
      <c r="A1045" s="13">
        <v>43934.708333333336</v>
      </c>
      <c r="B1045" s="12" t="s">
        <v>22</v>
      </c>
      <c r="C1045" s="82">
        <v>20</v>
      </c>
      <c r="D1045" s="12" t="s">
        <v>55</v>
      </c>
      <c r="E1045" s="82">
        <v>3921531192</v>
      </c>
      <c r="F1045" s="82">
        <v>9110616306</v>
      </c>
      <c r="G1045" s="82">
        <v>107</v>
      </c>
      <c r="H1045" s="82">
        <v>27</v>
      </c>
      <c r="I1045" s="82">
        <v>134</v>
      </c>
      <c r="J1045" s="82">
        <v>780</v>
      </c>
      <c r="K1045" s="82">
        <v>914</v>
      </c>
      <c r="L1045" s="82">
        <v>11</v>
      </c>
      <c r="M1045" s="82">
        <v>15</v>
      </c>
      <c r="N1045" s="82">
        <v>139</v>
      </c>
      <c r="O1045" s="82">
        <v>75</v>
      </c>
      <c r="P1045" s="82">
        <v>1128</v>
      </c>
      <c r="Q1045" s="82">
        <v>11010</v>
      </c>
      <c r="R1045" s="12" t="s">
        <v>25</v>
      </c>
      <c r="S1045" s="12" t="s">
        <v>25</v>
      </c>
      <c r="T1045" s="12" t="s">
        <v>25</v>
      </c>
    </row>
    <row r="1046" spans="1:20" hidden="1" x14ac:dyDescent="0.3">
      <c r="A1046" s="13">
        <v>43934.708333333336</v>
      </c>
      <c r="B1046" s="12" t="s">
        <v>22</v>
      </c>
      <c r="C1046" s="82">
        <v>19</v>
      </c>
      <c r="D1046" s="12" t="s">
        <v>56</v>
      </c>
      <c r="E1046" s="82">
        <v>3811569725</v>
      </c>
      <c r="F1046" s="82">
        <v>133623567</v>
      </c>
      <c r="G1046" s="82">
        <v>554</v>
      </c>
      <c r="H1046" s="82">
        <v>51</v>
      </c>
      <c r="I1046" s="82">
        <v>605</v>
      </c>
      <c r="J1046" s="82">
        <v>1445</v>
      </c>
      <c r="K1046" s="82">
        <v>2050</v>
      </c>
      <c r="L1046" s="82">
        <v>20</v>
      </c>
      <c r="M1046" s="82">
        <v>42</v>
      </c>
      <c r="N1046" s="82">
        <v>237</v>
      </c>
      <c r="O1046" s="82">
        <v>171</v>
      </c>
      <c r="P1046" s="82">
        <v>2458</v>
      </c>
      <c r="Q1046" s="82">
        <v>37311</v>
      </c>
      <c r="R1046" s="12" t="s">
        <v>25</v>
      </c>
      <c r="S1046" s="12" t="s">
        <v>25</v>
      </c>
      <c r="T1046" s="12" t="s">
        <v>25</v>
      </c>
    </row>
    <row r="1047" spans="1:20" hidden="1" x14ac:dyDescent="0.3">
      <c r="A1047" s="13">
        <v>43934.708333333336</v>
      </c>
      <c r="B1047" s="12" t="s">
        <v>22</v>
      </c>
      <c r="C1047" s="82">
        <v>9</v>
      </c>
      <c r="D1047" s="12" t="s">
        <v>57</v>
      </c>
      <c r="E1047" s="82">
        <v>4376923077</v>
      </c>
      <c r="F1047" s="82">
        <v>1125588885</v>
      </c>
      <c r="G1047" s="82">
        <v>992</v>
      </c>
      <c r="H1047" s="82">
        <v>225</v>
      </c>
      <c r="I1047" s="82">
        <v>1217</v>
      </c>
      <c r="J1047" s="82">
        <v>5040</v>
      </c>
      <c r="K1047" s="82">
        <v>6257</v>
      </c>
      <c r="L1047" s="82">
        <v>95</v>
      </c>
      <c r="M1047" s="82">
        <v>155</v>
      </c>
      <c r="N1047" s="82">
        <v>615</v>
      </c>
      <c r="O1047" s="82">
        <v>518</v>
      </c>
      <c r="P1047" s="82">
        <v>7390</v>
      </c>
      <c r="Q1047" s="82">
        <v>80889</v>
      </c>
      <c r="R1047" s="12" t="s">
        <v>25</v>
      </c>
      <c r="S1047" s="12" t="s">
        <v>25</v>
      </c>
      <c r="T1047" s="12" t="s">
        <v>25</v>
      </c>
    </row>
    <row r="1048" spans="1:20" hidden="1" x14ac:dyDescent="0.3">
      <c r="A1048" s="13">
        <v>43934.708333333336</v>
      </c>
      <c r="B1048" s="12" t="s">
        <v>22</v>
      </c>
      <c r="C1048" s="82">
        <v>22</v>
      </c>
      <c r="D1048" s="12" t="s">
        <v>58</v>
      </c>
      <c r="E1048" s="82">
        <v>4606893511</v>
      </c>
      <c r="F1048" s="82">
        <v>1112123097</v>
      </c>
      <c r="G1048" s="82">
        <v>326</v>
      </c>
      <c r="H1048" s="82">
        <v>56</v>
      </c>
      <c r="I1048" s="82">
        <v>382</v>
      </c>
      <c r="J1048" s="82">
        <v>1698</v>
      </c>
      <c r="K1048" s="82">
        <v>2080</v>
      </c>
      <c r="L1048" s="82">
        <v>-2</v>
      </c>
      <c r="M1048" s="82">
        <v>73</v>
      </c>
      <c r="N1048" s="82">
        <v>746</v>
      </c>
      <c r="O1048" s="82">
        <v>300</v>
      </c>
      <c r="P1048" s="82">
        <v>3126</v>
      </c>
      <c r="Q1048" s="82">
        <v>18586</v>
      </c>
      <c r="R1048" s="12" t="s">
        <v>25</v>
      </c>
      <c r="S1048" s="12" t="s">
        <v>25</v>
      </c>
      <c r="T1048" s="12" t="s">
        <v>25</v>
      </c>
    </row>
    <row r="1049" spans="1:20" hidden="1" x14ac:dyDescent="0.3">
      <c r="A1049" s="13">
        <v>43934.708333333336</v>
      </c>
      <c r="B1049" s="12" t="s">
        <v>22</v>
      </c>
      <c r="C1049" s="82">
        <v>10</v>
      </c>
      <c r="D1049" s="12" t="s">
        <v>59</v>
      </c>
      <c r="E1049" s="82">
        <v>4310675841</v>
      </c>
      <c r="F1049" s="82">
        <v>1238824698</v>
      </c>
      <c r="G1049" s="82">
        <v>127</v>
      </c>
      <c r="H1049" s="82">
        <v>38</v>
      </c>
      <c r="I1049" s="82">
        <v>165</v>
      </c>
      <c r="J1049" s="82">
        <v>460</v>
      </c>
      <c r="K1049" s="82">
        <v>625</v>
      </c>
      <c r="L1049" s="82">
        <v>-62</v>
      </c>
      <c r="M1049" s="82">
        <v>1</v>
      </c>
      <c r="N1049" s="82">
        <v>643</v>
      </c>
      <c r="O1049" s="82">
        <v>52</v>
      </c>
      <c r="P1049" s="82">
        <v>1320</v>
      </c>
      <c r="Q1049" s="82">
        <v>18740</v>
      </c>
      <c r="R1049" s="12" t="s">
        <v>25</v>
      </c>
      <c r="S1049" s="12" t="s">
        <v>25</v>
      </c>
      <c r="T1049" s="12" t="s">
        <v>25</v>
      </c>
    </row>
    <row r="1050" spans="1:20" hidden="1" x14ac:dyDescent="0.3">
      <c r="A1050" s="13">
        <v>43934.708333333336</v>
      </c>
      <c r="B1050" s="12" t="s">
        <v>22</v>
      </c>
      <c r="C1050" s="82">
        <v>2</v>
      </c>
      <c r="D1050" s="12" t="s">
        <v>60</v>
      </c>
      <c r="E1050" s="82">
        <v>4573750286</v>
      </c>
      <c r="F1050" s="82">
        <v>7320149366</v>
      </c>
      <c r="G1050" s="82">
        <v>109</v>
      </c>
      <c r="H1050" s="82">
        <v>15</v>
      </c>
      <c r="I1050" s="82">
        <v>124</v>
      </c>
      <c r="J1050" s="82">
        <v>458</v>
      </c>
      <c r="K1050" s="82">
        <v>582</v>
      </c>
      <c r="L1050" s="82">
        <v>-6</v>
      </c>
      <c r="M1050" s="82">
        <v>6</v>
      </c>
      <c r="N1050" s="82">
        <v>230</v>
      </c>
      <c r="O1050" s="82">
        <v>115</v>
      </c>
      <c r="P1050" s="82">
        <v>927</v>
      </c>
      <c r="Q1050" s="82">
        <v>3614</v>
      </c>
      <c r="R1050" s="12" t="s">
        <v>25</v>
      </c>
      <c r="S1050" s="12" t="s">
        <v>25</v>
      </c>
      <c r="T1050" s="12" t="s">
        <v>25</v>
      </c>
    </row>
    <row r="1051" spans="1:20" hidden="1" x14ac:dyDescent="0.3">
      <c r="A1051" s="13">
        <v>43934.708333333336</v>
      </c>
      <c r="B1051" s="12" t="s">
        <v>22</v>
      </c>
      <c r="C1051" s="82">
        <v>5</v>
      </c>
      <c r="D1051" s="12" t="s">
        <v>61</v>
      </c>
      <c r="E1051" s="82">
        <v>4543490485</v>
      </c>
      <c r="F1051" s="82">
        <v>1233845213</v>
      </c>
      <c r="G1051" s="82">
        <v>1427</v>
      </c>
      <c r="H1051" s="82">
        <v>245</v>
      </c>
      <c r="I1051" s="82">
        <v>1672</v>
      </c>
      <c r="J1051" s="82">
        <v>9094</v>
      </c>
      <c r="K1051" s="82">
        <v>10766</v>
      </c>
      <c r="L1051" s="82">
        <v>37</v>
      </c>
      <c r="M1051" s="82">
        <v>174</v>
      </c>
      <c r="N1051" s="82">
        <v>2603</v>
      </c>
      <c r="O1051" s="82">
        <v>882</v>
      </c>
      <c r="P1051" s="82">
        <v>14251</v>
      </c>
      <c r="Q1051" s="82">
        <v>203077</v>
      </c>
      <c r="R1051" s="12" t="s">
        <v>25</v>
      </c>
      <c r="S1051" s="12" t="s">
        <v>25</v>
      </c>
      <c r="T1051" s="12" t="s">
        <v>25</v>
      </c>
    </row>
    <row r="1052" spans="1:20" hidden="1" x14ac:dyDescent="0.3">
      <c r="A1052" s="13">
        <v>43935.708333333336</v>
      </c>
      <c r="B1052" s="12" t="s">
        <v>22</v>
      </c>
      <c r="C1052" s="82">
        <v>13</v>
      </c>
      <c r="D1052" s="12" t="s">
        <v>42</v>
      </c>
      <c r="E1052" s="82">
        <v>4235122196</v>
      </c>
      <c r="F1052" s="82">
        <v>1339843823</v>
      </c>
      <c r="G1052" s="82">
        <v>345</v>
      </c>
      <c r="H1052" s="82">
        <v>52</v>
      </c>
      <c r="I1052" s="82">
        <v>397</v>
      </c>
      <c r="J1052" s="82">
        <v>1403</v>
      </c>
      <c r="K1052" s="82">
        <v>1800</v>
      </c>
      <c r="L1052" s="82">
        <v>22</v>
      </c>
      <c r="M1052" s="82">
        <v>32</v>
      </c>
      <c r="N1052" s="82">
        <v>213</v>
      </c>
      <c r="O1052" s="82">
        <v>232</v>
      </c>
      <c r="P1052" s="82">
        <v>2245</v>
      </c>
      <c r="Q1052" s="82">
        <v>20935</v>
      </c>
      <c r="R1052" s="12" t="s">
        <v>25</v>
      </c>
      <c r="S1052" s="12" t="s">
        <v>25</v>
      </c>
      <c r="T1052" s="12" t="s">
        <v>25</v>
      </c>
    </row>
    <row r="1053" spans="1:20" hidden="1" x14ac:dyDescent="0.3">
      <c r="A1053" s="13">
        <v>43935.708333333336</v>
      </c>
      <c r="B1053" s="12" t="s">
        <v>22</v>
      </c>
      <c r="C1053" s="82">
        <v>17</v>
      </c>
      <c r="D1053" s="12" t="s">
        <v>43</v>
      </c>
      <c r="E1053" s="82">
        <v>4063947052</v>
      </c>
      <c r="F1053" s="82">
        <v>1580514834</v>
      </c>
      <c r="G1053" s="82">
        <v>62</v>
      </c>
      <c r="H1053" s="82">
        <v>12</v>
      </c>
      <c r="I1053" s="82">
        <v>74</v>
      </c>
      <c r="J1053" s="82">
        <v>191</v>
      </c>
      <c r="K1053" s="82">
        <v>265</v>
      </c>
      <c r="L1053" s="82">
        <v>-5</v>
      </c>
      <c r="M1053" s="82">
        <v>0</v>
      </c>
      <c r="N1053" s="82">
        <v>35</v>
      </c>
      <c r="O1053" s="82">
        <v>19</v>
      </c>
      <c r="P1053" s="82">
        <v>319</v>
      </c>
      <c r="Q1053" s="82">
        <v>4759</v>
      </c>
      <c r="R1053" s="12" t="s">
        <v>25</v>
      </c>
      <c r="S1053" s="12" t="s">
        <v>25</v>
      </c>
      <c r="T1053" s="12" t="s">
        <v>25</v>
      </c>
    </row>
    <row r="1054" spans="1:20" hidden="1" x14ac:dyDescent="0.3">
      <c r="A1054" s="13">
        <v>43935.708333333336</v>
      </c>
      <c r="B1054" s="12" t="s">
        <v>22</v>
      </c>
      <c r="C1054" s="82">
        <v>21</v>
      </c>
      <c r="D1054" s="12" t="s">
        <v>44</v>
      </c>
      <c r="E1054" s="82">
        <v>4649933453</v>
      </c>
      <c r="F1054" s="82">
        <v>1135662422</v>
      </c>
      <c r="G1054" s="82">
        <v>177</v>
      </c>
      <c r="H1054" s="82">
        <v>39</v>
      </c>
      <c r="I1054" s="82">
        <v>216</v>
      </c>
      <c r="J1054" s="82">
        <v>1348</v>
      </c>
      <c r="K1054" s="82">
        <v>1564</v>
      </c>
      <c r="L1054" s="82">
        <v>27</v>
      </c>
      <c r="M1054" s="82">
        <v>35</v>
      </c>
      <c r="N1054" s="82">
        <v>406</v>
      </c>
      <c r="O1054" s="82">
        <v>214</v>
      </c>
      <c r="P1054" s="82">
        <v>2184</v>
      </c>
      <c r="Q1054" s="82">
        <v>24457</v>
      </c>
      <c r="R1054" s="12" t="s">
        <v>25</v>
      </c>
      <c r="S1054" s="12" t="s">
        <v>25</v>
      </c>
      <c r="T1054" s="12" t="s">
        <v>25</v>
      </c>
    </row>
    <row r="1055" spans="1:20" hidden="1" x14ac:dyDescent="0.3">
      <c r="A1055" s="13">
        <v>43935.708333333336</v>
      </c>
      <c r="B1055" s="12" t="s">
        <v>22</v>
      </c>
      <c r="C1055" s="82">
        <v>18</v>
      </c>
      <c r="D1055" s="12" t="s">
        <v>45</v>
      </c>
      <c r="E1055" s="82">
        <v>3890597598</v>
      </c>
      <c r="F1055" s="82">
        <v>1659440194</v>
      </c>
      <c r="G1055" s="82">
        <v>161</v>
      </c>
      <c r="H1055" s="82">
        <v>12</v>
      </c>
      <c r="I1055" s="82">
        <v>173</v>
      </c>
      <c r="J1055" s="82">
        <v>643</v>
      </c>
      <c r="K1055" s="82">
        <v>816</v>
      </c>
      <c r="L1055" s="82">
        <v>25</v>
      </c>
      <c r="M1055" s="82">
        <v>28</v>
      </c>
      <c r="N1055" s="82">
        <v>72</v>
      </c>
      <c r="O1055" s="82">
        <v>68</v>
      </c>
      <c r="P1055" s="82">
        <v>956</v>
      </c>
      <c r="Q1055" s="82">
        <v>19014</v>
      </c>
      <c r="R1055" s="12" t="s">
        <v>25</v>
      </c>
      <c r="S1055" s="12" t="s">
        <v>25</v>
      </c>
      <c r="T1055" s="12" t="s">
        <v>25</v>
      </c>
    </row>
    <row r="1056" spans="1:20" hidden="1" x14ac:dyDescent="0.3">
      <c r="A1056" s="13">
        <v>43935.708333333336</v>
      </c>
      <c r="B1056" s="12" t="s">
        <v>22</v>
      </c>
      <c r="C1056" s="82">
        <v>15</v>
      </c>
      <c r="D1056" s="12" t="s">
        <v>46</v>
      </c>
      <c r="E1056" s="82">
        <v>4083956555</v>
      </c>
      <c r="F1056" s="82">
        <v>1425084984</v>
      </c>
      <c r="G1056" s="82">
        <v>618</v>
      </c>
      <c r="H1056" s="82">
        <v>82</v>
      </c>
      <c r="I1056" s="82">
        <v>700</v>
      </c>
      <c r="J1056" s="82">
        <v>2394</v>
      </c>
      <c r="K1056" s="82">
        <v>3094</v>
      </c>
      <c r="L1056" s="82">
        <v>32</v>
      </c>
      <c r="M1056" s="82">
        <v>99</v>
      </c>
      <c r="N1056" s="82">
        <v>415</v>
      </c>
      <c r="O1056" s="82">
        <v>260</v>
      </c>
      <c r="P1056" s="82">
        <v>3769</v>
      </c>
      <c r="Q1056" s="82">
        <v>38094</v>
      </c>
      <c r="R1056" s="12" t="s">
        <v>25</v>
      </c>
      <c r="S1056" s="12" t="s">
        <v>25</v>
      </c>
      <c r="T1056" s="12" t="s">
        <v>25</v>
      </c>
    </row>
    <row r="1057" spans="1:20" hidden="1" x14ac:dyDescent="0.3">
      <c r="A1057" s="13">
        <v>43935.708333333336</v>
      </c>
      <c r="B1057" s="12" t="s">
        <v>22</v>
      </c>
      <c r="C1057" s="82">
        <v>8</v>
      </c>
      <c r="D1057" s="12" t="s">
        <v>95</v>
      </c>
      <c r="E1057" s="82">
        <v>4449436681</v>
      </c>
      <c r="F1057" s="82">
        <v>113417208</v>
      </c>
      <c r="G1057" s="82">
        <v>3473</v>
      </c>
      <c r="H1057" s="82">
        <v>328</v>
      </c>
      <c r="I1057" s="82">
        <v>3801</v>
      </c>
      <c r="J1057" s="82">
        <v>9977</v>
      </c>
      <c r="K1057" s="82">
        <v>13778</v>
      </c>
      <c r="L1057" s="82">
        <v>-40</v>
      </c>
      <c r="M1057" s="82">
        <v>312</v>
      </c>
      <c r="N1057" s="82">
        <v>4269</v>
      </c>
      <c r="O1057" s="82">
        <v>2705</v>
      </c>
      <c r="P1057" s="82">
        <v>20752</v>
      </c>
      <c r="Q1057" s="82">
        <v>101896</v>
      </c>
      <c r="R1057" s="12" t="s">
        <v>25</v>
      </c>
      <c r="S1057" s="12" t="s">
        <v>25</v>
      </c>
      <c r="T1057" s="12" t="s">
        <v>25</v>
      </c>
    </row>
    <row r="1058" spans="1:20" hidden="1" x14ac:dyDescent="0.3">
      <c r="A1058" s="13">
        <v>43935.708333333336</v>
      </c>
      <c r="B1058" s="12" t="s">
        <v>22</v>
      </c>
      <c r="C1058" s="82">
        <v>6</v>
      </c>
      <c r="D1058" s="12" t="s">
        <v>47</v>
      </c>
      <c r="E1058" s="82">
        <v>456494354</v>
      </c>
      <c r="F1058" s="82">
        <v>1376813649</v>
      </c>
      <c r="G1058" s="82">
        <v>166</v>
      </c>
      <c r="H1058" s="82">
        <v>28</v>
      </c>
      <c r="I1058" s="82">
        <v>194</v>
      </c>
      <c r="J1058" s="82">
        <v>705</v>
      </c>
      <c r="K1058" s="82">
        <v>899</v>
      </c>
      <c r="L1058" s="82">
        <v>-408</v>
      </c>
      <c r="M1058" s="82">
        <v>38</v>
      </c>
      <c r="N1058" s="82">
        <v>1415</v>
      </c>
      <c r="O1058" s="82">
        <v>206</v>
      </c>
      <c r="P1058" s="82">
        <v>2520</v>
      </c>
      <c r="Q1058" s="82">
        <v>31764</v>
      </c>
      <c r="R1058" s="12" t="s">
        <v>25</v>
      </c>
      <c r="S1058" s="12" t="s">
        <v>25</v>
      </c>
      <c r="T1058" s="12" t="s">
        <v>25</v>
      </c>
    </row>
    <row r="1059" spans="1:20" hidden="1" x14ac:dyDescent="0.3">
      <c r="A1059" s="13">
        <v>43935.708333333336</v>
      </c>
      <c r="B1059" s="12" t="s">
        <v>22</v>
      </c>
      <c r="C1059" s="82">
        <v>12</v>
      </c>
      <c r="D1059" s="12" t="s">
        <v>48</v>
      </c>
      <c r="E1059" s="82">
        <v>4189277044</v>
      </c>
      <c r="F1059" s="82">
        <v>1248366722</v>
      </c>
      <c r="G1059" s="82">
        <v>1344</v>
      </c>
      <c r="H1059" s="82">
        <v>199</v>
      </c>
      <c r="I1059" s="82">
        <v>1543</v>
      </c>
      <c r="J1059" s="82">
        <v>2479</v>
      </c>
      <c r="K1059" s="82">
        <v>4022</v>
      </c>
      <c r="L1059" s="82">
        <v>102</v>
      </c>
      <c r="M1059" s="82">
        <v>143</v>
      </c>
      <c r="N1059" s="82">
        <v>789</v>
      </c>
      <c r="O1059" s="82">
        <v>300</v>
      </c>
      <c r="P1059" s="82">
        <v>5111</v>
      </c>
      <c r="Q1059" s="82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82">
        <v>7</v>
      </c>
      <c r="D1060" s="12" t="s">
        <v>49</v>
      </c>
      <c r="E1060" s="82">
        <v>4441149315</v>
      </c>
      <c r="F1060" s="82">
        <v>89326992</v>
      </c>
      <c r="G1060" s="82">
        <v>967</v>
      </c>
      <c r="H1060" s="82">
        <v>133</v>
      </c>
      <c r="I1060" s="82">
        <v>1100</v>
      </c>
      <c r="J1060" s="82">
        <v>2366</v>
      </c>
      <c r="K1060" s="82">
        <v>3466</v>
      </c>
      <c r="L1060" s="82">
        <v>101</v>
      </c>
      <c r="M1060" s="82">
        <v>212</v>
      </c>
      <c r="N1060" s="82">
        <v>1549</v>
      </c>
      <c r="O1060" s="82">
        <v>793</v>
      </c>
      <c r="P1060" s="82">
        <v>5808</v>
      </c>
      <c r="Q1060" s="82">
        <v>24446</v>
      </c>
      <c r="R1060" s="12" t="s">
        <v>25</v>
      </c>
      <c r="S1060" s="12" t="s">
        <v>25</v>
      </c>
      <c r="T1060" s="12" t="s">
        <v>25</v>
      </c>
    </row>
    <row r="1061" spans="1:20" hidden="1" x14ac:dyDescent="0.3">
      <c r="A1061" s="13">
        <v>43935.708333333336</v>
      </c>
      <c r="B1061" s="12" t="s">
        <v>22</v>
      </c>
      <c r="C1061" s="82">
        <v>3</v>
      </c>
      <c r="D1061" s="12" t="s">
        <v>50</v>
      </c>
      <c r="E1061" s="82">
        <v>4546679409</v>
      </c>
      <c r="F1061" s="82">
        <v>9190347404</v>
      </c>
      <c r="G1061" s="82">
        <v>12077</v>
      </c>
      <c r="H1061" s="82">
        <v>1122</v>
      </c>
      <c r="I1061" s="82">
        <v>13199</v>
      </c>
      <c r="J1061" s="82">
        <v>19164</v>
      </c>
      <c r="K1061" s="82">
        <v>32363</v>
      </c>
      <c r="L1061" s="82">
        <v>428</v>
      </c>
      <c r="M1061" s="82">
        <v>1012</v>
      </c>
      <c r="N1061" s="82">
        <v>17821</v>
      </c>
      <c r="O1061" s="82">
        <v>11142</v>
      </c>
      <c r="P1061" s="82">
        <v>61326</v>
      </c>
      <c r="Q1061" s="82">
        <v>214870</v>
      </c>
      <c r="R1061" s="12" t="s">
        <v>25</v>
      </c>
      <c r="S1061" s="12" t="s">
        <v>25</v>
      </c>
      <c r="T1061" s="12" t="s">
        <v>25</v>
      </c>
    </row>
    <row r="1062" spans="1:20" hidden="1" x14ac:dyDescent="0.3">
      <c r="A1062" s="13">
        <v>43935.708333333336</v>
      </c>
      <c r="B1062" s="12" t="s">
        <v>22</v>
      </c>
      <c r="C1062" s="82">
        <v>11</v>
      </c>
      <c r="D1062" s="12" t="s">
        <v>51</v>
      </c>
      <c r="E1062" s="82">
        <v>4361675973</v>
      </c>
      <c r="F1062" s="82">
        <v>135188753</v>
      </c>
      <c r="G1062" s="82">
        <v>937</v>
      </c>
      <c r="H1062" s="82">
        <v>106</v>
      </c>
      <c r="I1062" s="82">
        <v>1043</v>
      </c>
      <c r="J1062" s="82">
        <v>2052</v>
      </c>
      <c r="K1062" s="82">
        <v>3095</v>
      </c>
      <c r="L1062" s="82">
        <v>15</v>
      </c>
      <c r="M1062" s="82">
        <v>45</v>
      </c>
      <c r="N1062" s="82">
        <v>1603</v>
      </c>
      <c r="O1062" s="82">
        <v>728</v>
      </c>
      <c r="P1062" s="82">
        <v>5426</v>
      </c>
      <c r="Q1062" s="82">
        <v>29160</v>
      </c>
      <c r="R1062" s="12" t="s">
        <v>25</v>
      </c>
      <c r="S1062" s="12" t="s">
        <v>25</v>
      </c>
      <c r="T1062" s="12" t="s">
        <v>25</v>
      </c>
    </row>
    <row r="1063" spans="1:20" hidden="1" x14ac:dyDescent="0.3">
      <c r="A1063" s="13">
        <v>43935.708333333336</v>
      </c>
      <c r="B1063" s="12" t="s">
        <v>22</v>
      </c>
      <c r="C1063" s="82">
        <v>14</v>
      </c>
      <c r="D1063" s="12" t="s">
        <v>52</v>
      </c>
      <c r="E1063" s="82">
        <v>4155774754</v>
      </c>
      <c r="F1063" s="82">
        <v>1465916051</v>
      </c>
      <c r="G1063" s="82">
        <v>26</v>
      </c>
      <c r="H1063" s="82">
        <v>4</v>
      </c>
      <c r="I1063" s="82">
        <v>30</v>
      </c>
      <c r="J1063" s="82">
        <v>170</v>
      </c>
      <c r="K1063" s="82">
        <v>200</v>
      </c>
      <c r="L1063" s="82">
        <v>-2</v>
      </c>
      <c r="M1063" s="82">
        <v>0</v>
      </c>
      <c r="N1063" s="82">
        <v>42</v>
      </c>
      <c r="O1063" s="82">
        <v>15</v>
      </c>
      <c r="P1063" s="82">
        <v>257</v>
      </c>
      <c r="Q1063" s="82">
        <v>2522</v>
      </c>
      <c r="R1063" s="12" t="s">
        <v>25</v>
      </c>
      <c r="S1063" s="12" t="s">
        <v>25</v>
      </c>
      <c r="T1063" s="12" t="s">
        <v>25</v>
      </c>
    </row>
    <row r="1064" spans="1:20" hidden="1" x14ac:dyDescent="0.3">
      <c r="A1064" s="13">
        <v>43935.708333333336</v>
      </c>
      <c r="B1064" s="12" t="s">
        <v>22</v>
      </c>
      <c r="C1064" s="82">
        <v>1</v>
      </c>
      <c r="D1064" s="12" t="s">
        <v>53</v>
      </c>
      <c r="E1064" s="82">
        <v>450732745</v>
      </c>
      <c r="F1064" s="82">
        <v>7680687483</v>
      </c>
      <c r="G1064" s="82">
        <v>3395</v>
      </c>
      <c r="H1064" s="82">
        <v>367</v>
      </c>
      <c r="I1064" s="82">
        <v>3762</v>
      </c>
      <c r="J1064" s="82">
        <v>9293</v>
      </c>
      <c r="K1064" s="82">
        <v>13055</v>
      </c>
      <c r="L1064" s="82">
        <v>290</v>
      </c>
      <c r="M1064" s="82">
        <v>556</v>
      </c>
      <c r="N1064" s="82">
        <v>2708</v>
      </c>
      <c r="O1064" s="82">
        <v>1927</v>
      </c>
      <c r="P1064" s="82">
        <v>17690</v>
      </c>
      <c r="Q1064" s="82">
        <v>71678</v>
      </c>
      <c r="R1064" s="12" t="s">
        <v>25</v>
      </c>
      <c r="S1064" s="12" t="s">
        <v>25</v>
      </c>
      <c r="T1064" s="12" t="s">
        <v>25</v>
      </c>
    </row>
    <row r="1065" spans="1:20" hidden="1" x14ac:dyDescent="0.3">
      <c r="A1065" s="13">
        <v>43935.708333333336</v>
      </c>
      <c r="B1065" s="12" t="s">
        <v>22</v>
      </c>
      <c r="C1065" s="82">
        <v>16</v>
      </c>
      <c r="D1065" s="12" t="s">
        <v>54</v>
      </c>
      <c r="E1065" s="82">
        <v>4112559576</v>
      </c>
      <c r="F1065" s="82">
        <v>1686736689</v>
      </c>
      <c r="G1065" s="82">
        <v>611</v>
      </c>
      <c r="H1065" s="82">
        <v>62</v>
      </c>
      <c r="I1065" s="82">
        <v>673</v>
      </c>
      <c r="J1065" s="82">
        <v>1879</v>
      </c>
      <c r="K1065" s="82">
        <v>2552</v>
      </c>
      <c r="L1065" s="82">
        <v>40</v>
      </c>
      <c r="M1065" s="82">
        <v>53</v>
      </c>
      <c r="N1065" s="82">
        <v>288</v>
      </c>
      <c r="O1065" s="82">
        <v>278</v>
      </c>
      <c r="P1065" s="82">
        <v>3118</v>
      </c>
      <c r="Q1065" s="82">
        <v>33071</v>
      </c>
      <c r="R1065" s="12" t="s">
        <v>25</v>
      </c>
      <c r="S1065" s="12" t="s">
        <v>25</v>
      </c>
      <c r="T1065" s="12" t="s">
        <v>25</v>
      </c>
    </row>
    <row r="1066" spans="1:20" hidden="1" x14ac:dyDescent="0.3">
      <c r="A1066" s="13">
        <v>43935.708333333336</v>
      </c>
      <c r="B1066" s="12" t="s">
        <v>22</v>
      </c>
      <c r="C1066" s="82">
        <v>20</v>
      </c>
      <c r="D1066" s="12" t="s">
        <v>55</v>
      </c>
      <c r="E1066" s="82">
        <v>3921531192</v>
      </c>
      <c r="F1066" s="82">
        <v>9110616306</v>
      </c>
      <c r="G1066" s="82">
        <v>107</v>
      </c>
      <c r="H1066" s="82">
        <v>24</v>
      </c>
      <c r="I1066" s="82">
        <v>131</v>
      </c>
      <c r="J1066" s="82">
        <v>769</v>
      </c>
      <c r="K1066" s="82">
        <v>900</v>
      </c>
      <c r="L1066" s="82">
        <v>-14</v>
      </c>
      <c r="M1066" s="82">
        <v>10</v>
      </c>
      <c r="N1066" s="82">
        <v>158</v>
      </c>
      <c r="O1066" s="82">
        <v>80</v>
      </c>
      <c r="P1066" s="82">
        <v>1138</v>
      </c>
      <c r="Q1066" s="82">
        <v>11893</v>
      </c>
      <c r="R1066" s="12" t="s">
        <v>25</v>
      </c>
      <c r="S1066" s="12" t="s">
        <v>25</v>
      </c>
      <c r="T1066" s="12" t="s">
        <v>25</v>
      </c>
    </row>
    <row r="1067" spans="1:20" hidden="1" x14ac:dyDescent="0.3">
      <c r="A1067" s="13">
        <v>43935.708333333336</v>
      </c>
      <c r="B1067" s="12" t="s">
        <v>22</v>
      </c>
      <c r="C1067" s="82">
        <v>19</v>
      </c>
      <c r="D1067" s="12" t="s">
        <v>56</v>
      </c>
      <c r="E1067" s="82">
        <v>3811569725</v>
      </c>
      <c r="F1067" s="82">
        <v>133623567</v>
      </c>
      <c r="G1067" s="82">
        <v>552</v>
      </c>
      <c r="H1067" s="82">
        <v>53</v>
      </c>
      <c r="I1067" s="82">
        <v>605</v>
      </c>
      <c r="J1067" s="82">
        <v>1466</v>
      </c>
      <c r="K1067" s="82">
        <v>2071</v>
      </c>
      <c r="L1067" s="82">
        <v>21</v>
      </c>
      <c r="M1067" s="82">
        <v>43</v>
      </c>
      <c r="N1067" s="82">
        <v>255</v>
      </c>
      <c r="O1067" s="82">
        <v>175</v>
      </c>
      <c r="P1067" s="82">
        <v>2501</v>
      </c>
      <c r="Q1067" s="82">
        <v>37877</v>
      </c>
      <c r="R1067" s="12" t="s">
        <v>25</v>
      </c>
      <c r="S1067" s="12" t="s">
        <v>25</v>
      </c>
      <c r="T1067" s="12" t="s">
        <v>25</v>
      </c>
    </row>
    <row r="1068" spans="1:20" hidden="1" x14ac:dyDescent="0.3">
      <c r="A1068" s="13">
        <v>43935.708333333336</v>
      </c>
      <c r="B1068" s="12" t="s">
        <v>22</v>
      </c>
      <c r="C1068" s="82">
        <v>9</v>
      </c>
      <c r="D1068" s="12" t="s">
        <v>57</v>
      </c>
      <c r="E1068" s="82">
        <v>4376923077</v>
      </c>
      <c r="F1068" s="82">
        <v>1125588885</v>
      </c>
      <c r="G1068" s="82">
        <v>1002</v>
      </c>
      <c r="H1068" s="82">
        <v>225</v>
      </c>
      <c r="I1068" s="82">
        <v>1227</v>
      </c>
      <c r="J1068" s="82">
        <v>5125</v>
      </c>
      <c r="K1068" s="82">
        <v>6352</v>
      </c>
      <c r="L1068" s="82">
        <v>95</v>
      </c>
      <c r="M1068" s="82">
        <v>137</v>
      </c>
      <c r="N1068" s="82">
        <v>637</v>
      </c>
      <c r="O1068" s="82">
        <v>538</v>
      </c>
      <c r="P1068" s="82">
        <v>7527</v>
      </c>
      <c r="Q1068" s="82">
        <v>82269</v>
      </c>
      <c r="R1068" s="12" t="s">
        <v>25</v>
      </c>
      <c r="S1068" s="12" t="s">
        <v>25</v>
      </c>
      <c r="T1068" s="12" t="s">
        <v>25</v>
      </c>
    </row>
    <row r="1069" spans="1:20" hidden="1" x14ac:dyDescent="0.3">
      <c r="A1069" s="13">
        <v>43935.708333333336</v>
      </c>
      <c r="B1069" s="12" t="s">
        <v>22</v>
      </c>
      <c r="C1069" s="82">
        <v>22</v>
      </c>
      <c r="D1069" s="12" t="s">
        <v>58</v>
      </c>
      <c r="E1069" s="82">
        <v>4606893511</v>
      </c>
      <c r="F1069" s="82">
        <v>1112123097</v>
      </c>
      <c r="G1069" s="82">
        <v>325</v>
      </c>
      <c r="H1069" s="82">
        <v>54</v>
      </c>
      <c r="I1069" s="82">
        <v>379</v>
      </c>
      <c r="J1069" s="82">
        <v>1703</v>
      </c>
      <c r="K1069" s="82">
        <v>2082</v>
      </c>
      <c r="L1069" s="82">
        <v>2</v>
      </c>
      <c r="M1069" s="82">
        <v>15</v>
      </c>
      <c r="N1069" s="82">
        <v>749</v>
      </c>
      <c r="O1069" s="82">
        <v>310</v>
      </c>
      <c r="P1069" s="82">
        <v>3141</v>
      </c>
      <c r="Q1069" s="82">
        <v>18774</v>
      </c>
      <c r="R1069" s="12" t="s">
        <v>25</v>
      </c>
      <c r="S1069" s="12" t="s">
        <v>25</v>
      </c>
      <c r="T1069" s="12" t="s">
        <v>25</v>
      </c>
    </row>
    <row r="1070" spans="1:20" hidden="1" x14ac:dyDescent="0.3">
      <c r="A1070" s="13">
        <v>43935.708333333336</v>
      </c>
      <c r="B1070" s="12" t="s">
        <v>22</v>
      </c>
      <c r="C1070" s="82">
        <v>10</v>
      </c>
      <c r="D1070" s="12" t="s">
        <v>59</v>
      </c>
      <c r="E1070" s="82">
        <v>4310675841</v>
      </c>
      <c r="F1070" s="82">
        <v>1238824698</v>
      </c>
      <c r="G1070" s="82">
        <v>127</v>
      </c>
      <c r="H1070" s="82">
        <v>37</v>
      </c>
      <c r="I1070" s="82">
        <v>164</v>
      </c>
      <c r="J1070" s="82">
        <v>458</v>
      </c>
      <c r="K1070" s="82">
        <v>622</v>
      </c>
      <c r="L1070" s="82">
        <v>-3</v>
      </c>
      <c r="M1070" s="82">
        <v>1</v>
      </c>
      <c r="N1070" s="82">
        <v>646</v>
      </c>
      <c r="O1070" s="82">
        <v>53</v>
      </c>
      <c r="P1070" s="82">
        <v>1321</v>
      </c>
      <c r="Q1070" s="82">
        <v>18956</v>
      </c>
      <c r="R1070" s="12" t="s">
        <v>25</v>
      </c>
      <c r="S1070" s="12" t="s">
        <v>25</v>
      </c>
      <c r="T1070" s="12" t="s">
        <v>25</v>
      </c>
    </row>
    <row r="1071" spans="1:20" hidden="1" x14ac:dyDescent="0.3">
      <c r="A1071" s="13">
        <v>43935.708333333336</v>
      </c>
      <c r="B1071" s="12" t="s">
        <v>22</v>
      </c>
      <c r="C1071" s="82">
        <v>2</v>
      </c>
      <c r="D1071" s="12" t="s">
        <v>60</v>
      </c>
      <c r="E1071" s="82">
        <v>4573750286</v>
      </c>
      <c r="F1071" s="82">
        <v>7320149366</v>
      </c>
      <c r="G1071" s="82">
        <v>112</v>
      </c>
      <c r="H1071" s="82">
        <v>14</v>
      </c>
      <c r="I1071" s="82">
        <v>126</v>
      </c>
      <c r="J1071" s="82">
        <v>433</v>
      </c>
      <c r="K1071" s="82">
        <v>559</v>
      </c>
      <c r="L1071" s="82">
        <v>-23</v>
      </c>
      <c r="M1071" s="82">
        <v>20</v>
      </c>
      <c r="N1071" s="82">
        <v>270</v>
      </c>
      <c r="O1071" s="82">
        <v>118</v>
      </c>
      <c r="P1071" s="82">
        <v>947</v>
      </c>
      <c r="Q1071" s="82">
        <v>3726</v>
      </c>
      <c r="R1071" s="12" t="s">
        <v>25</v>
      </c>
      <c r="S1071" s="12" t="s">
        <v>25</v>
      </c>
      <c r="T1071" s="12" t="s">
        <v>25</v>
      </c>
    </row>
    <row r="1072" spans="1:20" hidden="1" x14ac:dyDescent="0.3">
      <c r="A1072" s="13">
        <v>43935.708333333336</v>
      </c>
      <c r="B1072" s="12" t="s">
        <v>22</v>
      </c>
      <c r="C1072" s="82">
        <v>5</v>
      </c>
      <c r="D1072" s="12" t="s">
        <v>61</v>
      </c>
      <c r="E1072" s="82">
        <v>4543490485</v>
      </c>
      <c r="F1072" s="82">
        <v>1233845213</v>
      </c>
      <c r="G1072" s="82">
        <v>1427</v>
      </c>
      <c r="H1072" s="82">
        <v>233</v>
      </c>
      <c r="I1072" s="82">
        <v>1660</v>
      </c>
      <c r="J1072" s="82">
        <v>9076</v>
      </c>
      <c r="K1072" s="82">
        <v>10736</v>
      </c>
      <c r="L1072" s="82">
        <v>-30</v>
      </c>
      <c r="M1072" s="82">
        <v>181</v>
      </c>
      <c r="N1072" s="82">
        <v>2790</v>
      </c>
      <c r="O1072" s="82">
        <v>906</v>
      </c>
      <c r="P1072" s="82">
        <v>14432</v>
      </c>
      <c r="Q1072" s="82">
        <v>208878</v>
      </c>
      <c r="R1072" s="12" t="s">
        <v>25</v>
      </c>
      <c r="S1072" s="12" t="s">
        <v>25</v>
      </c>
      <c r="T1072" s="12" t="s">
        <v>25</v>
      </c>
    </row>
    <row r="1073" spans="1:20" hidden="1" x14ac:dyDescent="0.3">
      <c r="A1073" s="13">
        <v>43936.708333333336</v>
      </c>
      <c r="B1073" s="12" t="s">
        <v>22</v>
      </c>
      <c r="C1073" s="82">
        <v>13</v>
      </c>
      <c r="D1073" s="12" t="s">
        <v>42</v>
      </c>
      <c r="E1073" s="82">
        <v>4235122196</v>
      </c>
      <c r="F1073" s="82">
        <v>1339843823</v>
      </c>
      <c r="G1073" s="82">
        <v>341</v>
      </c>
      <c r="H1073" s="82">
        <v>44</v>
      </c>
      <c r="I1073" s="82">
        <v>385</v>
      </c>
      <c r="J1073" s="82">
        <v>1425</v>
      </c>
      <c r="K1073" s="82">
        <v>1810</v>
      </c>
      <c r="L1073" s="82">
        <v>10</v>
      </c>
      <c r="M1073" s="82">
        <v>29</v>
      </c>
      <c r="N1073" s="82">
        <v>224</v>
      </c>
      <c r="O1073" s="82">
        <v>240</v>
      </c>
      <c r="P1073" s="82">
        <v>2274</v>
      </c>
      <c r="Q1073" s="82">
        <v>22500</v>
      </c>
      <c r="R1073" s="12" t="s">
        <v>25</v>
      </c>
      <c r="S1073" s="12" t="s">
        <v>25</v>
      </c>
      <c r="T1073" s="12" t="s">
        <v>25</v>
      </c>
    </row>
    <row r="1074" spans="1:20" hidden="1" x14ac:dyDescent="0.3">
      <c r="A1074" s="13">
        <v>43936.708333333336</v>
      </c>
      <c r="B1074" s="12" t="s">
        <v>22</v>
      </c>
      <c r="C1074" s="82">
        <v>17</v>
      </c>
      <c r="D1074" s="12" t="s">
        <v>43</v>
      </c>
      <c r="E1074" s="82">
        <v>4063947052</v>
      </c>
      <c r="F1074" s="82">
        <v>1580514834</v>
      </c>
      <c r="G1074" s="82">
        <v>60</v>
      </c>
      <c r="H1074" s="82">
        <v>12</v>
      </c>
      <c r="I1074" s="82">
        <v>72</v>
      </c>
      <c r="J1074" s="82">
        <v>189</v>
      </c>
      <c r="K1074" s="82">
        <v>261</v>
      </c>
      <c r="L1074" s="82">
        <v>-4</v>
      </c>
      <c r="M1074" s="82">
        <v>1</v>
      </c>
      <c r="N1074" s="82">
        <v>38</v>
      </c>
      <c r="O1074" s="82">
        <v>21</v>
      </c>
      <c r="P1074" s="82">
        <v>320</v>
      </c>
      <c r="Q1074" s="82">
        <v>5037</v>
      </c>
      <c r="R1074" s="12" t="s">
        <v>25</v>
      </c>
      <c r="S1074" s="12" t="s">
        <v>25</v>
      </c>
      <c r="T1074" s="12" t="s">
        <v>25</v>
      </c>
    </row>
    <row r="1075" spans="1:20" hidden="1" x14ac:dyDescent="0.3">
      <c r="A1075" s="13">
        <v>43936.708333333336</v>
      </c>
      <c r="B1075" s="12" t="s">
        <v>22</v>
      </c>
      <c r="C1075" s="82">
        <v>21</v>
      </c>
      <c r="D1075" s="12" t="s">
        <v>44</v>
      </c>
      <c r="E1075" s="82">
        <v>4649933453</v>
      </c>
      <c r="F1075" s="82">
        <v>1135662422</v>
      </c>
      <c r="G1075" s="82">
        <v>166</v>
      </c>
      <c r="H1075" s="82">
        <v>32</v>
      </c>
      <c r="I1075" s="82">
        <v>198</v>
      </c>
      <c r="J1075" s="82">
        <v>1378</v>
      </c>
      <c r="K1075" s="82">
        <v>1576</v>
      </c>
      <c r="L1075" s="82">
        <v>12</v>
      </c>
      <c r="M1075" s="82">
        <v>40</v>
      </c>
      <c r="N1075" s="82">
        <v>425</v>
      </c>
      <c r="O1075" s="82">
        <v>223</v>
      </c>
      <c r="P1075" s="82">
        <v>2224</v>
      </c>
      <c r="Q1075" s="82">
        <v>25370</v>
      </c>
      <c r="R1075" s="12" t="s">
        <v>25</v>
      </c>
      <c r="S1075" s="12" t="s">
        <v>25</v>
      </c>
      <c r="T1075" s="12" t="s">
        <v>25</v>
      </c>
    </row>
    <row r="1076" spans="1:20" hidden="1" x14ac:dyDescent="0.3">
      <c r="A1076" s="13">
        <v>43936.708333333336</v>
      </c>
      <c r="B1076" s="12" t="s">
        <v>22</v>
      </c>
      <c r="C1076" s="82">
        <v>18</v>
      </c>
      <c r="D1076" s="12" t="s">
        <v>45</v>
      </c>
      <c r="E1076" s="82">
        <v>3890597598</v>
      </c>
      <c r="F1076" s="82">
        <v>1659440194</v>
      </c>
      <c r="G1076" s="82">
        <v>156</v>
      </c>
      <c r="H1076" s="82">
        <v>11</v>
      </c>
      <c r="I1076" s="82">
        <v>167</v>
      </c>
      <c r="J1076" s="82">
        <v>652</v>
      </c>
      <c r="K1076" s="82">
        <v>819</v>
      </c>
      <c r="L1076" s="82">
        <v>3</v>
      </c>
      <c r="M1076" s="82">
        <v>15</v>
      </c>
      <c r="N1076" s="82">
        <v>81</v>
      </c>
      <c r="O1076" s="82">
        <v>71</v>
      </c>
      <c r="P1076" s="82">
        <v>971</v>
      </c>
      <c r="Q1076" s="82">
        <v>19662</v>
      </c>
      <c r="R1076" s="12" t="s">
        <v>25</v>
      </c>
      <c r="S1076" s="12" t="s">
        <v>25</v>
      </c>
      <c r="T1076" s="12" t="s">
        <v>25</v>
      </c>
    </row>
    <row r="1077" spans="1:20" hidden="1" x14ac:dyDescent="0.3">
      <c r="A1077" s="13">
        <v>43936.708333333336</v>
      </c>
      <c r="B1077" s="12" t="s">
        <v>22</v>
      </c>
      <c r="C1077" s="82">
        <v>15</v>
      </c>
      <c r="D1077" s="12" t="s">
        <v>46</v>
      </c>
      <c r="E1077" s="82">
        <v>4083956555</v>
      </c>
      <c r="F1077" s="82">
        <v>1425084984</v>
      </c>
      <c r="G1077" s="82">
        <v>607</v>
      </c>
      <c r="H1077" s="82">
        <v>86</v>
      </c>
      <c r="I1077" s="82">
        <v>693</v>
      </c>
      <c r="J1077" s="82">
        <v>2394</v>
      </c>
      <c r="K1077" s="82">
        <v>3087</v>
      </c>
      <c r="L1077" s="82">
        <v>-7</v>
      </c>
      <c r="M1077" s="82">
        <v>38</v>
      </c>
      <c r="N1077" s="82">
        <v>442</v>
      </c>
      <c r="O1077" s="82">
        <v>278</v>
      </c>
      <c r="P1077" s="82">
        <v>3807</v>
      </c>
      <c r="Q1077" s="82">
        <v>39534</v>
      </c>
      <c r="R1077" s="12" t="s">
        <v>25</v>
      </c>
      <c r="S1077" s="12" t="s">
        <v>25</v>
      </c>
      <c r="T1077" s="12" t="s">
        <v>25</v>
      </c>
    </row>
    <row r="1078" spans="1:20" hidden="1" x14ac:dyDescent="0.3">
      <c r="A1078" s="13">
        <v>43936.708333333336</v>
      </c>
      <c r="B1078" s="12" t="s">
        <v>22</v>
      </c>
      <c r="C1078" s="82">
        <v>8</v>
      </c>
      <c r="D1078" s="12" t="s">
        <v>95</v>
      </c>
      <c r="E1078" s="82">
        <v>4449436681</v>
      </c>
      <c r="F1078" s="82">
        <v>113417208</v>
      </c>
      <c r="G1078" s="82">
        <v>3388</v>
      </c>
      <c r="H1078" s="82">
        <v>325</v>
      </c>
      <c r="I1078" s="82">
        <v>3713</v>
      </c>
      <c r="J1078" s="82">
        <v>9864</v>
      </c>
      <c r="K1078" s="82">
        <v>13577</v>
      </c>
      <c r="L1078" s="82">
        <v>-201</v>
      </c>
      <c r="M1078" s="82">
        <v>277</v>
      </c>
      <c r="N1078" s="82">
        <v>4664</v>
      </c>
      <c r="O1078" s="82">
        <v>2788</v>
      </c>
      <c r="P1078" s="82">
        <v>21029</v>
      </c>
      <c r="Q1078" s="82">
        <v>106149</v>
      </c>
      <c r="R1078" s="12" t="s">
        <v>25</v>
      </c>
      <c r="S1078" s="12" t="s">
        <v>25</v>
      </c>
      <c r="T1078" s="12" t="s">
        <v>25</v>
      </c>
    </row>
    <row r="1079" spans="1:20" hidden="1" x14ac:dyDescent="0.3">
      <c r="A1079" s="13">
        <v>43936.708333333336</v>
      </c>
      <c r="B1079" s="12" t="s">
        <v>22</v>
      </c>
      <c r="C1079" s="82">
        <v>6</v>
      </c>
      <c r="D1079" s="12" t="s">
        <v>47</v>
      </c>
      <c r="E1079" s="82">
        <v>456494354</v>
      </c>
      <c r="F1079" s="82">
        <v>1376813649</v>
      </c>
      <c r="G1079" s="82">
        <v>163</v>
      </c>
      <c r="H1079" s="82">
        <v>24</v>
      </c>
      <c r="I1079" s="82">
        <v>187</v>
      </c>
      <c r="J1079" s="82">
        <v>1207</v>
      </c>
      <c r="K1079" s="82">
        <v>1394</v>
      </c>
      <c r="L1079" s="82">
        <v>495</v>
      </c>
      <c r="M1079" s="82">
        <v>24</v>
      </c>
      <c r="N1079" s="82">
        <v>938</v>
      </c>
      <c r="O1079" s="82">
        <v>212</v>
      </c>
      <c r="P1079" s="82">
        <v>2544</v>
      </c>
      <c r="Q1079" s="82">
        <v>33800</v>
      </c>
      <c r="R1079" s="12" t="s">
        <v>25</v>
      </c>
      <c r="S1079" s="12" t="s">
        <v>188</v>
      </c>
      <c r="T1079" s="12" t="s">
        <v>189</v>
      </c>
    </row>
    <row r="1080" spans="1:20" hidden="1" x14ac:dyDescent="0.3">
      <c r="A1080" s="13">
        <v>43936.708333333336</v>
      </c>
      <c r="B1080" s="12" t="s">
        <v>22</v>
      </c>
      <c r="C1080" s="82">
        <v>12</v>
      </c>
      <c r="D1080" s="12" t="s">
        <v>48</v>
      </c>
      <c r="E1080" s="82">
        <v>4189277044</v>
      </c>
      <c r="F1080" s="82">
        <v>1248366722</v>
      </c>
      <c r="G1080" s="82">
        <v>1342</v>
      </c>
      <c r="H1080" s="82">
        <v>196</v>
      </c>
      <c r="I1080" s="82">
        <v>1538</v>
      </c>
      <c r="J1080" s="82">
        <v>2509</v>
      </c>
      <c r="K1080" s="82">
        <v>4047</v>
      </c>
      <c r="L1080" s="82">
        <v>25</v>
      </c>
      <c r="M1080" s="82">
        <v>121</v>
      </c>
      <c r="N1080" s="82">
        <v>874</v>
      </c>
      <c r="O1080" s="82">
        <v>311</v>
      </c>
      <c r="P1080" s="82">
        <v>5232</v>
      </c>
      <c r="Q1080" s="82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82">
        <v>7</v>
      </c>
      <c r="D1081" s="12" t="s">
        <v>49</v>
      </c>
      <c r="E1081" s="82">
        <v>4441149315</v>
      </c>
      <c r="F1081" s="82">
        <v>89326992</v>
      </c>
      <c r="G1081" s="82">
        <v>959</v>
      </c>
      <c r="H1081" s="82">
        <v>120</v>
      </c>
      <c r="I1081" s="82">
        <v>1079</v>
      </c>
      <c r="J1081" s="82">
        <v>2385</v>
      </c>
      <c r="K1081" s="82">
        <v>3464</v>
      </c>
      <c r="L1081" s="82">
        <v>-2</v>
      </c>
      <c r="M1081" s="82">
        <v>128</v>
      </c>
      <c r="N1081" s="82">
        <v>1665</v>
      </c>
      <c r="O1081" s="82">
        <v>807</v>
      </c>
      <c r="P1081" s="82">
        <v>5936</v>
      </c>
      <c r="Q1081" s="82">
        <v>25793</v>
      </c>
      <c r="R1081" s="12" t="s">
        <v>25</v>
      </c>
      <c r="S1081" s="12" t="s">
        <v>25</v>
      </c>
      <c r="T1081" s="12" t="s">
        <v>25</v>
      </c>
    </row>
    <row r="1082" spans="1:20" hidden="1" x14ac:dyDescent="0.3">
      <c r="A1082" s="13">
        <v>43936.708333333336</v>
      </c>
      <c r="B1082" s="12" t="s">
        <v>22</v>
      </c>
      <c r="C1082" s="82">
        <v>3</v>
      </c>
      <c r="D1082" s="12" t="s">
        <v>50</v>
      </c>
      <c r="E1082" s="82">
        <v>4546679409</v>
      </c>
      <c r="F1082" s="82">
        <v>9190347404</v>
      </c>
      <c r="G1082" s="82">
        <v>12043</v>
      </c>
      <c r="H1082" s="82">
        <v>1074</v>
      </c>
      <c r="I1082" s="82">
        <v>13117</v>
      </c>
      <c r="J1082" s="82">
        <v>19804</v>
      </c>
      <c r="K1082" s="82">
        <v>32921</v>
      </c>
      <c r="L1082" s="82">
        <v>558</v>
      </c>
      <c r="M1082" s="82">
        <v>827</v>
      </c>
      <c r="N1082" s="82">
        <v>17855</v>
      </c>
      <c r="O1082" s="82">
        <v>11377</v>
      </c>
      <c r="P1082" s="82">
        <v>62153</v>
      </c>
      <c r="Q1082" s="82">
        <v>221968</v>
      </c>
      <c r="R1082" s="12" t="s">
        <v>25</v>
      </c>
      <c r="S1082" s="12" t="s">
        <v>25</v>
      </c>
      <c r="T1082" s="12" t="s">
        <v>25</v>
      </c>
    </row>
    <row r="1083" spans="1:20" hidden="1" x14ac:dyDescent="0.3">
      <c r="A1083" s="13">
        <v>43936.708333333336</v>
      </c>
      <c r="B1083" s="12" t="s">
        <v>22</v>
      </c>
      <c r="C1083" s="82">
        <v>11</v>
      </c>
      <c r="D1083" s="12" t="s">
        <v>51</v>
      </c>
      <c r="E1083" s="82">
        <v>4361675973</v>
      </c>
      <c r="F1083" s="82">
        <v>135188753</v>
      </c>
      <c r="G1083" s="82">
        <v>888</v>
      </c>
      <c r="H1083" s="82">
        <v>106</v>
      </c>
      <c r="I1083" s="82">
        <v>994</v>
      </c>
      <c r="J1083" s="82">
        <v>2103</v>
      </c>
      <c r="K1083" s="82">
        <v>3097</v>
      </c>
      <c r="L1083" s="82">
        <v>2</v>
      </c>
      <c r="M1083" s="82">
        <v>77</v>
      </c>
      <c r="N1083" s="82">
        <v>1660</v>
      </c>
      <c r="O1083" s="82">
        <v>746</v>
      </c>
      <c r="P1083" s="82">
        <v>5503</v>
      </c>
      <c r="Q1083" s="82">
        <v>30329</v>
      </c>
      <c r="R1083" s="12" t="s">
        <v>25</v>
      </c>
      <c r="S1083" s="12" t="s">
        <v>25</v>
      </c>
      <c r="T1083" s="12" t="s">
        <v>25</v>
      </c>
    </row>
    <row r="1084" spans="1:20" hidden="1" x14ac:dyDescent="0.3">
      <c r="A1084" s="13">
        <v>43936.708333333336</v>
      </c>
      <c r="B1084" s="12" t="s">
        <v>22</v>
      </c>
      <c r="C1084" s="82">
        <v>14</v>
      </c>
      <c r="D1084" s="12" t="s">
        <v>52</v>
      </c>
      <c r="E1084" s="82">
        <v>4155774754</v>
      </c>
      <c r="F1084" s="82">
        <v>1465916051</v>
      </c>
      <c r="G1084" s="82">
        <v>27</v>
      </c>
      <c r="H1084" s="82">
        <v>4</v>
      </c>
      <c r="I1084" s="82">
        <v>31</v>
      </c>
      <c r="J1084" s="82">
        <v>175</v>
      </c>
      <c r="K1084" s="82">
        <v>206</v>
      </c>
      <c r="L1084" s="82">
        <v>6</v>
      </c>
      <c r="M1084" s="82">
        <v>6</v>
      </c>
      <c r="N1084" s="82">
        <v>42</v>
      </c>
      <c r="O1084" s="82">
        <v>15</v>
      </c>
      <c r="P1084" s="82">
        <v>263</v>
      </c>
      <c r="Q1084" s="82">
        <v>2855</v>
      </c>
      <c r="R1084" s="12" t="s">
        <v>25</v>
      </c>
      <c r="S1084" s="12" t="s">
        <v>25</v>
      </c>
      <c r="T1084" s="12" t="s">
        <v>25</v>
      </c>
    </row>
    <row r="1085" spans="1:20" hidden="1" x14ac:dyDescent="0.3">
      <c r="A1085" s="13">
        <v>43936.708333333336</v>
      </c>
      <c r="B1085" s="12" t="s">
        <v>22</v>
      </c>
      <c r="C1085" s="82">
        <v>1</v>
      </c>
      <c r="D1085" s="12" t="s">
        <v>53</v>
      </c>
      <c r="E1085" s="82">
        <v>450732745</v>
      </c>
      <c r="F1085" s="82">
        <v>7680687483</v>
      </c>
      <c r="G1085" s="82">
        <v>3338</v>
      </c>
      <c r="H1085" s="82">
        <v>366</v>
      </c>
      <c r="I1085" s="82">
        <v>3704</v>
      </c>
      <c r="J1085" s="82">
        <v>9491</v>
      </c>
      <c r="K1085" s="82">
        <v>13195</v>
      </c>
      <c r="L1085" s="82">
        <v>140</v>
      </c>
      <c r="M1085" s="82">
        <v>539</v>
      </c>
      <c r="N1085" s="82">
        <v>3019</v>
      </c>
      <c r="O1085" s="82">
        <v>2015</v>
      </c>
      <c r="P1085" s="82">
        <v>18229</v>
      </c>
      <c r="Q1085" s="82">
        <v>75664</v>
      </c>
      <c r="R1085" s="12" t="s">
        <v>25</v>
      </c>
      <c r="S1085" s="12" t="s">
        <v>25</v>
      </c>
      <c r="T1085" s="12" t="s">
        <v>25</v>
      </c>
    </row>
    <row r="1086" spans="1:20" hidden="1" x14ac:dyDescent="0.3">
      <c r="A1086" s="13">
        <v>43936.708333333336</v>
      </c>
      <c r="B1086" s="12" t="s">
        <v>22</v>
      </c>
      <c r="C1086" s="82">
        <v>16</v>
      </c>
      <c r="D1086" s="12" t="s">
        <v>54</v>
      </c>
      <c r="E1086" s="82">
        <v>4112559576</v>
      </c>
      <c r="F1086" s="82">
        <v>1686736689</v>
      </c>
      <c r="G1086" s="82">
        <v>592</v>
      </c>
      <c r="H1086" s="82">
        <v>73</v>
      </c>
      <c r="I1086" s="82">
        <v>665</v>
      </c>
      <c r="J1086" s="82">
        <v>1908</v>
      </c>
      <c r="K1086" s="82">
        <v>2573</v>
      </c>
      <c r="L1086" s="82">
        <v>21</v>
      </c>
      <c r="M1086" s="82">
        <v>66</v>
      </c>
      <c r="N1086" s="82">
        <v>323</v>
      </c>
      <c r="O1086" s="82">
        <v>288</v>
      </c>
      <c r="P1086" s="82">
        <v>3184</v>
      </c>
      <c r="Q1086" s="82">
        <v>34518</v>
      </c>
      <c r="R1086" s="12" t="s">
        <v>25</v>
      </c>
      <c r="S1086" s="12" t="s">
        <v>25</v>
      </c>
      <c r="T1086" s="12" t="s">
        <v>25</v>
      </c>
    </row>
    <row r="1087" spans="1:20" hidden="1" x14ac:dyDescent="0.3">
      <c r="A1087" s="13">
        <v>43936.708333333336</v>
      </c>
      <c r="B1087" s="12" t="s">
        <v>22</v>
      </c>
      <c r="C1087" s="82">
        <v>20</v>
      </c>
      <c r="D1087" s="12" t="s">
        <v>55</v>
      </c>
      <c r="E1087" s="82">
        <v>3921531192</v>
      </c>
      <c r="F1087" s="82">
        <v>9110616306</v>
      </c>
      <c r="G1087" s="82">
        <v>107</v>
      </c>
      <c r="H1087" s="82">
        <v>26</v>
      </c>
      <c r="I1087" s="82">
        <v>133</v>
      </c>
      <c r="J1087" s="82">
        <v>737</v>
      </c>
      <c r="K1087" s="82">
        <v>870</v>
      </c>
      <c r="L1087" s="82">
        <v>-30</v>
      </c>
      <c r="M1087" s="82">
        <v>23</v>
      </c>
      <c r="N1087" s="82">
        <v>208</v>
      </c>
      <c r="O1087" s="82">
        <v>83</v>
      </c>
      <c r="P1087" s="82">
        <v>1161</v>
      </c>
      <c r="Q1087" s="82">
        <v>12395</v>
      </c>
      <c r="R1087" s="12" t="s">
        <v>25</v>
      </c>
      <c r="S1087" s="12" t="s">
        <v>25</v>
      </c>
      <c r="T1087" s="12" t="s">
        <v>25</v>
      </c>
    </row>
    <row r="1088" spans="1:20" hidden="1" x14ac:dyDescent="0.3">
      <c r="A1088" s="13">
        <v>43936.708333333336</v>
      </c>
      <c r="B1088" s="12" t="s">
        <v>22</v>
      </c>
      <c r="C1088" s="82">
        <v>19</v>
      </c>
      <c r="D1088" s="12" t="s">
        <v>56</v>
      </c>
      <c r="E1088" s="82">
        <v>3811569725</v>
      </c>
      <c r="F1088" s="82">
        <v>133623567</v>
      </c>
      <c r="G1088" s="82">
        <v>541</v>
      </c>
      <c r="H1088" s="82">
        <v>49</v>
      </c>
      <c r="I1088" s="82">
        <v>590</v>
      </c>
      <c r="J1088" s="82">
        <v>1491</v>
      </c>
      <c r="K1088" s="82">
        <v>2081</v>
      </c>
      <c r="L1088" s="82">
        <v>10</v>
      </c>
      <c r="M1088" s="82">
        <v>34</v>
      </c>
      <c r="N1088" s="82">
        <v>273</v>
      </c>
      <c r="O1088" s="82">
        <v>181</v>
      </c>
      <c r="P1088" s="82">
        <v>2535</v>
      </c>
      <c r="Q1088" s="82">
        <v>39867</v>
      </c>
      <c r="R1088" s="12" t="s">
        <v>25</v>
      </c>
      <c r="S1088" s="12" t="s">
        <v>25</v>
      </c>
      <c r="T1088" s="12" t="s">
        <v>25</v>
      </c>
    </row>
    <row r="1089" spans="1:20" hidden="1" x14ac:dyDescent="0.3">
      <c r="A1089" s="13">
        <v>43936.708333333336</v>
      </c>
      <c r="B1089" s="12" t="s">
        <v>22</v>
      </c>
      <c r="C1089" s="82">
        <v>9</v>
      </c>
      <c r="D1089" s="12" t="s">
        <v>57</v>
      </c>
      <c r="E1089" s="82">
        <v>4376923077</v>
      </c>
      <c r="F1089" s="82">
        <v>1125588885</v>
      </c>
      <c r="G1089" s="82">
        <v>977</v>
      </c>
      <c r="H1089" s="82">
        <v>216</v>
      </c>
      <c r="I1089" s="82">
        <v>1193</v>
      </c>
      <c r="J1089" s="82">
        <v>5224</v>
      </c>
      <c r="K1089" s="82">
        <v>6417</v>
      </c>
      <c r="L1089" s="82">
        <v>65</v>
      </c>
      <c r="M1089" s="82">
        <v>139</v>
      </c>
      <c r="N1089" s="82">
        <v>693</v>
      </c>
      <c r="O1089" s="82">
        <v>556</v>
      </c>
      <c r="P1089" s="82">
        <v>7666</v>
      </c>
      <c r="Q1089" s="82">
        <v>86348</v>
      </c>
      <c r="R1089" s="12" t="s">
        <v>25</v>
      </c>
      <c r="S1089" s="12" t="s">
        <v>25</v>
      </c>
      <c r="T1089" s="12" t="s">
        <v>25</v>
      </c>
    </row>
    <row r="1090" spans="1:20" hidden="1" x14ac:dyDescent="0.3">
      <c r="A1090" s="13">
        <v>43936.708333333336</v>
      </c>
      <c r="B1090" s="12" t="s">
        <v>22</v>
      </c>
      <c r="C1090" s="82">
        <v>22</v>
      </c>
      <c r="D1090" s="12" t="s">
        <v>58</v>
      </c>
      <c r="E1090" s="82">
        <v>4606893511</v>
      </c>
      <c r="F1090" s="82">
        <v>1112123097</v>
      </c>
      <c r="G1090" s="82">
        <v>312</v>
      </c>
      <c r="H1090" s="82">
        <v>48</v>
      </c>
      <c r="I1090" s="82">
        <v>360</v>
      </c>
      <c r="J1090" s="82">
        <v>1744</v>
      </c>
      <c r="K1090" s="82">
        <v>2104</v>
      </c>
      <c r="L1090" s="82">
        <v>22</v>
      </c>
      <c r="M1090" s="82">
        <v>79</v>
      </c>
      <c r="N1090" s="82">
        <v>798</v>
      </c>
      <c r="O1090" s="82">
        <v>318</v>
      </c>
      <c r="P1090" s="82">
        <v>3220</v>
      </c>
      <c r="Q1090" s="82">
        <v>19535</v>
      </c>
      <c r="R1090" s="12" t="s">
        <v>25</v>
      </c>
      <c r="S1090" s="12" t="s">
        <v>25</v>
      </c>
      <c r="T1090" s="12" t="s">
        <v>25</v>
      </c>
    </row>
    <row r="1091" spans="1:20" hidden="1" x14ac:dyDescent="0.3">
      <c r="A1091" s="13">
        <v>43936.708333333336</v>
      </c>
      <c r="B1091" s="12" t="s">
        <v>22</v>
      </c>
      <c r="C1091" s="82">
        <v>10</v>
      </c>
      <c r="D1091" s="12" t="s">
        <v>59</v>
      </c>
      <c r="E1091" s="82">
        <v>4310675841</v>
      </c>
      <c r="F1091" s="82">
        <v>1238824698</v>
      </c>
      <c r="G1091" s="82">
        <v>122</v>
      </c>
      <c r="H1091" s="82">
        <v>37</v>
      </c>
      <c r="I1091" s="82">
        <v>159</v>
      </c>
      <c r="J1091" s="82">
        <v>423</v>
      </c>
      <c r="K1091" s="82">
        <v>582</v>
      </c>
      <c r="L1091" s="82">
        <v>-40</v>
      </c>
      <c r="M1091" s="82">
        <v>1</v>
      </c>
      <c r="N1091" s="82">
        <v>686</v>
      </c>
      <c r="O1091" s="82">
        <v>54</v>
      </c>
      <c r="P1091" s="82">
        <v>1322</v>
      </c>
      <c r="Q1091" s="82">
        <v>20258</v>
      </c>
      <c r="R1091" s="12" t="s">
        <v>25</v>
      </c>
      <c r="S1091" s="12" t="s">
        <v>25</v>
      </c>
      <c r="T1091" s="12" t="s">
        <v>25</v>
      </c>
    </row>
    <row r="1092" spans="1:20" hidden="1" x14ac:dyDescent="0.3">
      <c r="A1092" s="13">
        <v>43936.708333333336</v>
      </c>
      <c r="B1092" s="12" t="s">
        <v>22</v>
      </c>
      <c r="C1092" s="82">
        <v>2</v>
      </c>
      <c r="D1092" s="12" t="s">
        <v>60</v>
      </c>
      <c r="E1092" s="82">
        <v>4573750286</v>
      </c>
      <c r="F1092" s="82">
        <v>7320149366</v>
      </c>
      <c r="G1092" s="82">
        <v>112</v>
      </c>
      <c r="H1092" s="82">
        <v>11</v>
      </c>
      <c r="I1092" s="82">
        <v>123</v>
      </c>
      <c r="J1092" s="82">
        <v>425</v>
      </c>
      <c r="K1092" s="82">
        <v>548</v>
      </c>
      <c r="L1092" s="82">
        <v>-11</v>
      </c>
      <c r="M1092" s="82">
        <v>11</v>
      </c>
      <c r="N1092" s="82">
        <v>289</v>
      </c>
      <c r="O1092" s="82">
        <v>121</v>
      </c>
      <c r="P1092" s="82">
        <v>958</v>
      </c>
      <c r="Q1092" s="82">
        <v>3894</v>
      </c>
      <c r="R1092" s="12" t="s">
        <v>25</v>
      </c>
      <c r="S1092" s="12" t="s">
        <v>25</v>
      </c>
      <c r="T1092" s="12" t="s">
        <v>25</v>
      </c>
    </row>
    <row r="1093" spans="1:20" hidden="1" x14ac:dyDescent="0.3">
      <c r="A1093" s="13">
        <v>43936.708333333336</v>
      </c>
      <c r="B1093" s="12" t="s">
        <v>22</v>
      </c>
      <c r="C1093" s="82">
        <v>5</v>
      </c>
      <c r="D1093" s="12" t="s">
        <v>61</v>
      </c>
      <c r="E1093" s="82">
        <v>4543490485</v>
      </c>
      <c r="F1093" s="82">
        <v>1233845213</v>
      </c>
      <c r="G1093" s="82">
        <v>1402</v>
      </c>
      <c r="H1093" s="82">
        <v>219</v>
      </c>
      <c r="I1093" s="82">
        <v>1621</v>
      </c>
      <c r="J1093" s="82">
        <v>9168</v>
      </c>
      <c r="K1093" s="82">
        <v>10789</v>
      </c>
      <c r="L1093" s="82">
        <v>53</v>
      </c>
      <c r="M1093" s="82">
        <v>192</v>
      </c>
      <c r="N1093" s="82">
        <v>2895</v>
      </c>
      <c r="O1093" s="82">
        <v>940</v>
      </c>
      <c r="P1093" s="82">
        <v>14624</v>
      </c>
      <c r="Q1093" s="82">
        <v>216344</v>
      </c>
      <c r="R1093" s="12" t="s">
        <v>25</v>
      </c>
      <c r="S1093" s="12" t="s">
        <v>25</v>
      </c>
      <c r="T1093" s="12" t="s">
        <v>25</v>
      </c>
    </row>
    <row r="1094" spans="1:20" hidden="1" x14ac:dyDescent="0.3">
      <c r="A1094" s="13">
        <v>43937.708333333336</v>
      </c>
      <c r="B1094" s="12" t="s">
        <v>22</v>
      </c>
      <c r="C1094" s="82">
        <v>13</v>
      </c>
      <c r="D1094" s="12" t="s">
        <v>42</v>
      </c>
      <c r="E1094" s="82">
        <v>4235122196</v>
      </c>
      <c r="F1094" s="82">
        <v>1339843823</v>
      </c>
      <c r="G1094" s="82">
        <v>324</v>
      </c>
      <c r="H1094" s="82">
        <v>42</v>
      </c>
      <c r="I1094" s="82">
        <v>366</v>
      </c>
      <c r="J1094" s="82">
        <v>1484</v>
      </c>
      <c r="K1094" s="82">
        <v>1850</v>
      </c>
      <c r="L1094" s="82">
        <v>40</v>
      </c>
      <c r="M1094" s="82">
        <v>72</v>
      </c>
      <c r="N1094" s="82">
        <v>253</v>
      </c>
      <c r="O1094" s="82">
        <v>243</v>
      </c>
      <c r="P1094" s="82">
        <v>2346</v>
      </c>
      <c r="Q1094" s="82">
        <v>23786</v>
      </c>
      <c r="R1094" s="12" t="s">
        <v>25</v>
      </c>
      <c r="S1094" s="12" t="s">
        <v>25</v>
      </c>
      <c r="T1094" s="12" t="s">
        <v>25</v>
      </c>
    </row>
    <row r="1095" spans="1:20" hidden="1" x14ac:dyDescent="0.3">
      <c r="A1095" s="13">
        <v>43937.708333333336</v>
      </c>
      <c r="B1095" s="12" t="s">
        <v>22</v>
      </c>
      <c r="C1095" s="82">
        <v>17</v>
      </c>
      <c r="D1095" s="12" t="s">
        <v>43</v>
      </c>
      <c r="E1095" s="82">
        <v>4063947052</v>
      </c>
      <c r="F1095" s="82">
        <v>1580514834</v>
      </c>
      <c r="G1095" s="82">
        <v>60</v>
      </c>
      <c r="H1095" s="82">
        <v>9</v>
      </c>
      <c r="I1095" s="82">
        <v>69</v>
      </c>
      <c r="J1095" s="82">
        <v>204</v>
      </c>
      <c r="K1095" s="82">
        <v>273</v>
      </c>
      <c r="L1095" s="82">
        <v>12</v>
      </c>
      <c r="M1095" s="82">
        <v>16</v>
      </c>
      <c r="N1095" s="82">
        <v>41</v>
      </c>
      <c r="O1095" s="82">
        <v>22</v>
      </c>
      <c r="P1095" s="82">
        <v>336</v>
      </c>
      <c r="Q1095" s="82">
        <v>5349</v>
      </c>
      <c r="R1095" s="12" t="s">
        <v>25</v>
      </c>
      <c r="S1095" s="12" t="s">
        <v>25</v>
      </c>
      <c r="T1095" s="12" t="s">
        <v>25</v>
      </c>
    </row>
    <row r="1096" spans="1:20" hidden="1" x14ac:dyDescent="0.3">
      <c r="A1096" s="13">
        <v>43937.708333333336</v>
      </c>
      <c r="B1096" s="12" t="s">
        <v>22</v>
      </c>
      <c r="C1096" s="82">
        <v>21</v>
      </c>
      <c r="D1096" s="12" t="s">
        <v>44</v>
      </c>
      <c r="E1096" s="82">
        <v>4649933453</v>
      </c>
      <c r="F1096" s="82">
        <v>1135662422</v>
      </c>
      <c r="G1096" s="82">
        <v>180</v>
      </c>
      <c r="H1096" s="82">
        <v>34</v>
      </c>
      <c r="I1096" s="82">
        <v>214</v>
      </c>
      <c r="J1096" s="82">
        <v>1379</v>
      </c>
      <c r="K1096" s="82">
        <v>1593</v>
      </c>
      <c r="L1096" s="82">
        <v>17</v>
      </c>
      <c r="M1096" s="82">
        <v>43</v>
      </c>
      <c r="N1096" s="82">
        <v>449</v>
      </c>
      <c r="O1096" s="82">
        <v>225</v>
      </c>
      <c r="P1096" s="82">
        <v>2267</v>
      </c>
      <c r="Q1096" s="82">
        <v>26416</v>
      </c>
      <c r="R1096" s="12" t="s">
        <v>25</v>
      </c>
      <c r="S1096" s="12" t="s">
        <v>25</v>
      </c>
      <c r="T1096" s="12" t="s">
        <v>25</v>
      </c>
    </row>
    <row r="1097" spans="1:20" hidden="1" x14ac:dyDescent="0.3">
      <c r="A1097" s="13">
        <v>43937.708333333336</v>
      </c>
      <c r="B1097" s="12" t="s">
        <v>22</v>
      </c>
      <c r="C1097" s="82">
        <v>18</v>
      </c>
      <c r="D1097" s="12" t="s">
        <v>45</v>
      </c>
      <c r="E1097" s="82">
        <v>3890597598</v>
      </c>
      <c r="F1097" s="82">
        <v>1659440194</v>
      </c>
      <c r="G1097" s="82">
        <v>157</v>
      </c>
      <c r="H1097" s="82">
        <v>9</v>
      </c>
      <c r="I1097" s="82">
        <v>166</v>
      </c>
      <c r="J1097" s="82">
        <v>681</v>
      </c>
      <c r="K1097" s="82">
        <v>847</v>
      </c>
      <c r="L1097" s="82">
        <v>28</v>
      </c>
      <c r="M1097" s="82">
        <v>38</v>
      </c>
      <c r="N1097" s="82">
        <v>90</v>
      </c>
      <c r="O1097" s="82">
        <v>72</v>
      </c>
      <c r="P1097" s="82">
        <v>1009</v>
      </c>
      <c r="Q1097" s="82">
        <v>20642</v>
      </c>
      <c r="R1097" s="12" t="s">
        <v>25</v>
      </c>
      <c r="S1097" s="12" t="s">
        <v>25</v>
      </c>
      <c r="T1097" s="12" t="s">
        <v>25</v>
      </c>
    </row>
    <row r="1098" spans="1:20" hidden="1" x14ac:dyDescent="0.3">
      <c r="A1098" s="13">
        <v>43937.708333333336</v>
      </c>
      <c r="B1098" s="12" t="s">
        <v>22</v>
      </c>
      <c r="C1098" s="82">
        <v>15</v>
      </c>
      <c r="D1098" s="12" t="s">
        <v>46</v>
      </c>
      <c r="E1098" s="82">
        <v>4083956555</v>
      </c>
      <c r="F1098" s="82">
        <v>1425084984</v>
      </c>
      <c r="G1098" s="82">
        <v>618</v>
      </c>
      <c r="H1098" s="82">
        <v>76</v>
      </c>
      <c r="I1098" s="82">
        <v>694</v>
      </c>
      <c r="J1098" s="82">
        <v>2424</v>
      </c>
      <c r="K1098" s="82">
        <v>3118</v>
      </c>
      <c r="L1098" s="82">
        <v>31</v>
      </c>
      <c r="M1098" s="82">
        <v>80</v>
      </c>
      <c r="N1098" s="82">
        <v>483</v>
      </c>
      <c r="O1098" s="82">
        <v>286</v>
      </c>
      <c r="P1098" s="82">
        <v>3887</v>
      </c>
      <c r="Q1098" s="82">
        <v>41296</v>
      </c>
      <c r="R1098" s="12" t="s">
        <v>25</v>
      </c>
      <c r="S1098" s="12" t="s">
        <v>25</v>
      </c>
      <c r="T1098" s="12" t="s">
        <v>25</v>
      </c>
    </row>
    <row r="1099" spans="1:20" hidden="1" x14ac:dyDescent="0.3">
      <c r="A1099" s="13">
        <v>43937.708333333336</v>
      </c>
      <c r="B1099" s="12" t="s">
        <v>22</v>
      </c>
      <c r="C1099" s="82">
        <v>8</v>
      </c>
      <c r="D1099" s="12" t="s">
        <v>95</v>
      </c>
      <c r="E1099" s="82">
        <v>4449436681</v>
      </c>
      <c r="F1099" s="82">
        <v>113417208</v>
      </c>
      <c r="G1099" s="82">
        <v>3360</v>
      </c>
      <c r="H1099" s="82">
        <v>316</v>
      </c>
      <c r="I1099" s="82">
        <v>3676</v>
      </c>
      <c r="J1099" s="82">
        <v>9987</v>
      </c>
      <c r="K1099" s="82">
        <v>13663</v>
      </c>
      <c r="L1099" s="82">
        <v>86</v>
      </c>
      <c r="M1099" s="82">
        <v>457</v>
      </c>
      <c r="N1099" s="82">
        <v>4980</v>
      </c>
      <c r="O1099" s="82">
        <v>2843</v>
      </c>
      <c r="P1099" s="82">
        <v>21486</v>
      </c>
      <c r="Q1099" s="82">
        <v>112105</v>
      </c>
      <c r="R1099" s="12" t="s">
        <v>25</v>
      </c>
      <c r="S1099" s="12" t="s">
        <v>25</v>
      </c>
      <c r="T1099" s="12" t="s">
        <v>25</v>
      </c>
    </row>
    <row r="1100" spans="1:20" hidden="1" x14ac:dyDescent="0.3">
      <c r="A1100" s="13">
        <v>43937.708333333336</v>
      </c>
      <c r="B1100" s="12" t="s">
        <v>22</v>
      </c>
      <c r="C1100" s="82">
        <v>6</v>
      </c>
      <c r="D1100" s="12" t="s">
        <v>47</v>
      </c>
      <c r="E1100" s="82">
        <v>456494354</v>
      </c>
      <c r="F1100" s="82">
        <v>1376813649</v>
      </c>
      <c r="G1100" s="82">
        <v>159</v>
      </c>
      <c r="H1100" s="82">
        <v>26</v>
      </c>
      <c r="I1100" s="82">
        <v>185</v>
      </c>
      <c r="J1100" s="82">
        <v>1145</v>
      </c>
      <c r="K1100" s="82">
        <v>1330</v>
      </c>
      <c r="L1100" s="82">
        <v>-64</v>
      </c>
      <c r="M1100" s="82">
        <v>72</v>
      </c>
      <c r="N1100" s="82">
        <v>1069</v>
      </c>
      <c r="O1100" s="82">
        <v>217</v>
      </c>
      <c r="P1100" s="82">
        <v>2616</v>
      </c>
      <c r="Q1100" s="82">
        <v>35766</v>
      </c>
      <c r="R1100" s="12" t="s">
        <v>25</v>
      </c>
      <c r="S1100" s="12" t="s">
        <v>25</v>
      </c>
      <c r="T1100" s="12" t="s">
        <v>25</v>
      </c>
    </row>
    <row r="1101" spans="1:20" hidden="1" x14ac:dyDescent="0.3">
      <c r="A1101" s="13">
        <v>43937.708333333336</v>
      </c>
      <c r="B1101" s="12" t="s">
        <v>22</v>
      </c>
      <c r="C1101" s="82">
        <v>12</v>
      </c>
      <c r="D1101" s="12" t="s">
        <v>48</v>
      </c>
      <c r="E1101" s="82">
        <v>4189277044</v>
      </c>
      <c r="F1101" s="82">
        <v>1248366722</v>
      </c>
      <c r="G1101" s="82">
        <v>1347</v>
      </c>
      <c r="H1101" s="82">
        <v>197</v>
      </c>
      <c r="I1101" s="82">
        <v>1544</v>
      </c>
      <c r="J1101" s="82">
        <v>2600</v>
      </c>
      <c r="K1101" s="82">
        <v>4144</v>
      </c>
      <c r="L1101" s="82">
        <v>97</v>
      </c>
      <c r="M1101" s="82">
        <v>148</v>
      </c>
      <c r="N1101" s="82">
        <v>920</v>
      </c>
      <c r="O1101" s="82">
        <v>316</v>
      </c>
      <c r="P1101" s="82">
        <v>5380</v>
      </c>
      <c r="Q1101" s="82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82">
        <v>7</v>
      </c>
      <c r="D1102" s="12" t="s">
        <v>49</v>
      </c>
      <c r="E1102" s="82">
        <v>4441149315</v>
      </c>
      <c r="F1102" s="82">
        <v>89326992</v>
      </c>
      <c r="G1102" s="82">
        <v>957</v>
      </c>
      <c r="H1102" s="82">
        <v>103</v>
      </c>
      <c r="I1102" s="82">
        <v>1060</v>
      </c>
      <c r="J1102" s="82">
        <v>2377</v>
      </c>
      <c r="K1102" s="82">
        <v>3437</v>
      </c>
      <c r="L1102" s="82">
        <v>-27</v>
      </c>
      <c r="M1102" s="82">
        <v>103</v>
      </c>
      <c r="N1102" s="82">
        <v>1774</v>
      </c>
      <c r="O1102" s="82">
        <v>828</v>
      </c>
      <c r="P1102" s="82">
        <v>6039</v>
      </c>
      <c r="Q1102" s="82">
        <v>26945</v>
      </c>
      <c r="R1102" s="12" t="s">
        <v>25</v>
      </c>
      <c r="S1102" s="12" t="s">
        <v>25</v>
      </c>
      <c r="T1102" s="12" t="s">
        <v>25</v>
      </c>
    </row>
    <row r="1103" spans="1:20" hidden="1" x14ac:dyDescent="0.3">
      <c r="A1103" s="13">
        <v>43937.708333333336</v>
      </c>
      <c r="B1103" s="12" t="s">
        <v>22</v>
      </c>
      <c r="C1103" s="82">
        <v>3</v>
      </c>
      <c r="D1103" s="12" t="s">
        <v>50</v>
      </c>
      <c r="E1103" s="82">
        <v>4546679409</v>
      </c>
      <c r="F1103" s="82">
        <v>9190347404</v>
      </c>
      <c r="G1103" s="82">
        <v>11356</v>
      </c>
      <c r="H1103" s="82">
        <v>1032</v>
      </c>
      <c r="I1103" s="82">
        <v>12388</v>
      </c>
      <c r="J1103" s="82">
        <v>20702</v>
      </c>
      <c r="K1103" s="82">
        <v>33090</v>
      </c>
      <c r="L1103" s="82">
        <v>169</v>
      </c>
      <c r="M1103" s="82">
        <v>941</v>
      </c>
      <c r="N1103" s="82">
        <v>18396</v>
      </c>
      <c r="O1103" s="82">
        <v>11608</v>
      </c>
      <c r="P1103" s="82">
        <v>63094</v>
      </c>
      <c r="Q1103" s="82">
        <v>232674</v>
      </c>
      <c r="R1103" s="12" t="s">
        <v>25</v>
      </c>
      <c r="S1103" s="12" t="s">
        <v>25</v>
      </c>
      <c r="T1103" s="12" t="s">
        <v>25</v>
      </c>
    </row>
    <row r="1104" spans="1:20" hidden="1" x14ac:dyDescent="0.3">
      <c r="A1104" s="13">
        <v>43937.708333333336</v>
      </c>
      <c r="B1104" s="12" t="s">
        <v>22</v>
      </c>
      <c r="C1104" s="82">
        <v>11</v>
      </c>
      <c r="D1104" s="12" t="s">
        <v>51</v>
      </c>
      <c r="E1104" s="82">
        <v>4361675973</v>
      </c>
      <c r="F1104" s="82">
        <v>135188753</v>
      </c>
      <c r="G1104" s="82">
        <v>850</v>
      </c>
      <c r="H1104" s="82">
        <v>102</v>
      </c>
      <c r="I1104" s="82">
        <v>952</v>
      </c>
      <c r="J1104" s="82">
        <v>2172</v>
      </c>
      <c r="K1104" s="82">
        <v>3124</v>
      </c>
      <c r="L1104" s="82">
        <v>27</v>
      </c>
      <c r="M1104" s="82">
        <v>79</v>
      </c>
      <c r="N1104" s="82">
        <v>1694</v>
      </c>
      <c r="O1104" s="82">
        <v>764</v>
      </c>
      <c r="P1104" s="82">
        <v>5582</v>
      </c>
      <c r="Q1104" s="82">
        <v>33778</v>
      </c>
      <c r="R1104" s="12" t="s">
        <v>25</v>
      </c>
      <c r="S1104" s="12" t="s">
        <v>25</v>
      </c>
      <c r="T1104" s="12" t="s">
        <v>25</v>
      </c>
    </row>
    <row r="1105" spans="1:20" hidden="1" x14ac:dyDescent="0.3">
      <c r="A1105" s="13">
        <v>43937.708333333336</v>
      </c>
      <c r="B1105" s="12" t="s">
        <v>22</v>
      </c>
      <c r="C1105" s="82">
        <v>14</v>
      </c>
      <c r="D1105" s="12" t="s">
        <v>52</v>
      </c>
      <c r="E1105" s="82">
        <v>4155774754</v>
      </c>
      <c r="F1105" s="82">
        <v>1465916051</v>
      </c>
      <c r="G1105" s="82">
        <v>25</v>
      </c>
      <c r="H1105" s="82">
        <v>4</v>
      </c>
      <c r="I1105" s="82">
        <v>29</v>
      </c>
      <c r="J1105" s="82">
        <v>174</v>
      </c>
      <c r="K1105" s="82">
        <v>203</v>
      </c>
      <c r="L1105" s="82">
        <v>-3</v>
      </c>
      <c r="M1105" s="82">
        <v>0</v>
      </c>
      <c r="N1105" s="82">
        <v>44</v>
      </c>
      <c r="O1105" s="82">
        <v>16</v>
      </c>
      <c r="P1105" s="82">
        <v>263</v>
      </c>
      <c r="Q1105" s="82">
        <v>2967</v>
      </c>
      <c r="R1105" s="12" t="s">
        <v>25</v>
      </c>
      <c r="S1105" s="12" t="s">
        <v>25</v>
      </c>
      <c r="T1105" s="12" t="s">
        <v>25</v>
      </c>
    </row>
    <row r="1106" spans="1:20" hidden="1" x14ac:dyDescent="0.3">
      <c r="A1106" s="13">
        <v>43937.708333333336</v>
      </c>
      <c r="B1106" s="12" t="s">
        <v>22</v>
      </c>
      <c r="C1106" s="82">
        <v>1</v>
      </c>
      <c r="D1106" s="12" t="s">
        <v>53</v>
      </c>
      <c r="E1106" s="82">
        <v>450732745</v>
      </c>
      <c r="F1106" s="82">
        <v>7680687483</v>
      </c>
      <c r="G1106" s="82">
        <v>3418</v>
      </c>
      <c r="H1106" s="82">
        <v>346</v>
      </c>
      <c r="I1106" s="82">
        <v>3764</v>
      </c>
      <c r="J1106" s="82">
        <v>10019</v>
      </c>
      <c r="K1106" s="82">
        <v>13783</v>
      </c>
      <c r="L1106" s="82">
        <v>588</v>
      </c>
      <c r="M1106" s="82">
        <v>879</v>
      </c>
      <c r="N1106" s="82">
        <v>3231</v>
      </c>
      <c r="O1106" s="82">
        <v>2094</v>
      </c>
      <c r="P1106" s="82">
        <v>19108</v>
      </c>
      <c r="Q1106" s="82">
        <v>80708</v>
      </c>
      <c r="R1106" s="12" t="s">
        <v>25</v>
      </c>
      <c r="S1106" s="12" t="s">
        <v>25</v>
      </c>
      <c r="T1106" s="12" t="s">
        <v>25</v>
      </c>
    </row>
    <row r="1107" spans="1:20" hidden="1" x14ac:dyDescent="0.3">
      <c r="A1107" s="13">
        <v>43937.708333333336</v>
      </c>
      <c r="B1107" s="12" t="s">
        <v>22</v>
      </c>
      <c r="C1107" s="82">
        <v>16</v>
      </c>
      <c r="D1107" s="12" t="s">
        <v>54</v>
      </c>
      <c r="E1107" s="82">
        <v>4112559576</v>
      </c>
      <c r="F1107" s="82">
        <v>1686736689</v>
      </c>
      <c r="G1107" s="82">
        <v>603</v>
      </c>
      <c r="H1107" s="82">
        <v>58</v>
      </c>
      <c r="I1107" s="82">
        <v>661</v>
      </c>
      <c r="J1107" s="82">
        <v>1964</v>
      </c>
      <c r="K1107" s="82">
        <v>2625</v>
      </c>
      <c r="L1107" s="82">
        <v>52</v>
      </c>
      <c r="M1107" s="82">
        <v>74</v>
      </c>
      <c r="N1107" s="82">
        <v>334</v>
      </c>
      <c r="O1107" s="82">
        <v>299</v>
      </c>
      <c r="P1107" s="82">
        <v>3258</v>
      </c>
      <c r="Q1107" s="82">
        <v>36158</v>
      </c>
      <c r="R1107" s="12" t="s">
        <v>25</v>
      </c>
      <c r="S1107" s="12" t="s">
        <v>25</v>
      </c>
      <c r="T1107" s="12" t="s">
        <v>25</v>
      </c>
    </row>
    <row r="1108" spans="1:20" hidden="1" x14ac:dyDescent="0.3">
      <c r="A1108" s="13">
        <v>43937.708333333336</v>
      </c>
      <c r="B1108" s="12" t="s">
        <v>22</v>
      </c>
      <c r="C1108" s="82">
        <v>20</v>
      </c>
      <c r="D1108" s="12" t="s">
        <v>55</v>
      </c>
      <c r="E1108" s="82">
        <v>3921531192</v>
      </c>
      <c r="F1108" s="82">
        <v>9110616306</v>
      </c>
      <c r="G1108" s="82">
        <v>109</v>
      </c>
      <c r="H1108" s="82">
        <v>24</v>
      </c>
      <c r="I1108" s="82">
        <v>133</v>
      </c>
      <c r="J1108" s="82">
        <v>732</v>
      </c>
      <c r="K1108" s="82">
        <v>865</v>
      </c>
      <c r="L1108" s="82">
        <v>-5</v>
      </c>
      <c r="M1108" s="82">
        <v>3</v>
      </c>
      <c r="N1108" s="82">
        <v>214</v>
      </c>
      <c r="O1108" s="82">
        <v>85</v>
      </c>
      <c r="P1108" s="82">
        <v>1164</v>
      </c>
      <c r="Q1108" s="82">
        <v>12796</v>
      </c>
      <c r="R1108" s="12" t="s">
        <v>25</v>
      </c>
      <c r="S1108" s="12" t="s">
        <v>25</v>
      </c>
      <c r="T1108" s="12" t="s">
        <v>25</v>
      </c>
    </row>
    <row r="1109" spans="1:20" hidden="1" x14ac:dyDescent="0.3">
      <c r="A1109" s="13">
        <v>43937.708333333336</v>
      </c>
      <c r="B1109" s="12" t="s">
        <v>22</v>
      </c>
      <c r="C1109" s="82">
        <v>19</v>
      </c>
      <c r="D1109" s="12" t="s">
        <v>56</v>
      </c>
      <c r="E1109" s="82">
        <v>3811569725</v>
      </c>
      <c r="F1109" s="82">
        <v>133623567</v>
      </c>
      <c r="G1109" s="82">
        <v>525</v>
      </c>
      <c r="H1109" s="82">
        <v>48</v>
      </c>
      <c r="I1109" s="82">
        <v>573</v>
      </c>
      <c r="J1109" s="82">
        <v>1535</v>
      </c>
      <c r="K1109" s="82">
        <v>2108</v>
      </c>
      <c r="L1109" s="82">
        <v>27</v>
      </c>
      <c r="M1109" s="82">
        <v>44</v>
      </c>
      <c r="N1109" s="82">
        <v>284</v>
      </c>
      <c r="O1109" s="82">
        <v>187</v>
      </c>
      <c r="P1109" s="82">
        <v>2579</v>
      </c>
      <c r="Q1109" s="82">
        <v>42405</v>
      </c>
      <c r="R1109" s="12" t="s">
        <v>25</v>
      </c>
      <c r="S1109" s="12" t="s">
        <v>25</v>
      </c>
      <c r="T1109" s="12" t="s">
        <v>25</v>
      </c>
    </row>
    <row r="1110" spans="1:20" hidden="1" x14ac:dyDescent="0.3">
      <c r="A1110" s="13">
        <v>43937.708333333336</v>
      </c>
      <c r="B1110" s="12" t="s">
        <v>22</v>
      </c>
      <c r="C1110" s="82">
        <v>9</v>
      </c>
      <c r="D1110" s="12" t="s">
        <v>57</v>
      </c>
      <c r="E1110" s="82">
        <v>4376923077</v>
      </c>
      <c r="F1110" s="82">
        <v>1125588885</v>
      </c>
      <c r="G1110" s="82">
        <v>940</v>
      </c>
      <c r="H1110" s="82">
        <v>213</v>
      </c>
      <c r="I1110" s="82">
        <v>1153</v>
      </c>
      <c r="J1110" s="82">
        <v>5460</v>
      </c>
      <c r="K1110" s="82">
        <v>6613</v>
      </c>
      <c r="L1110" s="82">
        <v>196</v>
      </c>
      <c r="M1110" s="82">
        <v>277</v>
      </c>
      <c r="N1110" s="82">
        <v>745</v>
      </c>
      <c r="O1110" s="82">
        <v>585</v>
      </c>
      <c r="P1110" s="82">
        <v>7943</v>
      </c>
      <c r="Q1110" s="82">
        <v>91651</v>
      </c>
      <c r="R1110" s="12" t="s">
        <v>25</v>
      </c>
      <c r="S1110" s="12" t="s">
        <v>25</v>
      </c>
      <c r="T1110" s="12" t="s">
        <v>25</v>
      </c>
    </row>
    <row r="1111" spans="1:20" hidden="1" x14ac:dyDescent="0.3">
      <c r="A1111" s="13">
        <v>43937.708333333336</v>
      </c>
      <c r="B1111" s="12" t="s">
        <v>22</v>
      </c>
      <c r="C1111" s="82">
        <v>22</v>
      </c>
      <c r="D1111" s="12" t="s">
        <v>58</v>
      </c>
      <c r="E1111" s="82">
        <v>4606893511</v>
      </c>
      <c r="F1111" s="82">
        <v>1112123097</v>
      </c>
      <c r="G1111" s="82">
        <v>296</v>
      </c>
      <c r="H1111" s="82">
        <v>43</v>
      </c>
      <c r="I1111" s="82">
        <v>339</v>
      </c>
      <c r="J1111" s="82">
        <v>1748</v>
      </c>
      <c r="K1111" s="82">
        <v>2087</v>
      </c>
      <c r="L1111" s="82">
        <v>-17</v>
      </c>
      <c r="M1111" s="82">
        <v>74</v>
      </c>
      <c r="N1111" s="82">
        <v>885</v>
      </c>
      <c r="O1111" s="82">
        <v>322</v>
      </c>
      <c r="P1111" s="82">
        <v>3294</v>
      </c>
      <c r="Q1111" s="82">
        <v>20773</v>
      </c>
      <c r="R1111" s="12" t="s">
        <v>25</v>
      </c>
      <c r="S1111" s="12" t="s">
        <v>25</v>
      </c>
      <c r="T1111" s="12" t="s">
        <v>25</v>
      </c>
    </row>
    <row r="1112" spans="1:20" hidden="1" x14ac:dyDescent="0.3">
      <c r="A1112" s="13">
        <v>43937.708333333336</v>
      </c>
      <c r="B1112" s="12" t="s">
        <v>22</v>
      </c>
      <c r="C1112" s="82">
        <v>10</v>
      </c>
      <c r="D1112" s="12" t="s">
        <v>59</v>
      </c>
      <c r="E1112" s="82">
        <v>4310675841</v>
      </c>
      <c r="F1112" s="82">
        <v>1238824698</v>
      </c>
      <c r="G1112" s="82">
        <v>116</v>
      </c>
      <c r="H1112" s="82">
        <v>33</v>
      </c>
      <c r="I1112" s="82">
        <v>149</v>
      </c>
      <c r="J1112" s="82">
        <v>387</v>
      </c>
      <c r="K1112" s="82">
        <v>536</v>
      </c>
      <c r="L1112" s="82">
        <v>-46</v>
      </c>
      <c r="M1112" s="82">
        <v>7</v>
      </c>
      <c r="N1112" s="82">
        <v>738</v>
      </c>
      <c r="O1112" s="82">
        <v>55</v>
      </c>
      <c r="P1112" s="82">
        <v>1329</v>
      </c>
      <c r="Q1112" s="82">
        <v>21487</v>
      </c>
      <c r="R1112" s="12" t="s">
        <v>25</v>
      </c>
      <c r="S1112" s="12" t="s">
        <v>25</v>
      </c>
      <c r="T1112" s="12" t="s">
        <v>25</v>
      </c>
    </row>
    <row r="1113" spans="1:20" hidden="1" x14ac:dyDescent="0.3">
      <c r="A1113" s="13">
        <v>43937.708333333336</v>
      </c>
      <c r="B1113" s="12" t="s">
        <v>22</v>
      </c>
      <c r="C1113" s="82">
        <v>2</v>
      </c>
      <c r="D1113" s="12" t="s">
        <v>60</v>
      </c>
      <c r="E1113" s="82">
        <v>4573750286</v>
      </c>
      <c r="F1113" s="82">
        <v>7320149366</v>
      </c>
      <c r="G1113" s="82">
        <v>105</v>
      </c>
      <c r="H1113" s="82">
        <v>12</v>
      </c>
      <c r="I1113" s="82">
        <v>117</v>
      </c>
      <c r="J1113" s="82">
        <v>401</v>
      </c>
      <c r="K1113" s="82">
        <v>518</v>
      </c>
      <c r="L1113" s="82">
        <v>-30</v>
      </c>
      <c r="M1113" s="82">
        <v>13</v>
      </c>
      <c r="N1113" s="82">
        <v>331</v>
      </c>
      <c r="O1113" s="82">
        <v>122</v>
      </c>
      <c r="P1113" s="82">
        <v>971</v>
      </c>
      <c r="Q1113" s="82">
        <v>4159</v>
      </c>
      <c r="R1113" s="12" t="s">
        <v>25</v>
      </c>
      <c r="S1113" s="12" t="s">
        <v>25</v>
      </c>
      <c r="T1113" s="12" t="s">
        <v>25</v>
      </c>
    </row>
    <row r="1114" spans="1:20" hidden="1" x14ac:dyDescent="0.3">
      <c r="A1114" s="13">
        <v>43937.708333333336</v>
      </c>
      <c r="B1114" s="12" t="s">
        <v>22</v>
      </c>
      <c r="C1114" s="82">
        <v>5</v>
      </c>
      <c r="D1114" s="12" t="s">
        <v>61</v>
      </c>
      <c r="E1114" s="82">
        <v>4543490485</v>
      </c>
      <c r="F1114" s="82">
        <v>1233845213</v>
      </c>
      <c r="G1114" s="82">
        <v>1388</v>
      </c>
      <c r="H1114" s="82">
        <v>209</v>
      </c>
      <c r="I1114" s="82">
        <v>1597</v>
      </c>
      <c r="J1114" s="82">
        <v>9203</v>
      </c>
      <c r="K1114" s="82">
        <v>10800</v>
      </c>
      <c r="L1114" s="82">
        <v>11</v>
      </c>
      <c r="M1114" s="82">
        <v>366</v>
      </c>
      <c r="N1114" s="82">
        <v>3209</v>
      </c>
      <c r="O1114" s="82">
        <v>981</v>
      </c>
      <c r="P1114" s="82">
        <v>14990</v>
      </c>
      <c r="Q1114" s="82">
        <v>224549</v>
      </c>
      <c r="R1114" s="12" t="s">
        <v>25</v>
      </c>
      <c r="S1114" s="12" t="s">
        <v>25</v>
      </c>
      <c r="T1114" s="12" t="s">
        <v>25</v>
      </c>
    </row>
    <row r="1115" spans="1:20" hidden="1" x14ac:dyDescent="0.3">
      <c r="A1115" s="13">
        <v>43938.708333333336</v>
      </c>
      <c r="B1115" s="12" t="s">
        <v>22</v>
      </c>
      <c r="C1115" s="82">
        <v>13</v>
      </c>
      <c r="D1115" s="12" t="s">
        <v>42</v>
      </c>
      <c r="E1115" s="82">
        <v>4235122196</v>
      </c>
      <c r="F1115" s="82">
        <v>1339843823</v>
      </c>
      <c r="G1115" s="82">
        <v>319</v>
      </c>
      <c r="H1115" s="82">
        <v>43</v>
      </c>
      <c r="I1115" s="82">
        <v>362</v>
      </c>
      <c r="J1115" s="82">
        <v>1580</v>
      </c>
      <c r="K1115" s="82">
        <v>1942</v>
      </c>
      <c r="L1115" s="82">
        <v>92</v>
      </c>
      <c r="M1115" s="82">
        <v>97</v>
      </c>
      <c r="N1115" s="82">
        <v>255</v>
      </c>
      <c r="O1115" s="82">
        <v>246</v>
      </c>
      <c r="P1115" s="82">
        <v>2443</v>
      </c>
      <c r="Q1115" s="82">
        <v>25436</v>
      </c>
      <c r="R1115" s="12" t="s">
        <v>25</v>
      </c>
      <c r="S1115" s="12" t="s">
        <v>25</v>
      </c>
      <c r="T1115" s="12" t="s">
        <v>25</v>
      </c>
    </row>
    <row r="1116" spans="1:20" hidden="1" x14ac:dyDescent="0.3">
      <c r="A1116" s="13">
        <v>43938.708333333336</v>
      </c>
      <c r="B1116" s="12" t="s">
        <v>22</v>
      </c>
      <c r="C1116" s="82">
        <v>17</v>
      </c>
      <c r="D1116" s="12" t="s">
        <v>43</v>
      </c>
      <c r="E1116" s="82">
        <v>4063947052</v>
      </c>
      <c r="F1116" s="82">
        <v>1580514834</v>
      </c>
      <c r="G1116" s="82">
        <v>59</v>
      </c>
      <c r="H1116" s="82">
        <v>9</v>
      </c>
      <c r="I1116" s="82">
        <v>68</v>
      </c>
      <c r="J1116" s="82">
        <v>198</v>
      </c>
      <c r="K1116" s="82">
        <v>266</v>
      </c>
      <c r="L1116" s="82">
        <v>-7</v>
      </c>
      <c r="M1116" s="82">
        <v>1</v>
      </c>
      <c r="N1116" s="82">
        <v>49</v>
      </c>
      <c r="O1116" s="82">
        <v>22</v>
      </c>
      <c r="P1116" s="82">
        <v>337</v>
      </c>
      <c r="Q1116" s="82">
        <v>5710</v>
      </c>
      <c r="R1116" s="12" t="s">
        <v>25</v>
      </c>
      <c r="S1116" s="12" t="s">
        <v>25</v>
      </c>
      <c r="T1116" s="12" t="s">
        <v>25</v>
      </c>
    </row>
    <row r="1117" spans="1:20" hidden="1" x14ac:dyDescent="0.3">
      <c r="A1117" s="13">
        <v>43938.708333333336</v>
      </c>
      <c r="B1117" s="12" t="s">
        <v>22</v>
      </c>
      <c r="C1117" s="82">
        <v>21</v>
      </c>
      <c r="D1117" s="12" t="s">
        <v>44</v>
      </c>
      <c r="E1117" s="82">
        <v>4649933453</v>
      </c>
      <c r="F1117" s="82">
        <v>1135662422</v>
      </c>
      <c r="G1117" s="82">
        <v>181</v>
      </c>
      <c r="H1117" s="82">
        <v>32</v>
      </c>
      <c r="I1117" s="82">
        <v>213</v>
      </c>
      <c r="J1117" s="82">
        <v>1369</v>
      </c>
      <c r="K1117" s="82">
        <v>1582</v>
      </c>
      <c r="L1117" s="82">
        <v>-11</v>
      </c>
      <c r="M1117" s="82">
        <v>29</v>
      </c>
      <c r="N1117" s="82">
        <v>480</v>
      </c>
      <c r="O1117" s="82">
        <v>234</v>
      </c>
      <c r="P1117" s="82">
        <v>2296</v>
      </c>
      <c r="Q1117" s="82">
        <v>27698</v>
      </c>
      <c r="R1117" s="12" t="s">
        <v>25</v>
      </c>
      <c r="S1117" s="12" t="s">
        <v>25</v>
      </c>
      <c r="T1117" s="12" t="s">
        <v>25</v>
      </c>
    </row>
    <row r="1118" spans="1:20" hidden="1" x14ac:dyDescent="0.3">
      <c r="A1118" s="13">
        <v>43938.708333333336</v>
      </c>
      <c r="B1118" s="12" t="s">
        <v>22</v>
      </c>
      <c r="C1118" s="82">
        <v>18</v>
      </c>
      <c r="D1118" s="12" t="s">
        <v>45</v>
      </c>
      <c r="E1118" s="82">
        <v>3890597598</v>
      </c>
      <c r="F1118" s="82">
        <v>1659440194</v>
      </c>
      <c r="G1118" s="82">
        <v>154</v>
      </c>
      <c r="H1118" s="82">
        <v>7</v>
      </c>
      <c r="I1118" s="82">
        <v>161</v>
      </c>
      <c r="J1118" s="82">
        <v>658</v>
      </c>
      <c r="K1118" s="82">
        <v>819</v>
      </c>
      <c r="L1118" s="82">
        <v>-28</v>
      </c>
      <c r="M1118" s="82">
        <v>-18</v>
      </c>
      <c r="N1118" s="82">
        <v>99</v>
      </c>
      <c r="O1118" s="82">
        <v>73</v>
      </c>
      <c r="P1118" s="82">
        <v>991</v>
      </c>
      <c r="Q1118" s="82">
        <v>21657</v>
      </c>
      <c r="R1118" s="12" t="s">
        <v>25</v>
      </c>
      <c r="S1118" s="12" t="s">
        <v>25</v>
      </c>
      <c r="T1118" s="12" t="s">
        <v>25</v>
      </c>
    </row>
    <row r="1119" spans="1:20" hidden="1" x14ac:dyDescent="0.3">
      <c r="A1119" s="13">
        <v>43938.708333333336</v>
      </c>
      <c r="B1119" s="12" t="s">
        <v>22</v>
      </c>
      <c r="C1119" s="82">
        <v>15</v>
      </c>
      <c r="D1119" s="12" t="s">
        <v>46</v>
      </c>
      <c r="E1119" s="82">
        <v>4083956555</v>
      </c>
      <c r="F1119" s="82">
        <v>1425084984</v>
      </c>
      <c r="G1119" s="82">
        <v>622</v>
      </c>
      <c r="H1119" s="82">
        <v>76</v>
      </c>
      <c r="I1119" s="82">
        <v>698</v>
      </c>
      <c r="J1119" s="82">
        <v>2329</v>
      </c>
      <c r="K1119" s="82">
        <v>3027</v>
      </c>
      <c r="L1119" s="82">
        <v>-91</v>
      </c>
      <c r="M1119" s="82">
        <v>64</v>
      </c>
      <c r="N1119" s="82">
        <v>631</v>
      </c>
      <c r="O1119" s="82">
        <v>293</v>
      </c>
      <c r="P1119" s="82">
        <v>3951</v>
      </c>
      <c r="Q1119" s="82">
        <v>43697</v>
      </c>
      <c r="R1119" s="12" t="s">
        <v>25</v>
      </c>
      <c r="S1119" s="12" t="s">
        <v>25</v>
      </c>
      <c r="T1119" s="12" t="s">
        <v>25</v>
      </c>
    </row>
    <row r="1120" spans="1:20" hidden="1" x14ac:dyDescent="0.3">
      <c r="A1120" s="13">
        <v>43938.708333333336</v>
      </c>
      <c r="B1120" s="12" t="s">
        <v>22</v>
      </c>
      <c r="C1120" s="82">
        <v>8</v>
      </c>
      <c r="D1120" s="12" t="s">
        <v>95</v>
      </c>
      <c r="E1120" s="82">
        <v>4449436681</v>
      </c>
      <c r="F1120" s="82">
        <v>113417208</v>
      </c>
      <c r="G1120" s="82">
        <v>3330</v>
      </c>
      <c r="H1120" s="82">
        <v>309</v>
      </c>
      <c r="I1120" s="82">
        <v>3639</v>
      </c>
      <c r="J1120" s="82">
        <v>9946</v>
      </c>
      <c r="K1120" s="82">
        <v>13585</v>
      </c>
      <c r="L1120" s="82">
        <v>-78</v>
      </c>
      <c r="M1120" s="82">
        <v>348</v>
      </c>
      <c r="N1120" s="82">
        <v>5346</v>
      </c>
      <c r="O1120" s="82">
        <v>2903</v>
      </c>
      <c r="P1120" s="82">
        <v>21834</v>
      </c>
      <c r="Q1120" s="82">
        <v>116826</v>
      </c>
      <c r="R1120" s="12" t="s">
        <v>25</v>
      </c>
      <c r="S1120" s="12" t="s">
        <v>25</v>
      </c>
      <c r="T1120" s="12" t="s">
        <v>25</v>
      </c>
    </row>
    <row r="1121" spans="1:20" hidden="1" x14ac:dyDescent="0.3">
      <c r="A1121" s="13">
        <v>43938.708333333336</v>
      </c>
      <c r="B1121" s="12" t="s">
        <v>22</v>
      </c>
      <c r="C1121" s="82">
        <v>6</v>
      </c>
      <c r="D1121" s="12" t="s">
        <v>47</v>
      </c>
      <c r="E1121" s="82">
        <v>456494354</v>
      </c>
      <c r="F1121" s="82">
        <v>1376813649</v>
      </c>
      <c r="G1121" s="82">
        <v>148</v>
      </c>
      <c r="H1121" s="82">
        <v>23</v>
      </c>
      <c r="I1121" s="82">
        <v>171</v>
      </c>
      <c r="J1121" s="82">
        <v>1257</v>
      </c>
      <c r="K1121" s="82">
        <v>1428</v>
      </c>
      <c r="L1121" s="82">
        <v>98</v>
      </c>
      <c r="M1121" s="82">
        <v>59</v>
      </c>
      <c r="N1121" s="82">
        <v>1027</v>
      </c>
      <c r="O1121" s="82">
        <v>220</v>
      </c>
      <c r="P1121" s="82">
        <v>2675</v>
      </c>
      <c r="Q1121" s="82">
        <v>40030</v>
      </c>
      <c r="R1121" s="12" t="s">
        <v>25</v>
      </c>
      <c r="S1121" s="12" t="s">
        <v>25</v>
      </c>
      <c r="T1121" s="12" t="s">
        <v>25</v>
      </c>
    </row>
    <row r="1122" spans="1:20" hidden="1" x14ac:dyDescent="0.3">
      <c r="A1122" s="13">
        <v>43938.708333333336</v>
      </c>
      <c r="B1122" s="12" t="s">
        <v>22</v>
      </c>
      <c r="C1122" s="82">
        <v>12</v>
      </c>
      <c r="D1122" s="12" t="s">
        <v>48</v>
      </c>
      <c r="E1122" s="82">
        <v>4189277044</v>
      </c>
      <c r="F1122" s="82">
        <v>1248366722</v>
      </c>
      <c r="G1122" s="82">
        <v>1332</v>
      </c>
      <c r="H1122" s="82">
        <v>187</v>
      </c>
      <c r="I1122" s="82">
        <v>1519</v>
      </c>
      <c r="J1122" s="82">
        <v>2695</v>
      </c>
      <c r="K1122" s="82">
        <v>4214</v>
      </c>
      <c r="L1122" s="82">
        <v>70</v>
      </c>
      <c r="M1122" s="82">
        <v>144</v>
      </c>
      <c r="N1122" s="82">
        <v>978</v>
      </c>
      <c r="O1122" s="82">
        <v>332</v>
      </c>
      <c r="P1122" s="82">
        <v>5524</v>
      </c>
      <c r="Q1122" s="82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82">
        <v>7</v>
      </c>
      <c r="D1123" s="12" t="s">
        <v>49</v>
      </c>
      <c r="E1123" s="82">
        <v>4441149315</v>
      </c>
      <c r="F1123" s="82">
        <v>89326992</v>
      </c>
      <c r="G1123" s="82">
        <v>897</v>
      </c>
      <c r="H1123" s="82">
        <v>105</v>
      </c>
      <c r="I1123" s="82">
        <v>1002</v>
      </c>
      <c r="J1123" s="82">
        <v>2457</v>
      </c>
      <c r="K1123" s="82">
        <v>3459</v>
      </c>
      <c r="L1123" s="82">
        <v>22</v>
      </c>
      <c r="M1123" s="82">
        <v>149</v>
      </c>
      <c r="N1123" s="82">
        <v>1863</v>
      </c>
      <c r="O1123" s="82">
        <v>866</v>
      </c>
      <c r="P1123" s="82">
        <v>6188</v>
      </c>
      <c r="Q1123" s="82">
        <v>28181</v>
      </c>
      <c r="R1123" s="12" t="s">
        <v>25</v>
      </c>
      <c r="S1123" s="12" t="s">
        <v>25</v>
      </c>
      <c r="T1123" s="12" t="s">
        <v>25</v>
      </c>
    </row>
    <row r="1124" spans="1:20" hidden="1" x14ac:dyDescent="0.3">
      <c r="A1124" s="13">
        <v>43938.708333333336</v>
      </c>
      <c r="B1124" s="12" t="s">
        <v>22</v>
      </c>
      <c r="C1124" s="82">
        <v>3</v>
      </c>
      <c r="D1124" s="12" t="s">
        <v>50</v>
      </c>
      <c r="E1124" s="82">
        <v>4546679409</v>
      </c>
      <c r="F1124" s="82">
        <v>9190347404</v>
      </c>
      <c r="G1124" s="82">
        <v>10627</v>
      </c>
      <c r="H1124" s="82">
        <v>971</v>
      </c>
      <c r="I1124" s="82">
        <v>11598</v>
      </c>
      <c r="J1124" s="82">
        <v>21836</v>
      </c>
      <c r="K1124" s="82">
        <v>33434</v>
      </c>
      <c r="L1124" s="82">
        <v>344</v>
      </c>
      <c r="M1124" s="82">
        <v>1041</v>
      </c>
      <c r="N1124" s="82">
        <v>18850</v>
      </c>
      <c r="O1124" s="82">
        <v>11851</v>
      </c>
      <c r="P1124" s="82">
        <v>64135</v>
      </c>
      <c r="Q1124" s="82">
        <v>243513</v>
      </c>
      <c r="R1124" s="12" t="s">
        <v>25</v>
      </c>
      <c r="S1124" s="12" t="s">
        <v>25</v>
      </c>
      <c r="T1124" s="12" t="s">
        <v>25</v>
      </c>
    </row>
    <row r="1125" spans="1:20" hidden="1" x14ac:dyDescent="0.3">
      <c r="A1125" s="13">
        <v>43938.708333333336</v>
      </c>
      <c r="B1125" s="12" t="s">
        <v>22</v>
      </c>
      <c r="C1125" s="82">
        <v>11</v>
      </c>
      <c r="D1125" s="12" t="s">
        <v>51</v>
      </c>
      <c r="E1125" s="82">
        <v>4361675973</v>
      </c>
      <c r="F1125" s="82">
        <v>135188753</v>
      </c>
      <c r="G1125" s="82">
        <v>839</v>
      </c>
      <c r="H1125" s="82">
        <v>94</v>
      </c>
      <c r="I1125" s="82">
        <v>933</v>
      </c>
      <c r="J1125" s="82">
        <v>2224</v>
      </c>
      <c r="K1125" s="82">
        <v>3157</v>
      </c>
      <c r="L1125" s="82">
        <v>33</v>
      </c>
      <c r="M1125" s="82">
        <v>86</v>
      </c>
      <c r="N1125" s="82">
        <v>1726</v>
      </c>
      <c r="O1125" s="82">
        <v>785</v>
      </c>
      <c r="P1125" s="82">
        <v>5668</v>
      </c>
      <c r="Q1125" s="82">
        <v>37997</v>
      </c>
      <c r="R1125" s="12" t="s">
        <v>25</v>
      </c>
      <c r="S1125" s="12" t="s">
        <v>25</v>
      </c>
      <c r="T1125" s="12" t="s">
        <v>25</v>
      </c>
    </row>
    <row r="1126" spans="1:20" hidden="1" x14ac:dyDescent="0.3">
      <c r="A1126" s="13">
        <v>43938.708333333336</v>
      </c>
      <c r="B1126" s="12" t="s">
        <v>22</v>
      </c>
      <c r="C1126" s="82">
        <v>14</v>
      </c>
      <c r="D1126" s="12" t="s">
        <v>52</v>
      </c>
      <c r="E1126" s="82">
        <v>4155774754</v>
      </c>
      <c r="F1126" s="82">
        <v>1465916051</v>
      </c>
      <c r="G1126" s="82">
        <v>26</v>
      </c>
      <c r="H1126" s="82">
        <v>4</v>
      </c>
      <c r="I1126" s="82">
        <v>30</v>
      </c>
      <c r="J1126" s="82">
        <v>178</v>
      </c>
      <c r="K1126" s="82">
        <v>208</v>
      </c>
      <c r="L1126" s="82">
        <v>5</v>
      </c>
      <c r="M1126" s="82">
        <v>6</v>
      </c>
      <c r="N1126" s="82">
        <v>45</v>
      </c>
      <c r="O1126" s="82">
        <v>16</v>
      </c>
      <c r="P1126" s="82">
        <v>269</v>
      </c>
      <c r="Q1126" s="82">
        <v>3082</v>
      </c>
      <c r="R1126" s="12" t="s">
        <v>25</v>
      </c>
      <c r="S1126" s="12" t="s">
        <v>25</v>
      </c>
      <c r="T1126" s="12" t="s">
        <v>25</v>
      </c>
    </row>
    <row r="1127" spans="1:20" hidden="1" x14ac:dyDescent="0.3">
      <c r="A1127" s="13">
        <v>43938.708333333336</v>
      </c>
      <c r="B1127" s="12" t="s">
        <v>22</v>
      </c>
      <c r="C1127" s="82">
        <v>1</v>
      </c>
      <c r="D1127" s="12" t="s">
        <v>53</v>
      </c>
      <c r="E1127" s="82">
        <v>450732745</v>
      </c>
      <c r="F1127" s="82">
        <v>7680687483</v>
      </c>
      <c r="G1127" s="82">
        <v>3266</v>
      </c>
      <c r="H1127" s="82">
        <v>333</v>
      </c>
      <c r="I1127" s="82">
        <v>3599</v>
      </c>
      <c r="J1127" s="82">
        <v>10399</v>
      </c>
      <c r="K1127" s="82">
        <v>13998</v>
      </c>
      <c r="L1127" s="82">
        <v>215</v>
      </c>
      <c r="M1127" s="82">
        <v>695</v>
      </c>
      <c r="N1127" s="82">
        <v>3634</v>
      </c>
      <c r="O1127" s="82">
        <v>2171</v>
      </c>
      <c r="P1127" s="82">
        <v>19803</v>
      </c>
      <c r="Q1127" s="82">
        <v>86714</v>
      </c>
      <c r="R1127" s="12" t="s">
        <v>25</v>
      </c>
      <c r="S1127" s="12" t="s">
        <v>25</v>
      </c>
      <c r="T1127" s="12" t="s">
        <v>25</v>
      </c>
    </row>
    <row r="1128" spans="1:20" hidden="1" x14ac:dyDescent="0.3">
      <c r="A1128" s="13">
        <v>43938.708333333336</v>
      </c>
      <c r="B1128" s="12" t="s">
        <v>22</v>
      </c>
      <c r="C1128" s="82">
        <v>16</v>
      </c>
      <c r="D1128" s="12" t="s">
        <v>54</v>
      </c>
      <c r="E1128" s="82">
        <v>4112559576</v>
      </c>
      <c r="F1128" s="82">
        <v>1686736689</v>
      </c>
      <c r="G1128" s="82">
        <v>590</v>
      </c>
      <c r="H1128" s="82">
        <v>62</v>
      </c>
      <c r="I1128" s="82">
        <v>652</v>
      </c>
      <c r="J1128" s="82">
        <v>2004</v>
      </c>
      <c r="K1128" s="82">
        <v>2656</v>
      </c>
      <c r="L1128" s="82">
        <v>31</v>
      </c>
      <c r="M1128" s="82">
        <v>69</v>
      </c>
      <c r="N1128" s="82">
        <v>364</v>
      </c>
      <c r="O1128" s="82">
        <v>307</v>
      </c>
      <c r="P1128" s="82">
        <v>3327</v>
      </c>
      <c r="Q1128" s="82">
        <v>38278</v>
      </c>
      <c r="R1128" s="12" t="s">
        <v>25</v>
      </c>
      <c r="S1128" s="12" t="s">
        <v>25</v>
      </c>
      <c r="T1128" s="12" t="s">
        <v>25</v>
      </c>
    </row>
    <row r="1129" spans="1:20" hidden="1" x14ac:dyDescent="0.3">
      <c r="A1129" s="13">
        <v>43938.708333333336</v>
      </c>
      <c r="B1129" s="12" t="s">
        <v>22</v>
      </c>
      <c r="C1129" s="82">
        <v>20</v>
      </c>
      <c r="D1129" s="12" t="s">
        <v>55</v>
      </c>
      <c r="E1129" s="82">
        <v>3921531192</v>
      </c>
      <c r="F1129" s="82">
        <v>9110616306</v>
      </c>
      <c r="G1129" s="82">
        <v>113</v>
      </c>
      <c r="H1129" s="82">
        <v>23</v>
      </c>
      <c r="I1129" s="82">
        <v>136</v>
      </c>
      <c r="J1129" s="82">
        <v>736</v>
      </c>
      <c r="K1129" s="82">
        <v>872</v>
      </c>
      <c r="L1129" s="82">
        <v>7</v>
      </c>
      <c r="M1129" s="82">
        <v>14</v>
      </c>
      <c r="N1129" s="82">
        <v>220</v>
      </c>
      <c r="O1129" s="82">
        <v>86</v>
      </c>
      <c r="P1129" s="82">
        <v>1178</v>
      </c>
      <c r="Q1129" s="82">
        <v>13304</v>
      </c>
      <c r="R1129" s="12" t="s">
        <v>25</v>
      </c>
      <c r="S1129" s="12" t="s">
        <v>25</v>
      </c>
      <c r="T1129" s="12" t="s">
        <v>25</v>
      </c>
    </row>
    <row r="1130" spans="1:20" hidden="1" x14ac:dyDescent="0.3">
      <c r="A1130" s="13">
        <v>43938.708333333336</v>
      </c>
      <c r="B1130" s="12" t="s">
        <v>22</v>
      </c>
      <c r="C1130" s="82">
        <v>19</v>
      </c>
      <c r="D1130" s="12" t="s">
        <v>56</v>
      </c>
      <c r="E1130" s="82">
        <v>3811569725</v>
      </c>
      <c r="F1130" s="82">
        <v>133623567</v>
      </c>
      <c r="G1130" s="82">
        <v>521</v>
      </c>
      <c r="H1130" s="82">
        <v>46</v>
      </c>
      <c r="I1130" s="82">
        <v>567</v>
      </c>
      <c r="J1130" s="82">
        <v>1572</v>
      </c>
      <c r="K1130" s="82">
        <v>2139</v>
      </c>
      <c r="L1130" s="82">
        <v>31</v>
      </c>
      <c r="M1130" s="82">
        <v>46</v>
      </c>
      <c r="N1130" s="82">
        <v>296</v>
      </c>
      <c r="O1130" s="82">
        <v>190</v>
      </c>
      <c r="P1130" s="82">
        <v>2625</v>
      </c>
      <c r="Q1130" s="82">
        <v>45172</v>
      </c>
      <c r="R1130" s="12" t="s">
        <v>25</v>
      </c>
      <c r="S1130" s="12" t="s">
        <v>25</v>
      </c>
      <c r="T1130" s="12" t="s">
        <v>25</v>
      </c>
    </row>
    <row r="1131" spans="1:20" hidden="1" x14ac:dyDescent="0.3">
      <c r="A1131" s="13">
        <v>43938.708333333336</v>
      </c>
      <c r="B1131" s="12" t="s">
        <v>22</v>
      </c>
      <c r="C1131" s="82">
        <v>9</v>
      </c>
      <c r="D1131" s="12" t="s">
        <v>57</v>
      </c>
      <c r="E1131" s="82">
        <v>4376923077</v>
      </c>
      <c r="F1131" s="82">
        <v>1125588885</v>
      </c>
      <c r="G1131" s="82">
        <v>898</v>
      </c>
      <c r="H1131" s="82">
        <v>207</v>
      </c>
      <c r="I1131" s="82">
        <v>1105</v>
      </c>
      <c r="J1131" s="82">
        <v>5478</v>
      </c>
      <c r="K1131" s="82">
        <v>6583</v>
      </c>
      <c r="L1131" s="82">
        <v>-30</v>
      </c>
      <c r="M1131" s="82">
        <v>167</v>
      </c>
      <c r="N1131" s="82">
        <v>925</v>
      </c>
      <c r="O1131" s="82">
        <v>602</v>
      </c>
      <c r="P1131" s="82">
        <v>8110</v>
      </c>
      <c r="Q1131" s="82">
        <v>96231</v>
      </c>
      <c r="R1131" s="12" t="s">
        <v>25</v>
      </c>
      <c r="S1131" s="12" t="s">
        <v>25</v>
      </c>
      <c r="T1131" s="12" t="s">
        <v>25</v>
      </c>
    </row>
    <row r="1132" spans="1:20" hidden="1" x14ac:dyDescent="0.3">
      <c r="A1132" s="13">
        <v>43938.708333333336</v>
      </c>
      <c r="B1132" s="12" t="s">
        <v>22</v>
      </c>
      <c r="C1132" s="82">
        <v>22</v>
      </c>
      <c r="D1132" s="12" t="s">
        <v>58</v>
      </c>
      <c r="E1132" s="82">
        <v>4606893511</v>
      </c>
      <c r="F1132" s="82">
        <v>1112123097</v>
      </c>
      <c r="G1132" s="82">
        <v>286</v>
      </c>
      <c r="H1132" s="82">
        <v>44</v>
      </c>
      <c r="I1132" s="82">
        <v>330</v>
      </c>
      <c r="J1132" s="82">
        <v>1660</v>
      </c>
      <c r="K1132" s="82">
        <v>1990</v>
      </c>
      <c r="L1132" s="82">
        <v>-97</v>
      </c>
      <c r="M1132" s="82">
        <v>82</v>
      </c>
      <c r="N1132" s="82">
        <v>1044</v>
      </c>
      <c r="O1132" s="82">
        <v>342</v>
      </c>
      <c r="P1132" s="82">
        <v>3376</v>
      </c>
      <c r="Q1132" s="82">
        <v>21921</v>
      </c>
      <c r="R1132" s="12" t="s">
        <v>25</v>
      </c>
      <c r="S1132" s="12" t="s">
        <v>25</v>
      </c>
      <c r="T1132" s="12" t="s">
        <v>25</v>
      </c>
    </row>
    <row r="1133" spans="1:20" hidden="1" x14ac:dyDescent="0.3">
      <c r="A1133" s="13">
        <v>43938.708333333336</v>
      </c>
      <c r="B1133" s="12" t="s">
        <v>22</v>
      </c>
      <c r="C1133" s="82">
        <v>10</v>
      </c>
      <c r="D1133" s="12" t="s">
        <v>59</v>
      </c>
      <c r="E1133" s="82">
        <v>4310675841</v>
      </c>
      <c r="F1133" s="82">
        <v>1238824698</v>
      </c>
      <c r="G1133" s="82">
        <v>111</v>
      </c>
      <c r="H1133" s="82">
        <v>31</v>
      </c>
      <c r="I1133" s="82">
        <v>142</v>
      </c>
      <c r="J1133" s="82">
        <v>352</v>
      </c>
      <c r="K1133" s="82">
        <v>494</v>
      </c>
      <c r="L1133" s="82">
        <v>-42</v>
      </c>
      <c r="M1133" s="82">
        <v>8</v>
      </c>
      <c r="N1133" s="82">
        <v>786</v>
      </c>
      <c r="O1133" s="82">
        <v>57</v>
      </c>
      <c r="P1133" s="82">
        <v>1337</v>
      </c>
      <c r="Q1133" s="82">
        <v>22818</v>
      </c>
      <c r="R1133" s="12" t="s">
        <v>25</v>
      </c>
      <c r="S1133" s="12" t="s">
        <v>25</v>
      </c>
      <c r="T1133" s="12" t="s">
        <v>25</v>
      </c>
    </row>
    <row r="1134" spans="1:20" hidden="1" x14ac:dyDescent="0.3">
      <c r="A1134" s="13">
        <v>43938.708333333336</v>
      </c>
      <c r="B1134" s="12" t="s">
        <v>22</v>
      </c>
      <c r="C1134" s="82">
        <v>2</v>
      </c>
      <c r="D1134" s="12" t="s">
        <v>60</v>
      </c>
      <c r="E1134" s="82">
        <v>4573750286</v>
      </c>
      <c r="F1134" s="82">
        <v>7320149366</v>
      </c>
      <c r="G1134" s="82">
        <v>108</v>
      </c>
      <c r="H1134" s="82">
        <v>9</v>
      </c>
      <c r="I1134" s="82">
        <v>117</v>
      </c>
      <c r="J1134" s="82">
        <v>374</v>
      </c>
      <c r="K1134" s="82">
        <v>491</v>
      </c>
      <c r="L1134" s="82">
        <v>-27</v>
      </c>
      <c r="M1134" s="82">
        <v>22</v>
      </c>
      <c r="N1134" s="82">
        <v>379</v>
      </c>
      <c r="O1134" s="82">
        <v>123</v>
      </c>
      <c r="P1134" s="82">
        <v>993</v>
      </c>
      <c r="Q1134" s="82">
        <v>4366</v>
      </c>
      <c r="R1134" s="12" t="s">
        <v>25</v>
      </c>
      <c r="S1134" s="12" t="s">
        <v>25</v>
      </c>
      <c r="T1134" s="12" t="s">
        <v>25</v>
      </c>
    </row>
    <row r="1135" spans="1:20" hidden="1" x14ac:dyDescent="0.3">
      <c r="A1135" s="13">
        <v>43938.708333333336</v>
      </c>
      <c r="B1135" s="12" t="s">
        <v>22</v>
      </c>
      <c r="C1135" s="82">
        <v>5</v>
      </c>
      <c r="D1135" s="12" t="s">
        <v>61</v>
      </c>
      <c r="E1135" s="82">
        <v>4543490485</v>
      </c>
      <c r="F1135" s="82">
        <v>1233845213</v>
      </c>
      <c r="G1135" s="82">
        <v>1359</v>
      </c>
      <c r="H1135" s="82">
        <v>197</v>
      </c>
      <c r="I1135" s="82">
        <v>1556</v>
      </c>
      <c r="J1135" s="82">
        <v>9062</v>
      </c>
      <c r="K1135" s="82">
        <v>10618</v>
      </c>
      <c r="L1135" s="82">
        <v>-182</v>
      </c>
      <c r="M1135" s="82">
        <v>384</v>
      </c>
      <c r="N1135" s="82">
        <v>3730</v>
      </c>
      <c r="O1135" s="82">
        <v>1026</v>
      </c>
      <c r="P1135" s="82">
        <v>15374</v>
      </c>
      <c r="Q1135" s="82">
        <v>236722</v>
      </c>
      <c r="R1135" s="12" t="s">
        <v>25</v>
      </c>
      <c r="S1135" s="12" t="s">
        <v>25</v>
      </c>
      <c r="T1135" s="12" t="s">
        <v>25</v>
      </c>
    </row>
    <row r="1136" spans="1:20" hidden="1" x14ac:dyDescent="0.3">
      <c r="A1136" s="13">
        <v>43939.708333333336</v>
      </c>
      <c r="B1136" s="12" t="s">
        <v>22</v>
      </c>
      <c r="C1136" s="82">
        <v>13</v>
      </c>
      <c r="D1136" s="12" t="s">
        <v>42</v>
      </c>
      <c r="E1136" s="82">
        <v>4235122196</v>
      </c>
      <c r="F1136" s="82">
        <v>1339843823</v>
      </c>
      <c r="G1136" s="82">
        <v>321</v>
      </c>
      <c r="H1136" s="82">
        <v>41</v>
      </c>
      <c r="I1136" s="82">
        <v>362</v>
      </c>
      <c r="J1136" s="82">
        <v>1609</v>
      </c>
      <c r="K1136" s="82">
        <v>1971</v>
      </c>
      <c r="L1136" s="82">
        <v>29</v>
      </c>
      <c r="M1136" s="82">
        <v>44</v>
      </c>
      <c r="N1136" s="82">
        <v>263</v>
      </c>
      <c r="O1136" s="82">
        <v>253</v>
      </c>
      <c r="P1136" s="82">
        <v>2487</v>
      </c>
      <c r="Q1136" s="82">
        <v>27016</v>
      </c>
      <c r="R1136" s="12" t="s">
        <v>25</v>
      </c>
      <c r="S1136" s="12" t="s">
        <v>25</v>
      </c>
      <c r="T1136" s="12" t="s">
        <v>25</v>
      </c>
    </row>
    <row r="1137" spans="1:20" hidden="1" x14ac:dyDescent="0.3">
      <c r="A1137" s="13">
        <v>43939.708333333336</v>
      </c>
      <c r="B1137" s="12" t="s">
        <v>22</v>
      </c>
      <c r="C1137" s="82">
        <v>17</v>
      </c>
      <c r="D1137" s="12" t="s">
        <v>43</v>
      </c>
      <c r="E1137" s="82">
        <v>4063947052</v>
      </c>
      <c r="F1137" s="82">
        <v>1580514834</v>
      </c>
      <c r="G1137" s="82">
        <v>60</v>
      </c>
      <c r="H1137" s="82">
        <v>8</v>
      </c>
      <c r="I1137" s="82">
        <v>68</v>
      </c>
      <c r="J1137" s="82">
        <v>194</v>
      </c>
      <c r="K1137" s="82">
        <v>262</v>
      </c>
      <c r="L1137" s="82">
        <v>-4</v>
      </c>
      <c r="M1137" s="82">
        <v>2</v>
      </c>
      <c r="N1137" s="82">
        <v>54</v>
      </c>
      <c r="O1137" s="82">
        <v>23</v>
      </c>
      <c r="P1137" s="82">
        <v>339</v>
      </c>
      <c r="Q1137" s="82">
        <v>6056</v>
      </c>
      <c r="R1137" s="12" t="s">
        <v>25</v>
      </c>
      <c r="S1137" s="12" t="s">
        <v>25</v>
      </c>
      <c r="T1137" s="12" t="s">
        <v>25</v>
      </c>
    </row>
    <row r="1138" spans="1:20" hidden="1" x14ac:dyDescent="0.3">
      <c r="A1138" s="13">
        <v>43939.708333333336</v>
      </c>
      <c r="B1138" s="12" t="s">
        <v>22</v>
      </c>
      <c r="C1138" s="82">
        <v>21</v>
      </c>
      <c r="D1138" s="12" t="s">
        <v>44</v>
      </c>
      <c r="E1138" s="82">
        <v>4649933453</v>
      </c>
      <c r="F1138" s="82">
        <v>1135662422</v>
      </c>
      <c r="G1138" s="82">
        <v>179</v>
      </c>
      <c r="H1138" s="82">
        <v>28</v>
      </c>
      <c r="I1138" s="82">
        <v>207</v>
      </c>
      <c r="J1138" s="82">
        <v>1349</v>
      </c>
      <c r="K1138" s="82">
        <v>1556</v>
      </c>
      <c r="L1138" s="82">
        <v>-26</v>
      </c>
      <c r="M1138" s="82">
        <v>29</v>
      </c>
      <c r="N1138" s="82">
        <v>530</v>
      </c>
      <c r="O1138" s="82">
        <v>239</v>
      </c>
      <c r="P1138" s="82">
        <v>2325</v>
      </c>
      <c r="Q1138" s="82">
        <v>28888</v>
      </c>
      <c r="R1138" s="12" t="s">
        <v>25</v>
      </c>
      <c r="S1138" s="12" t="s">
        <v>25</v>
      </c>
      <c r="T1138" s="12" t="s">
        <v>25</v>
      </c>
    </row>
    <row r="1139" spans="1:20" hidden="1" x14ac:dyDescent="0.3">
      <c r="A1139" s="13">
        <v>43939.708333333336</v>
      </c>
      <c r="B1139" s="12" t="s">
        <v>22</v>
      </c>
      <c r="C1139" s="82">
        <v>18</v>
      </c>
      <c r="D1139" s="12" t="s">
        <v>45</v>
      </c>
      <c r="E1139" s="82">
        <v>3890597598</v>
      </c>
      <c r="F1139" s="82">
        <v>1659440194</v>
      </c>
      <c r="G1139" s="82">
        <v>152</v>
      </c>
      <c r="H1139" s="82">
        <v>7</v>
      </c>
      <c r="I1139" s="82">
        <v>159</v>
      </c>
      <c r="J1139" s="82">
        <v>673</v>
      </c>
      <c r="K1139" s="82">
        <v>832</v>
      </c>
      <c r="L1139" s="82">
        <v>13</v>
      </c>
      <c r="M1139" s="82">
        <v>20</v>
      </c>
      <c r="N1139" s="82">
        <v>106</v>
      </c>
      <c r="O1139" s="82">
        <v>73</v>
      </c>
      <c r="P1139" s="82">
        <v>1011</v>
      </c>
      <c r="Q1139" s="82">
        <v>22794</v>
      </c>
      <c r="R1139" s="12" t="s">
        <v>25</v>
      </c>
      <c r="S1139" s="12" t="s">
        <v>25</v>
      </c>
      <c r="T1139" s="12" t="s">
        <v>25</v>
      </c>
    </row>
    <row r="1140" spans="1:20" hidden="1" x14ac:dyDescent="0.3">
      <c r="A1140" s="13">
        <v>43939.708333333336</v>
      </c>
      <c r="B1140" s="12" t="s">
        <v>22</v>
      </c>
      <c r="C1140" s="82">
        <v>15</v>
      </c>
      <c r="D1140" s="12" t="s">
        <v>46</v>
      </c>
      <c r="E1140" s="82">
        <v>4083956555</v>
      </c>
      <c r="F1140" s="82">
        <v>1425084984</v>
      </c>
      <c r="G1140" s="82">
        <v>605</v>
      </c>
      <c r="H1140" s="82">
        <v>76</v>
      </c>
      <c r="I1140" s="82">
        <v>681</v>
      </c>
      <c r="J1140" s="82">
        <v>2364</v>
      </c>
      <c r="K1140" s="82">
        <v>3045</v>
      </c>
      <c r="L1140" s="82">
        <v>18</v>
      </c>
      <c r="M1140" s="82">
        <v>37</v>
      </c>
      <c r="N1140" s="82">
        <v>643</v>
      </c>
      <c r="O1140" s="82">
        <v>300</v>
      </c>
      <c r="P1140" s="82">
        <v>3988</v>
      </c>
      <c r="Q1140" s="82">
        <v>46294</v>
      </c>
      <c r="R1140" s="12" t="s">
        <v>25</v>
      </c>
      <c r="S1140" s="12" t="s">
        <v>25</v>
      </c>
      <c r="T1140" s="12" t="s">
        <v>25</v>
      </c>
    </row>
    <row r="1141" spans="1:20" hidden="1" x14ac:dyDescent="0.3">
      <c r="A1141" s="13">
        <v>43939.708333333336</v>
      </c>
      <c r="B1141" s="12" t="s">
        <v>22</v>
      </c>
      <c r="C1141" s="82">
        <v>8</v>
      </c>
      <c r="D1141" s="12" t="s">
        <v>95</v>
      </c>
      <c r="E1141" s="82">
        <v>4449436681</v>
      </c>
      <c r="F1141" s="82">
        <v>113417208</v>
      </c>
      <c r="G1141" s="82">
        <v>3234</v>
      </c>
      <c r="H1141" s="82">
        <v>296</v>
      </c>
      <c r="I1141" s="82">
        <v>3530</v>
      </c>
      <c r="J1141" s="82">
        <v>10054</v>
      </c>
      <c r="K1141" s="82">
        <v>13584</v>
      </c>
      <c r="L1141" s="82">
        <v>-1</v>
      </c>
      <c r="M1141" s="82">
        <v>350</v>
      </c>
      <c r="N1141" s="82">
        <v>5635</v>
      </c>
      <c r="O1141" s="82">
        <v>2965</v>
      </c>
      <c r="P1141" s="82">
        <v>22184</v>
      </c>
      <c r="Q1141" s="82">
        <v>121220</v>
      </c>
      <c r="R1141" s="12" t="s">
        <v>25</v>
      </c>
      <c r="S1141" s="12" t="s">
        <v>25</v>
      </c>
      <c r="T1141" s="12" t="s">
        <v>25</v>
      </c>
    </row>
    <row r="1142" spans="1:20" hidden="1" x14ac:dyDescent="0.3">
      <c r="A1142" s="13">
        <v>43939.708333333336</v>
      </c>
      <c r="B1142" s="12" t="s">
        <v>22</v>
      </c>
      <c r="C1142" s="82">
        <v>6</v>
      </c>
      <c r="D1142" s="12" t="s">
        <v>47</v>
      </c>
      <c r="E1142" s="82">
        <v>456494354</v>
      </c>
      <c r="F1142" s="82">
        <v>1376813649</v>
      </c>
      <c r="G1142" s="82">
        <v>141</v>
      </c>
      <c r="H1142" s="82">
        <v>27</v>
      </c>
      <c r="I1142" s="82">
        <v>168</v>
      </c>
      <c r="J1142" s="82">
        <v>1235</v>
      </c>
      <c r="K1142" s="82">
        <v>1403</v>
      </c>
      <c r="L1142" s="82">
        <v>-25</v>
      </c>
      <c r="M1142" s="82">
        <v>56</v>
      </c>
      <c r="N1142" s="82">
        <v>1106</v>
      </c>
      <c r="O1142" s="82">
        <v>222</v>
      </c>
      <c r="P1142" s="82">
        <v>2731</v>
      </c>
      <c r="Q1142" s="82">
        <v>43293</v>
      </c>
      <c r="R1142" s="12" t="s">
        <v>25</v>
      </c>
      <c r="S1142" s="12" t="s">
        <v>25</v>
      </c>
      <c r="T1142" s="12" t="s">
        <v>25</v>
      </c>
    </row>
    <row r="1143" spans="1:20" hidden="1" x14ac:dyDescent="0.3">
      <c r="A1143" s="13">
        <v>43939.708333333336</v>
      </c>
      <c r="B1143" s="12" t="s">
        <v>22</v>
      </c>
      <c r="C1143" s="82">
        <v>12</v>
      </c>
      <c r="D1143" s="12" t="s">
        <v>48</v>
      </c>
      <c r="E1143" s="82">
        <v>4189277044</v>
      </c>
      <c r="F1143" s="82">
        <v>1248366722</v>
      </c>
      <c r="G1143" s="82">
        <v>1376</v>
      </c>
      <c r="H1143" s="82">
        <v>186</v>
      </c>
      <c r="I1143" s="82">
        <v>1562</v>
      </c>
      <c r="J1143" s="82">
        <v>2720</v>
      </c>
      <c r="K1143" s="82">
        <v>4282</v>
      </c>
      <c r="L1143" s="82">
        <v>68</v>
      </c>
      <c r="M1143" s="82">
        <v>144</v>
      </c>
      <c r="N1143" s="82">
        <v>1046</v>
      </c>
      <c r="O1143" s="82">
        <v>340</v>
      </c>
      <c r="P1143" s="82">
        <v>5668</v>
      </c>
      <c r="Q1143" s="82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82">
        <v>7</v>
      </c>
      <c r="D1144" s="12" t="s">
        <v>49</v>
      </c>
      <c r="E1144" s="82">
        <v>4441149315</v>
      </c>
      <c r="F1144" s="82">
        <v>89326992</v>
      </c>
      <c r="G1144" s="82">
        <v>901</v>
      </c>
      <c r="H1144" s="82">
        <v>105</v>
      </c>
      <c r="I1144" s="82">
        <v>1006</v>
      </c>
      <c r="J1144" s="82">
        <v>2406</v>
      </c>
      <c r="K1144" s="82">
        <v>3412</v>
      </c>
      <c r="L1144" s="82">
        <v>-47</v>
      </c>
      <c r="M1144" s="82">
        <v>113</v>
      </c>
      <c r="N1144" s="82">
        <v>1992</v>
      </c>
      <c r="O1144" s="82">
        <v>897</v>
      </c>
      <c r="P1144" s="82">
        <v>6301</v>
      </c>
      <c r="Q1144" s="82">
        <v>29322</v>
      </c>
      <c r="R1144" s="12" t="s">
        <v>25</v>
      </c>
      <c r="S1144" s="12" t="s">
        <v>25</v>
      </c>
      <c r="T1144" s="12" t="s">
        <v>25</v>
      </c>
    </row>
    <row r="1145" spans="1:20" hidden="1" x14ac:dyDescent="0.3">
      <c r="A1145" s="13">
        <v>43939.708333333336</v>
      </c>
      <c r="B1145" s="12" t="s">
        <v>22</v>
      </c>
      <c r="C1145" s="82">
        <v>3</v>
      </c>
      <c r="D1145" s="12" t="s">
        <v>50</v>
      </c>
      <c r="E1145" s="82">
        <v>4546679409</v>
      </c>
      <c r="F1145" s="82">
        <v>9190347404</v>
      </c>
      <c r="G1145" s="82">
        <v>10042</v>
      </c>
      <c r="H1145" s="82">
        <v>947</v>
      </c>
      <c r="I1145" s="82">
        <v>10989</v>
      </c>
      <c r="J1145" s="82">
        <v>23206</v>
      </c>
      <c r="K1145" s="82">
        <v>34195</v>
      </c>
      <c r="L1145" s="82">
        <v>761</v>
      </c>
      <c r="M1145" s="82">
        <v>1246</v>
      </c>
      <c r="N1145" s="82">
        <v>19136</v>
      </c>
      <c r="O1145" s="82">
        <v>12050</v>
      </c>
      <c r="P1145" s="82">
        <v>65381</v>
      </c>
      <c r="Q1145" s="82">
        <v>255331</v>
      </c>
      <c r="R1145" s="12" t="s">
        <v>25</v>
      </c>
      <c r="S1145" s="12" t="s">
        <v>25</v>
      </c>
      <c r="T1145" s="12" t="s">
        <v>25</v>
      </c>
    </row>
    <row r="1146" spans="1:20" hidden="1" x14ac:dyDescent="0.3">
      <c r="A1146" s="13">
        <v>43939.708333333336</v>
      </c>
      <c r="B1146" s="12" t="s">
        <v>22</v>
      </c>
      <c r="C1146" s="82">
        <v>11</v>
      </c>
      <c r="D1146" s="12" t="s">
        <v>51</v>
      </c>
      <c r="E1146" s="82">
        <v>4361675973</v>
      </c>
      <c r="F1146" s="82">
        <v>135188753</v>
      </c>
      <c r="G1146" s="82">
        <v>804</v>
      </c>
      <c r="H1146" s="82">
        <v>88</v>
      </c>
      <c r="I1146" s="82">
        <v>892</v>
      </c>
      <c r="J1146" s="82">
        <v>2280</v>
      </c>
      <c r="K1146" s="82">
        <v>3172</v>
      </c>
      <c r="L1146" s="82">
        <v>15</v>
      </c>
      <c r="M1146" s="82">
        <v>53</v>
      </c>
      <c r="N1146" s="82">
        <v>1754</v>
      </c>
      <c r="O1146" s="82">
        <v>795</v>
      </c>
      <c r="P1146" s="82">
        <v>5721</v>
      </c>
      <c r="Q1146" s="82">
        <v>39909</v>
      </c>
      <c r="R1146" s="12" t="s">
        <v>25</v>
      </c>
      <c r="S1146" s="12" t="s">
        <v>25</v>
      </c>
      <c r="T1146" s="12" t="s">
        <v>25</v>
      </c>
    </row>
    <row r="1147" spans="1:20" hidden="1" x14ac:dyDescent="0.3">
      <c r="A1147" s="13">
        <v>43939.708333333336</v>
      </c>
      <c r="B1147" s="12" t="s">
        <v>22</v>
      </c>
      <c r="C1147" s="82">
        <v>14</v>
      </c>
      <c r="D1147" s="12" t="s">
        <v>52</v>
      </c>
      <c r="E1147" s="82">
        <v>4155774754</v>
      </c>
      <c r="F1147" s="82">
        <v>1465916051</v>
      </c>
      <c r="G1147" s="82">
        <v>27</v>
      </c>
      <c r="H1147" s="82">
        <v>4</v>
      </c>
      <c r="I1147" s="82">
        <v>31</v>
      </c>
      <c r="J1147" s="82">
        <v>178</v>
      </c>
      <c r="K1147" s="82">
        <v>209</v>
      </c>
      <c r="L1147" s="82">
        <v>1</v>
      </c>
      <c r="M1147" s="82">
        <v>0</v>
      </c>
      <c r="N1147" s="82">
        <v>44</v>
      </c>
      <c r="O1147" s="82">
        <v>16</v>
      </c>
      <c r="P1147" s="82">
        <v>269</v>
      </c>
      <c r="Q1147" s="82">
        <v>3082</v>
      </c>
      <c r="R1147" s="12" t="s">
        <v>25</v>
      </c>
      <c r="S1147" s="12" t="s">
        <v>25</v>
      </c>
      <c r="T1147" s="12" t="s">
        <v>25</v>
      </c>
    </row>
    <row r="1148" spans="1:20" hidden="1" x14ac:dyDescent="0.3">
      <c r="A1148" s="13">
        <v>43939.708333333336</v>
      </c>
      <c r="B1148" s="12" t="s">
        <v>22</v>
      </c>
      <c r="C1148" s="82">
        <v>1</v>
      </c>
      <c r="D1148" s="12" t="s">
        <v>53</v>
      </c>
      <c r="E1148" s="82">
        <v>450732745</v>
      </c>
      <c r="F1148" s="82">
        <v>7680687483</v>
      </c>
      <c r="G1148" s="82">
        <v>3271</v>
      </c>
      <c r="H1148" s="82">
        <v>323</v>
      </c>
      <c r="I1148" s="82">
        <v>3594</v>
      </c>
      <c r="J1148" s="82">
        <v>10629</v>
      </c>
      <c r="K1148" s="82">
        <v>14223</v>
      </c>
      <c r="L1148" s="82">
        <v>225</v>
      </c>
      <c r="M1148" s="82">
        <v>661</v>
      </c>
      <c r="N1148" s="82">
        <v>3989</v>
      </c>
      <c r="O1148" s="82">
        <v>2252</v>
      </c>
      <c r="P1148" s="82">
        <v>20464</v>
      </c>
      <c r="Q1148" s="82">
        <v>91844</v>
      </c>
      <c r="R1148" s="12" t="s">
        <v>25</v>
      </c>
      <c r="S1148" s="12" t="s">
        <v>25</v>
      </c>
      <c r="T1148" s="12" t="s">
        <v>25</v>
      </c>
    </row>
    <row r="1149" spans="1:20" hidden="1" x14ac:dyDescent="0.3">
      <c r="A1149" s="13">
        <v>43939.708333333336</v>
      </c>
      <c r="B1149" s="12" t="s">
        <v>22</v>
      </c>
      <c r="C1149" s="82">
        <v>16</v>
      </c>
      <c r="D1149" s="12" t="s">
        <v>54</v>
      </c>
      <c r="E1149" s="82">
        <v>4112559576</v>
      </c>
      <c r="F1149" s="82">
        <v>1686736689</v>
      </c>
      <c r="G1149" s="82">
        <v>594</v>
      </c>
      <c r="H1149" s="82">
        <v>60</v>
      </c>
      <c r="I1149" s="82">
        <v>654</v>
      </c>
      <c r="J1149" s="82">
        <v>2040</v>
      </c>
      <c r="K1149" s="82">
        <v>2694</v>
      </c>
      <c r="L1149" s="82">
        <v>38</v>
      </c>
      <c r="M1149" s="82">
        <v>82</v>
      </c>
      <c r="N1149" s="82">
        <v>401</v>
      </c>
      <c r="O1149" s="82">
        <v>314</v>
      </c>
      <c r="P1149" s="82">
        <v>3409</v>
      </c>
      <c r="Q1149" s="82">
        <v>40423</v>
      </c>
      <c r="R1149" s="12" t="s">
        <v>25</v>
      </c>
      <c r="S1149" s="12" t="s">
        <v>25</v>
      </c>
      <c r="T1149" s="12" t="s">
        <v>25</v>
      </c>
    </row>
    <row r="1150" spans="1:20" hidden="1" x14ac:dyDescent="0.3">
      <c r="A1150" s="13">
        <v>43939.708333333336</v>
      </c>
      <c r="B1150" s="12" t="s">
        <v>22</v>
      </c>
      <c r="C1150" s="82">
        <v>20</v>
      </c>
      <c r="D1150" s="12" t="s">
        <v>55</v>
      </c>
      <c r="E1150" s="82">
        <v>3921531192</v>
      </c>
      <c r="F1150" s="82">
        <v>9110616306</v>
      </c>
      <c r="G1150" s="82">
        <v>112</v>
      </c>
      <c r="H1150" s="82">
        <v>23</v>
      </c>
      <c r="I1150" s="82">
        <v>135</v>
      </c>
      <c r="J1150" s="82">
        <v>746</v>
      </c>
      <c r="K1150" s="82">
        <v>881</v>
      </c>
      <c r="L1150" s="82">
        <v>9</v>
      </c>
      <c r="M1150" s="82">
        <v>20</v>
      </c>
      <c r="N1150" s="82">
        <v>231</v>
      </c>
      <c r="O1150" s="82">
        <v>86</v>
      </c>
      <c r="P1150" s="82">
        <v>1198</v>
      </c>
      <c r="Q1150" s="82">
        <v>14087</v>
      </c>
      <c r="R1150" s="12" t="s">
        <v>25</v>
      </c>
      <c r="S1150" s="12" t="s">
        <v>25</v>
      </c>
      <c r="T1150" s="12" t="s">
        <v>25</v>
      </c>
    </row>
    <row r="1151" spans="1:20" hidden="1" x14ac:dyDescent="0.3">
      <c r="A1151" s="13">
        <v>43939.708333333336</v>
      </c>
      <c r="B1151" s="12" t="s">
        <v>22</v>
      </c>
      <c r="C1151" s="82">
        <v>19</v>
      </c>
      <c r="D1151" s="12" t="s">
        <v>56</v>
      </c>
      <c r="E1151" s="82">
        <v>3811569725</v>
      </c>
      <c r="F1151" s="82">
        <v>133623567</v>
      </c>
      <c r="G1151" s="82">
        <v>526</v>
      </c>
      <c r="H1151" s="82">
        <v>42</v>
      </c>
      <c r="I1151" s="82">
        <v>568</v>
      </c>
      <c r="J1151" s="82">
        <v>1603</v>
      </c>
      <c r="K1151" s="82">
        <v>2171</v>
      </c>
      <c r="L1151" s="82">
        <v>32</v>
      </c>
      <c r="M1151" s="82">
        <v>47</v>
      </c>
      <c r="N1151" s="82">
        <v>305</v>
      </c>
      <c r="O1151" s="82">
        <v>196</v>
      </c>
      <c r="P1151" s="82">
        <v>2672</v>
      </c>
      <c r="Q1151" s="82">
        <v>47715</v>
      </c>
      <c r="R1151" s="12" t="s">
        <v>25</v>
      </c>
      <c r="S1151" s="12" t="s">
        <v>25</v>
      </c>
      <c r="T1151" s="12" t="s">
        <v>25</v>
      </c>
    </row>
    <row r="1152" spans="1:20" hidden="1" x14ac:dyDescent="0.3">
      <c r="A1152" s="13">
        <v>43939.708333333336</v>
      </c>
      <c r="B1152" s="12" t="s">
        <v>22</v>
      </c>
      <c r="C1152" s="82">
        <v>9</v>
      </c>
      <c r="D1152" s="12" t="s">
        <v>57</v>
      </c>
      <c r="E1152" s="82">
        <v>4376923077</v>
      </c>
      <c r="F1152" s="82">
        <v>1125588885</v>
      </c>
      <c r="G1152" s="82">
        <v>883</v>
      </c>
      <c r="H1152" s="82">
        <v>198</v>
      </c>
      <c r="I1152" s="82">
        <v>1081</v>
      </c>
      <c r="J1152" s="82">
        <v>5389</v>
      </c>
      <c r="K1152" s="82">
        <v>6470</v>
      </c>
      <c r="L1152" s="82">
        <v>-113</v>
      </c>
      <c r="M1152" s="82">
        <v>127</v>
      </c>
      <c r="N1152" s="82">
        <v>1149</v>
      </c>
      <c r="O1152" s="82">
        <v>618</v>
      </c>
      <c r="P1152" s="82">
        <v>8237</v>
      </c>
      <c r="Q1152" s="82">
        <v>99903</v>
      </c>
      <c r="R1152" s="12" t="s">
        <v>25</v>
      </c>
      <c r="S1152" s="12" t="s">
        <v>25</v>
      </c>
      <c r="T1152" s="12" t="s">
        <v>25</v>
      </c>
    </row>
    <row r="1153" spans="1:20" hidden="1" x14ac:dyDescent="0.3">
      <c r="A1153" s="13">
        <v>43939.708333333336</v>
      </c>
      <c r="B1153" s="12" t="s">
        <v>22</v>
      </c>
      <c r="C1153" s="82">
        <v>22</v>
      </c>
      <c r="D1153" s="12" t="s">
        <v>58</v>
      </c>
      <c r="E1153" s="82">
        <v>4606893511</v>
      </c>
      <c r="F1153" s="82">
        <v>1112123097</v>
      </c>
      <c r="G1153" s="82">
        <v>276</v>
      </c>
      <c r="H1153" s="82">
        <v>42</v>
      </c>
      <c r="I1153" s="82">
        <v>318</v>
      </c>
      <c r="J1153" s="82">
        <v>1667</v>
      </c>
      <c r="K1153" s="82">
        <v>1985</v>
      </c>
      <c r="L1153" s="82">
        <v>-5</v>
      </c>
      <c r="M1153" s="82">
        <v>55</v>
      </c>
      <c r="N1153" s="82">
        <v>1098</v>
      </c>
      <c r="O1153" s="82">
        <v>348</v>
      </c>
      <c r="P1153" s="82">
        <v>3431</v>
      </c>
      <c r="Q1153" s="82">
        <v>23147</v>
      </c>
      <c r="R1153" s="12" t="s">
        <v>25</v>
      </c>
      <c r="S1153" s="12" t="s">
        <v>25</v>
      </c>
      <c r="T1153" s="12" t="s">
        <v>25</v>
      </c>
    </row>
    <row r="1154" spans="1:20" hidden="1" x14ac:dyDescent="0.3">
      <c r="A1154" s="13">
        <v>43939.708333333336</v>
      </c>
      <c r="B1154" s="12" t="s">
        <v>22</v>
      </c>
      <c r="C1154" s="82">
        <v>10</v>
      </c>
      <c r="D1154" s="12" t="s">
        <v>59</v>
      </c>
      <c r="E1154" s="82">
        <v>4310675841</v>
      </c>
      <c r="F1154" s="82">
        <v>1238824698</v>
      </c>
      <c r="G1154" s="82">
        <v>109</v>
      </c>
      <c r="H1154" s="82">
        <v>32</v>
      </c>
      <c r="I1154" s="82">
        <v>141</v>
      </c>
      <c r="J1154" s="82">
        <v>290</v>
      </c>
      <c r="K1154" s="82">
        <v>431</v>
      </c>
      <c r="L1154" s="82">
        <v>-63</v>
      </c>
      <c r="M1154" s="82">
        <v>7</v>
      </c>
      <c r="N1154" s="82">
        <v>856</v>
      </c>
      <c r="O1154" s="82">
        <v>57</v>
      </c>
      <c r="P1154" s="82">
        <v>1344</v>
      </c>
      <c r="Q1154" s="82">
        <v>24106</v>
      </c>
      <c r="R1154" s="12" t="s">
        <v>25</v>
      </c>
      <c r="S1154" s="12" t="s">
        <v>25</v>
      </c>
      <c r="T1154" s="12" t="s">
        <v>25</v>
      </c>
    </row>
    <row r="1155" spans="1:20" hidden="1" x14ac:dyDescent="0.3">
      <c r="A1155" s="13">
        <v>43939.708333333336</v>
      </c>
      <c r="B1155" s="12" t="s">
        <v>22</v>
      </c>
      <c r="C1155" s="82">
        <v>2</v>
      </c>
      <c r="D1155" s="12" t="s">
        <v>60</v>
      </c>
      <c r="E1155" s="82">
        <v>4573750286</v>
      </c>
      <c r="F1155" s="82">
        <v>7320149366</v>
      </c>
      <c r="G1155" s="82">
        <v>107</v>
      </c>
      <c r="H1155" s="82">
        <v>10</v>
      </c>
      <c r="I1155" s="82">
        <v>117</v>
      </c>
      <c r="J1155" s="82">
        <v>432</v>
      </c>
      <c r="K1155" s="82">
        <v>549</v>
      </c>
      <c r="L1155" s="82">
        <v>58</v>
      </c>
      <c r="M1155" s="82">
        <v>80</v>
      </c>
      <c r="N1155" s="82">
        <v>400</v>
      </c>
      <c r="O1155" s="82">
        <v>124</v>
      </c>
      <c r="P1155" s="82">
        <v>1073</v>
      </c>
      <c r="Q1155" s="82">
        <v>4521</v>
      </c>
      <c r="R1155" s="12" t="s">
        <v>25</v>
      </c>
      <c r="S1155" s="12" t="s">
        <v>25</v>
      </c>
      <c r="T1155" s="12" t="s">
        <v>25</v>
      </c>
    </row>
    <row r="1156" spans="1:20" hidden="1" x14ac:dyDescent="0.3">
      <c r="A1156" s="13">
        <v>43939.708333333336</v>
      </c>
      <c r="B1156" s="12" t="s">
        <v>22</v>
      </c>
      <c r="C1156" s="82">
        <v>5</v>
      </c>
      <c r="D1156" s="12" t="s">
        <v>61</v>
      </c>
      <c r="E1156" s="82">
        <v>4543490485</v>
      </c>
      <c r="F1156" s="82">
        <v>1233845213</v>
      </c>
      <c r="G1156" s="82">
        <v>1287</v>
      </c>
      <c r="H1156" s="82">
        <v>190</v>
      </c>
      <c r="I1156" s="82">
        <v>1477</v>
      </c>
      <c r="J1156" s="82">
        <v>8967</v>
      </c>
      <c r="K1156" s="82">
        <v>10444</v>
      </c>
      <c r="L1156" s="82">
        <v>-174</v>
      </c>
      <c r="M1156" s="82">
        <v>318</v>
      </c>
      <c r="N1156" s="82">
        <v>4189</v>
      </c>
      <c r="O1156" s="82">
        <v>1059</v>
      </c>
      <c r="P1156" s="82">
        <v>15692</v>
      </c>
      <c r="Q1156" s="82">
        <v>247329</v>
      </c>
      <c r="R1156" s="12" t="s">
        <v>25</v>
      </c>
      <c r="S1156" s="12" t="s">
        <v>25</v>
      </c>
      <c r="T1156" s="12" t="s">
        <v>25</v>
      </c>
    </row>
    <row r="1157" spans="1:20" hidden="1" x14ac:dyDescent="0.3">
      <c r="A1157" s="13">
        <v>43940.708333333336</v>
      </c>
      <c r="B1157" s="12" t="s">
        <v>22</v>
      </c>
      <c r="C1157" s="82">
        <v>13</v>
      </c>
      <c r="D1157" s="12" t="s">
        <v>42</v>
      </c>
      <c r="E1157" s="82">
        <v>4235122196</v>
      </c>
      <c r="F1157" s="82">
        <v>1339843823</v>
      </c>
      <c r="G1157" s="82">
        <v>317</v>
      </c>
      <c r="H1157" s="82">
        <v>40</v>
      </c>
      <c r="I1157" s="82">
        <v>357</v>
      </c>
      <c r="J1157" s="82">
        <v>1630</v>
      </c>
      <c r="K1157" s="82">
        <v>1987</v>
      </c>
      <c r="L1157" s="82">
        <v>16</v>
      </c>
      <c r="M1157" s="82">
        <v>34</v>
      </c>
      <c r="N1157" s="82">
        <v>276</v>
      </c>
      <c r="O1157" s="82">
        <v>258</v>
      </c>
      <c r="P1157" s="82">
        <v>2521</v>
      </c>
      <c r="Q1157" s="82">
        <v>27791</v>
      </c>
      <c r="R1157" s="12" t="s">
        <v>199</v>
      </c>
      <c r="S1157" s="12" t="s">
        <v>25</v>
      </c>
      <c r="T1157" s="12" t="s">
        <v>25</v>
      </c>
    </row>
    <row r="1158" spans="1:20" hidden="1" x14ac:dyDescent="0.3">
      <c r="A1158" s="13">
        <v>43940.708333333336</v>
      </c>
      <c r="B1158" s="12" t="s">
        <v>22</v>
      </c>
      <c r="C1158" s="82">
        <v>17</v>
      </c>
      <c r="D1158" s="12" t="s">
        <v>43</v>
      </c>
      <c r="E1158" s="82">
        <v>4063947052</v>
      </c>
      <c r="F1158" s="82">
        <v>1580514834</v>
      </c>
      <c r="G1158" s="82">
        <v>59</v>
      </c>
      <c r="H1158" s="82">
        <v>8</v>
      </c>
      <c r="I1158" s="82">
        <v>67</v>
      </c>
      <c r="J1158" s="82">
        <v>180</v>
      </c>
      <c r="K1158" s="82">
        <v>247</v>
      </c>
      <c r="L1158" s="82">
        <v>-15</v>
      </c>
      <c r="M1158" s="82">
        <v>3</v>
      </c>
      <c r="N1158" s="82">
        <v>71</v>
      </c>
      <c r="O1158" s="82">
        <v>24</v>
      </c>
      <c r="P1158" s="82">
        <v>342</v>
      </c>
      <c r="Q1158" s="82">
        <v>6528</v>
      </c>
      <c r="R1158" s="12" t="s">
        <v>200</v>
      </c>
      <c r="S1158" s="12" t="s">
        <v>25</v>
      </c>
      <c r="T1158" s="12" t="s">
        <v>25</v>
      </c>
    </row>
    <row r="1159" spans="1:20" hidden="1" x14ac:dyDescent="0.3">
      <c r="A1159" s="13">
        <v>43940.708333333336</v>
      </c>
      <c r="B1159" s="12" t="s">
        <v>22</v>
      </c>
      <c r="C1159" s="82">
        <v>21</v>
      </c>
      <c r="D1159" s="12" t="s">
        <v>44</v>
      </c>
      <c r="E1159" s="82">
        <v>4649933453</v>
      </c>
      <c r="F1159" s="82">
        <v>1135662422</v>
      </c>
      <c r="G1159" s="82">
        <v>162</v>
      </c>
      <c r="H1159" s="82">
        <v>23</v>
      </c>
      <c r="I1159" s="82">
        <v>185</v>
      </c>
      <c r="J1159" s="82">
        <v>1381</v>
      </c>
      <c r="K1159" s="82">
        <v>1566</v>
      </c>
      <c r="L1159" s="82">
        <v>10</v>
      </c>
      <c r="M1159" s="82">
        <v>55</v>
      </c>
      <c r="N1159" s="82">
        <v>569</v>
      </c>
      <c r="O1159" s="82">
        <v>245</v>
      </c>
      <c r="P1159" s="82">
        <v>2380</v>
      </c>
      <c r="Q1159" s="82">
        <v>30361</v>
      </c>
      <c r="R1159" s="12" t="s">
        <v>201</v>
      </c>
      <c r="S1159" s="12" t="s">
        <v>25</v>
      </c>
      <c r="T1159" s="12" t="s">
        <v>25</v>
      </c>
    </row>
    <row r="1160" spans="1:20" hidden="1" x14ac:dyDescent="0.3">
      <c r="A1160" s="13">
        <v>43940.708333333336</v>
      </c>
      <c r="B1160" s="12" t="s">
        <v>22</v>
      </c>
      <c r="C1160" s="82">
        <v>18</v>
      </c>
      <c r="D1160" s="12" t="s">
        <v>45</v>
      </c>
      <c r="E1160" s="82">
        <v>3890597598</v>
      </c>
      <c r="F1160" s="82">
        <v>1659440194</v>
      </c>
      <c r="G1160" s="82">
        <v>142</v>
      </c>
      <c r="H1160" s="82">
        <v>6</v>
      </c>
      <c r="I1160" s="82">
        <v>148</v>
      </c>
      <c r="J1160" s="82">
        <v>696</v>
      </c>
      <c r="K1160" s="82">
        <v>844</v>
      </c>
      <c r="L1160" s="82">
        <v>12</v>
      </c>
      <c r="M1160" s="82">
        <v>24</v>
      </c>
      <c r="N1160" s="82">
        <v>116</v>
      </c>
      <c r="O1160" s="82">
        <v>75</v>
      </c>
      <c r="P1160" s="82">
        <v>1035</v>
      </c>
      <c r="Q1160" s="82">
        <v>23760</v>
      </c>
      <c r="R1160" s="12" t="s">
        <v>202</v>
      </c>
      <c r="S1160" s="12" t="s">
        <v>25</v>
      </c>
      <c r="T1160" s="12" t="s">
        <v>25</v>
      </c>
    </row>
    <row r="1161" spans="1:20" hidden="1" x14ac:dyDescent="0.3">
      <c r="A1161" s="13">
        <v>43940.708333333336</v>
      </c>
      <c r="B1161" s="12" t="s">
        <v>22</v>
      </c>
      <c r="C1161" s="82">
        <v>15</v>
      </c>
      <c r="D1161" s="12" t="s">
        <v>46</v>
      </c>
      <c r="E1161" s="82">
        <v>4083956555</v>
      </c>
      <c r="F1161" s="82">
        <v>1425084984</v>
      </c>
      <c r="G1161" s="82">
        <v>590</v>
      </c>
      <c r="H1161" s="82">
        <v>61</v>
      </c>
      <c r="I1161" s="82">
        <v>651</v>
      </c>
      <c r="J1161" s="82">
        <v>2371</v>
      </c>
      <c r="K1161" s="82">
        <v>3022</v>
      </c>
      <c r="L1161" s="82">
        <v>-23</v>
      </c>
      <c r="M1161" s="82">
        <v>41</v>
      </c>
      <c r="N1161" s="82">
        <v>703</v>
      </c>
      <c r="O1161" s="82">
        <v>304</v>
      </c>
      <c r="P1161" s="82">
        <v>4029</v>
      </c>
      <c r="Q1161" s="82">
        <v>48187</v>
      </c>
      <c r="R1161" s="12" t="s">
        <v>203</v>
      </c>
      <c r="S1161" s="12" t="s">
        <v>25</v>
      </c>
      <c r="T1161" s="12" t="s">
        <v>25</v>
      </c>
    </row>
    <row r="1162" spans="1:20" hidden="1" x14ac:dyDescent="0.3">
      <c r="A1162" s="13">
        <v>43940.708333333336</v>
      </c>
      <c r="B1162" s="12" t="s">
        <v>22</v>
      </c>
      <c r="C1162" s="82">
        <v>8</v>
      </c>
      <c r="D1162" s="12" t="s">
        <v>95</v>
      </c>
      <c r="E1162" s="82">
        <v>4449436681</v>
      </c>
      <c r="F1162" s="82">
        <v>113417208</v>
      </c>
      <c r="G1162" s="82">
        <v>3166</v>
      </c>
      <c r="H1162" s="82">
        <v>289</v>
      </c>
      <c r="I1162" s="82">
        <v>3455</v>
      </c>
      <c r="J1162" s="82">
        <v>10097</v>
      </c>
      <c r="K1162" s="82">
        <v>13552</v>
      </c>
      <c r="L1162" s="82">
        <v>-32</v>
      </c>
      <c r="M1162" s="82">
        <v>376</v>
      </c>
      <c r="N1162" s="82">
        <v>5985</v>
      </c>
      <c r="O1162" s="82">
        <v>3023</v>
      </c>
      <c r="P1162" s="82">
        <v>22560</v>
      </c>
      <c r="Q1162" s="82">
        <v>124916</v>
      </c>
      <c r="R1162" s="12" t="s">
        <v>204</v>
      </c>
      <c r="S1162" s="12" t="s">
        <v>25</v>
      </c>
      <c r="T1162" s="12" t="s">
        <v>25</v>
      </c>
    </row>
    <row r="1163" spans="1:20" hidden="1" x14ac:dyDescent="0.3">
      <c r="A1163" s="13">
        <v>43940.708333333336</v>
      </c>
      <c r="B1163" s="12" t="s">
        <v>22</v>
      </c>
      <c r="C1163" s="82">
        <v>6</v>
      </c>
      <c r="D1163" s="12" t="s">
        <v>47</v>
      </c>
      <c r="E1163" s="82">
        <v>456494354</v>
      </c>
      <c r="F1163" s="82">
        <v>1376813649</v>
      </c>
      <c r="G1163" s="82">
        <v>140</v>
      </c>
      <c r="H1163" s="82">
        <v>25</v>
      </c>
      <c r="I1163" s="82">
        <v>165</v>
      </c>
      <c r="J1163" s="82">
        <v>1172</v>
      </c>
      <c r="K1163" s="82">
        <v>1337</v>
      </c>
      <c r="L1163" s="82">
        <v>-66</v>
      </c>
      <c r="M1163" s="82">
        <v>14</v>
      </c>
      <c r="N1163" s="82">
        <v>1183</v>
      </c>
      <c r="O1163" s="82">
        <v>225</v>
      </c>
      <c r="P1163" s="82">
        <v>2745</v>
      </c>
      <c r="Q1163" s="82">
        <v>44622</v>
      </c>
      <c r="R1163" s="12" t="s">
        <v>205</v>
      </c>
      <c r="S1163" s="12" t="s">
        <v>25</v>
      </c>
      <c r="T1163" s="12" t="s">
        <v>25</v>
      </c>
    </row>
    <row r="1164" spans="1:20" hidden="1" x14ac:dyDescent="0.3">
      <c r="A1164" s="13">
        <v>43940.708333333336</v>
      </c>
      <c r="B1164" s="12" t="s">
        <v>22</v>
      </c>
      <c r="C1164" s="82">
        <v>12</v>
      </c>
      <c r="D1164" s="12" t="s">
        <v>48</v>
      </c>
      <c r="E1164" s="82">
        <v>4189277044</v>
      </c>
      <c r="F1164" s="82">
        <v>1248366722</v>
      </c>
      <c r="G1164" s="82">
        <v>1370</v>
      </c>
      <c r="H1164" s="82">
        <v>185</v>
      </c>
      <c r="I1164" s="82">
        <v>1555</v>
      </c>
      <c r="J1164" s="82">
        <v>2766</v>
      </c>
      <c r="K1164" s="82">
        <v>4321</v>
      </c>
      <c r="L1164" s="82">
        <v>39</v>
      </c>
      <c r="M1164" s="82">
        <v>87</v>
      </c>
      <c r="N1164" s="82">
        <v>1093</v>
      </c>
      <c r="O1164" s="82">
        <v>341</v>
      </c>
      <c r="P1164" s="82">
        <v>5755</v>
      </c>
      <c r="Q1164" s="82">
        <v>91807</v>
      </c>
      <c r="R1164" s="12" t="s">
        <v>206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82">
        <v>7</v>
      </c>
      <c r="D1165" s="12" t="s">
        <v>49</v>
      </c>
      <c r="E1165" s="82">
        <v>4441149315</v>
      </c>
      <c r="F1165" s="82">
        <v>89326992</v>
      </c>
      <c r="G1165" s="82">
        <v>885</v>
      </c>
      <c r="H1165" s="82">
        <v>101</v>
      </c>
      <c r="I1165" s="82">
        <v>986</v>
      </c>
      <c r="J1165" s="82">
        <v>2504</v>
      </c>
      <c r="K1165" s="82">
        <v>3490</v>
      </c>
      <c r="L1165" s="82">
        <v>78</v>
      </c>
      <c r="M1165" s="82">
        <v>227</v>
      </c>
      <c r="N1165" s="82">
        <v>2110</v>
      </c>
      <c r="O1165" s="82">
        <v>928</v>
      </c>
      <c r="P1165" s="82">
        <v>6528</v>
      </c>
      <c r="Q1165" s="82">
        <v>31551</v>
      </c>
      <c r="R1165" s="12" t="s">
        <v>207</v>
      </c>
      <c r="S1165" s="12" t="s">
        <v>25</v>
      </c>
      <c r="T1165" s="12" t="s">
        <v>25</v>
      </c>
    </row>
    <row r="1166" spans="1:20" hidden="1" x14ac:dyDescent="0.3">
      <c r="A1166" s="13">
        <v>43940.708333333336</v>
      </c>
      <c r="B1166" s="12" t="s">
        <v>22</v>
      </c>
      <c r="C1166" s="82">
        <v>3</v>
      </c>
      <c r="D1166" s="12" t="s">
        <v>50</v>
      </c>
      <c r="E1166" s="82">
        <v>4546679409</v>
      </c>
      <c r="F1166" s="82">
        <v>9190347404</v>
      </c>
      <c r="G1166" s="82">
        <v>10342</v>
      </c>
      <c r="H1166" s="82">
        <v>922</v>
      </c>
      <c r="I1166" s="82">
        <v>11264</v>
      </c>
      <c r="J1166" s="82">
        <v>23233</v>
      </c>
      <c r="K1166" s="82">
        <v>34497</v>
      </c>
      <c r="L1166" s="82">
        <v>302</v>
      </c>
      <c r="M1166" s="82">
        <v>855</v>
      </c>
      <c r="N1166" s="82">
        <v>19526</v>
      </c>
      <c r="O1166" s="82">
        <v>12213</v>
      </c>
      <c r="P1166" s="82">
        <v>66236</v>
      </c>
      <c r="Q1166" s="82">
        <v>264155</v>
      </c>
      <c r="R1166" s="12" t="s">
        <v>208</v>
      </c>
      <c r="S1166" s="12" t="s">
        <v>25</v>
      </c>
      <c r="T1166" s="12" t="s">
        <v>25</v>
      </c>
    </row>
    <row r="1167" spans="1:20" hidden="1" x14ac:dyDescent="0.3">
      <c r="A1167" s="13">
        <v>43940.708333333336</v>
      </c>
      <c r="B1167" s="12" t="s">
        <v>22</v>
      </c>
      <c r="C1167" s="82">
        <v>11</v>
      </c>
      <c r="D1167" s="12" t="s">
        <v>51</v>
      </c>
      <c r="E1167" s="82">
        <v>4361675973</v>
      </c>
      <c r="F1167" s="82">
        <v>135188753</v>
      </c>
      <c r="G1167" s="82">
        <v>799</v>
      </c>
      <c r="H1167" s="82">
        <v>86</v>
      </c>
      <c r="I1167" s="82">
        <v>885</v>
      </c>
      <c r="J1167" s="82">
        <v>2297</v>
      </c>
      <c r="K1167" s="82">
        <v>3182</v>
      </c>
      <c r="L1167" s="82">
        <v>10</v>
      </c>
      <c r="M1167" s="82">
        <v>48</v>
      </c>
      <c r="N1167" s="82">
        <v>1780</v>
      </c>
      <c r="O1167" s="82">
        <v>807</v>
      </c>
      <c r="P1167" s="82">
        <v>5769</v>
      </c>
      <c r="Q1167" s="82">
        <v>41474</v>
      </c>
      <c r="R1167" s="12" t="s">
        <v>209</v>
      </c>
      <c r="S1167" s="12" t="s">
        <v>25</v>
      </c>
      <c r="T1167" s="12" t="s">
        <v>25</v>
      </c>
    </row>
    <row r="1168" spans="1:20" hidden="1" x14ac:dyDescent="0.3">
      <c r="A1168" s="13">
        <v>43940.708333333336</v>
      </c>
      <c r="B1168" s="12" t="s">
        <v>22</v>
      </c>
      <c r="C1168" s="82">
        <v>14</v>
      </c>
      <c r="D1168" s="12" t="s">
        <v>52</v>
      </c>
      <c r="E1168" s="82">
        <v>4155774754</v>
      </c>
      <c r="F1168" s="82">
        <v>1465916051</v>
      </c>
      <c r="G1168" s="82">
        <v>27</v>
      </c>
      <c r="H1168" s="82">
        <v>4</v>
      </c>
      <c r="I1168" s="82">
        <v>31</v>
      </c>
      <c r="J1168" s="82">
        <v>184</v>
      </c>
      <c r="K1168" s="82">
        <v>215</v>
      </c>
      <c r="L1168" s="82">
        <v>6</v>
      </c>
      <c r="M1168" s="82">
        <v>10</v>
      </c>
      <c r="N1168" s="82">
        <v>47</v>
      </c>
      <c r="O1168" s="82">
        <v>17</v>
      </c>
      <c r="P1168" s="82">
        <v>279</v>
      </c>
      <c r="Q1168" s="82">
        <v>3584</v>
      </c>
      <c r="R1168" s="12" t="s">
        <v>210</v>
      </c>
      <c r="S1168" s="12" t="s">
        <v>25</v>
      </c>
      <c r="T1168" s="12" t="s">
        <v>25</v>
      </c>
    </row>
    <row r="1169" spans="1:20" hidden="1" x14ac:dyDescent="0.3">
      <c r="A1169" s="13">
        <v>43940.708333333336</v>
      </c>
      <c r="B1169" s="12" t="s">
        <v>22</v>
      </c>
      <c r="C1169" s="82">
        <v>1</v>
      </c>
      <c r="D1169" s="12" t="s">
        <v>53</v>
      </c>
      <c r="E1169" s="82">
        <v>450732745</v>
      </c>
      <c r="F1169" s="82">
        <v>7680687483</v>
      </c>
      <c r="G1169" s="82">
        <v>3201</v>
      </c>
      <c r="H1169" s="82">
        <v>305</v>
      </c>
      <c r="I1169" s="82">
        <v>3506</v>
      </c>
      <c r="J1169" s="82">
        <v>10964</v>
      </c>
      <c r="K1169" s="82">
        <v>14470</v>
      </c>
      <c r="L1169" s="82">
        <v>247</v>
      </c>
      <c r="M1169" s="82">
        <v>593</v>
      </c>
      <c r="N1169" s="82">
        <v>4256</v>
      </c>
      <c r="O1169" s="82">
        <v>2331</v>
      </c>
      <c r="P1169" s="82">
        <v>21057</v>
      </c>
      <c r="Q1169" s="82">
        <v>96569</v>
      </c>
      <c r="R1169" s="12" t="s">
        <v>211</v>
      </c>
      <c r="S1169" s="12" t="s">
        <v>25</v>
      </c>
      <c r="T1169" s="12" t="s">
        <v>25</v>
      </c>
    </row>
    <row r="1170" spans="1:20" hidden="1" x14ac:dyDescent="0.3">
      <c r="A1170" s="13">
        <v>43940.708333333336</v>
      </c>
      <c r="B1170" s="12" t="s">
        <v>22</v>
      </c>
      <c r="C1170" s="82">
        <v>16</v>
      </c>
      <c r="D1170" s="12" t="s">
        <v>54</v>
      </c>
      <c r="E1170" s="82">
        <v>4112559576</v>
      </c>
      <c r="F1170" s="82">
        <v>1686736689</v>
      </c>
      <c r="G1170" s="82">
        <v>590</v>
      </c>
      <c r="H1170" s="82">
        <v>60</v>
      </c>
      <c r="I1170" s="82">
        <v>650</v>
      </c>
      <c r="J1170" s="82">
        <v>2136</v>
      </c>
      <c r="K1170" s="82">
        <v>2786</v>
      </c>
      <c r="L1170" s="82">
        <v>92</v>
      </c>
      <c r="M1170" s="82">
        <v>120</v>
      </c>
      <c r="N1170" s="82">
        <v>427</v>
      </c>
      <c r="O1170" s="82">
        <v>316</v>
      </c>
      <c r="P1170" s="82">
        <v>3529</v>
      </c>
      <c r="Q1170" s="82">
        <v>42598</v>
      </c>
      <c r="R1170" s="12" t="s">
        <v>212</v>
      </c>
      <c r="S1170" s="12" t="s">
        <v>25</v>
      </c>
      <c r="T1170" s="12" t="s">
        <v>25</v>
      </c>
    </row>
    <row r="1171" spans="1:20" hidden="1" x14ac:dyDescent="0.3">
      <c r="A1171" s="13">
        <v>43940.708333333336</v>
      </c>
      <c r="B1171" s="12" t="s">
        <v>22</v>
      </c>
      <c r="C1171" s="82">
        <v>20</v>
      </c>
      <c r="D1171" s="12" t="s">
        <v>55</v>
      </c>
      <c r="E1171" s="82">
        <v>3921531192</v>
      </c>
      <c r="F1171" s="82">
        <v>9110616306</v>
      </c>
      <c r="G1171" s="82">
        <v>117</v>
      </c>
      <c r="H1171" s="82">
        <v>22</v>
      </c>
      <c r="I1171" s="82">
        <v>139</v>
      </c>
      <c r="J1171" s="82">
        <v>725</v>
      </c>
      <c r="K1171" s="82">
        <v>864</v>
      </c>
      <c r="L1171" s="82">
        <v>-17</v>
      </c>
      <c r="M1171" s="82">
        <v>17</v>
      </c>
      <c r="N1171" s="82">
        <v>265</v>
      </c>
      <c r="O1171" s="82">
        <v>86</v>
      </c>
      <c r="P1171" s="82">
        <v>1215</v>
      </c>
      <c r="Q1171" s="82">
        <v>14859</v>
      </c>
      <c r="R1171" s="12" t="s">
        <v>213</v>
      </c>
      <c r="S1171" s="12" t="s">
        <v>25</v>
      </c>
      <c r="T1171" s="12" t="s">
        <v>25</v>
      </c>
    </row>
    <row r="1172" spans="1:20" hidden="1" x14ac:dyDescent="0.3">
      <c r="A1172" s="13">
        <v>43940.708333333336</v>
      </c>
      <c r="B1172" s="12" t="s">
        <v>22</v>
      </c>
      <c r="C1172" s="82">
        <v>19</v>
      </c>
      <c r="D1172" s="12" t="s">
        <v>56</v>
      </c>
      <c r="E1172" s="82">
        <v>3811569725</v>
      </c>
      <c r="F1172" s="82">
        <v>133623567</v>
      </c>
      <c r="G1172" s="82">
        <v>522</v>
      </c>
      <c r="H1172" s="82">
        <v>41</v>
      </c>
      <c r="I1172" s="82">
        <v>563</v>
      </c>
      <c r="J1172" s="82">
        <v>1639</v>
      </c>
      <c r="K1172" s="82">
        <v>2202</v>
      </c>
      <c r="L1172" s="82">
        <v>31</v>
      </c>
      <c r="M1172" s="82">
        <v>45</v>
      </c>
      <c r="N1172" s="82">
        <v>315</v>
      </c>
      <c r="O1172" s="82">
        <v>200</v>
      </c>
      <c r="P1172" s="82">
        <v>2717</v>
      </c>
      <c r="Q1172" s="82">
        <v>49772</v>
      </c>
      <c r="R1172" s="12" t="s">
        <v>214</v>
      </c>
      <c r="S1172" s="12" t="s">
        <v>25</v>
      </c>
      <c r="T1172" s="12" t="s">
        <v>25</v>
      </c>
    </row>
    <row r="1173" spans="1:20" hidden="1" x14ac:dyDescent="0.3">
      <c r="A1173" s="13">
        <v>43940.708333333336</v>
      </c>
      <c r="B1173" s="12" t="s">
        <v>22</v>
      </c>
      <c r="C1173" s="82">
        <v>9</v>
      </c>
      <c r="D1173" s="12" t="s">
        <v>57</v>
      </c>
      <c r="E1173" s="82">
        <v>4376923077</v>
      </c>
      <c r="F1173" s="82">
        <v>1125588885</v>
      </c>
      <c r="G1173" s="82">
        <v>852</v>
      </c>
      <c r="H1173" s="82">
        <v>192</v>
      </c>
      <c r="I1173" s="82">
        <v>1044</v>
      </c>
      <c r="J1173" s="82">
        <v>5452</v>
      </c>
      <c r="K1173" s="82">
        <v>6496</v>
      </c>
      <c r="L1173" s="82">
        <v>26</v>
      </c>
      <c r="M1173" s="82">
        <v>135</v>
      </c>
      <c r="N1173" s="82">
        <v>1239</v>
      </c>
      <c r="O1173" s="82">
        <v>637</v>
      </c>
      <c r="P1173" s="82">
        <v>8372</v>
      </c>
      <c r="Q1173" s="82">
        <v>103975</v>
      </c>
      <c r="R1173" s="12" t="s">
        <v>215</v>
      </c>
      <c r="S1173" s="12" t="s">
        <v>25</v>
      </c>
      <c r="T1173" s="12" t="s">
        <v>25</v>
      </c>
    </row>
    <row r="1174" spans="1:20" hidden="1" x14ac:dyDescent="0.3">
      <c r="A1174" s="13">
        <v>43940.708333333336</v>
      </c>
      <c r="B1174" s="12" t="s">
        <v>22</v>
      </c>
      <c r="C1174" s="82">
        <v>22</v>
      </c>
      <c r="D1174" s="12" t="s">
        <v>58</v>
      </c>
      <c r="E1174" s="82">
        <v>4606893511</v>
      </c>
      <c r="F1174" s="82">
        <v>1112123097</v>
      </c>
      <c r="G1174" s="82">
        <v>278</v>
      </c>
      <c r="H1174" s="82">
        <v>41</v>
      </c>
      <c r="I1174" s="82">
        <v>319</v>
      </c>
      <c r="J1174" s="82">
        <v>1652</v>
      </c>
      <c r="K1174" s="82">
        <v>1971</v>
      </c>
      <c r="L1174" s="82">
        <v>-14</v>
      </c>
      <c r="M1174" s="82">
        <v>101</v>
      </c>
      <c r="N1174" s="82">
        <v>1201</v>
      </c>
      <c r="O1174" s="82">
        <v>360</v>
      </c>
      <c r="P1174" s="82">
        <v>3532</v>
      </c>
      <c r="Q1174" s="82">
        <v>24388</v>
      </c>
      <c r="R1174" s="12" t="s">
        <v>216</v>
      </c>
      <c r="S1174" s="12" t="s">
        <v>25</v>
      </c>
      <c r="T1174" s="12" t="s">
        <v>25</v>
      </c>
    </row>
    <row r="1175" spans="1:20" hidden="1" x14ac:dyDescent="0.3">
      <c r="A1175" s="13">
        <v>43940.708333333336</v>
      </c>
      <c r="B1175" s="12" t="s">
        <v>22</v>
      </c>
      <c r="C1175" s="82">
        <v>10</v>
      </c>
      <c r="D1175" s="12" t="s">
        <v>59</v>
      </c>
      <c r="E1175" s="82">
        <v>4310675841</v>
      </c>
      <c r="F1175" s="82">
        <v>1238824698</v>
      </c>
      <c r="G1175" s="82">
        <v>108</v>
      </c>
      <c r="H1175" s="82">
        <v>30</v>
      </c>
      <c r="I1175" s="82">
        <v>138</v>
      </c>
      <c r="J1175" s="82">
        <v>298</v>
      </c>
      <c r="K1175" s="82">
        <v>436</v>
      </c>
      <c r="L1175" s="82">
        <v>5</v>
      </c>
      <c r="M1175" s="82">
        <v>4</v>
      </c>
      <c r="N1175" s="82">
        <v>854</v>
      </c>
      <c r="O1175" s="82">
        <v>58</v>
      </c>
      <c r="P1175" s="82">
        <v>1348</v>
      </c>
      <c r="Q1175" s="82">
        <v>25170</v>
      </c>
      <c r="R1175" s="12" t="s">
        <v>217</v>
      </c>
      <c r="S1175" s="12" t="s">
        <v>25</v>
      </c>
      <c r="T1175" s="12" t="s">
        <v>25</v>
      </c>
    </row>
    <row r="1176" spans="1:20" hidden="1" x14ac:dyDescent="0.3">
      <c r="A1176" s="13">
        <v>43940.708333333336</v>
      </c>
      <c r="B1176" s="12" t="s">
        <v>22</v>
      </c>
      <c r="C1176" s="82">
        <v>2</v>
      </c>
      <c r="D1176" s="12" t="s">
        <v>60</v>
      </c>
      <c r="E1176" s="82">
        <v>4573750286</v>
      </c>
      <c r="F1176" s="82">
        <v>7320149366</v>
      </c>
      <c r="G1176" s="82">
        <v>102</v>
      </c>
      <c r="H1176" s="82">
        <v>10</v>
      </c>
      <c r="I1176" s="82">
        <v>112</v>
      </c>
      <c r="J1176" s="82">
        <v>450</v>
      </c>
      <c r="K1176" s="82">
        <v>562</v>
      </c>
      <c r="L1176" s="82">
        <v>13</v>
      </c>
      <c r="M1176" s="82">
        <v>15</v>
      </c>
      <c r="N1176" s="82">
        <v>401</v>
      </c>
      <c r="O1176" s="82">
        <v>125</v>
      </c>
      <c r="P1176" s="82">
        <v>1088</v>
      </c>
      <c r="Q1176" s="82">
        <v>4677</v>
      </c>
      <c r="R1176" s="12" t="s">
        <v>218</v>
      </c>
      <c r="S1176" s="12" t="s">
        <v>25</v>
      </c>
      <c r="T1176" s="12" t="s">
        <v>25</v>
      </c>
    </row>
    <row r="1177" spans="1:20" hidden="1" x14ac:dyDescent="0.3">
      <c r="A1177" s="13">
        <v>43940.708333333336</v>
      </c>
      <c r="B1177" s="12" t="s">
        <v>22</v>
      </c>
      <c r="C1177" s="82">
        <v>5</v>
      </c>
      <c r="D1177" s="12" t="s">
        <v>61</v>
      </c>
      <c r="E1177" s="82">
        <v>4543490485</v>
      </c>
      <c r="F1177" s="82">
        <v>1233845213</v>
      </c>
      <c r="G1177" s="82">
        <v>1264</v>
      </c>
      <c r="H1177" s="82">
        <v>184</v>
      </c>
      <c r="I1177" s="82">
        <v>1448</v>
      </c>
      <c r="J1177" s="82">
        <v>8762</v>
      </c>
      <c r="K1177" s="82">
        <v>10210</v>
      </c>
      <c r="L1177" s="82">
        <v>-234</v>
      </c>
      <c r="M1177" s="82">
        <v>243</v>
      </c>
      <c r="N1177" s="82">
        <v>4638</v>
      </c>
      <c r="O1177" s="82">
        <v>1087</v>
      </c>
      <c r="P1177" s="82">
        <v>15935</v>
      </c>
      <c r="Q1177" s="82">
        <v>255797</v>
      </c>
      <c r="R1177" s="12" t="s">
        <v>219</v>
      </c>
      <c r="S1177" s="12" t="s">
        <v>25</v>
      </c>
      <c r="T1177" s="12" t="s">
        <v>25</v>
      </c>
    </row>
    <row r="1178" spans="1:20" hidden="1" x14ac:dyDescent="0.3">
      <c r="A1178" s="13">
        <v>43941.708333333336</v>
      </c>
      <c r="B1178" s="12" t="s">
        <v>22</v>
      </c>
      <c r="C1178" s="82">
        <v>13</v>
      </c>
      <c r="D1178" s="12" t="s">
        <v>42</v>
      </c>
      <c r="E1178" s="82">
        <v>4235122196</v>
      </c>
      <c r="F1178" s="82">
        <v>1339843823</v>
      </c>
      <c r="G1178" s="82">
        <v>320</v>
      </c>
      <c r="H1178" s="82">
        <v>38</v>
      </c>
      <c r="I1178" s="82">
        <v>358</v>
      </c>
      <c r="J1178" s="82">
        <v>1704</v>
      </c>
      <c r="K1178" s="82">
        <v>2062</v>
      </c>
      <c r="L1178" s="82">
        <v>75</v>
      </c>
      <c r="M1178" s="82">
        <v>91</v>
      </c>
      <c r="N1178" s="82">
        <v>287</v>
      </c>
      <c r="O1178" s="82">
        <v>263</v>
      </c>
      <c r="P1178" s="82">
        <v>2612</v>
      </c>
      <c r="Q1178" s="82">
        <v>27942</v>
      </c>
      <c r="R1178" s="12" t="s">
        <v>220</v>
      </c>
      <c r="S1178" s="12" t="s">
        <v>25</v>
      </c>
      <c r="T1178" s="12" t="s">
        <v>25</v>
      </c>
    </row>
    <row r="1179" spans="1:20" hidden="1" x14ac:dyDescent="0.3">
      <c r="A1179" s="13">
        <v>43941.708333333336</v>
      </c>
      <c r="B1179" s="12" t="s">
        <v>22</v>
      </c>
      <c r="C1179" s="82">
        <v>17</v>
      </c>
      <c r="D1179" s="12" t="s">
        <v>43</v>
      </c>
      <c r="E1179" s="82">
        <v>4063947052</v>
      </c>
      <c r="F1179" s="82">
        <v>1580514834</v>
      </c>
      <c r="G1179" s="82">
        <v>59</v>
      </c>
      <c r="H1179" s="82">
        <v>7</v>
      </c>
      <c r="I1179" s="82">
        <v>66</v>
      </c>
      <c r="J1179" s="82">
        <v>176</v>
      </c>
      <c r="K1179" s="82">
        <v>242</v>
      </c>
      <c r="L1179" s="82">
        <v>-5</v>
      </c>
      <c r="M1179" s="82">
        <v>0</v>
      </c>
      <c r="N1179" s="82">
        <v>76</v>
      </c>
      <c r="O1179" s="82">
        <v>24</v>
      </c>
      <c r="P1179" s="82">
        <v>342</v>
      </c>
      <c r="Q1179" s="82">
        <v>6868</v>
      </c>
      <c r="R1179" s="12" t="s">
        <v>221</v>
      </c>
      <c r="S1179" s="12" t="s">
        <v>25</v>
      </c>
      <c r="T1179" s="12" t="s">
        <v>25</v>
      </c>
    </row>
    <row r="1180" spans="1:20" hidden="1" x14ac:dyDescent="0.3">
      <c r="A1180" s="13">
        <v>43941.708333333336</v>
      </c>
      <c r="B1180" s="12" t="s">
        <v>22</v>
      </c>
      <c r="C1180" s="82">
        <v>21</v>
      </c>
      <c r="D1180" s="12" t="s">
        <v>44</v>
      </c>
      <c r="E1180" s="82">
        <v>4649933453</v>
      </c>
      <c r="F1180" s="82">
        <v>1135662422</v>
      </c>
      <c r="G1180" s="82">
        <v>160</v>
      </c>
      <c r="H1180" s="82">
        <v>19</v>
      </c>
      <c r="I1180" s="82">
        <v>179</v>
      </c>
      <c r="J1180" s="82">
        <v>1361</v>
      </c>
      <c r="K1180" s="82">
        <v>1540</v>
      </c>
      <c r="L1180" s="82">
        <v>-26</v>
      </c>
      <c r="M1180" s="82">
        <v>14</v>
      </c>
      <c r="N1180" s="82">
        <v>605</v>
      </c>
      <c r="O1180" s="82">
        <v>249</v>
      </c>
      <c r="P1180" s="82">
        <v>2394</v>
      </c>
      <c r="Q1180" s="82">
        <v>31381</v>
      </c>
      <c r="R1180" s="12" t="s">
        <v>222</v>
      </c>
      <c r="S1180" s="12" t="s">
        <v>25</v>
      </c>
      <c r="T1180" s="12" t="s">
        <v>25</v>
      </c>
    </row>
    <row r="1181" spans="1:20" hidden="1" x14ac:dyDescent="0.3">
      <c r="A1181" s="13">
        <v>43941.708333333336</v>
      </c>
      <c r="B1181" s="12" t="s">
        <v>22</v>
      </c>
      <c r="C1181" s="82">
        <v>18</v>
      </c>
      <c r="D1181" s="12" t="s">
        <v>45</v>
      </c>
      <c r="E1181" s="82">
        <v>3890597598</v>
      </c>
      <c r="F1181" s="82">
        <v>1659440194</v>
      </c>
      <c r="G1181" s="82">
        <v>140</v>
      </c>
      <c r="H1181" s="82">
        <v>7</v>
      </c>
      <c r="I1181" s="82">
        <v>147</v>
      </c>
      <c r="J1181" s="82">
        <v>681</v>
      </c>
      <c r="K1181" s="82">
        <v>828</v>
      </c>
      <c r="L1181" s="82">
        <v>-16</v>
      </c>
      <c r="M1181" s="82">
        <v>3</v>
      </c>
      <c r="N1181" s="82">
        <v>135</v>
      </c>
      <c r="O1181" s="82">
        <v>75</v>
      </c>
      <c r="P1181" s="82">
        <v>1038</v>
      </c>
      <c r="Q1181" s="82">
        <v>24373</v>
      </c>
      <c r="R1181" s="12" t="s">
        <v>223</v>
      </c>
      <c r="S1181" s="12" t="s">
        <v>25</v>
      </c>
      <c r="T1181" s="12" t="s">
        <v>25</v>
      </c>
    </row>
    <row r="1182" spans="1:20" hidden="1" x14ac:dyDescent="0.3">
      <c r="A1182" s="13">
        <v>43941.708333333336</v>
      </c>
      <c r="B1182" s="12" t="s">
        <v>22</v>
      </c>
      <c r="C1182" s="82">
        <v>15</v>
      </c>
      <c r="D1182" s="12" t="s">
        <v>46</v>
      </c>
      <c r="E1182" s="82">
        <v>4083956555</v>
      </c>
      <c r="F1182" s="82">
        <v>1425084984</v>
      </c>
      <c r="G1182" s="82">
        <v>586</v>
      </c>
      <c r="H1182" s="82">
        <v>61</v>
      </c>
      <c r="I1182" s="82">
        <v>647</v>
      </c>
      <c r="J1182" s="82">
        <v>2372</v>
      </c>
      <c r="K1182" s="82">
        <v>3019</v>
      </c>
      <c r="L1182" s="82">
        <v>-3</v>
      </c>
      <c r="M1182" s="82">
        <v>45</v>
      </c>
      <c r="N1182" s="82">
        <v>746</v>
      </c>
      <c r="O1182" s="82">
        <v>309</v>
      </c>
      <c r="P1182" s="82">
        <v>4074</v>
      </c>
      <c r="Q1182" s="82">
        <v>51090</v>
      </c>
      <c r="R1182" s="12" t="s">
        <v>224</v>
      </c>
      <c r="S1182" s="12" t="s">
        <v>25</v>
      </c>
      <c r="T1182" s="12" t="s">
        <v>25</v>
      </c>
    </row>
    <row r="1183" spans="1:20" hidden="1" x14ac:dyDescent="0.3">
      <c r="A1183" s="13">
        <v>43941.708333333336</v>
      </c>
      <c r="B1183" s="12" t="s">
        <v>22</v>
      </c>
      <c r="C1183" s="82">
        <v>8</v>
      </c>
      <c r="D1183" s="12" t="s">
        <v>95</v>
      </c>
      <c r="E1183" s="82">
        <v>4449436681</v>
      </c>
      <c r="F1183" s="82">
        <v>113417208</v>
      </c>
      <c r="G1183" s="82">
        <v>3144</v>
      </c>
      <c r="H1183" s="82">
        <v>283</v>
      </c>
      <c r="I1183" s="82">
        <v>3427</v>
      </c>
      <c r="J1183" s="82">
        <v>10095</v>
      </c>
      <c r="K1183" s="82">
        <v>13522</v>
      </c>
      <c r="L1183" s="82">
        <v>-30</v>
      </c>
      <c r="M1183" s="82">
        <v>307</v>
      </c>
      <c r="N1183" s="82">
        <v>6266</v>
      </c>
      <c r="O1183" s="82">
        <v>3079</v>
      </c>
      <c r="P1183" s="82">
        <v>22867</v>
      </c>
      <c r="Q1183" s="82">
        <v>129530</v>
      </c>
      <c r="R1183" s="12" t="s">
        <v>225</v>
      </c>
      <c r="S1183" s="12" t="s">
        <v>25</v>
      </c>
      <c r="T1183" s="12" t="s">
        <v>25</v>
      </c>
    </row>
    <row r="1184" spans="1:20" hidden="1" x14ac:dyDescent="0.3">
      <c r="A1184" s="13">
        <v>43941.708333333336</v>
      </c>
      <c r="B1184" s="12" t="s">
        <v>22</v>
      </c>
      <c r="C1184" s="82">
        <v>6</v>
      </c>
      <c r="D1184" s="12" t="s">
        <v>47</v>
      </c>
      <c r="E1184" s="82">
        <v>456494354</v>
      </c>
      <c r="F1184" s="82">
        <v>1376813649</v>
      </c>
      <c r="G1184" s="82">
        <v>140</v>
      </c>
      <c r="H1184" s="82">
        <v>22</v>
      </c>
      <c r="I1184" s="82">
        <v>162</v>
      </c>
      <c r="J1184" s="82">
        <v>1028</v>
      </c>
      <c r="K1184" s="82">
        <v>1190</v>
      </c>
      <c r="L1184" s="82">
        <v>-147</v>
      </c>
      <c r="M1184" s="82">
        <v>30</v>
      </c>
      <c r="N1184" s="82">
        <v>1346</v>
      </c>
      <c r="O1184" s="82">
        <v>239</v>
      </c>
      <c r="P1184" s="82">
        <v>2775</v>
      </c>
      <c r="Q1184" s="82">
        <v>45161</v>
      </c>
      <c r="R1184" s="12" t="s">
        <v>226</v>
      </c>
      <c r="S1184" s="12" t="s">
        <v>25</v>
      </c>
      <c r="T1184" s="12" t="s">
        <v>25</v>
      </c>
    </row>
    <row r="1185" spans="1:20" hidden="1" x14ac:dyDescent="0.3">
      <c r="A1185" s="13">
        <v>43941.708333333336</v>
      </c>
      <c r="B1185" s="12" t="s">
        <v>22</v>
      </c>
      <c r="C1185" s="82">
        <v>12</v>
      </c>
      <c r="D1185" s="12" t="s">
        <v>48</v>
      </c>
      <c r="E1185" s="82">
        <v>4189277044</v>
      </c>
      <c r="F1185" s="82">
        <v>1248366722</v>
      </c>
      <c r="G1185" s="82">
        <v>1388</v>
      </c>
      <c r="H1185" s="82">
        <v>185</v>
      </c>
      <c r="I1185" s="82">
        <v>1573</v>
      </c>
      <c r="J1185" s="82">
        <v>2792</v>
      </c>
      <c r="K1185" s="82">
        <v>4365</v>
      </c>
      <c r="L1185" s="82">
        <v>44</v>
      </c>
      <c r="M1185" s="82">
        <v>60</v>
      </c>
      <c r="N1185" s="82">
        <v>1101</v>
      </c>
      <c r="O1185" s="82">
        <v>349</v>
      </c>
      <c r="P1185" s="82">
        <v>5815</v>
      </c>
      <c r="Q1185" s="82">
        <v>97823</v>
      </c>
      <c r="R1185" s="12" t="s">
        <v>227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82">
        <v>7</v>
      </c>
      <c r="D1186" s="12" t="s">
        <v>49</v>
      </c>
      <c r="E1186" s="82">
        <v>4441149315</v>
      </c>
      <c r="F1186" s="82">
        <v>89326992</v>
      </c>
      <c r="G1186" s="82">
        <v>878</v>
      </c>
      <c r="H1186" s="82">
        <v>102</v>
      </c>
      <c r="I1186" s="82">
        <v>980</v>
      </c>
      <c r="J1186" s="82">
        <v>2516</v>
      </c>
      <c r="K1186" s="82">
        <v>3496</v>
      </c>
      <c r="L1186" s="82">
        <v>6</v>
      </c>
      <c r="M1186" s="82">
        <v>141</v>
      </c>
      <c r="N1186" s="82">
        <v>2216</v>
      </c>
      <c r="O1186" s="82">
        <v>957</v>
      </c>
      <c r="P1186" s="82">
        <v>6669</v>
      </c>
      <c r="Q1186" s="82">
        <v>33007</v>
      </c>
      <c r="R1186" s="12" t="s">
        <v>228</v>
      </c>
      <c r="S1186" s="12" t="s">
        <v>25</v>
      </c>
      <c r="T1186" s="12" t="s">
        <v>25</v>
      </c>
    </row>
    <row r="1187" spans="1:20" hidden="1" x14ac:dyDescent="0.3">
      <c r="A1187" s="13">
        <v>43941.708333333336</v>
      </c>
      <c r="B1187" s="12" t="s">
        <v>22</v>
      </c>
      <c r="C1187" s="82">
        <v>3</v>
      </c>
      <c r="D1187" s="12" t="s">
        <v>50</v>
      </c>
      <c r="E1187" s="82">
        <v>4546679409</v>
      </c>
      <c r="F1187" s="82">
        <v>9190347404</v>
      </c>
      <c r="G1187" s="82">
        <v>10138</v>
      </c>
      <c r="H1187" s="82">
        <v>901</v>
      </c>
      <c r="I1187" s="82">
        <v>11039</v>
      </c>
      <c r="J1187" s="82">
        <v>23548</v>
      </c>
      <c r="K1187" s="82">
        <v>34587</v>
      </c>
      <c r="L1187" s="82">
        <v>90</v>
      </c>
      <c r="M1187" s="82">
        <v>735</v>
      </c>
      <c r="N1187" s="82">
        <v>20008</v>
      </c>
      <c r="O1187" s="82">
        <v>12376</v>
      </c>
      <c r="P1187" s="82">
        <v>66971</v>
      </c>
      <c r="Q1187" s="82">
        <v>270486</v>
      </c>
      <c r="R1187" s="12" t="s">
        <v>229</v>
      </c>
      <c r="S1187" s="12" t="s">
        <v>230</v>
      </c>
      <c r="T1187" s="12" t="s">
        <v>231</v>
      </c>
    </row>
    <row r="1188" spans="1:20" hidden="1" x14ac:dyDescent="0.3">
      <c r="A1188" s="13">
        <v>43941.708333333336</v>
      </c>
      <c r="B1188" s="12" t="s">
        <v>22</v>
      </c>
      <c r="C1188" s="82">
        <v>11</v>
      </c>
      <c r="D1188" s="12" t="s">
        <v>51</v>
      </c>
      <c r="E1188" s="82">
        <v>4361675973</v>
      </c>
      <c r="F1188" s="82">
        <v>135188753</v>
      </c>
      <c r="G1188" s="82">
        <v>792</v>
      </c>
      <c r="H1188" s="82">
        <v>80</v>
      </c>
      <c r="I1188" s="82">
        <v>872</v>
      </c>
      <c r="J1188" s="82">
        <v>2340</v>
      </c>
      <c r="K1188" s="82">
        <v>3212</v>
      </c>
      <c r="L1188" s="82">
        <v>30</v>
      </c>
      <c r="M1188" s="82">
        <v>57</v>
      </c>
      <c r="N1188" s="82">
        <v>1792</v>
      </c>
      <c r="O1188" s="82">
        <v>822</v>
      </c>
      <c r="P1188" s="82">
        <v>5826</v>
      </c>
      <c r="Q1188" s="82">
        <v>42782</v>
      </c>
      <c r="R1188" s="12" t="s">
        <v>232</v>
      </c>
      <c r="S1188" s="12" t="s">
        <v>25</v>
      </c>
      <c r="T1188" s="12" t="s">
        <v>25</v>
      </c>
    </row>
    <row r="1189" spans="1:20" hidden="1" x14ac:dyDescent="0.3">
      <c r="A1189" s="13">
        <v>43941.708333333336</v>
      </c>
      <c r="B1189" s="12" t="s">
        <v>22</v>
      </c>
      <c r="C1189" s="82">
        <v>14</v>
      </c>
      <c r="D1189" s="12" t="s">
        <v>52</v>
      </c>
      <c r="E1189" s="82">
        <v>4155774754</v>
      </c>
      <c r="F1189" s="82">
        <v>1465916051</v>
      </c>
      <c r="G1189" s="82">
        <v>27</v>
      </c>
      <c r="H1189" s="82">
        <v>2</v>
      </c>
      <c r="I1189" s="82">
        <v>29</v>
      </c>
      <c r="J1189" s="82">
        <v>184</v>
      </c>
      <c r="K1189" s="82">
        <v>213</v>
      </c>
      <c r="L1189" s="82">
        <v>-2</v>
      </c>
      <c r="M1189" s="82">
        <v>2</v>
      </c>
      <c r="N1189" s="82">
        <v>50</v>
      </c>
      <c r="O1189" s="82">
        <v>18</v>
      </c>
      <c r="P1189" s="82">
        <v>281</v>
      </c>
      <c r="Q1189" s="82">
        <v>3783</v>
      </c>
      <c r="R1189" s="12" t="s">
        <v>233</v>
      </c>
      <c r="S1189" s="12" t="s">
        <v>25</v>
      </c>
      <c r="T1189" s="12" t="s">
        <v>25</v>
      </c>
    </row>
    <row r="1190" spans="1:20" hidden="1" x14ac:dyDescent="0.3">
      <c r="A1190" s="13">
        <v>43941.708333333336</v>
      </c>
      <c r="B1190" s="12" t="s">
        <v>22</v>
      </c>
      <c r="C1190" s="82">
        <v>1</v>
      </c>
      <c r="D1190" s="12" t="s">
        <v>53</v>
      </c>
      <c r="E1190" s="82">
        <v>450732745</v>
      </c>
      <c r="F1190" s="82">
        <v>7680687483</v>
      </c>
      <c r="G1190" s="82">
        <v>3299</v>
      </c>
      <c r="H1190" s="82">
        <v>301</v>
      </c>
      <c r="I1190" s="82">
        <v>3600</v>
      </c>
      <c r="J1190" s="82">
        <v>10957</v>
      </c>
      <c r="K1190" s="82">
        <v>14557</v>
      </c>
      <c r="L1190" s="82">
        <v>87</v>
      </c>
      <c r="M1190" s="82">
        <v>292</v>
      </c>
      <c r="N1190" s="82">
        <v>4383</v>
      </c>
      <c r="O1190" s="82">
        <v>2409</v>
      </c>
      <c r="P1190" s="82">
        <v>21349</v>
      </c>
      <c r="Q1190" s="82">
        <v>99669</v>
      </c>
      <c r="R1190" s="12" t="s">
        <v>234</v>
      </c>
      <c r="S1190" s="12" t="s">
        <v>25</v>
      </c>
      <c r="T1190" s="12" t="s">
        <v>25</v>
      </c>
    </row>
    <row r="1191" spans="1:20" hidden="1" x14ac:dyDescent="0.3">
      <c r="A1191" s="13">
        <v>43941.708333333336</v>
      </c>
      <c r="B1191" s="12" t="s">
        <v>22</v>
      </c>
      <c r="C1191" s="82">
        <v>16</v>
      </c>
      <c r="D1191" s="12" t="s">
        <v>54</v>
      </c>
      <c r="E1191" s="82">
        <v>4112559576</v>
      </c>
      <c r="F1191" s="82">
        <v>1686736689</v>
      </c>
      <c r="G1191" s="82">
        <v>584</v>
      </c>
      <c r="H1191" s="82">
        <v>66</v>
      </c>
      <c r="I1191" s="82">
        <v>650</v>
      </c>
      <c r="J1191" s="82">
        <v>2160</v>
      </c>
      <c r="K1191" s="82">
        <v>2810</v>
      </c>
      <c r="L1191" s="82">
        <v>24</v>
      </c>
      <c r="M1191" s="82">
        <v>38</v>
      </c>
      <c r="N1191" s="82">
        <v>431</v>
      </c>
      <c r="O1191" s="82">
        <v>326</v>
      </c>
      <c r="P1191" s="82">
        <v>3567</v>
      </c>
      <c r="Q1191" s="82">
        <v>44189</v>
      </c>
      <c r="R1191" s="12" t="s">
        <v>235</v>
      </c>
      <c r="S1191" s="12" t="s">
        <v>25</v>
      </c>
      <c r="T1191" s="12" t="s">
        <v>25</v>
      </c>
    </row>
    <row r="1192" spans="1:20" hidden="1" x14ac:dyDescent="0.3">
      <c r="A1192" s="13">
        <v>43941.708333333336</v>
      </c>
      <c r="B1192" s="12" t="s">
        <v>22</v>
      </c>
      <c r="C1192" s="82">
        <v>20</v>
      </c>
      <c r="D1192" s="12" t="s">
        <v>55</v>
      </c>
      <c r="E1192" s="82">
        <v>3921531192</v>
      </c>
      <c r="F1192" s="82">
        <v>9110616306</v>
      </c>
      <c r="G1192" s="82">
        <v>115</v>
      </c>
      <c r="H1192" s="82">
        <v>21</v>
      </c>
      <c r="I1192" s="82">
        <v>136</v>
      </c>
      <c r="J1192" s="82">
        <v>718</v>
      </c>
      <c r="K1192" s="82">
        <v>854</v>
      </c>
      <c r="L1192" s="82">
        <v>-10</v>
      </c>
      <c r="M1192" s="82">
        <v>13</v>
      </c>
      <c r="N1192" s="82">
        <v>288</v>
      </c>
      <c r="O1192" s="82">
        <v>86</v>
      </c>
      <c r="P1192" s="82">
        <v>1228</v>
      </c>
      <c r="Q1192" s="82">
        <v>15328</v>
      </c>
      <c r="R1192" s="12" t="s">
        <v>236</v>
      </c>
      <c r="S1192" s="12" t="s">
        <v>25</v>
      </c>
      <c r="T1192" s="12" t="s">
        <v>25</v>
      </c>
    </row>
    <row r="1193" spans="1:20" hidden="1" x14ac:dyDescent="0.3">
      <c r="A1193" s="13">
        <v>43941.708333333336</v>
      </c>
      <c r="B1193" s="12" t="s">
        <v>22</v>
      </c>
      <c r="C1193" s="82">
        <v>19</v>
      </c>
      <c r="D1193" s="12" t="s">
        <v>56</v>
      </c>
      <c r="E1193" s="82">
        <v>3811569725</v>
      </c>
      <c r="F1193" s="82">
        <v>133623567</v>
      </c>
      <c r="G1193" s="82">
        <v>526</v>
      </c>
      <c r="H1193" s="82">
        <v>39</v>
      </c>
      <c r="I1193" s="82">
        <v>565</v>
      </c>
      <c r="J1193" s="82">
        <v>1645</v>
      </c>
      <c r="K1193" s="82">
        <v>2210</v>
      </c>
      <c r="L1193" s="82">
        <v>8</v>
      </c>
      <c r="M1193" s="82">
        <v>42</v>
      </c>
      <c r="N1193" s="82">
        <v>346</v>
      </c>
      <c r="O1193" s="82">
        <v>203</v>
      </c>
      <c r="P1193" s="82">
        <v>2759</v>
      </c>
      <c r="Q1193" s="82">
        <v>51373</v>
      </c>
      <c r="R1193" s="12" t="s">
        <v>237</v>
      </c>
      <c r="S1193" s="12" t="s">
        <v>25</v>
      </c>
      <c r="T1193" s="12" t="s">
        <v>25</v>
      </c>
    </row>
    <row r="1194" spans="1:20" hidden="1" x14ac:dyDescent="0.3">
      <c r="A1194" s="13">
        <v>43941.708333333336</v>
      </c>
      <c r="B1194" s="12" t="s">
        <v>22</v>
      </c>
      <c r="C1194" s="82">
        <v>9</v>
      </c>
      <c r="D1194" s="12" t="s">
        <v>57</v>
      </c>
      <c r="E1194" s="82">
        <v>4376923077</v>
      </c>
      <c r="F1194" s="82">
        <v>1125588885</v>
      </c>
      <c r="G1194" s="82">
        <v>850</v>
      </c>
      <c r="H1194" s="82">
        <v>182</v>
      </c>
      <c r="I1194" s="82">
        <v>1032</v>
      </c>
      <c r="J1194" s="82">
        <v>5536</v>
      </c>
      <c r="K1194" s="82">
        <v>6568</v>
      </c>
      <c r="L1194" s="82">
        <v>72</v>
      </c>
      <c r="M1194" s="82">
        <v>135</v>
      </c>
      <c r="N1194" s="82">
        <v>1272</v>
      </c>
      <c r="O1194" s="82">
        <v>667</v>
      </c>
      <c r="P1194" s="82">
        <v>8507</v>
      </c>
      <c r="Q1194" s="82">
        <v>105857</v>
      </c>
      <c r="R1194" s="12" t="s">
        <v>238</v>
      </c>
      <c r="S1194" s="12" t="s">
        <v>25</v>
      </c>
      <c r="T1194" s="12" t="s">
        <v>25</v>
      </c>
    </row>
    <row r="1195" spans="1:20" hidden="1" x14ac:dyDescent="0.3">
      <c r="A1195" s="13">
        <v>43941.708333333336</v>
      </c>
      <c r="B1195" s="12" t="s">
        <v>22</v>
      </c>
      <c r="C1195" s="82">
        <v>22</v>
      </c>
      <c r="D1195" s="12" t="s">
        <v>58</v>
      </c>
      <c r="E1195" s="82">
        <v>4606893511</v>
      </c>
      <c r="F1195" s="82">
        <v>1112123097</v>
      </c>
      <c r="G1195" s="82">
        <v>272</v>
      </c>
      <c r="H1195" s="82">
        <v>40</v>
      </c>
      <c r="I1195" s="82">
        <v>312</v>
      </c>
      <c r="J1195" s="82">
        <v>1617</v>
      </c>
      <c r="K1195" s="82">
        <v>1929</v>
      </c>
      <c r="L1195" s="82">
        <v>-42</v>
      </c>
      <c r="M1195" s="82">
        <v>58</v>
      </c>
      <c r="N1195" s="82">
        <v>1295</v>
      </c>
      <c r="O1195" s="82">
        <v>366</v>
      </c>
      <c r="P1195" s="82">
        <v>3590</v>
      </c>
      <c r="Q1195" s="82">
        <v>26211</v>
      </c>
      <c r="R1195" s="12" t="s">
        <v>239</v>
      </c>
      <c r="S1195" s="12" t="s">
        <v>25</v>
      </c>
      <c r="T1195" s="12" t="s">
        <v>25</v>
      </c>
    </row>
    <row r="1196" spans="1:20" hidden="1" x14ac:dyDescent="0.3">
      <c r="A1196" s="13">
        <v>43941.708333333336</v>
      </c>
      <c r="B1196" s="12" t="s">
        <v>22</v>
      </c>
      <c r="C1196" s="82">
        <v>10</v>
      </c>
      <c r="D1196" s="12" t="s">
        <v>59</v>
      </c>
      <c r="E1196" s="82">
        <v>4310675841</v>
      </c>
      <c r="F1196" s="82">
        <v>1238824698</v>
      </c>
      <c r="G1196" s="82">
        <v>113</v>
      </c>
      <c r="H1196" s="82">
        <v>29</v>
      </c>
      <c r="I1196" s="82">
        <v>142</v>
      </c>
      <c r="J1196" s="82">
        <v>282</v>
      </c>
      <c r="K1196" s="82">
        <v>424</v>
      </c>
      <c r="L1196" s="82">
        <v>-12</v>
      </c>
      <c r="M1196" s="82">
        <v>1</v>
      </c>
      <c r="N1196" s="82">
        <v>867</v>
      </c>
      <c r="O1196" s="82">
        <v>58</v>
      </c>
      <c r="P1196" s="82">
        <v>1349</v>
      </c>
      <c r="Q1196" s="82">
        <v>25562</v>
      </c>
      <c r="R1196" s="12" t="s">
        <v>240</v>
      </c>
      <c r="S1196" s="12" t="s">
        <v>25</v>
      </c>
      <c r="T1196" s="12" t="s">
        <v>25</v>
      </c>
    </row>
    <row r="1197" spans="1:20" hidden="1" x14ac:dyDescent="0.3">
      <c r="A1197" s="13">
        <v>43941.708333333336</v>
      </c>
      <c r="B1197" s="12" t="s">
        <v>22</v>
      </c>
      <c r="C1197" s="82">
        <v>2</v>
      </c>
      <c r="D1197" s="12" t="s">
        <v>60</v>
      </c>
      <c r="E1197" s="82">
        <v>4573750286</v>
      </c>
      <c r="F1197" s="82">
        <v>7320149366</v>
      </c>
      <c r="G1197" s="82">
        <v>102</v>
      </c>
      <c r="H1197" s="82">
        <v>8</v>
      </c>
      <c r="I1197" s="82">
        <v>110</v>
      </c>
      <c r="J1197" s="82">
        <v>438</v>
      </c>
      <c r="K1197" s="82">
        <v>548</v>
      </c>
      <c r="L1197" s="82">
        <v>-14</v>
      </c>
      <c r="M1197" s="82">
        <v>0</v>
      </c>
      <c r="N1197" s="82">
        <v>413</v>
      </c>
      <c r="O1197" s="82">
        <v>127</v>
      </c>
      <c r="P1197" s="82">
        <v>1088</v>
      </c>
      <c r="Q1197" s="82">
        <v>4799</v>
      </c>
      <c r="R1197" s="12" t="s">
        <v>241</v>
      </c>
      <c r="S1197" s="12" t="s">
        <v>25</v>
      </c>
      <c r="T1197" s="12" t="s">
        <v>25</v>
      </c>
    </row>
    <row r="1198" spans="1:20" hidden="1" x14ac:dyDescent="0.3">
      <c r="A1198" s="13">
        <v>43941.708333333336</v>
      </c>
      <c r="B1198" s="12" t="s">
        <v>22</v>
      </c>
      <c r="C1198" s="82">
        <v>5</v>
      </c>
      <c r="D1198" s="12" t="s">
        <v>61</v>
      </c>
      <c r="E1198" s="82">
        <v>4543490485</v>
      </c>
      <c r="F1198" s="82">
        <v>1233845213</v>
      </c>
      <c r="G1198" s="82">
        <v>1273</v>
      </c>
      <c r="H1198" s="82">
        <v>180</v>
      </c>
      <c r="I1198" s="82">
        <v>1453</v>
      </c>
      <c r="J1198" s="82">
        <v>8608</v>
      </c>
      <c r="K1198" s="82">
        <v>10061</v>
      </c>
      <c r="L1198" s="82">
        <v>-149</v>
      </c>
      <c r="M1198" s="82">
        <v>192</v>
      </c>
      <c r="N1198" s="82">
        <v>4954</v>
      </c>
      <c r="O1198" s="82">
        <v>1112</v>
      </c>
      <c r="P1198" s="82">
        <v>16127</v>
      </c>
      <c r="Q1198" s="82">
        <v>260810</v>
      </c>
      <c r="R1198" s="12" t="s">
        <v>242</v>
      </c>
      <c r="S1198" s="12" t="s">
        <v>25</v>
      </c>
      <c r="T1198" s="12" t="s">
        <v>25</v>
      </c>
    </row>
    <row r="1199" spans="1:20" hidden="1" x14ac:dyDescent="0.3">
      <c r="A1199" s="13">
        <v>43942.708333333336</v>
      </c>
      <c r="B1199" s="12" t="s">
        <v>22</v>
      </c>
      <c r="C1199" s="82">
        <v>13</v>
      </c>
      <c r="D1199" s="12" t="s">
        <v>42</v>
      </c>
      <c r="E1199" s="82">
        <v>4235122196</v>
      </c>
      <c r="F1199" s="82">
        <v>1339843823</v>
      </c>
      <c r="G1199" s="82">
        <v>318</v>
      </c>
      <c r="H1199" s="82">
        <v>35</v>
      </c>
      <c r="I1199" s="82">
        <v>353</v>
      </c>
      <c r="J1199" s="82">
        <v>1714</v>
      </c>
      <c r="K1199" s="82">
        <v>2067</v>
      </c>
      <c r="L1199" s="82">
        <v>5</v>
      </c>
      <c r="M1199" s="82">
        <v>55</v>
      </c>
      <c r="N1199" s="82">
        <v>329</v>
      </c>
      <c r="O1199" s="82">
        <v>271</v>
      </c>
      <c r="P1199" s="82">
        <v>2667</v>
      </c>
      <c r="Q1199" s="82">
        <v>29906</v>
      </c>
      <c r="R1199" s="12" t="s">
        <v>243</v>
      </c>
      <c r="S1199" s="12" t="s">
        <v>25</v>
      </c>
      <c r="T1199" s="12" t="s">
        <v>25</v>
      </c>
    </row>
    <row r="1200" spans="1:20" hidden="1" x14ac:dyDescent="0.3">
      <c r="A1200" s="13">
        <v>43942.708333333336</v>
      </c>
      <c r="B1200" s="12" t="s">
        <v>22</v>
      </c>
      <c r="C1200" s="82">
        <v>17</v>
      </c>
      <c r="D1200" s="12" t="s">
        <v>43</v>
      </c>
      <c r="E1200" s="82">
        <v>4063947052</v>
      </c>
      <c r="F1200" s="82">
        <v>1580514834</v>
      </c>
      <c r="G1200" s="82">
        <v>64</v>
      </c>
      <c r="H1200" s="82">
        <v>7</v>
      </c>
      <c r="I1200" s="82">
        <v>71</v>
      </c>
      <c r="J1200" s="82">
        <v>174</v>
      </c>
      <c r="K1200" s="82">
        <v>245</v>
      </c>
      <c r="L1200" s="82">
        <v>3</v>
      </c>
      <c r="M1200" s="82">
        <v>8</v>
      </c>
      <c r="N1200" s="82">
        <v>81</v>
      </c>
      <c r="O1200" s="82">
        <v>24</v>
      </c>
      <c r="P1200" s="82">
        <v>350</v>
      </c>
      <c r="Q1200" s="82">
        <v>7470</v>
      </c>
      <c r="R1200" s="12" t="s">
        <v>244</v>
      </c>
      <c r="S1200" s="12" t="s">
        <v>25</v>
      </c>
      <c r="T1200" s="12" t="s">
        <v>25</v>
      </c>
    </row>
    <row r="1201" spans="1:20" hidden="1" x14ac:dyDescent="0.3">
      <c r="A1201" s="13">
        <v>43942.708333333336</v>
      </c>
      <c r="B1201" s="12" t="s">
        <v>22</v>
      </c>
      <c r="C1201" s="82">
        <v>21</v>
      </c>
      <c r="D1201" s="12" t="s">
        <v>44</v>
      </c>
      <c r="E1201" s="82">
        <v>4649933453</v>
      </c>
      <c r="F1201" s="82">
        <v>1135662422</v>
      </c>
      <c r="G1201" s="82">
        <v>159</v>
      </c>
      <c r="H1201" s="82">
        <v>20</v>
      </c>
      <c r="I1201" s="82">
        <v>179</v>
      </c>
      <c r="J1201" s="82">
        <v>1357</v>
      </c>
      <c r="K1201" s="82">
        <v>1536</v>
      </c>
      <c r="L1201" s="82">
        <v>-4</v>
      </c>
      <c r="M1201" s="82">
        <v>16</v>
      </c>
      <c r="N1201" s="82">
        <v>623</v>
      </c>
      <c r="O1201" s="82">
        <v>251</v>
      </c>
      <c r="P1201" s="82">
        <v>2410</v>
      </c>
      <c r="Q1201" s="82">
        <v>31987</v>
      </c>
      <c r="R1201" s="12" t="s">
        <v>245</v>
      </c>
      <c r="S1201" s="12" t="s">
        <v>25</v>
      </c>
      <c r="T1201" s="12" t="s">
        <v>25</v>
      </c>
    </row>
    <row r="1202" spans="1:20" hidden="1" x14ac:dyDescent="0.3">
      <c r="A1202" s="13">
        <v>43942.708333333336</v>
      </c>
      <c r="B1202" s="12" t="s">
        <v>22</v>
      </c>
      <c r="C1202" s="82">
        <v>18</v>
      </c>
      <c r="D1202" s="12" t="s">
        <v>45</v>
      </c>
      <c r="E1202" s="82">
        <v>3890597598</v>
      </c>
      <c r="F1202" s="82">
        <v>1659440194</v>
      </c>
      <c r="G1202" s="82">
        <v>133</v>
      </c>
      <c r="H1202" s="82">
        <v>7</v>
      </c>
      <c r="I1202" s="82">
        <v>140</v>
      </c>
      <c r="J1202" s="82">
        <v>679</v>
      </c>
      <c r="K1202" s="82">
        <v>819</v>
      </c>
      <c r="L1202" s="82">
        <v>-9</v>
      </c>
      <c r="M1202" s="82">
        <v>9</v>
      </c>
      <c r="N1202" s="82">
        <v>152</v>
      </c>
      <c r="O1202" s="82">
        <v>76</v>
      </c>
      <c r="P1202" s="82">
        <v>1047</v>
      </c>
      <c r="Q1202" s="82">
        <v>25440</v>
      </c>
      <c r="R1202" s="12" t="s">
        <v>246</v>
      </c>
      <c r="S1202" s="12" t="s">
        <v>25</v>
      </c>
      <c r="T1202" s="12" t="s">
        <v>25</v>
      </c>
    </row>
    <row r="1203" spans="1:20" hidden="1" x14ac:dyDescent="0.3">
      <c r="A1203" s="13">
        <v>43942.708333333336</v>
      </c>
      <c r="B1203" s="12" t="s">
        <v>22</v>
      </c>
      <c r="C1203" s="82">
        <v>15</v>
      </c>
      <c r="D1203" s="12" t="s">
        <v>46</v>
      </c>
      <c r="E1203" s="82">
        <v>4083956555</v>
      </c>
      <c r="F1203" s="82">
        <v>1425084984</v>
      </c>
      <c r="G1203" s="82">
        <v>532</v>
      </c>
      <c r="H1203" s="82">
        <v>58</v>
      </c>
      <c r="I1203" s="82">
        <v>590</v>
      </c>
      <c r="J1203" s="82">
        <v>2356</v>
      </c>
      <c r="K1203" s="82">
        <v>2946</v>
      </c>
      <c r="L1203" s="82">
        <v>-73</v>
      </c>
      <c r="M1203" s="82">
        <v>61</v>
      </c>
      <c r="N1203" s="82">
        <v>872</v>
      </c>
      <c r="O1203" s="82">
        <v>317</v>
      </c>
      <c r="P1203" s="82">
        <v>4135</v>
      </c>
      <c r="Q1203" s="82">
        <v>53548</v>
      </c>
      <c r="R1203" s="12" t="s">
        <v>247</v>
      </c>
      <c r="S1203" s="12" t="s">
        <v>25</v>
      </c>
      <c r="T1203" s="12" t="s">
        <v>25</v>
      </c>
    </row>
    <row r="1204" spans="1:20" hidden="1" x14ac:dyDescent="0.3">
      <c r="A1204" s="13">
        <v>43942.708333333336</v>
      </c>
      <c r="B1204" s="12" t="s">
        <v>22</v>
      </c>
      <c r="C1204" s="82">
        <v>8</v>
      </c>
      <c r="D1204" s="12" t="s">
        <v>95</v>
      </c>
      <c r="E1204" s="82">
        <v>4449436681</v>
      </c>
      <c r="F1204" s="82">
        <v>113417208</v>
      </c>
      <c r="G1204" s="82">
        <v>3045</v>
      </c>
      <c r="H1204" s="82">
        <v>282</v>
      </c>
      <c r="I1204" s="82">
        <v>3327</v>
      </c>
      <c r="J1204" s="82">
        <v>9917</v>
      </c>
      <c r="K1204" s="82">
        <v>13244</v>
      </c>
      <c r="L1204" s="82">
        <v>-278</v>
      </c>
      <c r="M1204" s="82">
        <v>225</v>
      </c>
      <c r="N1204" s="82">
        <v>6701</v>
      </c>
      <c r="O1204" s="82">
        <v>3147</v>
      </c>
      <c r="P1204" s="82">
        <v>23092</v>
      </c>
      <c r="Q1204" s="82">
        <v>134878</v>
      </c>
      <c r="R1204" s="12" t="s">
        <v>248</v>
      </c>
      <c r="S1204" s="12" t="s">
        <v>25</v>
      </c>
      <c r="T1204" s="12" t="s">
        <v>25</v>
      </c>
    </row>
    <row r="1205" spans="1:20" hidden="1" x14ac:dyDescent="0.3">
      <c r="A1205" s="13">
        <v>43942.708333333336</v>
      </c>
      <c r="B1205" s="12" t="s">
        <v>22</v>
      </c>
      <c r="C1205" s="82">
        <v>6</v>
      </c>
      <c r="D1205" s="12" t="s">
        <v>47</v>
      </c>
      <c r="E1205" s="82">
        <v>456494354</v>
      </c>
      <c r="F1205" s="82">
        <v>1376813649</v>
      </c>
      <c r="G1205" s="82">
        <v>139</v>
      </c>
      <c r="H1205" s="82">
        <v>21</v>
      </c>
      <c r="I1205" s="82">
        <v>160</v>
      </c>
      <c r="J1205" s="82">
        <v>1162</v>
      </c>
      <c r="K1205" s="82">
        <v>1322</v>
      </c>
      <c r="L1205" s="82">
        <v>132</v>
      </c>
      <c r="M1205" s="82">
        <v>17</v>
      </c>
      <c r="N1205" s="82">
        <v>1229</v>
      </c>
      <c r="O1205" s="82">
        <v>241</v>
      </c>
      <c r="P1205" s="82">
        <v>2792</v>
      </c>
      <c r="Q1205" s="82">
        <v>48500</v>
      </c>
      <c r="R1205" s="12" t="s">
        <v>249</v>
      </c>
      <c r="S1205" s="12" t="s">
        <v>25</v>
      </c>
      <c r="T1205" s="12" t="s">
        <v>25</v>
      </c>
    </row>
    <row r="1206" spans="1:20" hidden="1" x14ac:dyDescent="0.3">
      <c r="A1206" s="13">
        <v>43942.708333333336</v>
      </c>
      <c r="B1206" s="12" t="s">
        <v>22</v>
      </c>
      <c r="C1206" s="82">
        <v>12</v>
      </c>
      <c r="D1206" s="12" t="s">
        <v>48</v>
      </c>
      <c r="E1206" s="82">
        <v>4189277044</v>
      </c>
      <c r="F1206" s="82">
        <v>1248366722</v>
      </c>
      <c r="G1206" s="82">
        <v>1380</v>
      </c>
      <c r="H1206" s="82">
        <v>184</v>
      </c>
      <c r="I1206" s="82">
        <v>1564</v>
      </c>
      <c r="J1206" s="82">
        <v>2838</v>
      </c>
      <c r="K1206" s="82">
        <v>4402</v>
      </c>
      <c r="L1206" s="82">
        <v>37</v>
      </c>
      <c r="M1206" s="82">
        <v>80</v>
      </c>
      <c r="N1206" s="82">
        <v>1130</v>
      </c>
      <c r="O1206" s="82">
        <v>363</v>
      </c>
      <c r="P1206" s="82">
        <v>5895</v>
      </c>
      <c r="Q1206" s="82">
        <v>100031</v>
      </c>
      <c r="R1206" s="12" t="s">
        <v>250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82">
        <v>7</v>
      </c>
      <c r="D1207" s="12" t="s">
        <v>49</v>
      </c>
      <c r="E1207" s="82">
        <v>4441149315</v>
      </c>
      <c r="F1207" s="82">
        <v>89326992</v>
      </c>
      <c r="G1207" s="82">
        <v>914</v>
      </c>
      <c r="H1207" s="82">
        <v>94</v>
      </c>
      <c r="I1207" s="82">
        <v>1008</v>
      </c>
      <c r="J1207" s="82">
        <v>2455</v>
      </c>
      <c r="K1207" s="82">
        <v>3463</v>
      </c>
      <c r="L1207" s="82">
        <v>-33</v>
      </c>
      <c r="M1207" s="82">
        <v>95</v>
      </c>
      <c r="N1207" s="82">
        <v>2311</v>
      </c>
      <c r="O1207" s="82">
        <v>990</v>
      </c>
      <c r="P1207" s="82">
        <v>6764</v>
      </c>
      <c r="Q1207" s="82">
        <v>34186</v>
      </c>
      <c r="R1207" s="12" t="s">
        <v>251</v>
      </c>
      <c r="S1207" s="12" t="s">
        <v>25</v>
      </c>
      <c r="T1207" s="12" t="s">
        <v>25</v>
      </c>
    </row>
    <row r="1208" spans="1:20" hidden="1" x14ac:dyDescent="0.3">
      <c r="A1208" s="13">
        <v>43942.708333333336</v>
      </c>
      <c r="B1208" s="12" t="s">
        <v>22</v>
      </c>
      <c r="C1208" s="82">
        <v>3</v>
      </c>
      <c r="D1208" s="12" t="s">
        <v>50</v>
      </c>
      <c r="E1208" s="82">
        <v>4546679409</v>
      </c>
      <c r="F1208" s="82">
        <v>9190347404</v>
      </c>
      <c r="G1208" s="82">
        <v>9805</v>
      </c>
      <c r="H1208" s="82">
        <v>851</v>
      </c>
      <c r="I1208" s="82">
        <v>10656</v>
      </c>
      <c r="J1208" s="82">
        <v>23322</v>
      </c>
      <c r="K1208" s="82">
        <v>33978</v>
      </c>
      <c r="L1208" s="82">
        <v>-609</v>
      </c>
      <c r="M1208" s="82">
        <v>960</v>
      </c>
      <c r="N1208" s="82">
        <v>21374</v>
      </c>
      <c r="O1208" s="82">
        <v>12579</v>
      </c>
      <c r="P1208" s="82">
        <v>67931</v>
      </c>
      <c r="Q1208" s="82">
        <v>277197</v>
      </c>
      <c r="R1208" s="12" t="s">
        <v>229</v>
      </c>
      <c r="S1208" s="12" t="s">
        <v>252</v>
      </c>
      <c r="T1208" s="12" t="s">
        <v>253</v>
      </c>
    </row>
    <row r="1209" spans="1:20" hidden="1" x14ac:dyDescent="0.3">
      <c r="A1209" s="13">
        <v>43942.708333333336</v>
      </c>
      <c r="B1209" s="12" t="s">
        <v>22</v>
      </c>
      <c r="C1209" s="82">
        <v>11</v>
      </c>
      <c r="D1209" s="12" t="s">
        <v>51</v>
      </c>
      <c r="E1209" s="82">
        <v>4361675973</v>
      </c>
      <c r="F1209" s="82">
        <v>135188753</v>
      </c>
      <c r="G1209" s="82">
        <v>784</v>
      </c>
      <c r="H1209" s="82">
        <v>78</v>
      </c>
      <c r="I1209" s="82">
        <v>862</v>
      </c>
      <c r="J1209" s="82">
        <v>2356</v>
      </c>
      <c r="K1209" s="82">
        <v>3218</v>
      </c>
      <c r="L1209" s="82">
        <v>6</v>
      </c>
      <c r="M1209" s="82">
        <v>51</v>
      </c>
      <c r="N1209" s="82">
        <v>1825</v>
      </c>
      <c r="O1209" s="82">
        <v>834</v>
      </c>
      <c r="P1209" s="82">
        <v>5877</v>
      </c>
      <c r="Q1209" s="82">
        <v>44332</v>
      </c>
      <c r="R1209" s="12" t="s">
        <v>254</v>
      </c>
      <c r="S1209" s="12" t="s">
        <v>25</v>
      </c>
      <c r="T1209" s="12" t="s">
        <v>25</v>
      </c>
    </row>
    <row r="1210" spans="1:20" hidden="1" x14ac:dyDescent="0.3">
      <c r="A1210" s="13">
        <v>43942.708333333336</v>
      </c>
      <c r="B1210" s="12" t="s">
        <v>22</v>
      </c>
      <c r="C1210" s="82">
        <v>14</v>
      </c>
      <c r="D1210" s="12" t="s">
        <v>52</v>
      </c>
      <c r="E1210" s="82">
        <v>4155774754</v>
      </c>
      <c r="F1210" s="82">
        <v>1465916051</v>
      </c>
      <c r="G1210" s="82">
        <v>27</v>
      </c>
      <c r="H1210" s="82">
        <v>2</v>
      </c>
      <c r="I1210" s="82">
        <v>29</v>
      </c>
      <c r="J1210" s="82">
        <v>184</v>
      </c>
      <c r="K1210" s="82">
        <v>213</v>
      </c>
      <c r="L1210" s="82">
        <v>0</v>
      </c>
      <c r="M1210" s="82">
        <v>1</v>
      </c>
      <c r="N1210" s="82">
        <v>51</v>
      </c>
      <c r="O1210" s="82">
        <v>18</v>
      </c>
      <c r="P1210" s="82">
        <v>282</v>
      </c>
      <c r="Q1210" s="82">
        <v>4124</v>
      </c>
      <c r="R1210" s="12" t="s">
        <v>255</v>
      </c>
      <c r="S1210" s="12" t="s">
        <v>25</v>
      </c>
      <c r="T1210" s="12" t="s">
        <v>25</v>
      </c>
    </row>
    <row r="1211" spans="1:20" hidden="1" x14ac:dyDescent="0.3">
      <c r="A1211" s="13">
        <v>43942.708333333336</v>
      </c>
      <c r="B1211" s="12" t="s">
        <v>22</v>
      </c>
      <c r="C1211" s="82">
        <v>1</v>
      </c>
      <c r="D1211" s="12" t="s">
        <v>53</v>
      </c>
      <c r="E1211" s="82">
        <v>450732745</v>
      </c>
      <c r="F1211" s="82">
        <v>7680687483</v>
      </c>
      <c r="G1211" s="82">
        <v>3116</v>
      </c>
      <c r="H1211" s="82">
        <v>293</v>
      </c>
      <c r="I1211" s="82">
        <v>3409</v>
      </c>
      <c r="J1211" s="82">
        <v>11402</v>
      </c>
      <c r="K1211" s="82">
        <v>14811</v>
      </c>
      <c r="L1211" s="82">
        <v>254</v>
      </c>
      <c r="M1211" s="82">
        <v>606</v>
      </c>
      <c r="N1211" s="82">
        <v>4659</v>
      </c>
      <c r="O1211" s="82">
        <v>2485</v>
      </c>
      <c r="P1211" s="82">
        <v>21955</v>
      </c>
      <c r="Q1211" s="82">
        <v>105434</v>
      </c>
      <c r="R1211" s="12" t="s">
        <v>256</v>
      </c>
      <c r="S1211" s="12" t="s">
        <v>25</v>
      </c>
      <c r="T1211" s="12" t="s">
        <v>25</v>
      </c>
    </row>
    <row r="1212" spans="1:20" hidden="1" x14ac:dyDescent="0.3">
      <c r="A1212" s="13">
        <v>43942.708333333336</v>
      </c>
      <c r="B1212" s="12" t="s">
        <v>22</v>
      </c>
      <c r="C1212" s="82">
        <v>16</v>
      </c>
      <c r="D1212" s="12" t="s">
        <v>54</v>
      </c>
      <c r="E1212" s="82">
        <v>4112559576</v>
      </c>
      <c r="F1212" s="82">
        <v>1686736689</v>
      </c>
      <c r="G1212" s="82">
        <v>569</v>
      </c>
      <c r="H1212" s="82">
        <v>65</v>
      </c>
      <c r="I1212" s="82">
        <v>634</v>
      </c>
      <c r="J1212" s="82">
        <v>2178</v>
      </c>
      <c r="K1212" s="82">
        <v>2812</v>
      </c>
      <c r="L1212" s="82">
        <v>2</v>
      </c>
      <c r="M1212" s="82">
        <v>55</v>
      </c>
      <c r="N1212" s="82">
        <v>459</v>
      </c>
      <c r="O1212" s="82">
        <v>351</v>
      </c>
      <c r="P1212" s="82">
        <v>3622</v>
      </c>
      <c r="Q1212" s="82">
        <v>45984</v>
      </c>
      <c r="R1212" s="12" t="s">
        <v>257</v>
      </c>
      <c r="S1212" s="12" t="s">
        <v>25</v>
      </c>
      <c r="T1212" s="12" t="s">
        <v>25</v>
      </c>
    </row>
    <row r="1213" spans="1:20" hidden="1" x14ac:dyDescent="0.3">
      <c r="A1213" s="13">
        <v>43942.708333333336</v>
      </c>
      <c r="B1213" s="12" t="s">
        <v>22</v>
      </c>
      <c r="C1213" s="82">
        <v>20</v>
      </c>
      <c r="D1213" s="12" t="s">
        <v>55</v>
      </c>
      <c r="E1213" s="82">
        <v>3921531192</v>
      </c>
      <c r="F1213" s="82">
        <v>9110616306</v>
      </c>
      <c r="G1213" s="82">
        <v>112</v>
      </c>
      <c r="H1213" s="82">
        <v>21</v>
      </c>
      <c r="I1213" s="82">
        <v>133</v>
      </c>
      <c r="J1213" s="82">
        <v>704</v>
      </c>
      <c r="K1213" s="82">
        <v>837</v>
      </c>
      <c r="L1213" s="82">
        <v>-17</v>
      </c>
      <c r="M1213" s="82">
        <v>8</v>
      </c>
      <c r="N1213" s="82">
        <v>306</v>
      </c>
      <c r="O1213" s="82">
        <v>93</v>
      </c>
      <c r="P1213" s="82">
        <v>1236</v>
      </c>
      <c r="Q1213" s="82">
        <v>15886</v>
      </c>
      <c r="R1213" s="12" t="s">
        <v>258</v>
      </c>
      <c r="S1213" s="12" t="s">
        <v>25</v>
      </c>
      <c r="T1213" s="12" t="s">
        <v>25</v>
      </c>
    </row>
    <row r="1214" spans="1:20" hidden="1" x14ac:dyDescent="0.3">
      <c r="A1214" s="13">
        <v>43942.708333333336</v>
      </c>
      <c r="B1214" s="12" t="s">
        <v>22</v>
      </c>
      <c r="C1214" s="82">
        <v>19</v>
      </c>
      <c r="D1214" s="12" t="s">
        <v>56</v>
      </c>
      <c r="E1214" s="82">
        <v>3811569725</v>
      </c>
      <c r="F1214" s="82">
        <v>133623567</v>
      </c>
      <c r="G1214" s="82">
        <v>514</v>
      </c>
      <c r="H1214" s="82">
        <v>37</v>
      </c>
      <c r="I1214" s="82">
        <v>551</v>
      </c>
      <c r="J1214" s="82">
        <v>1708</v>
      </c>
      <c r="K1214" s="82">
        <v>2259</v>
      </c>
      <c r="L1214" s="82">
        <v>49</v>
      </c>
      <c r="M1214" s="82">
        <v>76</v>
      </c>
      <c r="N1214" s="82">
        <v>370</v>
      </c>
      <c r="O1214" s="82">
        <v>206</v>
      </c>
      <c r="P1214" s="82">
        <v>2835</v>
      </c>
      <c r="Q1214" s="82">
        <v>55093</v>
      </c>
      <c r="R1214" s="12" t="s">
        <v>259</v>
      </c>
      <c r="S1214" s="12" t="s">
        <v>25</v>
      </c>
      <c r="T1214" s="12" t="s">
        <v>25</v>
      </c>
    </row>
    <row r="1215" spans="1:20" hidden="1" x14ac:dyDescent="0.3">
      <c r="A1215" s="13">
        <v>43942.708333333336</v>
      </c>
      <c r="B1215" s="12" t="s">
        <v>22</v>
      </c>
      <c r="C1215" s="82">
        <v>9</v>
      </c>
      <c r="D1215" s="12" t="s">
        <v>57</v>
      </c>
      <c r="E1215" s="82">
        <v>4376923077</v>
      </c>
      <c r="F1215" s="82">
        <v>1125588885</v>
      </c>
      <c r="G1215" s="82">
        <v>833</v>
      </c>
      <c r="H1215" s="82">
        <v>171</v>
      </c>
      <c r="I1215" s="82">
        <v>1004</v>
      </c>
      <c r="J1215" s="82">
        <v>5618</v>
      </c>
      <c r="K1215" s="82">
        <v>6622</v>
      </c>
      <c r="L1215" s="82">
        <v>54</v>
      </c>
      <c r="M1215" s="82">
        <v>96</v>
      </c>
      <c r="N1215" s="82">
        <v>1295</v>
      </c>
      <c r="O1215" s="82">
        <v>686</v>
      </c>
      <c r="P1215" s="82">
        <v>8603</v>
      </c>
      <c r="Q1215" s="82">
        <v>109925</v>
      </c>
      <c r="R1215" s="12" t="s">
        <v>260</v>
      </c>
      <c r="S1215" s="12" t="s">
        <v>25</v>
      </c>
      <c r="T1215" s="12" t="s">
        <v>25</v>
      </c>
    </row>
    <row r="1216" spans="1:20" hidden="1" x14ac:dyDescent="0.3">
      <c r="A1216" s="13">
        <v>43942.708333333336</v>
      </c>
      <c r="B1216" s="12" t="s">
        <v>22</v>
      </c>
      <c r="C1216" s="82">
        <v>22</v>
      </c>
      <c r="D1216" s="12" t="s">
        <v>58</v>
      </c>
      <c r="E1216" s="82">
        <v>4606893511</v>
      </c>
      <c r="F1216" s="82">
        <v>1112123097</v>
      </c>
      <c r="G1216" s="82">
        <v>254</v>
      </c>
      <c r="H1216" s="82">
        <v>38</v>
      </c>
      <c r="I1216" s="82">
        <v>292</v>
      </c>
      <c r="J1216" s="82">
        <v>1617</v>
      </c>
      <c r="K1216" s="82">
        <v>1909</v>
      </c>
      <c r="L1216" s="82">
        <v>-20</v>
      </c>
      <c r="M1216" s="82">
        <v>24</v>
      </c>
      <c r="N1216" s="82">
        <v>1329</v>
      </c>
      <c r="O1216" s="82">
        <v>376</v>
      </c>
      <c r="P1216" s="82">
        <v>3614</v>
      </c>
      <c r="Q1216" s="82">
        <v>26610</v>
      </c>
      <c r="R1216" s="12" t="s">
        <v>261</v>
      </c>
      <c r="S1216" s="12" t="s">
        <v>25</v>
      </c>
      <c r="T1216" s="12" t="s">
        <v>25</v>
      </c>
    </row>
    <row r="1217" spans="1:20" hidden="1" x14ac:dyDescent="0.3">
      <c r="A1217" s="13">
        <v>43942.708333333336</v>
      </c>
      <c r="B1217" s="12" t="s">
        <v>22</v>
      </c>
      <c r="C1217" s="82">
        <v>10</v>
      </c>
      <c r="D1217" s="12" t="s">
        <v>59</v>
      </c>
      <c r="E1217" s="82">
        <v>4310675841</v>
      </c>
      <c r="F1217" s="82">
        <v>1238824698</v>
      </c>
      <c r="G1217" s="82">
        <v>107</v>
      </c>
      <c r="H1217" s="82">
        <v>22</v>
      </c>
      <c r="I1217" s="82">
        <v>129</v>
      </c>
      <c r="J1217" s="82">
        <v>278</v>
      </c>
      <c r="K1217" s="82">
        <v>407</v>
      </c>
      <c r="L1217" s="82">
        <v>-17</v>
      </c>
      <c r="M1217" s="82">
        <v>4</v>
      </c>
      <c r="N1217" s="82">
        <v>886</v>
      </c>
      <c r="O1217" s="82">
        <v>60</v>
      </c>
      <c r="P1217" s="82">
        <v>1353</v>
      </c>
      <c r="Q1217" s="82">
        <v>26639</v>
      </c>
      <c r="R1217" s="12" t="s">
        <v>262</v>
      </c>
      <c r="S1217" s="12" t="s">
        <v>25</v>
      </c>
      <c r="T1217" s="12" t="s">
        <v>25</v>
      </c>
    </row>
    <row r="1218" spans="1:20" hidden="1" x14ac:dyDescent="0.3">
      <c r="A1218" s="13">
        <v>43942.708333333336</v>
      </c>
      <c r="B1218" s="12" t="s">
        <v>22</v>
      </c>
      <c r="C1218" s="82">
        <v>2</v>
      </c>
      <c r="D1218" s="12" t="s">
        <v>60</v>
      </c>
      <c r="E1218" s="82">
        <v>4573750286</v>
      </c>
      <c r="F1218" s="82">
        <v>7320149366</v>
      </c>
      <c r="G1218" s="82">
        <v>99</v>
      </c>
      <c r="H1218" s="82">
        <v>8</v>
      </c>
      <c r="I1218" s="82">
        <v>107</v>
      </c>
      <c r="J1218" s="82">
        <v>415</v>
      </c>
      <c r="K1218" s="82">
        <v>522</v>
      </c>
      <c r="L1218" s="82">
        <v>-26</v>
      </c>
      <c r="M1218" s="82">
        <v>5</v>
      </c>
      <c r="N1218" s="82">
        <v>445</v>
      </c>
      <c r="O1218" s="82">
        <v>126</v>
      </c>
      <c r="P1218" s="82">
        <v>1093</v>
      </c>
      <c r="Q1218" s="82">
        <v>4911</v>
      </c>
      <c r="R1218" s="12" t="s">
        <v>263</v>
      </c>
      <c r="S1218" s="12" t="s">
        <v>25</v>
      </c>
      <c r="T1218" s="12" t="s">
        <v>25</v>
      </c>
    </row>
    <row r="1219" spans="1:20" hidden="1" x14ac:dyDescent="0.3">
      <c r="A1219" s="13">
        <v>43942.708333333336</v>
      </c>
      <c r="B1219" s="12" t="s">
        <v>22</v>
      </c>
      <c r="C1219" s="83">
        <v>5</v>
      </c>
      <c r="D1219" s="12" t="s">
        <v>61</v>
      </c>
      <c r="E1219" s="83">
        <v>4543490485</v>
      </c>
      <c r="F1219" s="83">
        <v>1233845213</v>
      </c>
      <c r="G1219" s="83">
        <v>1230</v>
      </c>
      <c r="H1219" s="83">
        <v>177</v>
      </c>
      <c r="I1219" s="83">
        <v>1407</v>
      </c>
      <c r="J1219" s="83">
        <v>8670</v>
      </c>
      <c r="K1219" s="83">
        <v>10077</v>
      </c>
      <c r="L1219" s="83">
        <v>16</v>
      </c>
      <c r="M1219" s="83">
        <v>277</v>
      </c>
      <c r="N1219" s="83">
        <v>5173</v>
      </c>
      <c r="O1219" s="83">
        <v>1154</v>
      </c>
      <c r="P1219" s="83">
        <v>16404</v>
      </c>
      <c r="Q1219" s="83">
        <v>268069</v>
      </c>
      <c r="R1219" s="12" t="s">
        <v>264</v>
      </c>
      <c r="S1219" s="12" t="s">
        <v>25</v>
      </c>
      <c r="T1219" s="12" t="s">
        <v>25</v>
      </c>
    </row>
    <row r="1220" spans="1:20" hidden="1" x14ac:dyDescent="0.3">
      <c r="A1220" s="13">
        <v>43943.708333333336</v>
      </c>
      <c r="B1220" s="12" t="s">
        <v>22</v>
      </c>
      <c r="C1220" s="83">
        <v>13</v>
      </c>
      <c r="D1220" s="12" t="s">
        <v>42</v>
      </c>
      <c r="E1220" s="83">
        <v>4235122196</v>
      </c>
      <c r="F1220" s="83">
        <v>1339843823</v>
      </c>
      <c r="G1220" s="83">
        <v>309</v>
      </c>
      <c r="H1220" s="83">
        <v>35</v>
      </c>
      <c r="I1220" s="83">
        <v>344</v>
      </c>
      <c r="J1220" s="83">
        <v>1764</v>
      </c>
      <c r="K1220" s="83">
        <v>2108</v>
      </c>
      <c r="L1220" s="83">
        <v>41</v>
      </c>
      <c r="M1220" s="83">
        <v>66</v>
      </c>
      <c r="N1220" s="83">
        <v>349</v>
      </c>
      <c r="O1220" s="83">
        <v>276</v>
      </c>
      <c r="P1220" s="83">
        <v>2733</v>
      </c>
      <c r="Q1220" s="83">
        <v>30348</v>
      </c>
      <c r="R1220" s="12" t="s">
        <v>268</v>
      </c>
      <c r="S1220" s="12" t="s">
        <v>25</v>
      </c>
      <c r="T1220" s="12" t="s">
        <v>25</v>
      </c>
    </row>
    <row r="1221" spans="1:20" hidden="1" x14ac:dyDescent="0.3">
      <c r="A1221" s="13">
        <v>43943.708333333336</v>
      </c>
      <c r="B1221" s="12" t="s">
        <v>22</v>
      </c>
      <c r="C1221" s="83">
        <v>17</v>
      </c>
      <c r="D1221" s="12" t="s">
        <v>43</v>
      </c>
      <c r="E1221" s="83">
        <v>4063947052</v>
      </c>
      <c r="F1221" s="83">
        <v>1580514834</v>
      </c>
      <c r="G1221" s="83">
        <v>65</v>
      </c>
      <c r="H1221" s="83">
        <v>7</v>
      </c>
      <c r="I1221" s="83">
        <v>72</v>
      </c>
      <c r="J1221" s="83">
        <v>160</v>
      </c>
      <c r="K1221" s="83">
        <v>232</v>
      </c>
      <c r="L1221" s="83">
        <v>-13</v>
      </c>
      <c r="M1221" s="83">
        <v>4</v>
      </c>
      <c r="N1221" s="83">
        <v>98</v>
      </c>
      <c r="O1221" s="83">
        <v>24</v>
      </c>
      <c r="P1221" s="83">
        <v>354</v>
      </c>
      <c r="Q1221" s="83">
        <v>8040</v>
      </c>
      <c r="R1221" s="12" t="s">
        <v>269</v>
      </c>
      <c r="S1221" s="12" t="s">
        <v>25</v>
      </c>
      <c r="T1221" s="12" t="s">
        <v>25</v>
      </c>
    </row>
    <row r="1222" spans="1:20" hidden="1" x14ac:dyDescent="0.3">
      <c r="A1222" s="13">
        <v>43943.708333333336</v>
      </c>
      <c r="B1222" s="12" t="s">
        <v>22</v>
      </c>
      <c r="C1222" s="83">
        <v>21</v>
      </c>
      <c r="D1222" s="12" t="s">
        <v>44</v>
      </c>
      <c r="E1222" s="83">
        <v>4649933453</v>
      </c>
      <c r="F1222" s="83">
        <v>1135662422</v>
      </c>
      <c r="G1222" s="83">
        <v>157</v>
      </c>
      <c r="H1222" s="83">
        <v>19</v>
      </c>
      <c r="I1222" s="83">
        <v>176</v>
      </c>
      <c r="J1222" s="83">
        <v>1336</v>
      </c>
      <c r="K1222" s="83">
        <v>1512</v>
      </c>
      <c r="L1222" s="83">
        <v>-24</v>
      </c>
      <c r="M1222" s="83">
        <v>6</v>
      </c>
      <c r="N1222" s="83">
        <v>648</v>
      </c>
      <c r="O1222" s="83">
        <v>256</v>
      </c>
      <c r="P1222" s="83">
        <v>2416</v>
      </c>
      <c r="Q1222" s="83">
        <v>32722</v>
      </c>
      <c r="R1222" s="12" t="s">
        <v>270</v>
      </c>
      <c r="S1222" s="12" t="s">
        <v>25</v>
      </c>
      <c r="T1222" s="12" t="s">
        <v>25</v>
      </c>
    </row>
    <row r="1223" spans="1:20" hidden="1" x14ac:dyDescent="0.3">
      <c r="A1223" s="13">
        <v>43943.708333333336</v>
      </c>
      <c r="B1223" s="12" t="s">
        <v>22</v>
      </c>
      <c r="C1223" s="83">
        <v>18</v>
      </c>
      <c r="D1223" s="12" t="s">
        <v>45</v>
      </c>
      <c r="E1223" s="83">
        <v>3890597598</v>
      </c>
      <c r="F1223" s="83">
        <v>1659440194</v>
      </c>
      <c r="G1223" s="83">
        <v>128</v>
      </c>
      <c r="H1223" s="83">
        <v>7</v>
      </c>
      <c r="I1223" s="83">
        <v>135</v>
      </c>
      <c r="J1223" s="83">
        <v>686</v>
      </c>
      <c r="K1223" s="83">
        <v>821</v>
      </c>
      <c r="L1223" s="83">
        <v>2</v>
      </c>
      <c r="M1223" s="83">
        <v>13</v>
      </c>
      <c r="N1223" s="83">
        <v>163</v>
      </c>
      <c r="O1223" s="83">
        <v>76</v>
      </c>
      <c r="P1223" s="83">
        <v>1060</v>
      </c>
      <c r="Q1223" s="83">
        <v>26560</v>
      </c>
      <c r="R1223" s="12" t="s">
        <v>271</v>
      </c>
      <c r="S1223" s="12" t="s">
        <v>25</v>
      </c>
      <c r="T1223" s="12" t="s">
        <v>25</v>
      </c>
    </row>
    <row r="1224" spans="1:20" hidden="1" x14ac:dyDescent="0.3">
      <c r="A1224" s="13">
        <v>43943.708333333336</v>
      </c>
      <c r="B1224" s="12" t="s">
        <v>22</v>
      </c>
      <c r="C1224" s="83">
        <v>15</v>
      </c>
      <c r="D1224" s="12" t="s">
        <v>46</v>
      </c>
      <c r="E1224" s="83">
        <v>4083956555</v>
      </c>
      <c r="F1224" s="83">
        <v>1425084984</v>
      </c>
      <c r="G1224" s="83">
        <v>523</v>
      </c>
      <c r="H1224" s="83">
        <v>53</v>
      </c>
      <c r="I1224" s="83">
        <v>576</v>
      </c>
      <c r="J1224" s="83">
        <v>2422</v>
      </c>
      <c r="K1224" s="83">
        <v>2998</v>
      </c>
      <c r="L1224" s="83">
        <v>52</v>
      </c>
      <c r="M1224" s="83">
        <v>50</v>
      </c>
      <c r="N1224" s="83">
        <v>860</v>
      </c>
      <c r="O1224" s="83">
        <v>327</v>
      </c>
      <c r="P1224" s="83">
        <v>4185</v>
      </c>
      <c r="Q1224" s="83">
        <v>55701</v>
      </c>
      <c r="R1224" s="12" t="s">
        <v>272</v>
      </c>
      <c r="S1224" s="12" t="s">
        <v>25</v>
      </c>
      <c r="T1224" s="12" t="s">
        <v>25</v>
      </c>
    </row>
    <row r="1225" spans="1:20" hidden="1" x14ac:dyDescent="0.3">
      <c r="A1225" s="13">
        <v>43943.708333333336</v>
      </c>
      <c r="B1225" s="12" t="s">
        <v>22</v>
      </c>
      <c r="C1225" s="83">
        <v>8</v>
      </c>
      <c r="D1225" s="12" t="s">
        <v>95</v>
      </c>
      <c r="E1225" s="83">
        <v>4449436681</v>
      </c>
      <c r="F1225" s="83">
        <v>113417208</v>
      </c>
      <c r="G1225" s="83">
        <v>2964</v>
      </c>
      <c r="H1225" s="83">
        <v>282</v>
      </c>
      <c r="I1225" s="83">
        <v>3246</v>
      </c>
      <c r="J1225" s="83">
        <v>9838</v>
      </c>
      <c r="K1225" s="83">
        <v>13084</v>
      </c>
      <c r="L1225" s="83">
        <v>-160</v>
      </c>
      <c r="M1225" s="83">
        <v>342</v>
      </c>
      <c r="N1225" s="83">
        <v>7146</v>
      </c>
      <c r="O1225" s="83">
        <v>3204</v>
      </c>
      <c r="P1225" s="83">
        <v>23434</v>
      </c>
      <c r="Q1225" s="83">
        <v>140874</v>
      </c>
      <c r="R1225" s="12" t="s">
        <v>273</v>
      </c>
      <c r="S1225" s="12" t="s">
        <v>25</v>
      </c>
      <c r="T1225" s="12" t="s">
        <v>25</v>
      </c>
    </row>
    <row r="1226" spans="1:20" hidden="1" x14ac:dyDescent="0.3">
      <c r="A1226" s="13">
        <v>43943.708333333336</v>
      </c>
      <c r="B1226" s="12" t="s">
        <v>22</v>
      </c>
      <c r="C1226" s="83">
        <v>6</v>
      </c>
      <c r="D1226" s="12" t="s">
        <v>47</v>
      </c>
      <c r="E1226" s="83">
        <v>456494354</v>
      </c>
      <c r="F1226" s="83">
        <v>1376813649</v>
      </c>
      <c r="G1226" s="83">
        <v>134</v>
      </c>
      <c r="H1226" s="83">
        <v>20</v>
      </c>
      <c r="I1226" s="83">
        <v>154</v>
      </c>
      <c r="J1226" s="83">
        <v>1154</v>
      </c>
      <c r="K1226" s="83">
        <v>1308</v>
      </c>
      <c r="L1226" s="83">
        <v>-14</v>
      </c>
      <c r="M1226" s="83">
        <v>25</v>
      </c>
      <c r="N1226" s="83">
        <v>1263</v>
      </c>
      <c r="O1226" s="83">
        <v>246</v>
      </c>
      <c r="P1226" s="83">
        <v>2817</v>
      </c>
      <c r="Q1226" s="83">
        <v>50869</v>
      </c>
      <c r="R1226" s="12" t="s">
        <v>274</v>
      </c>
      <c r="S1226" s="12" t="s">
        <v>25</v>
      </c>
      <c r="T1226" s="12" t="s">
        <v>25</v>
      </c>
    </row>
    <row r="1227" spans="1:20" hidden="1" x14ac:dyDescent="0.3">
      <c r="A1227" s="13">
        <v>43943.708333333336</v>
      </c>
      <c r="B1227" s="12" t="s">
        <v>22</v>
      </c>
      <c r="C1227" s="83">
        <v>12</v>
      </c>
      <c r="D1227" s="12" t="s">
        <v>48</v>
      </c>
      <c r="E1227" s="83">
        <v>4189277044</v>
      </c>
      <c r="F1227" s="83">
        <v>1248366722</v>
      </c>
      <c r="G1227" s="83">
        <v>1384</v>
      </c>
      <c r="H1227" s="83">
        <v>187</v>
      </c>
      <c r="I1227" s="83">
        <v>1571</v>
      </c>
      <c r="J1227" s="83">
        <v>2892</v>
      </c>
      <c r="K1227" s="83">
        <v>4463</v>
      </c>
      <c r="L1227" s="83">
        <v>61</v>
      </c>
      <c r="M1227" s="83">
        <v>80</v>
      </c>
      <c r="N1227" s="83">
        <v>1142</v>
      </c>
      <c r="O1227" s="83">
        <v>370</v>
      </c>
      <c r="P1227" s="83">
        <v>5975</v>
      </c>
      <c r="Q1227" s="83">
        <v>104062</v>
      </c>
      <c r="R1227" s="12" t="s">
        <v>275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83">
        <v>7</v>
      </c>
      <c r="D1228" s="12" t="s">
        <v>49</v>
      </c>
      <c r="E1228" s="83">
        <v>4441149315</v>
      </c>
      <c r="F1228" s="83">
        <v>89326992</v>
      </c>
      <c r="G1228" s="83">
        <v>860</v>
      </c>
      <c r="H1228" s="83">
        <v>92</v>
      </c>
      <c r="I1228" s="83">
        <v>952</v>
      </c>
      <c r="J1228" s="83">
        <v>2524</v>
      </c>
      <c r="K1228" s="83">
        <v>3476</v>
      </c>
      <c r="L1228" s="83">
        <v>13</v>
      </c>
      <c r="M1228" s="83">
        <v>154</v>
      </c>
      <c r="N1228" s="83">
        <v>2420</v>
      </c>
      <c r="O1228" s="83">
        <v>1022</v>
      </c>
      <c r="P1228" s="83">
        <v>6918</v>
      </c>
      <c r="Q1228" s="83">
        <v>35990</v>
      </c>
      <c r="R1228" s="12" t="s">
        <v>276</v>
      </c>
      <c r="S1228" s="12" t="s">
        <v>25</v>
      </c>
      <c r="T1228" s="12" t="s">
        <v>25</v>
      </c>
    </row>
    <row r="1229" spans="1:20" hidden="1" x14ac:dyDescent="0.3">
      <c r="A1229" s="13">
        <v>43943.708333333336</v>
      </c>
      <c r="B1229" s="12" t="s">
        <v>22</v>
      </c>
      <c r="C1229" s="83">
        <v>3</v>
      </c>
      <c r="D1229" s="12" t="s">
        <v>50</v>
      </c>
      <c r="E1229" s="83">
        <v>4546679409</v>
      </c>
      <c r="F1229" s="83">
        <v>9190347404</v>
      </c>
      <c r="G1229" s="83">
        <v>9692</v>
      </c>
      <c r="H1229" s="83">
        <v>817</v>
      </c>
      <c r="I1229" s="83">
        <v>10509</v>
      </c>
      <c r="J1229" s="83">
        <v>23733</v>
      </c>
      <c r="K1229" s="83">
        <v>34242</v>
      </c>
      <c r="L1229" s="83">
        <v>264</v>
      </c>
      <c r="M1229" s="83">
        <v>1161</v>
      </c>
      <c r="N1229" s="83">
        <v>22110</v>
      </c>
      <c r="O1229" s="83">
        <v>12740</v>
      </c>
      <c r="P1229" s="83">
        <v>69092</v>
      </c>
      <c r="Q1229" s="83">
        <v>290699</v>
      </c>
      <c r="R1229" s="12" t="s">
        <v>277</v>
      </c>
      <c r="S1229" s="12" t="s">
        <v>25</v>
      </c>
      <c r="T1229" s="12" t="s">
        <v>25</v>
      </c>
    </row>
    <row r="1230" spans="1:20" hidden="1" x14ac:dyDescent="0.3">
      <c r="A1230" s="13">
        <v>43943.708333333336</v>
      </c>
      <c r="B1230" s="12" t="s">
        <v>22</v>
      </c>
      <c r="C1230" s="83">
        <v>11</v>
      </c>
      <c r="D1230" s="12" t="s">
        <v>51</v>
      </c>
      <c r="E1230" s="83">
        <v>4361675973</v>
      </c>
      <c r="F1230" s="83">
        <v>135188753</v>
      </c>
      <c r="G1230" s="83">
        <v>735</v>
      </c>
      <c r="H1230" s="83">
        <v>76</v>
      </c>
      <c r="I1230" s="83">
        <v>811</v>
      </c>
      <c r="J1230" s="83">
        <v>2419</v>
      </c>
      <c r="K1230" s="83">
        <v>3230</v>
      </c>
      <c r="L1230" s="83">
        <v>12</v>
      </c>
      <c r="M1230" s="83">
        <v>47</v>
      </c>
      <c r="N1230" s="83">
        <v>1849</v>
      </c>
      <c r="O1230" s="83">
        <v>845</v>
      </c>
      <c r="P1230" s="83">
        <v>5924</v>
      </c>
      <c r="Q1230" s="83">
        <v>46492</v>
      </c>
      <c r="R1230" s="12" t="s">
        <v>278</v>
      </c>
      <c r="S1230" s="12" t="s">
        <v>25</v>
      </c>
      <c r="T1230" s="12" t="s">
        <v>25</v>
      </c>
    </row>
    <row r="1231" spans="1:20" hidden="1" x14ac:dyDescent="0.3">
      <c r="A1231" s="13">
        <v>43943.708333333336</v>
      </c>
      <c r="B1231" s="12" t="s">
        <v>22</v>
      </c>
      <c r="C1231" s="83">
        <v>14</v>
      </c>
      <c r="D1231" s="12" t="s">
        <v>52</v>
      </c>
      <c r="E1231" s="83">
        <v>4155774754</v>
      </c>
      <c r="F1231" s="83">
        <v>1465916051</v>
      </c>
      <c r="G1231" s="83">
        <v>21</v>
      </c>
      <c r="H1231" s="83">
        <v>2</v>
      </c>
      <c r="I1231" s="83">
        <v>23</v>
      </c>
      <c r="J1231" s="83">
        <v>182</v>
      </c>
      <c r="K1231" s="83">
        <v>205</v>
      </c>
      <c r="L1231" s="83">
        <v>-8</v>
      </c>
      <c r="M1231" s="83">
        <v>2</v>
      </c>
      <c r="N1231" s="83">
        <v>60</v>
      </c>
      <c r="O1231" s="83">
        <v>19</v>
      </c>
      <c r="P1231" s="83">
        <v>284</v>
      </c>
      <c r="Q1231" s="83">
        <v>4425</v>
      </c>
      <c r="R1231" s="12" t="s">
        <v>279</v>
      </c>
      <c r="S1231" s="12" t="s">
        <v>25</v>
      </c>
      <c r="T1231" s="12" t="s">
        <v>25</v>
      </c>
    </row>
    <row r="1232" spans="1:20" hidden="1" x14ac:dyDescent="0.3">
      <c r="A1232" s="13">
        <v>43943.708333333336</v>
      </c>
      <c r="B1232" s="12" t="s">
        <v>22</v>
      </c>
      <c r="C1232" s="83">
        <v>1</v>
      </c>
      <c r="D1232" s="12" t="s">
        <v>53</v>
      </c>
      <c r="E1232" s="83">
        <v>450732745</v>
      </c>
      <c r="F1232" s="83">
        <v>7680687483</v>
      </c>
      <c r="G1232" s="83">
        <v>3213</v>
      </c>
      <c r="H1232" s="83">
        <v>273</v>
      </c>
      <c r="I1232" s="83">
        <v>3486</v>
      </c>
      <c r="J1232" s="83">
        <v>11636</v>
      </c>
      <c r="K1232" s="83">
        <v>15122</v>
      </c>
      <c r="L1232" s="83">
        <v>311</v>
      </c>
      <c r="M1232" s="83">
        <v>784</v>
      </c>
      <c r="N1232" s="83">
        <v>5058</v>
      </c>
      <c r="O1232" s="83">
        <v>2559</v>
      </c>
      <c r="P1232" s="83">
        <v>22739</v>
      </c>
      <c r="Q1232" s="83">
        <v>111513</v>
      </c>
      <c r="R1232" s="12" t="s">
        <v>280</v>
      </c>
      <c r="S1232" s="12" t="s">
        <v>25</v>
      </c>
      <c r="T1232" s="12" t="s">
        <v>25</v>
      </c>
    </row>
    <row r="1233" spans="1:20" hidden="1" x14ac:dyDescent="0.3">
      <c r="A1233" s="13">
        <v>43943.708333333336</v>
      </c>
      <c r="B1233" s="12" t="s">
        <v>22</v>
      </c>
      <c r="C1233" s="83">
        <v>16</v>
      </c>
      <c r="D1233" s="12" t="s">
        <v>54</v>
      </c>
      <c r="E1233" s="83">
        <v>4112559576</v>
      </c>
      <c r="F1233" s="83">
        <v>1686736689</v>
      </c>
      <c r="G1233" s="83">
        <v>564</v>
      </c>
      <c r="H1233" s="83">
        <v>60</v>
      </c>
      <c r="I1233" s="83">
        <v>624</v>
      </c>
      <c r="J1233" s="83">
        <v>2250</v>
      </c>
      <c r="K1233" s="83">
        <v>2874</v>
      </c>
      <c r="L1233" s="83">
        <v>62</v>
      </c>
      <c r="M1233" s="83">
        <v>108</v>
      </c>
      <c r="N1233" s="83">
        <v>494</v>
      </c>
      <c r="O1233" s="83">
        <v>362</v>
      </c>
      <c r="P1233" s="83">
        <v>3730</v>
      </c>
      <c r="Q1233" s="83">
        <v>48342</v>
      </c>
      <c r="R1233" s="12" t="s">
        <v>281</v>
      </c>
      <c r="S1233" s="12" t="s">
        <v>25</v>
      </c>
      <c r="T1233" s="12" t="s">
        <v>25</v>
      </c>
    </row>
    <row r="1234" spans="1:20" hidden="1" x14ac:dyDescent="0.3">
      <c r="A1234" s="13">
        <v>43943.708333333336</v>
      </c>
      <c r="B1234" s="12" t="s">
        <v>22</v>
      </c>
      <c r="C1234" s="83">
        <v>20</v>
      </c>
      <c r="D1234" s="12" t="s">
        <v>55</v>
      </c>
      <c r="E1234" s="83">
        <v>3921531192</v>
      </c>
      <c r="F1234" s="83">
        <v>9110616306</v>
      </c>
      <c r="G1234" s="83">
        <v>97</v>
      </c>
      <c r="H1234" s="83">
        <v>20</v>
      </c>
      <c r="I1234" s="83">
        <v>117</v>
      </c>
      <c r="J1234" s="83">
        <v>716</v>
      </c>
      <c r="K1234" s="83">
        <v>833</v>
      </c>
      <c r="L1234" s="83">
        <v>-4</v>
      </c>
      <c r="M1234" s="83">
        <v>11</v>
      </c>
      <c r="N1234" s="83">
        <v>318</v>
      </c>
      <c r="O1234" s="83">
        <v>96</v>
      </c>
      <c r="P1234" s="83">
        <v>1247</v>
      </c>
      <c r="Q1234" s="83">
        <v>16886</v>
      </c>
      <c r="R1234" s="12" t="s">
        <v>282</v>
      </c>
      <c r="S1234" s="12" t="s">
        <v>25</v>
      </c>
      <c r="T1234" s="12" t="s">
        <v>25</v>
      </c>
    </row>
    <row r="1235" spans="1:20" hidden="1" x14ac:dyDescent="0.3">
      <c r="A1235" s="13">
        <v>43943.708333333336</v>
      </c>
      <c r="B1235" s="12" t="s">
        <v>22</v>
      </c>
      <c r="C1235" s="83">
        <v>19</v>
      </c>
      <c r="D1235" s="12" t="s">
        <v>56</v>
      </c>
      <c r="E1235" s="83">
        <v>3811569725</v>
      </c>
      <c r="F1235" s="83">
        <v>133623567</v>
      </c>
      <c r="G1235" s="83">
        <v>500</v>
      </c>
      <c r="H1235" s="83">
        <v>35</v>
      </c>
      <c r="I1235" s="83">
        <v>535</v>
      </c>
      <c r="J1235" s="83">
        <v>1752</v>
      </c>
      <c r="K1235" s="83">
        <v>2287</v>
      </c>
      <c r="L1235" s="83">
        <v>28</v>
      </c>
      <c r="M1235" s="83">
        <v>48</v>
      </c>
      <c r="N1235" s="83">
        <v>388</v>
      </c>
      <c r="O1235" s="83">
        <v>208</v>
      </c>
      <c r="P1235" s="83">
        <v>2883</v>
      </c>
      <c r="Q1235" s="83">
        <v>58732</v>
      </c>
      <c r="R1235" s="12" t="s">
        <v>283</v>
      </c>
      <c r="S1235" s="12" t="s">
        <v>25</v>
      </c>
      <c r="T1235" s="12" t="s">
        <v>25</v>
      </c>
    </row>
    <row r="1236" spans="1:20" hidden="1" x14ac:dyDescent="0.3">
      <c r="A1236" s="13">
        <v>43943.708333333336</v>
      </c>
      <c r="B1236" s="12" t="s">
        <v>22</v>
      </c>
      <c r="C1236" s="83">
        <v>9</v>
      </c>
      <c r="D1236" s="12" t="s">
        <v>57</v>
      </c>
      <c r="E1236" s="83">
        <v>4376923077</v>
      </c>
      <c r="F1236" s="83">
        <v>1125588885</v>
      </c>
      <c r="G1236" s="83">
        <v>820</v>
      </c>
      <c r="H1236" s="83">
        <v>174</v>
      </c>
      <c r="I1236" s="83">
        <v>994</v>
      </c>
      <c r="J1236" s="83">
        <v>5173</v>
      </c>
      <c r="K1236" s="83">
        <v>6167</v>
      </c>
      <c r="L1236" s="83">
        <v>-455</v>
      </c>
      <c r="M1236" s="83">
        <v>97</v>
      </c>
      <c r="N1236" s="83">
        <v>1828</v>
      </c>
      <c r="O1236" s="83">
        <v>705</v>
      </c>
      <c r="P1236" s="83">
        <v>8700</v>
      </c>
      <c r="Q1236" s="83">
        <v>114100</v>
      </c>
      <c r="R1236" s="12" t="s">
        <v>284</v>
      </c>
      <c r="S1236" s="12" t="s">
        <v>25</v>
      </c>
      <c r="T1236" s="12" t="s">
        <v>25</v>
      </c>
    </row>
    <row r="1237" spans="1:20" hidden="1" x14ac:dyDescent="0.3">
      <c r="A1237" s="13">
        <v>43943.708333333336</v>
      </c>
      <c r="B1237" s="12" t="s">
        <v>22</v>
      </c>
      <c r="C1237" s="83">
        <v>22</v>
      </c>
      <c r="D1237" s="12" t="s">
        <v>58</v>
      </c>
      <c r="E1237" s="83">
        <v>4606893511</v>
      </c>
      <c r="F1237" s="83">
        <v>1112123097</v>
      </c>
      <c r="G1237" s="83">
        <v>245</v>
      </c>
      <c r="H1237" s="83">
        <v>34</v>
      </c>
      <c r="I1237" s="83">
        <v>279</v>
      </c>
      <c r="J1237" s="83">
        <v>1595</v>
      </c>
      <c r="K1237" s="83">
        <v>1874</v>
      </c>
      <c r="L1237" s="83">
        <v>-35</v>
      </c>
      <c r="M1237" s="83">
        <v>32</v>
      </c>
      <c r="N1237" s="83">
        <v>1391</v>
      </c>
      <c r="O1237" s="83">
        <v>381</v>
      </c>
      <c r="P1237" s="83">
        <v>3646</v>
      </c>
      <c r="Q1237" s="83">
        <v>26674</v>
      </c>
      <c r="R1237" s="12" t="s">
        <v>285</v>
      </c>
      <c r="S1237" s="12" t="s">
        <v>25</v>
      </c>
      <c r="T1237" s="12" t="s">
        <v>25</v>
      </c>
    </row>
    <row r="1238" spans="1:20" hidden="1" x14ac:dyDescent="0.3">
      <c r="A1238" s="13">
        <v>43943.708333333336</v>
      </c>
      <c r="B1238" s="12" t="s">
        <v>22</v>
      </c>
      <c r="C1238" s="83">
        <v>10</v>
      </c>
      <c r="D1238" s="12" t="s">
        <v>59</v>
      </c>
      <c r="E1238" s="83">
        <v>4310675841</v>
      </c>
      <c r="F1238" s="83">
        <v>1238824698</v>
      </c>
      <c r="G1238" s="83">
        <v>97</v>
      </c>
      <c r="H1238" s="83">
        <v>20</v>
      </c>
      <c r="I1238" s="83">
        <v>117</v>
      </c>
      <c r="J1238" s="83">
        <v>254</v>
      </c>
      <c r="K1238" s="83">
        <v>371</v>
      </c>
      <c r="L1238" s="83">
        <v>-36</v>
      </c>
      <c r="M1238" s="83">
        <v>4</v>
      </c>
      <c r="N1238" s="83">
        <v>925</v>
      </c>
      <c r="O1238" s="83">
        <v>61</v>
      </c>
      <c r="P1238" s="83">
        <v>1357</v>
      </c>
      <c r="Q1238" s="83">
        <v>27655</v>
      </c>
      <c r="R1238" s="12" t="s">
        <v>286</v>
      </c>
      <c r="S1238" s="12" t="s">
        <v>25</v>
      </c>
      <c r="T1238" s="12" t="s">
        <v>25</v>
      </c>
    </row>
    <row r="1239" spans="1:20" hidden="1" x14ac:dyDescent="0.3">
      <c r="A1239" s="13">
        <v>43943.708333333336</v>
      </c>
      <c r="B1239" s="12" t="s">
        <v>22</v>
      </c>
      <c r="C1239" s="83">
        <v>2</v>
      </c>
      <c r="D1239" s="12" t="s">
        <v>60</v>
      </c>
      <c r="E1239" s="83">
        <v>4573750286</v>
      </c>
      <c r="F1239" s="83">
        <v>7320149366</v>
      </c>
      <c r="G1239" s="83">
        <v>92</v>
      </c>
      <c r="H1239" s="83">
        <v>8</v>
      </c>
      <c r="I1239" s="83">
        <v>100</v>
      </c>
      <c r="J1239" s="83">
        <v>401</v>
      </c>
      <c r="K1239" s="83">
        <v>501</v>
      </c>
      <c r="L1239" s="83">
        <v>-21</v>
      </c>
      <c r="M1239" s="83">
        <v>2</v>
      </c>
      <c r="N1239" s="83">
        <v>467</v>
      </c>
      <c r="O1239" s="83">
        <v>127</v>
      </c>
      <c r="P1239" s="83">
        <v>1095</v>
      </c>
      <c r="Q1239" s="83">
        <v>5024</v>
      </c>
      <c r="R1239" s="12" t="s">
        <v>287</v>
      </c>
      <c r="S1239" s="12" t="s">
        <v>25</v>
      </c>
      <c r="T1239" s="12" t="s">
        <v>25</v>
      </c>
    </row>
    <row r="1240" spans="1:20" hidden="1" x14ac:dyDescent="0.3">
      <c r="A1240" s="13">
        <v>43943.708333333336</v>
      </c>
      <c r="B1240" s="12" t="s">
        <v>22</v>
      </c>
      <c r="C1240" s="86">
        <v>5</v>
      </c>
      <c r="D1240" s="12" t="s">
        <v>61</v>
      </c>
      <c r="E1240" s="86">
        <v>4543490485</v>
      </c>
      <c r="F1240" s="86">
        <v>1233845213</v>
      </c>
      <c r="G1240" s="86">
        <v>1205</v>
      </c>
      <c r="H1240" s="86">
        <v>163</v>
      </c>
      <c r="I1240" s="86">
        <v>1368</v>
      </c>
      <c r="J1240" s="86">
        <v>8623</v>
      </c>
      <c r="K1240" s="86">
        <v>9991</v>
      </c>
      <c r="L1240" s="86">
        <v>-86</v>
      </c>
      <c r="M1240" s="86">
        <v>334</v>
      </c>
      <c r="N1240" s="86">
        <v>5566</v>
      </c>
      <c r="O1240" s="86">
        <v>1181</v>
      </c>
      <c r="P1240" s="86">
        <v>16738</v>
      </c>
      <c r="Q1240" s="86">
        <v>277543</v>
      </c>
      <c r="R1240" s="12" t="s">
        <v>288</v>
      </c>
      <c r="S1240" s="12" t="s">
        <v>25</v>
      </c>
      <c r="T1240" s="12" t="s">
        <v>25</v>
      </c>
    </row>
    <row r="1241" spans="1:20" hidden="1" x14ac:dyDescent="0.3">
      <c r="A1241" s="13">
        <v>43944.708333333336</v>
      </c>
      <c r="B1241" s="12" t="s">
        <v>22</v>
      </c>
      <c r="C1241" s="86">
        <v>13</v>
      </c>
      <c r="D1241" s="12" t="s">
        <v>42</v>
      </c>
      <c r="E1241" s="86">
        <v>4235122196</v>
      </c>
      <c r="F1241" s="86">
        <v>1339843823</v>
      </c>
      <c r="G1241" s="86">
        <v>322</v>
      </c>
      <c r="H1241" s="86">
        <v>31</v>
      </c>
      <c r="I1241" s="86">
        <v>353</v>
      </c>
      <c r="J1241" s="86">
        <v>1747</v>
      </c>
      <c r="K1241" s="86">
        <v>2100</v>
      </c>
      <c r="L1241" s="86">
        <v>-8</v>
      </c>
      <c r="M1241" s="86">
        <v>52</v>
      </c>
      <c r="N1241" s="86">
        <v>405</v>
      </c>
      <c r="O1241" s="86">
        <v>280</v>
      </c>
      <c r="P1241" s="86">
        <v>2785</v>
      </c>
      <c r="Q1241" s="86">
        <v>31187</v>
      </c>
      <c r="R1241" s="12" t="s">
        <v>307</v>
      </c>
      <c r="S1241" s="12" t="s">
        <v>25</v>
      </c>
      <c r="T1241" s="12" t="s">
        <v>25</v>
      </c>
    </row>
    <row r="1242" spans="1:20" hidden="1" x14ac:dyDescent="0.3">
      <c r="A1242" s="13">
        <v>43944.708333333336</v>
      </c>
      <c r="B1242" s="12" t="s">
        <v>22</v>
      </c>
      <c r="C1242" s="86">
        <v>17</v>
      </c>
      <c r="D1242" s="12" t="s">
        <v>43</v>
      </c>
      <c r="E1242" s="86">
        <v>4063947052</v>
      </c>
      <c r="F1242" s="86">
        <v>1580514834</v>
      </c>
      <c r="G1242" s="86">
        <v>61</v>
      </c>
      <c r="H1242" s="86">
        <v>7</v>
      </c>
      <c r="I1242" s="86">
        <v>68</v>
      </c>
      <c r="J1242" s="86">
        <v>161</v>
      </c>
      <c r="K1242" s="86">
        <v>229</v>
      </c>
      <c r="L1242" s="86">
        <v>-3</v>
      </c>
      <c r="M1242" s="86">
        <v>2</v>
      </c>
      <c r="N1242" s="86">
        <v>103</v>
      </c>
      <c r="O1242" s="86">
        <v>24</v>
      </c>
      <c r="P1242" s="86">
        <v>356</v>
      </c>
      <c r="Q1242" s="86">
        <v>8511</v>
      </c>
      <c r="R1242" s="12" t="s">
        <v>308</v>
      </c>
      <c r="S1242" s="12" t="s">
        <v>25</v>
      </c>
      <c r="T1242" s="12" t="s">
        <v>25</v>
      </c>
    </row>
    <row r="1243" spans="1:20" hidden="1" x14ac:dyDescent="0.3">
      <c r="A1243" s="13">
        <v>43944.708333333336</v>
      </c>
      <c r="B1243" s="12" t="s">
        <v>22</v>
      </c>
      <c r="C1243" s="86">
        <v>21</v>
      </c>
      <c r="D1243" s="12" t="s">
        <v>44</v>
      </c>
      <c r="E1243" s="86">
        <v>4649933453</v>
      </c>
      <c r="F1243" s="86">
        <v>1135662422</v>
      </c>
      <c r="G1243" s="86">
        <v>141</v>
      </c>
      <c r="H1243" s="86">
        <v>17</v>
      </c>
      <c r="I1243" s="86">
        <v>158</v>
      </c>
      <c r="J1243" s="86">
        <v>1336</v>
      </c>
      <c r="K1243" s="86">
        <v>1494</v>
      </c>
      <c r="L1243" s="86">
        <v>-18</v>
      </c>
      <c r="M1243" s="86">
        <v>19</v>
      </c>
      <c r="N1243" s="86">
        <v>680</v>
      </c>
      <c r="O1243" s="86">
        <v>261</v>
      </c>
      <c r="P1243" s="86">
        <v>2435</v>
      </c>
      <c r="Q1243" s="86">
        <v>33994</v>
      </c>
      <c r="R1243" s="12" t="s">
        <v>309</v>
      </c>
      <c r="S1243" s="12" t="s">
        <v>25</v>
      </c>
      <c r="T1243" s="12" t="s">
        <v>25</v>
      </c>
    </row>
    <row r="1244" spans="1:20" hidden="1" x14ac:dyDescent="0.3">
      <c r="A1244" s="13">
        <v>43944.708333333336</v>
      </c>
      <c r="B1244" s="12" t="s">
        <v>22</v>
      </c>
      <c r="C1244" s="86">
        <v>18</v>
      </c>
      <c r="D1244" s="12" t="s">
        <v>45</v>
      </c>
      <c r="E1244" s="86">
        <v>3890597598</v>
      </c>
      <c r="F1244" s="86">
        <v>1659440194</v>
      </c>
      <c r="G1244" s="86">
        <v>129</v>
      </c>
      <c r="H1244" s="86">
        <v>7</v>
      </c>
      <c r="I1244" s="86">
        <v>136</v>
      </c>
      <c r="J1244" s="86">
        <v>687</v>
      </c>
      <c r="K1244" s="86">
        <v>823</v>
      </c>
      <c r="L1244" s="86">
        <v>2</v>
      </c>
      <c r="M1244" s="86">
        <v>9</v>
      </c>
      <c r="N1244" s="86">
        <v>170</v>
      </c>
      <c r="O1244" s="86">
        <v>76</v>
      </c>
      <c r="P1244" s="86">
        <v>1069</v>
      </c>
      <c r="Q1244" s="86">
        <v>27869</v>
      </c>
      <c r="R1244" s="12" t="s">
        <v>310</v>
      </c>
      <c r="S1244" s="12" t="s">
        <v>25</v>
      </c>
      <c r="T1244" s="12" t="s">
        <v>25</v>
      </c>
    </row>
    <row r="1245" spans="1:20" hidden="1" x14ac:dyDescent="0.3">
      <c r="A1245" s="13">
        <v>43944.708333333336</v>
      </c>
      <c r="B1245" s="12" t="s">
        <v>22</v>
      </c>
      <c r="C1245" s="86">
        <v>15</v>
      </c>
      <c r="D1245" s="12" t="s">
        <v>46</v>
      </c>
      <c r="E1245" s="86">
        <v>4083956555</v>
      </c>
      <c r="F1245" s="86">
        <v>1425084984</v>
      </c>
      <c r="G1245" s="86">
        <v>539</v>
      </c>
      <c r="H1245" s="86">
        <v>47</v>
      </c>
      <c r="I1245" s="86">
        <v>586</v>
      </c>
      <c r="J1245" s="86">
        <v>2392</v>
      </c>
      <c r="K1245" s="86">
        <v>2978</v>
      </c>
      <c r="L1245" s="86">
        <v>-20</v>
      </c>
      <c r="M1245" s="86">
        <v>53</v>
      </c>
      <c r="N1245" s="86">
        <v>928</v>
      </c>
      <c r="O1245" s="86">
        <v>332</v>
      </c>
      <c r="P1245" s="86">
        <v>4238</v>
      </c>
      <c r="Q1245" s="86">
        <v>58324</v>
      </c>
      <c r="R1245" s="12" t="s">
        <v>272</v>
      </c>
      <c r="S1245" s="12" t="s">
        <v>311</v>
      </c>
      <c r="T1245" s="12" t="s">
        <v>312</v>
      </c>
    </row>
    <row r="1246" spans="1:20" hidden="1" x14ac:dyDescent="0.3">
      <c r="A1246" s="13">
        <v>43944.708333333336</v>
      </c>
      <c r="B1246" s="12" t="s">
        <v>22</v>
      </c>
      <c r="C1246" s="86">
        <v>8</v>
      </c>
      <c r="D1246" s="12" t="s">
        <v>95</v>
      </c>
      <c r="E1246" s="86">
        <v>4449436681</v>
      </c>
      <c r="F1246" s="86">
        <v>113417208</v>
      </c>
      <c r="G1246" s="86">
        <v>2889</v>
      </c>
      <c r="H1246" s="86">
        <v>266</v>
      </c>
      <c r="I1246" s="86">
        <v>3155</v>
      </c>
      <c r="J1246" s="86">
        <v>9690</v>
      </c>
      <c r="K1246" s="86">
        <v>12845</v>
      </c>
      <c r="L1246" s="86">
        <v>-239</v>
      </c>
      <c r="M1246" s="86">
        <v>289</v>
      </c>
      <c r="N1246" s="86">
        <v>7609</v>
      </c>
      <c r="O1246" s="86">
        <v>3269</v>
      </c>
      <c r="P1246" s="86">
        <v>23723</v>
      </c>
      <c r="Q1246" s="86">
        <v>146146</v>
      </c>
      <c r="R1246" s="12" t="s">
        <v>313</v>
      </c>
      <c r="S1246" s="12" t="s">
        <v>25</v>
      </c>
      <c r="T1246" s="12" t="s">
        <v>25</v>
      </c>
    </row>
    <row r="1247" spans="1:20" hidden="1" x14ac:dyDescent="0.3">
      <c r="A1247" s="13">
        <v>43944.708333333336</v>
      </c>
      <c r="B1247" s="12" t="s">
        <v>22</v>
      </c>
      <c r="C1247" s="86">
        <v>6</v>
      </c>
      <c r="D1247" s="12" t="s">
        <v>47</v>
      </c>
      <c r="E1247" s="86">
        <v>456494354</v>
      </c>
      <c r="F1247" s="86">
        <v>1376813649</v>
      </c>
      <c r="G1247" s="86">
        <v>138</v>
      </c>
      <c r="H1247" s="86">
        <v>18</v>
      </c>
      <c r="I1247" s="86">
        <v>156</v>
      </c>
      <c r="J1247" s="86">
        <v>979</v>
      </c>
      <c r="K1247" s="86">
        <v>1135</v>
      </c>
      <c r="L1247" s="86">
        <v>-173</v>
      </c>
      <c r="M1247" s="86">
        <v>41</v>
      </c>
      <c r="N1247" s="86">
        <v>1467</v>
      </c>
      <c r="O1247" s="86">
        <v>256</v>
      </c>
      <c r="P1247" s="86">
        <v>2858</v>
      </c>
      <c r="Q1247" s="86">
        <v>52918</v>
      </c>
      <c r="R1247" s="12" t="s">
        <v>314</v>
      </c>
      <c r="S1247" s="12" t="s">
        <v>25</v>
      </c>
      <c r="T1247" s="12" t="s">
        <v>25</v>
      </c>
    </row>
    <row r="1248" spans="1:20" hidden="1" x14ac:dyDescent="0.3">
      <c r="A1248" s="13">
        <v>43944.708333333336</v>
      </c>
      <c r="B1248" s="12" t="s">
        <v>22</v>
      </c>
      <c r="C1248" s="86">
        <v>12</v>
      </c>
      <c r="D1248" s="12" t="s">
        <v>48</v>
      </c>
      <c r="E1248" s="86">
        <v>4189277044</v>
      </c>
      <c r="F1248" s="86">
        <v>1248366722</v>
      </c>
      <c r="G1248" s="86">
        <v>1385</v>
      </c>
      <c r="H1248" s="86">
        <v>186</v>
      </c>
      <c r="I1248" s="86">
        <v>1571</v>
      </c>
      <c r="J1248" s="86">
        <v>2915</v>
      </c>
      <c r="K1248" s="86">
        <v>4486</v>
      </c>
      <c r="L1248" s="86">
        <v>23</v>
      </c>
      <c r="M1248" s="86">
        <v>79</v>
      </c>
      <c r="N1248" s="86">
        <v>1193</v>
      </c>
      <c r="O1248" s="86">
        <v>375</v>
      </c>
      <c r="P1248" s="86">
        <v>6054</v>
      </c>
      <c r="Q1248" s="86">
        <v>111073</v>
      </c>
      <c r="R1248" s="12" t="s">
        <v>315</v>
      </c>
      <c r="S1248" s="12" t="s">
        <v>316</v>
      </c>
      <c r="T1248" s="12" t="s">
        <v>317</v>
      </c>
    </row>
    <row r="1249" spans="1:20" x14ac:dyDescent="0.3">
      <c r="A1249" s="13">
        <v>43944.708333333336</v>
      </c>
      <c r="B1249" s="12" t="s">
        <v>22</v>
      </c>
      <c r="C1249" s="86">
        <v>7</v>
      </c>
      <c r="D1249" s="12" t="s">
        <v>49</v>
      </c>
      <c r="E1249" s="86">
        <v>4441149315</v>
      </c>
      <c r="F1249" s="86">
        <v>89326992</v>
      </c>
      <c r="G1249" s="86">
        <v>783</v>
      </c>
      <c r="H1249" s="86">
        <v>91</v>
      </c>
      <c r="I1249" s="86">
        <v>874</v>
      </c>
      <c r="J1249" s="86">
        <v>2592</v>
      </c>
      <c r="K1249" s="86">
        <v>3466</v>
      </c>
      <c r="L1249" s="86">
        <v>-10</v>
      </c>
      <c r="M1249" s="86">
        <v>131</v>
      </c>
      <c r="N1249" s="86">
        <v>2536</v>
      </c>
      <c r="O1249" s="86">
        <v>1047</v>
      </c>
      <c r="P1249" s="86">
        <v>7049</v>
      </c>
      <c r="Q1249" s="86">
        <v>37842</v>
      </c>
      <c r="R1249" s="12" t="s">
        <v>318</v>
      </c>
      <c r="S1249" s="12" t="s">
        <v>25</v>
      </c>
      <c r="T1249" s="12" t="s">
        <v>25</v>
      </c>
    </row>
    <row r="1250" spans="1:20" hidden="1" x14ac:dyDescent="0.3">
      <c r="A1250" s="13">
        <v>43944.708333333336</v>
      </c>
      <c r="B1250" s="12" t="s">
        <v>22</v>
      </c>
      <c r="C1250" s="86">
        <v>3</v>
      </c>
      <c r="D1250" s="12" t="s">
        <v>50</v>
      </c>
      <c r="E1250" s="86">
        <v>4546679409</v>
      </c>
      <c r="F1250" s="86">
        <v>9190347404</v>
      </c>
      <c r="G1250" s="86">
        <v>9192</v>
      </c>
      <c r="H1250" s="86">
        <v>790</v>
      </c>
      <c r="I1250" s="86">
        <v>9982</v>
      </c>
      <c r="J1250" s="86">
        <v>23891</v>
      </c>
      <c r="K1250" s="86">
        <v>33873</v>
      </c>
      <c r="L1250" s="86">
        <v>-369</v>
      </c>
      <c r="M1250" s="86">
        <v>1073</v>
      </c>
      <c r="N1250" s="86">
        <v>23352</v>
      </c>
      <c r="O1250" s="86">
        <v>12940</v>
      </c>
      <c r="P1250" s="86">
        <v>70165</v>
      </c>
      <c r="Q1250" s="86">
        <v>302715</v>
      </c>
      <c r="R1250" s="12" t="s">
        <v>319</v>
      </c>
      <c r="S1250" s="12" t="s">
        <v>25</v>
      </c>
      <c r="T1250" s="12" t="s">
        <v>25</v>
      </c>
    </row>
    <row r="1251" spans="1:20" hidden="1" x14ac:dyDescent="0.3">
      <c r="A1251" s="13">
        <v>43944.708333333336</v>
      </c>
      <c r="B1251" s="12" t="s">
        <v>22</v>
      </c>
      <c r="C1251" s="86">
        <v>11</v>
      </c>
      <c r="D1251" s="12" t="s">
        <v>51</v>
      </c>
      <c r="E1251" s="86">
        <v>4361675973</v>
      </c>
      <c r="F1251" s="86">
        <v>135188753</v>
      </c>
      <c r="G1251" s="86">
        <v>727</v>
      </c>
      <c r="H1251" s="86">
        <v>71</v>
      </c>
      <c r="I1251" s="86">
        <v>798</v>
      </c>
      <c r="J1251" s="86">
        <v>2432</v>
      </c>
      <c r="K1251" s="86">
        <v>3230</v>
      </c>
      <c r="L1251" s="86">
        <v>0</v>
      </c>
      <c r="M1251" s="86">
        <v>28</v>
      </c>
      <c r="N1251" s="86">
        <v>1865</v>
      </c>
      <c r="O1251" s="86">
        <v>857</v>
      </c>
      <c r="P1251" s="86">
        <v>5952</v>
      </c>
      <c r="Q1251" s="86">
        <v>47662</v>
      </c>
      <c r="R1251" s="12" t="s">
        <v>320</v>
      </c>
      <c r="S1251" s="12" t="s">
        <v>25</v>
      </c>
      <c r="T1251" s="12" t="s">
        <v>25</v>
      </c>
    </row>
    <row r="1252" spans="1:20" hidden="1" x14ac:dyDescent="0.3">
      <c r="A1252" s="13">
        <v>43944.708333333336</v>
      </c>
      <c r="B1252" s="12" t="s">
        <v>22</v>
      </c>
      <c r="C1252" s="86">
        <v>14</v>
      </c>
      <c r="D1252" s="12" t="s">
        <v>52</v>
      </c>
      <c r="E1252" s="86">
        <v>4155774754</v>
      </c>
      <c r="F1252" s="86">
        <v>1465916051</v>
      </c>
      <c r="G1252" s="86">
        <v>19</v>
      </c>
      <c r="H1252" s="86">
        <v>1</v>
      </c>
      <c r="I1252" s="86">
        <v>20</v>
      </c>
      <c r="J1252" s="86">
        <v>178</v>
      </c>
      <c r="K1252" s="86">
        <v>198</v>
      </c>
      <c r="L1252" s="86">
        <v>-7</v>
      </c>
      <c r="M1252" s="86">
        <v>0</v>
      </c>
      <c r="N1252" s="86">
        <v>66</v>
      </c>
      <c r="O1252" s="86">
        <v>20</v>
      </c>
      <c r="P1252" s="86">
        <v>284</v>
      </c>
      <c r="Q1252" s="86">
        <v>4564</v>
      </c>
      <c r="R1252" s="12" t="s">
        <v>321</v>
      </c>
      <c r="S1252" s="12" t="s">
        <v>25</v>
      </c>
      <c r="T1252" s="12" t="s">
        <v>25</v>
      </c>
    </row>
    <row r="1253" spans="1:20" hidden="1" x14ac:dyDescent="0.3">
      <c r="A1253" s="13">
        <v>43944.708333333336</v>
      </c>
      <c r="B1253" s="12" t="s">
        <v>22</v>
      </c>
      <c r="C1253" s="86">
        <v>1</v>
      </c>
      <c r="D1253" s="12" t="s">
        <v>53</v>
      </c>
      <c r="E1253" s="86">
        <v>450732745</v>
      </c>
      <c r="F1253" s="86">
        <v>7680687483</v>
      </c>
      <c r="G1253" s="86">
        <v>3039</v>
      </c>
      <c r="H1253" s="86">
        <v>261</v>
      </c>
      <c r="I1253" s="86">
        <v>3300</v>
      </c>
      <c r="J1253" s="86">
        <v>11852</v>
      </c>
      <c r="K1253" s="86">
        <v>15152</v>
      </c>
      <c r="L1253" s="86">
        <v>30</v>
      </c>
      <c r="M1253" s="86">
        <v>401</v>
      </c>
      <c r="N1253" s="86">
        <v>5358</v>
      </c>
      <c r="O1253" s="86">
        <v>2630</v>
      </c>
      <c r="P1253" s="86">
        <v>23140</v>
      </c>
      <c r="Q1253" s="86">
        <v>117970</v>
      </c>
      <c r="R1253" s="12" t="s">
        <v>322</v>
      </c>
      <c r="S1253" s="12" t="s">
        <v>25</v>
      </c>
      <c r="T1253" s="12" t="s">
        <v>25</v>
      </c>
    </row>
    <row r="1254" spans="1:20" hidden="1" x14ac:dyDescent="0.3">
      <c r="A1254" s="13">
        <v>43944.708333333336</v>
      </c>
      <c r="B1254" s="12" t="s">
        <v>22</v>
      </c>
      <c r="C1254" s="86">
        <v>16</v>
      </c>
      <c r="D1254" s="12" t="s">
        <v>54</v>
      </c>
      <c r="E1254" s="86">
        <v>4112559576</v>
      </c>
      <c r="F1254" s="86">
        <v>1686736689</v>
      </c>
      <c r="G1254" s="86">
        <v>536</v>
      </c>
      <c r="H1254" s="86">
        <v>55</v>
      </c>
      <c r="I1254" s="86">
        <v>591</v>
      </c>
      <c r="J1254" s="86">
        <v>2345</v>
      </c>
      <c r="K1254" s="86">
        <v>2936</v>
      </c>
      <c r="L1254" s="86">
        <v>62</v>
      </c>
      <c r="M1254" s="86">
        <v>109</v>
      </c>
      <c r="N1254" s="86">
        <v>531</v>
      </c>
      <c r="O1254" s="86">
        <v>372</v>
      </c>
      <c r="P1254" s="86">
        <v>3839</v>
      </c>
      <c r="Q1254" s="86">
        <v>50410</v>
      </c>
      <c r="R1254" s="12" t="s">
        <v>323</v>
      </c>
      <c r="S1254" s="12" t="s">
        <v>25</v>
      </c>
      <c r="T1254" s="12" t="s">
        <v>25</v>
      </c>
    </row>
    <row r="1255" spans="1:20" hidden="1" x14ac:dyDescent="0.3">
      <c r="A1255" s="13">
        <v>43944.708333333336</v>
      </c>
      <c r="B1255" s="12" t="s">
        <v>22</v>
      </c>
      <c r="C1255" s="86">
        <v>20</v>
      </c>
      <c r="D1255" s="12" t="s">
        <v>55</v>
      </c>
      <c r="E1255" s="86">
        <v>3921531192</v>
      </c>
      <c r="F1255" s="86">
        <v>9110616306</v>
      </c>
      <c r="G1255" s="86">
        <v>90</v>
      </c>
      <c r="H1255" s="86">
        <v>20</v>
      </c>
      <c r="I1255" s="86">
        <v>110</v>
      </c>
      <c r="J1255" s="86">
        <v>707</v>
      </c>
      <c r="K1255" s="86">
        <v>817</v>
      </c>
      <c r="L1255" s="86">
        <v>-16</v>
      </c>
      <c r="M1255" s="86">
        <v>7</v>
      </c>
      <c r="N1255" s="86">
        <v>339</v>
      </c>
      <c r="O1255" s="86">
        <v>98</v>
      </c>
      <c r="P1255" s="86">
        <v>1254</v>
      </c>
      <c r="Q1255" s="86">
        <v>17844</v>
      </c>
      <c r="R1255" s="12" t="s">
        <v>324</v>
      </c>
      <c r="S1255" s="12" t="s">
        <v>25</v>
      </c>
      <c r="T1255" s="12" t="s">
        <v>25</v>
      </c>
    </row>
    <row r="1256" spans="1:20" hidden="1" x14ac:dyDescent="0.3">
      <c r="A1256" s="13">
        <v>43944.708333333336</v>
      </c>
      <c r="B1256" s="12" t="s">
        <v>22</v>
      </c>
      <c r="C1256" s="86">
        <v>19</v>
      </c>
      <c r="D1256" s="12" t="s">
        <v>56</v>
      </c>
      <c r="E1256" s="86">
        <v>3811569725</v>
      </c>
      <c r="F1256" s="86">
        <v>133623567</v>
      </c>
      <c r="G1256" s="86">
        <v>476</v>
      </c>
      <c r="H1256" s="86">
        <v>34</v>
      </c>
      <c r="I1256" s="86">
        <v>510</v>
      </c>
      <c r="J1256" s="86">
        <v>1791</v>
      </c>
      <c r="K1256" s="86">
        <v>2301</v>
      </c>
      <c r="L1256" s="86">
        <v>14</v>
      </c>
      <c r="M1256" s="86">
        <v>43</v>
      </c>
      <c r="N1256" s="86">
        <v>412</v>
      </c>
      <c r="O1256" s="86">
        <v>213</v>
      </c>
      <c r="P1256" s="86">
        <v>2926</v>
      </c>
      <c r="Q1256" s="86">
        <v>62150</v>
      </c>
      <c r="R1256" s="12" t="s">
        <v>325</v>
      </c>
      <c r="S1256" s="12" t="s">
        <v>25</v>
      </c>
      <c r="T1256" s="12" t="s">
        <v>25</v>
      </c>
    </row>
    <row r="1257" spans="1:20" hidden="1" x14ac:dyDescent="0.3">
      <c r="A1257" s="13">
        <v>43944.708333333336</v>
      </c>
      <c r="B1257" s="12" t="s">
        <v>22</v>
      </c>
      <c r="C1257" s="86">
        <v>9</v>
      </c>
      <c r="D1257" s="12" t="s">
        <v>57</v>
      </c>
      <c r="E1257" s="86">
        <v>4376923077</v>
      </c>
      <c r="F1257" s="86">
        <v>1125588885</v>
      </c>
      <c r="G1257" s="86">
        <v>791</v>
      </c>
      <c r="H1257" s="86">
        <v>168</v>
      </c>
      <c r="I1257" s="86">
        <v>959</v>
      </c>
      <c r="J1257" s="86">
        <v>5212</v>
      </c>
      <c r="K1257" s="86">
        <v>6171</v>
      </c>
      <c r="L1257" s="86">
        <v>4</v>
      </c>
      <c r="M1257" s="86">
        <v>80</v>
      </c>
      <c r="N1257" s="86">
        <v>1886</v>
      </c>
      <c r="O1257" s="86">
        <v>723</v>
      </c>
      <c r="P1257" s="86">
        <v>8780</v>
      </c>
      <c r="Q1257" s="86">
        <v>118177</v>
      </c>
      <c r="R1257" s="12" t="s">
        <v>326</v>
      </c>
      <c r="S1257" s="12" t="s">
        <v>25</v>
      </c>
      <c r="T1257" s="12" t="s">
        <v>25</v>
      </c>
    </row>
    <row r="1258" spans="1:20" hidden="1" x14ac:dyDescent="0.3">
      <c r="A1258" s="13">
        <v>43944.708333333336</v>
      </c>
      <c r="B1258" s="12" t="s">
        <v>22</v>
      </c>
      <c r="C1258" s="86">
        <v>22</v>
      </c>
      <c r="D1258" s="12" t="s">
        <v>58</v>
      </c>
      <c r="E1258" s="86">
        <v>4606893511</v>
      </c>
      <c r="F1258" s="86">
        <v>1112123097</v>
      </c>
      <c r="G1258" s="86">
        <v>234</v>
      </c>
      <c r="H1258" s="86">
        <v>29</v>
      </c>
      <c r="I1258" s="86">
        <v>263</v>
      </c>
      <c r="J1258" s="86">
        <v>1608</v>
      </c>
      <c r="K1258" s="86">
        <v>1871</v>
      </c>
      <c r="L1258" s="86">
        <v>-3</v>
      </c>
      <c r="M1258" s="86">
        <v>81</v>
      </c>
      <c r="N1258" s="86">
        <v>1474</v>
      </c>
      <c r="O1258" s="86">
        <v>382</v>
      </c>
      <c r="P1258" s="86">
        <v>3727</v>
      </c>
      <c r="Q1258" s="86">
        <v>28240</v>
      </c>
      <c r="R1258" s="12" t="s">
        <v>327</v>
      </c>
      <c r="S1258" s="12" t="s">
        <v>25</v>
      </c>
      <c r="T1258" s="12" t="s">
        <v>25</v>
      </c>
    </row>
    <row r="1259" spans="1:20" hidden="1" x14ac:dyDescent="0.3">
      <c r="A1259" s="13">
        <v>43944.708333333336</v>
      </c>
      <c r="B1259" s="12" t="s">
        <v>22</v>
      </c>
      <c r="C1259" s="86">
        <v>10</v>
      </c>
      <c r="D1259" s="12" t="s">
        <v>59</v>
      </c>
      <c r="E1259" s="86">
        <v>4310675841</v>
      </c>
      <c r="F1259" s="86">
        <v>1238824698</v>
      </c>
      <c r="G1259" s="86">
        <v>100</v>
      </c>
      <c r="H1259" s="86">
        <v>19</v>
      </c>
      <c r="I1259" s="86">
        <v>119</v>
      </c>
      <c r="J1259" s="86">
        <v>236</v>
      </c>
      <c r="K1259" s="86">
        <v>355</v>
      </c>
      <c r="L1259" s="86">
        <v>-16</v>
      </c>
      <c r="M1259" s="86">
        <v>5</v>
      </c>
      <c r="N1259" s="86">
        <v>946</v>
      </c>
      <c r="O1259" s="86">
        <v>61</v>
      </c>
      <c r="P1259" s="86">
        <v>1362</v>
      </c>
      <c r="Q1259" s="86">
        <v>29011</v>
      </c>
      <c r="R1259" s="12" t="s">
        <v>328</v>
      </c>
      <c r="S1259" s="12" t="s">
        <v>25</v>
      </c>
      <c r="T1259" s="12" t="s">
        <v>25</v>
      </c>
    </row>
    <row r="1260" spans="1:20" hidden="1" x14ac:dyDescent="0.3">
      <c r="A1260" s="13">
        <v>43944.708333333336</v>
      </c>
      <c r="B1260" s="12" t="s">
        <v>22</v>
      </c>
      <c r="C1260" s="86">
        <v>2</v>
      </c>
      <c r="D1260" s="12" t="s">
        <v>60</v>
      </c>
      <c r="E1260" s="86">
        <v>4573750286</v>
      </c>
      <c r="F1260" s="86">
        <v>7320149366</v>
      </c>
      <c r="G1260" s="86">
        <v>91</v>
      </c>
      <c r="H1260" s="86">
        <v>9</v>
      </c>
      <c r="I1260" s="86">
        <v>100</v>
      </c>
      <c r="J1260" s="86">
        <v>363</v>
      </c>
      <c r="K1260" s="86">
        <v>463</v>
      </c>
      <c r="L1260" s="86">
        <v>-38</v>
      </c>
      <c r="M1260" s="86">
        <v>1</v>
      </c>
      <c r="N1260" s="86">
        <v>506</v>
      </c>
      <c r="O1260" s="86">
        <v>127</v>
      </c>
      <c r="P1260" s="86">
        <v>1096</v>
      </c>
      <c r="Q1260" s="86">
        <v>5227</v>
      </c>
      <c r="R1260" s="12" t="s">
        <v>329</v>
      </c>
      <c r="S1260" s="12" t="s">
        <v>25</v>
      </c>
      <c r="T1260" s="12" t="s">
        <v>25</v>
      </c>
    </row>
    <row r="1261" spans="1:20" hidden="1" x14ac:dyDescent="0.3">
      <c r="A1261" s="13">
        <v>43944.708333333336</v>
      </c>
      <c r="B1261" s="12" t="s">
        <v>22</v>
      </c>
      <c r="C1261" s="104">
        <v>5</v>
      </c>
      <c r="D1261" s="12" t="s">
        <v>61</v>
      </c>
      <c r="E1261" s="104">
        <v>4543490485</v>
      </c>
      <c r="F1261" s="104">
        <v>1233845213</v>
      </c>
      <c r="G1261" s="104">
        <v>1189</v>
      </c>
      <c r="H1261" s="104">
        <v>140</v>
      </c>
      <c r="I1261" s="104">
        <v>1329</v>
      </c>
      <c r="J1261" s="104">
        <v>8596</v>
      </c>
      <c r="K1261" s="104">
        <v>9925</v>
      </c>
      <c r="L1261" s="104">
        <v>-66</v>
      </c>
      <c r="M1261" s="104">
        <v>143</v>
      </c>
      <c r="N1261" s="104">
        <v>5750</v>
      </c>
      <c r="O1261" s="104">
        <v>1206</v>
      </c>
      <c r="P1261" s="104">
        <v>16881</v>
      </c>
      <c r="Q1261" s="104">
        <v>288075</v>
      </c>
      <c r="R1261" s="12" t="s">
        <v>330</v>
      </c>
      <c r="S1261" s="12" t="s">
        <v>25</v>
      </c>
      <c r="T1261" s="12" t="s">
        <v>25</v>
      </c>
    </row>
    <row r="1262" spans="1:20" hidden="1" x14ac:dyDescent="0.3">
      <c r="A1262" s="13">
        <v>43945.708333333336</v>
      </c>
      <c r="B1262" s="12" t="s">
        <v>22</v>
      </c>
      <c r="C1262" s="104">
        <v>13</v>
      </c>
      <c r="D1262" s="12" t="s">
        <v>42</v>
      </c>
      <c r="E1262" s="104">
        <v>4235122196</v>
      </c>
      <c r="F1262" s="104">
        <v>1339843823</v>
      </c>
      <c r="G1262" s="104">
        <v>327</v>
      </c>
      <c r="H1262" s="104">
        <v>28</v>
      </c>
      <c r="I1262" s="104">
        <v>355</v>
      </c>
      <c r="J1262" s="104">
        <v>1724</v>
      </c>
      <c r="K1262" s="104">
        <v>2079</v>
      </c>
      <c r="L1262" s="104">
        <v>-21</v>
      </c>
      <c r="M1262" s="104">
        <v>18</v>
      </c>
      <c r="N1262" s="104">
        <v>438</v>
      </c>
      <c r="O1262" s="104">
        <v>286</v>
      </c>
      <c r="P1262" s="104">
        <v>2803</v>
      </c>
      <c r="Q1262" s="104">
        <v>32397</v>
      </c>
      <c r="R1262" s="12" t="s">
        <v>334</v>
      </c>
      <c r="S1262" s="12" t="s">
        <v>25</v>
      </c>
      <c r="T1262" s="12" t="s">
        <v>25</v>
      </c>
    </row>
    <row r="1263" spans="1:20" hidden="1" x14ac:dyDescent="0.3">
      <c r="A1263" s="13">
        <v>43945.708333333336</v>
      </c>
      <c r="B1263" s="12" t="s">
        <v>22</v>
      </c>
      <c r="C1263" s="104">
        <v>17</v>
      </c>
      <c r="D1263" s="12" t="s">
        <v>43</v>
      </c>
      <c r="E1263" s="104">
        <v>4063947052</v>
      </c>
      <c r="F1263" s="104">
        <v>1580514834</v>
      </c>
      <c r="G1263" s="104">
        <v>59</v>
      </c>
      <c r="H1263" s="104">
        <v>7</v>
      </c>
      <c r="I1263" s="104">
        <v>66</v>
      </c>
      <c r="J1263" s="104">
        <v>163</v>
      </c>
      <c r="K1263" s="104">
        <v>229</v>
      </c>
      <c r="L1263" s="104">
        <v>0</v>
      </c>
      <c r="M1263" s="104">
        <v>4</v>
      </c>
      <c r="N1263" s="104">
        <v>107</v>
      </c>
      <c r="O1263" s="104">
        <v>24</v>
      </c>
      <c r="P1263" s="104">
        <v>360</v>
      </c>
      <c r="Q1263" s="104">
        <v>9026</v>
      </c>
      <c r="R1263" s="12" t="s">
        <v>335</v>
      </c>
      <c r="S1263" s="12" t="s">
        <v>25</v>
      </c>
      <c r="T1263" s="12" t="s">
        <v>25</v>
      </c>
    </row>
    <row r="1264" spans="1:20" hidden="1" x14ac:dyDescent="0.3">
      <c r="A1264" s="13">
        <v>43945.708333333336</v>
      </c>
      <c r="B1264" s="12" t="s">
        <v>22</v>
      </c>
      <c r="C1264" s="104">
        <v>21</v>
      </c>
      <c r="D1264" s="12" t="s">
        <v>44</v>
      </c>
      <c r="E1264" s="104">
        <v>4649933453</v>
      </c>
      <c r="F1264" s="104">
        <v>1135662422</v>
      </c>
      <c r="G1264" s="104">
        <v>148</v>
      </c>
      <c r="H1264" s="104">
        <v>16</v>
      </c>
      <c r="I1264" s="104">
        <v>164</v>
      </c>
      <c r="J1264" s="104">
        <v>929</v>
      </c>
      <c r="K1264" s="104">
        <v>1093</v>
      </c>
      <c r="L1264" s="104">
        <v>-401</v>
      </c>
      <c r="M1264" s="104">
        <v>21</v>
      </c>
      <c r="N1264" s="104">
        <v>1100</v>
      </c>
      <c r="O1264" s="104">
        <v>263</v>
      </c>
      <c r="P1264" s="104">
        <v>2456</v>
      </c>
      <c r="Q1264" s="104">
        <v>35062</v>
      </c>
      <c r="R1264" s="12" t="s">
        <v>336</v>
      </c>
      <c r="S1264" s="12" t="s">
        <v>25</v>
      </c>
      <c r="T1264" s="12" t="s">
        <v>25</v>
      </c>
    </row>
    <row r="1265" spans="1:20" hidden="1" x14ac:dyDescent="0.3">
      <c r="A1265" s="13">
        <v>43945.708333333336</v>
      </c>
      <c r="B1265" s="12" t="s">
        <v>22</v>
      </c>
      <c r="C1265" s="104">
        <v>18</v>
      </c>
      <c r="D1265" s="12" t="s">
        <v>45</v>
      </c>
      <c r="E1265" s="104">
        <v>3890597598</v>
      </c>
      <c r="F1265" s="104">
        <v>1659440194</v>
      </c>
      <c r="G1265" s="104">
        <v>123</v>
      </c>
      <c r="H1265" s="104">
        <v>7</v>
      </c>
      <c r="I1265" s="104">
        <v>130</v>
      </c>
      <c r="J1265" s="104">
        <v>691</v>
      </c>
      <c r="K1265" s="104">
        <v>821</v>
      </c>
      <c r="L1265" s="104">
        <v>-2</v>
      </c>
      <c r="M1265" s="104">
        <v>10</v>
      </c>
      <c r="N1265" s="104">
        <v>178</v>
      </c>
      <c r="O1265" s="104">
        <v>80</v>
      </c>
      <c r="P1265" s="104">
        <v>1079</v>
      </c>
      <c r="Q1265" s="104">
        <v>28764</v>
      </c>
      <c r="R1265" s="12" t="s">
        <v>337</v>
      </c>
      <c r="S1265" s="12" t="s">
        <v>25</v>
      </c>
      <c r="T1265" s="12" t="s">
        <v>25</v>
      </c>
    </row>
    <row r="1266" spans="1:20" hidden="1" x14ac:dyDescent="0.3">
      <c r="A1266" s="13">
        <v>43945.708333333336</v>
      </c>
      <c r="B1266" s="12" t="s">
        <v>22</v>
      </c>
      <c r="C1266" s="104">
        <v>15</v>
      </c>
      <c r="D1266" s="12" t="s">
        <v>46</v>
      </c>
      <c r="E1266" s="104">
        <v>4083956555</v>
      </c>
      <c r="F1266" s="104">
        <v>1425084984</v>
      </c>
      <c r="G1266" s="104">
        <v>524</v>
      </c>
      <c r="H1266" s="104">
        <v>44</v>
      </c>
      <c r="I1266" s="104">
        <v>568</v>
      </c>
      <c r="J1266" s="104">
        <v>2375</v>
      </c>
      <c r="K1266" s="104">
        <v>2943</v>
      </c>
      <c r="L1266" s="104">
        <v>-35</v>
      </c>
      <c r="M1266" s="104">
        <v>44</v>
      </c>
      <c r="N1266" s="104">
        <v>1003</v>
      </c>
      <c r="O1266" s="104">
        <v>336</v>
      </c>
      <c r="P1266" s="104">
        <v>4282</v>
      </c>
      <c r="Q1266" s="104">
        <v>61331</v>
      </c>
      <c r="R1266" s="12" t="s">
        <v>338</v>
      </c>
      <c r="S1266" s="12" t="s">
        <v>25</v>
      </c>
      <c r="T1266" s="12" t="s">
        <v>25</v>
      </c>
    </row>
    <row r="1267" spans="1:20" hidden="1" x14ac:dyDescent="0.3">
      <c r="A1267" s="13">
        <v>43945.708333333336</v>
      </c>
      <c r="B1267" s="12" t="s">
        <v>22</v>
      </c>
      <c r="C1267" s="104">
        <v>8</v>
      </c>
      <c r="D1267" s="12" t="s">
        <v>95</v>
      </c>
      <c r="E1267" s="104">
        <v>4449436681</v>
      </c>
      <c r="F1267" s="104">
        <v>113417208</v>
      </c>
      <c r="G1267" s="104">
        <v>2807</v>
      </c>
      <c r="H1267" s="104">
        <v>264</v>
      </c>
      <c r="I1267" s="104">
        <v>3071</v>
      </c>
      <c r="J1267" s="104">
        <v>9438</v>
      </c>
      <c r="K1267" s="104">
        <v>12509</v>
      </c>
      <c r="L1267" s="104">
        <v>-336</v>
      </c>
      <c r="M1267" s="104">
        <v>247</v>
      </c>
      <c r="N1267" s="104">
        <v>8158</v>
      </c>
      <c r="O1267" s="104">
        <v>3303</v>
      </c>
      <c r="P1267" s="104">
        <v>23970</v>
      </c>
      <c r="Q1267" s="104">
        <v>151505</v>
      </c>
      <c r="R1267" s="12" t="s">
        <v>339</v>
      </c>
      <c r="S1267" s="12" t="s">
        <v>25</v>
      </c>
      <c r="T1267" s="12" t="s">
        <v>25</v>
      </c>
    </row>
    <row r="1268" spans="1:20" hidden="1" x14ac:dyDescent="0.3">
      <c r="A1268" s="13">
        <v>43945.708333333336</v>
      </c>
      <c r="B1268" s="12" t="s">
        <v>22</v>
      </c>
      <c r="C1268" s="104">
        <v>6</v>
      </c>
      <c r="D1268" s="12" t="s">
        <v>47</v>
      </c>
      <c r="E1268" s="104">
        <v>456494354</v>
      </c>
      <c r="F1268" s="104">
        <v>1376813649</v>
      </c>
      <c r="G1268" s="104">
        <v>136</v>
      </c>
      <c r="H1268" s="104">
        <v>16</v>
      </c>
      <c r="I1268" s="104">
        <v>152</v>
      </c>
      <c r="J1268" s="104">
        <v>1168</v>
      </c>
      <c r="K1268" s="104">
        <v>1320</v>
      </c>
      <c r="L1268" s="104">
        <v>185</v>
      </c>
      <c r="M1268" s="104">
        <v>24</v>
      </c>
      <c r="N1268" s="104">
        <v>1304</v>
      </c>
      <c r="O1268" s="104">
        <v>258</v>
      </c>
      <c r="P1268" s="104">
        <v>2882</v>
      </c>
      <c r="Q1268" s="104">
        <v>55502</v>
      </c>
      <c r="R1268" s="12" t="s">
        <v>340</v>
      </c>
      <c r="S1268" s="12" t="s">
        <v>4318</v>
      </c>
      <c r="T1268" s="12" t="s">
        <v>4319</v>
      </c>
    </row>
    <row r="1269" spans="1:20" hidden="1" x14ac:dyDescent="0.3">
      <c r="A1269" s="13">
        <v>43945.708333333336</v>
      </c>
      <c r="B1269" s="12" t="s">
        <v>22</v>
      </c>
      <c r="C1269" s="104">
        <v>12</v>
      </c>
      <c r="D1269" s="12" t="s">
        <v>48</v>
      </c>
      <c r="E1269" s="104">
        <v>4189277044</v>
      </c>
      <c r="F1269" s="104">
        <v>1248366722</v>
      </c>
      <c r="G1269" s="104">
        <v>1396</v>
      </c>
      <c r="H1269" s="104">
        <v>184</v>
      </c>
      <c r="I1269" s="104">
        <v>1580</v>
      </c>
      <c r="J1269" s="104">
        <v>2912</v>
      </c>
      <c r="K1269" s="104">
        <v>4492</v>
      </c>
      <c r="L1269" s="104">
        <v>6</v>
      </c>
      <c r="M1269" s="104">
        <v>78</v>
      </c>
      <c r="N1269" s="104">
        <v>1256</v>
      </c>
      <c r="O1269" s="104">
        <v>384</v>
      </c>
      <c r="P1269" s="104">
        <v>6132</v>
      </c>
      <c r="Q1269" s="104">
        <v>114317</v>
      </c>
      <c r="R1269" s="12" t="s">
        <v>341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04">
        <v>7</v>
      </c>
      <c r="D1270" s="12" t="s">
        <v>49</v>
      </c>
      <c r="E1270" s="104">
        <v>4441149315</v>
      </c>
      <c r="F1270" s="104">
        <v>89326992</v>
      </c>
      <c r="G1270" s="104">
        <v>760</v>
      </c>
      <c r="H1270" s="104">
        <v>87</v>
      </c>
      <c r="I1270" s="104">
        <v>847</v>
      </c>
      <c r="J1270" s="104">
        <v>2590</v>
      </c>
      <c r="K1270" s="104">
        <v>3437</v>
      </c>
      <c r="L1270" s="104">
        <v>-29</v>
      </c>
      <c r="M1270" s="104">
        <v>124</v>
      </c>
      <c r="N1270" s="104">
        <v>2660</v>
      </c>
      <c r="O1270" s="104">
        <v>1076</v>
      </c>
      <c r="P1270" s="104">
        <v>7173</v>
      </c>
      <c r="Q1270" s="104">
        <v>39563</v>
      </c>
      <c r="R1270" s="12" t="s">
        <v>342</v>
      </c>
      <c r="S1270" s="12" t="s">
        <v>25</v>
      </c>
      <c r="T1270" s="12" t="s">
        <v>25</v>
      </c>
    </row>
    <row r="1271" spans="1:20" hidden="1" x14ac:dyDescent="0.3">
      <c r="A1271" s="13">
        <v>43945.708333333336</v>
      </c>
      <c r="B1271" s="12" t="s">
        <v>22</v>
      </c>
      <c r="C1271" s="104">
        <v>3</v>
      </c>
      <c r="D1271" s="12" t="s">
        <v>50</v>
      </c>
      <c r="E1271" s="104">
        <v>4546679409</v>
      </c>
      <c r="F1271" s="104">
        <v>9190347404</v>
      </c>
      <c r="G1271" s="104">
        <v>8791</v>
      </c>
      <c r="H1271" s="104">
        <v>756</v>
      </c>
      <c r="I1271" s="104">
        <v>9547</v>
      </c>
      <c r="J1271" s="104">
        <v>24821</v>
      </c>
      <c r="K1271" s="104">
        <v>34368</v>
      </c>
      <c r="L1271" s="104">
        <v>495</v>
      </c>
      <c r="M1271" s="104">
        <v>1091</v>
      </c>
      <c r="N1271" s="104">
        <v>23782</v>
      </c>
      <c r="O1271" s="104">
        <v>13106</v>
      </c>
      <c r="P1271" s="104">
        <v>71256</v>
      </c>
      <c r="Q1271" s="104">
        <v>314298</v>
      </c>
      <c r="R1271" s="12" t="s">
        <v>343</v>
      </c>
      <c r="S1271" s="12" t="s">
        <v>25</v>
      </c>
      <c r="T1271" s="12" t="s">
        <v>25</v>
      </c>
    </row>
    <row r="1272" spans="1:20" hidden="1" x14ac:dyDescent="0.3">
      <c r="A1272" s="13">
        <v>43945.708333333336</v>
      </c>
      <c r="B1272" s="12" t="s">
        <v>22</v>
      </c>
      <c r="C1272" s="104">
        <v>11</v>
      </c>
      <c r="D1272" s="12" t="s">
        <v>51</v>
      </c>
      <c r="E1272" s="104">
        <v>4361675973</v>
      </c>
      <c r="F1272" s="104">
        <v>135188753</v>
      </c>
      <c r="G1272" s="104">
        <v>705</v>
      </c>
      <c r="H1272" s="104">
        <v>61</v>
      </c>
      <c r="I1272" s="104">
        <v>766</v>
      </c>
      <c r="J1272" s="104">
        <v>2507</v>
      </c>
      <c r="K1272" s="104">
        <v>3273</v>
      </c>
      <c r="L1272" s="104">
        <v>43</v>
      </c>
      <c r="M1272" s="104">
        <v>76</v>
      </c>
      <c r="N1272" s="104">
        <v>1890</v>
      </c>
      <c r="O1272" s="104">
        <v>865</v>
      </c>
      <c r="P1272" s="104">
        <v>6028</v>
      </c>
      <c r="Q1272" s="104">
        <v>49163</v>
      </c>
      <c r="R1272" s="12" t="s">
        <v>344</v>
      </c>
      <c r="S1272" s="12" t="s">
        <v>25</v>
      </c>
      <c r="T1272" s="12" t="s">
        <v>25</v>
      </c>
    </row>
    <row r="1273" spans="1:20" hidden="1" x14ac:dyDescent="0.3">
      <c r="A1273" s="13">
        <v>43945.708333333336</v>
      </c>
      <c r="B1273" s="12" t="s">
        <v>22</v>
      </c>
      <c r="C1273" s="104">
        <v>14</v>
      </c>
      <c r="D1273" s="12" t="s">
        <v>52</v>
      </c>
      <c r="E1273" s="104">
        <v>4155774754</v>
      </c>
      <c r="F1273" s="104">
        <v>1465916051</v>
      </c>
      <c r="G1273" s="104">
        <v>19</v>
      </c>
      <c r="H1273" s="104">
        <v>1</v>
      </c>
      <c r="I1273" s="104">
        <v>20</v>
      </c>
      <c r="J1273" s="104">
        <v>180</v>
      </c>
      <c r="K1273" s="104">
        <v>200</v>
      </c>
      <c r="L1273" s="104">
        <v>2</v>
      </c>
      <c r="M1273" s="104">
        <v>3</v>
      </c>
      <c r="N1273" s="104">
        <v>67</v>
      </c>
      <c r="O1273" s="104">
        <v>20</v>
      </c>
      <c r="P1273" s="104">
        <v>287</v>
      </c>
      <c r="Q1273" s="104">
        <v>4805</v>
      </c>
      <c r="R1273" s="12" t="s">
        <v>345</v>
      </c>
      <c r="S1273" s="12" t="s">
        <v>25</v>
      </c>
      <c r="T1273" s="12" t="s">
        <v>25</v>
      </c>
    </row>
    <row r="1274" spans="1:20" hidden="1" x14ac:dyDescent="0.3">
      <c r="A1274" s="13">
        <v>43945.708333333336</v>
      </c>
      <c r="B1274" s="12" t="s">
        <v>22</v>
      </c>
      <c r="C1274" s="104">
        <v>1</v>
      </c>
      <c r="D1274" s="12" t="s">
        <v>53</v>
      </c>
      <c r="E1274" s="104">
        <v>450732745</v>
      </c>
      <c r="F1274" s="104">
        <v>7680687483</v>
      </c>
      <c r="G1274" s="104">
        <v>2918</v>
      </c>
      <c r="H1274" s="104">
        <v>257</v>
      </c>
      <c r="I1274" s="104">
        <v>3175</v>
      </c>
      <c r="J1274" s="104">
        <v>12216</v>
      </c>
      <c r="K1274" s="104">
        <v>15391</v>
      </c>
      <c r="L1274" s="104">
        <v>239</v>
      </c>
      <c r="M1274" s="104">
        <v>682</v>
      </c>
      <c r="N1274" s="104">
        <v>5732</v>
      </c>
      <c r="O1274" s="104">
        <v>2699</v>
      </c>
      <c r="P1274" s="104">
        <v>23822</v>
      </c>
      <c r="Q1274" s="104">
        <v>125300</v>
      </c>
      <c r="R1274" s="12" t="s">
        <v>346</v>
      </c>
      <c r="S1274" s="12" t="s">
        <v>25</v>
      </c>
      <c r="T1274" s="12" t="s">
        <v>25</v>
      </c>
    </row>
    <row r="1275" spans="1:20" hidden="1" x14ac:dyDescent="0.3">
      <c r="A1275" s="13">
        <v>43945.708333333336</v>
      </c>
      <c r="B1275" s="12" t="s">
        <v>22</v>
      </c>
      <c r="C1275" s="104">
        <v>16</v>
      </c>
      <c r="D1275" s="12" t="s">
        <v>54</v>
      </c>
      <c r="E1275" s="104">
        <v>4112559576</v>
      </c>
      <c r="F1275" s="104">
        <v>1686736689</v>
      </c>
      <c r="G1275" s="104">
        <v>496</v>
      </c>
      <c r="H1275" s="104">
        <v>51</v>
      </c>
      <c r="I1275" s="104">
        <v>547</v>
      </c>
      <c r="J1275" s="104">
        <v>2386</v>
      </c>
      <c r="K1275" s="104">
        <v>2933</v>
      </c>
      <c r="L1275" s="104">
        <v>-3</v>
      </c>
      <c r="M1275" s="104">
        <v>42</v>
      </c>
      <c r="N1275" s="104">
        <v>565</v>
      </c>
      <c r="O1275" s="104">
        <v>383</v>
      </c>
      <c r="P1275" s="104">
        <v>3881</v>
      </c>
      <c r="Q1275" s="104">
        <v>52472</v>
      </c>
      <c r="R1275" s="12" t="s">
        <v>347</v>
      </c>
      <c r="S1275" s="12" t="s">
        <v>25</v>
      </c>
      <c r="T1275" s="12" t="s">
        <v>25</v>
      </c>
    </row>
    <row r="1276" spans="1:20" hidden="1" x14ac:dyDescent="0.3">
      <c r="A1276" s="13">
        <v>43945.708333333336</v>
      </c>
      <c r="B1276" s="12" t="s">
        <v>22</v>
      </c>
      <c r="C1276" s="104">
        <v>20</v>
      </c>
      <c r="D1276" s="12" t="s">
        <v>55</v>
      </c>
      <c r="E1276" s="104">
        <v>3921531192</v>
      </c>
      <c r="F1276" s="104">
        <v>9110616306</v>
      </c>
      <c r="G1276" s="104">
        <v>95</v>
      </c>
      <c r="H1276" s="104">
        <v>19</v>
      </c>
      <c r="I1276" s="104">
        <v>114</v>
      </c>
      <c r="J1276" s="104">
        <v>690</v>
      </c>
      <c r="K1276" s="104">
        <v>804</v>
      </c>
      <c r="L1276" s="104">
        <v>-13</v>
      </c>
      <c r="M1276" s="104">
        <v>3</v>
      </c>
      <c r="N1276" s="104">
        <v>351</v>
      </c>
      <c r="O1276" s="104">
        <v>102</v>
      </c>
      <c r="P1276" s="104">
        <v>1257</v>
      </c>
      <c r="Q1276" s="104">
        <v>19889</v>
      </c>
      <c r="R1276" s="12" t="s">
        <v>348</v>
      </c>
      <c r="S1276" s="12" t="s">
        <v>4320</v>
      </c>
      <c r="T1276" s="12" t="s">
        <v>4321</v>
      </c>
    </row>
    <row r="1277" spans="1:20" hidden="1" x14ac:dyDescent="0.3">
      <c r="A1277" s="13">
        <v>43945.708333333336</v>
      </c>
      <c r="B1277" s="12" t="s">
        <v>22</v>
      </c>
      <c r="C1277" s="104">
        <v>19</v>
      </c>
      <c r="D1277" s="12" t="s">
        <v>56</v>
      </c>
      <c r="E1277" s="104">
        <v>3811569725</v>
      </c>
      <c r="F1277" s="104">
        <v>133623567</v>
      </c>
      <c r="G1277" s="104">
        <v>461</v>
      </c>
      <c r="H1277" s="104">
        <v>32</v>
      </c>
      <c r="I1277" s="104">
        <v>493</v>
      </c>
      <c r="J1277" s="104">
        <v>1827</v>
      </c>
      <c r="K1277" s="104">
        <v>2320</v>
      </c>
      <c r="L1277" s="104">
        <v>19</v>
      </c>
      <c r="M1277" s="104">
        <v>55</v>
      </c>
      <c r="N1277" s="104">
        <v>443</v>
      </c>
      <c r="O1277" s="104">
        <v>218</v>
      </c>
      <c r="P1277" s="104">
        <v>2981</v>
      </c>
      <c r="Q1277" s="104">
        <v>65165</v>
      </c>
      <c r="R1277" s="12" t="s">
        <v>349</v>
      </c>
      <c r="S1277" s="12" t="s">
        <v>25</v>
      </c>
      <c r="T1277" s="12" t="s">
        <v>25</v>
      </c>
    </row>
    <row r="1278" spans="1:20" hidden="1" x14ac:dyDescent="0.3">
      <c r="A1278" s="13">
        <v>43945.708333333336</v>
      </c>
      <c r="B1278" s="12" t="s">
        <v>22</v>
      </c>
      <c r="C1278" s="104">
        <v>9</v>
      </c>
      <c r="D1278" s="12" t="s">
        <v>57</v>
      </c>
      <c r="E1278" s="104">
        <v>4376923077</v>
      </c>
      <c r="F1278" s="104">
        <v>1125588885</v>
      </c>
      <c r="G1278" s="104">
        <v>738</v>
      </c>
      <c r="H1278" s="104">
        <v>159</v>
      </c>
      <c r="I1278" s="104">
        <v>897</v>
      </c>
      <c r="J1278" s="104">
        <v>5236</v>
      </c>
      <c r="K1278" s="104">
        <v>6133</v>
      </c>
      <c r="L1278" s="104">
        <v>-38</v>
      </c>
      <c r="M1278" s="104">
        <v>97</v>
      </c>
      <c r="N1278" s="104">
        <v>2002</v>
      </c>
      <c r="O1278" s="104">
        <v>742</v>
      </c>
      <c r="P1278" s="104">
        <v>8877</v>
      </c>
      <c r="Q1278" s="104">
        <v>121336</v>
      </c>
      <c r="R1278" s="12" t="s">
        <v>350</v>
      </c>
      <c r="S1278" s="12" t="s">
        <v>25</v>
      </c>
      <c r="T1278" s="12" t="s">
        <v>25</v>
      </c>
    </row>
    <row r="1279" spans="1:20" hidden="1" x14ac:dyDescent="0.3">
      <c r="A1279" s="13">
        <v>43945.708333333336</v>
      </c>
      <c r="B1279" s="12" t="s">
        <v>22</v>
      </c>
      <c r="C1279" s="104">
        <v>22</v>
      </c>
      <c r="D1279" s="12" t="s">
        <v>58</v>
      </c>
      <c r="E1279" s="104">
        <v>4606893511</v>
      </c>
      <c r="F1279" s="104">
        <v>1112123097</v>
      </c>
      <c r="G1279" s="104">
        <v>224</v>
      </c>
      <c r="H1279" s="104">
        <v>28</v>
      </c>
      <c r="I1279" s="104">
        <v>252</v>
      </c>
      <c r="J1279" s="104">
        <v>1575</v>
      </c>
      <c r="K1279" s="104">
        <v>1827</v>
      </c>
      <c r="L1279" s="104">
        <v>-44</v>
      </c>
      <c r="M1279" s="104">
        <v>49</v>
      </c>
      <c r="N1279" s="104">
        <v>1560</v>
      </c>
      <c r="O1279" s="104">
        <v>389</v>
      </c>
      <c r="P1279" s="104">
        <v>3776</v>
      </c>
      <c r="Q1279" s="104">
        <v>29779</v>
      </c>
      <c r="R1279" s="12" t="s">
        <v>351</v>
      </c>
      <c r="S1279" s="12" t="s">
        <v>25</v>
      </c>
      <c r="T1279" s="12" t="s">
        <v>25</v>
      </c>
    </row>
    <row r="1280" spans="1:20" hidden="1" x14ac:dyDescent="0.3">
      <c r="A1280" s="13">
        <v>43945.708333333336</v>
      </c>
      <c r="B1280" s="12" t="s">
        <v>22</v>
      </c>
      <c r="C1280" s="104">
        <v>10</v>
      </c>
      <c r="D1280" s="12" t="s">
        <v>59</v>
      </c>
      <c r="E1280" s="104">
        <v>4310675841</v>
      </c>
      <c r="F1280" s="104">
        <v>1238824698</v>
      </c>
      <c r="G1280" s="104">
        <v>94</v>
      </c>
      <c r="H1280" s="104">
        <v>19</v>
      </c>
      <c r="I1280" s="104">
        <v>113</v>
      </c>
      <c r="J1280" s="104">
        <v>209</v>
      </c>
      <c r="K1280" s="104">
        <v>322</v>
      </c>
      <c r="L1280" s="104">
        <v>-33</v>
      </c>
      <c r="M1280" s="104">
        <v>1</v>
      </c>
      <c r="N1280" s="104">
        <v>979</v>
      </c>
      <c r="O1280" s="104">
        <v>62</v>
      </c>
      <c r="P1280" s="104">
        <v>1363</v>
      </c>
      <c r="Q1280" s="104">
        <v>30524</v>
      </c>
      <c r="R1280" s="12" t="s">
        <v>352</v>
      </c>
      <c r="S1280" s="12" t="s">
        <v>25</v>
      </c>
      <c r="T1280" s="12" t="s">
        <v>25</v>
      </c>
    </row>
    <row r="1281" spans="1:20" hidden="1" x14ac:dyDescent="0.3">
      <c r="A1281" s="13">
        <v>43945.708333333336</v>
      </c>
      <c r="B1281" s="12" t="s">
        <v>22</v>
      </c>
      <c r="C1281" s="104">
        <v>2</v>
      </c>
      <c r="D1281" s="12" t="s">
        <v>60</v>
      </c>
      <c r="E1281" s="104">
        <v>4573750286</v>
      </c>
      <c r="F1281" s="104">
        <v>7320149366</v>
      </c>
      <c r="G1281" s="104">
        <v>88</v>
      </c>
      <c r="H1281" s="104">
        <v>7</v>
      </c>
      <c r="I1281" s="104">
        <v>95</v>
      </c>
      <c r="J1281" s="104">
        <v>259</v>
      </c>
      <c r="K1281" s="104">
        <v>354</v>
      </c>
      <c r="L1281" s="104">
        <v>-109</v>
      </c>
      <c r="M1281" s="104">
        <v>4</v>
      </c>
      <c r="N1281" s="104">
        <v>617</v>
      </c>
      <c r="O1281" s="104">
        <v>129</v>
      </c>
      <c r="P1281" s="104">
        <v>1100</v>
      </c>
      <c r="Q1281" s="104">
        <v>5262</v>
      </c>
      <c r="R1281" s="12" t="s">
        <v>353</v>
      </c>
      <c r="S1281" s="12" t="s">
        <v>25</v>
      </c>
      <c r="T1281" s="12" t="s">
        <v>25</v>
      </c>
    </row>
    <row r="1282" spans="1:20" hidden="1" x14ac:dyDescent="0.3">
      <c r="A1282" s="13">
        <v>43945.708333333336</v>
      </c>
      <c r="B1282" s="12" t="s">
        <v>22</v>
      </c>
      <c r="C1282" s="130">
        <v>5</v>
      </c>
      <c r="D1282" s="12" t="s">
        <v>61</v>
      </c>
      <c r="E1282" s="130">
        <v>4543490485</v>
      </c>
      <c r="F1282" s="130">
        <v>1233845213</v>
      </c>
      <c r="G1282" s="130">
        <v>1159</v>
      </c>
      <c r="H1282" s="130">
        <v>130</v>
      </c>
      <c r="I1282" s="130">
        <v>1289</v>
      </c>
      <c r="J1282" s="130">
        <v>8390</v>
      </c>
      <c r="K1282" s="130">
        <v>9679</v>
      </c>
      <c r="L1282" s="130">
        <v>-246</v>
      </c>
      <c r="M1282" s="130">
        <v>348</v>
      </c>
      <c r="N1282" s="130">
        <v>6306</v>
      </c>
      <c r="O1282" s="130">
        <v>1244</v>
      </c>
      <c r="P1282" s="130">
        <v>17229</v>
      </c>
      <c r="Q1282" s="130">
        <v>296896</v>
      </c>
      <c r="R1282" s="12" t="s">
        <v>354</v>
      </c>
      <c r="S1282" s="12" t="s">
        <v>25</v>
      </c>
      <c r="T1282" s="12" t="s">
        <v>25</v>
      </c>
    </row>
    <row r="1283" spans="1:20" hidden="1" x14ac:dyDescent="0.3">
      <c r="A1283" s="13">
        <v>43946.708333333336</v>
      </c>
      <c r="B1283" s="12" t="s">
        <v>22</v>
      </c>
      <c r="C1283" s="130">
        <v>13</v>
      </c>
      <c r="D1283" s="12" t="s">
        <v>42</v>
      </c>
      <c r="E1283" s="130">
        <v>4235122196</v>
      </c>
      <c r="F1283" s="130">
        <v>1339843823</v>
      </c>
      <c r="G1283" s="130">
        <v>323</v>
      </c>
      <c r="H1283" s="130">
        <v>26</v>
      </c>
      <c r="I1283" s="130">
        <v>349</v>
      </c>
      <c r="J1283" s="130">
        <v>1712</v>
      </c>
      <c r="K1283" s="130">
        <v>2061</v>
      </c>
      <c r="L1283" s="130">
        <v>-18</v>
      </c>
      <c r="M1283" s="130">
        <v>29</v>
      </c>
      <c r="N1283" s="130">
        <v>478</v>
      </c>
      <c r="O1283" s="130">
        <v>293</v>
      </c>
      <c r="P1283" s="130">
        <v>2832</v>
      </c>
      <c r="Q1283" s="130">
        <v>33624</v>
      </c>
      <c r="R1283" s="12" t="s">
        <v>358</v>
      </c>
      <c r="S1283" s="12" t="s">
        <v>25</v>
      </c>
      <c r="T1283" s="12" t="s">
        <v>25</v>
      </c>
    </row>
    <row r="1284" spans="1:20" hidden="1" x14ac:dyDescent="0.3">
      <c r="A1284" s="13">
        <v>43946.708333333336</v>
      </c>
      <c r="B1284" s="12" t="s">
        <v>22</v>
      </c>
      <c r="C1284" s="130">
        <v>17</v>
      </c>
      <c r="D1284" s="12" t="s">
        <v>43</v>
      </c>
      <c r="E1284" s="130">
        <v>4063947052</v>
      </c>
      <c r="F1284" s="130">
        <v>1580514834</v>
      </c>
      <c r="G1284" s="130">
        <v>58</v>
      </c>
      <c r="H1284" s="130">
        <v>7</v>
      </c>
      <c r="I1284" s="130">
        <v>65</v>
      </c>
      <c r="J1284" s="130">
        <v>153</v>
      </c>
      <c r="K1284" s="130">
        <v>218</v>
      </c>
      <c r="L1284" s="130">
        <v>-11</v>
      </c>
      <c r="M1284" s="130">
        <v>1</v>
      </c>
      <c r="N1284" s="130">
        <v>118</v>
      </c>
      <c r="O1284" s="130">
        <v>25</v>
      </c>
      <c r="P1284" s="130">
        <v>361</v>
      </c>
      <c r="Q1284" s="130">
        <v>9792</v>
      </c>
      <c r="R1284" s="12" t="s">
        <v>359</v>
      </c>
      <c r="S1284" s="12" t="s">
        <v>25</v>
      </c>
      <c r="T1284" s="12" t="s">
        <v>25</v>
      </c>
    </row>
    <row r="1285" spans="1:20" hidden="1" x14ac:dyDescent="0.3">
      <c r="A1285" s="13">
        <v>43946.708333333336</v>
      </c>
      <c r="B1285" s="12" t="s">
        <v>22</v>
      </c>
      <c r="C1285" s="130">
        <v>21</v>
      </c>
      <c r="D1285" s="12" t="s">
        <v>44</v>
      </c>
      <c r="E1285" s="130">
        <v>4649933453</v>
      </c>
      <c r="F1285" s="130">
        <v>1135662422</v>
      </c>
      <c r="G1285" s="130">
        <v>141</v>
      </c>
      <c r="H1285" s="130">
        <v>14</v>
      </c>
      <c r="I1285" s="130">
        <v>155</v>
      </c>
      <c r="J1285" s="130">
        <v>880</v>
      </c>
      <c r="K1285" s="130">
        <v>1035</v>
      </c>
      <c r="L1285" s="130">
        <v>-58</v>
      </c>
      <c r="M1285" s="130">
        <v>20</v>
      </c>
      <c r="N1285" s="130">
        <v>1176</v>
      </c>
      <c r="O1285" s="130">
        <v>265</v>
      </c>
      <c r="P1285" s="130">
        <v>2476</v>
      </c>
      <c r="Q1285" s="130">
        <v>36608</v>
      </c>
      <c r="R1285" s="12" t="s">
        <v>360</v>
      </c>
      <c r="S1285" s="12" t="s">
        <v>25</v>
      </c>
      <c r="T1285" s="12" t="s">
        <v>25</v>
      </c>
    </row>
    <row r="1286" spans="1:20" hidden="1" x14ac:dyDescent="0.3">
      <c r="A1286" s="13">
        <v>43946.708333333336</v>
      </c>
      <c r="B1286" s="12" t="s">
        <v>22</v>
      </c>
      <c r="C1286" s="130">
        <v>18</v>
      </c>
      <c r="D1286" s="12" t="s">
        <v>45</v>
      </c>
      <c r="E1286" s="130">
        <v>3890597598</v>
      </c>
      <c r="F1286" s="130">
        <v>1659440194</v>
      </c>
      <c r="G1286" s="130">
        <v>125</v>
      </c>
      <c r="H1286" s="130">
        <v>7</v>
      </c>
      <c r="I1286" s="130">
        <v>132</v>
      </c>
      <c r="J1286" s="130">
        <v>679</v>
      </c>
      <c r="K1286" s="130">
        <v>811</v>
      </c>
      <c r="L1286" s="130">
        <v>-10</v>
      </c>
      <c r="M1286" s="130">
        <v>9</v>
      </c>
      <c r="N1286" s="130">
        <v>197</v>
      </c>
      <c r="O1286" s="130">
        <v>80</v>
      </c>
      <c r="P1286" s="130">
        <v>1088</v>
      </c>
      <c r="Q1286" s="130">
        <v>29959</v>
      </c>
      <c r="R1286" s="12" t="s">
        <v>232</v>
      </c>
      <c r="S1286" s="12" t="s">
        <v>25</v>
      </c>
      <c r="T1286" s="12" t="s">
        <v>25</v>
      </c>
    </row>
    <row r="1287" spans="1:20" hidden="1" x14ac:dyDescent="0.3">
      <c r="A1287" s="13">
        <v>43946.708333333336</v>
      </c>
      <c r="B1287" s="12" t="s">
        <v>22</v>
      </c>
      <c r="C1287" s="130">
        <v>15</v>
      </c>
      <c r="D1287" s="12" t="s">
        <v>46</v>
      </c>
      <c r="E1287" s="130">
        <v>4083956555</v>
      </c>
      <c r="F1287" s="130">
        <v>1425084984</v>
      </c>
      <c r="G1287" s="130">
        <v>543</v>
      </c>
      <c r="H1287" s="130">
        <v>55</v>
      </c>
      <c r="I1287" s="130">
        <v>598</v>
      </c>
      <c r="J1287" s="130">
        <v>2337</v>
      </c>
      <c r="K1287" s="130">
        <v>2935</v>
      </c>
      <c r="L1287" s="130">
        <v>-8</v>
      </c>
      <c r="M1287" s="130">
        <v>17</v>
      </c>
      <c r="N1287" s="130">
        <v>1023</v>
      </c>
      <c r="O1287" s="130">
        <v>341</v>
      </c>
      <c r="P1287" s="130">
        <v>4299</v>
      </c>
      <c r="Q1287" s="130">
        <v>64521</v>
      </c>
      <c r="R1287" s="12" t="s">
        <v>361</v>
      </c>
      <c r="S1287" s="12" t="s">
        <v>25</v>
      </c>
      <c r="T1287" s="12" t="s">
        <v>25</v>
      </c>
    </row>
    <row r="1288" spans="1:20" hidden="1" x14ac:dyDescent="0.3">
      <c r="A1288" s="13">
        <v>43946.708333333336</v>
      </c>
      <c r="B1288" s="12" t="s">
        <v>22</v>
      </c>
      <c r="C1288" s="130">
        <v>8</v>
      </c>
      <c r="D1288" s="12" t="s">
        <v>95</v>
      </c>
      <c r="E1288" s="130">
        <v>4449436681</v>
      </c>
      <c r="F1288" s="130">
        <v>113417208</v>
      </c>
      <c r="G1288" s="130">
        <v>2718</v>
      </c>
      <c r="H1288" s="130">
        <v>246</v>
      </c>
      <c r="I1288" s="130">
        <v>2964</v>
      </c>
      <c r="J1288" s="130">
        <v>9383</v>
      </c>
      <c r="K1288" s="130">
        <v>12347</v>
      </c>
      <c r="L1288" s="130">
        <v>-162</v>
      </c>
      <c r="M1288" s="130">
        <v>239</v>
      </c>
      <c r="N1288" s="130">
        <v>8515</v>
      </c>
      <c r="O1288" s="130">
        <v>3347</v>
      </c>
      <c r="P1288" s="130">
        <v>24209</v>
      </c>
      <c r="Q1288" s="130">
        <v>156883</v>
      </c>
      <c r="R1288" s="12" t="s">
        <v>362</v>
      </c>
      <c r="S1288" s="12" t="s">
        <v>25</v>
      </c>
      <c r="T1288" s="12" t="s">
        <v>25</v>
      </c>
    </row>
    <row r="1289" spans="1:20" hidden="1" x14ac:dyDescent="0.3">
      <c r="A1289" s="13">
        <v>43946.708333333336</v>
      </c>
      <c r="B1289" s="12" t="s">
        <v>22</v>
      </c>
      <c r="C1289" s="130">
        <v>6</v>
      </c>
      <c r="D1289" s="12" t="s">
        <v>47</v>
      </c>
      <c r="E1289" s="130">
        <v>456494354</v>
      </c>
      <c r="F1289" s="130">
        <v>1376813649</v>
      </c>
      <c r="G1289" s="130">
        <v>122</v>
      </c>
      <c r="H1289" s="130">
        <v>15</v>
      </c>
      <c r="I1289" s="130">
        <v>137</v>
      </c>
      <c r="J1289" s="130">
        <v>947</v>
      </c>
      <c r="K1289" s="130">
        <v>1084</v>
      </c>
      <c r="L1289" s="130">
        <v>-236</v>
      </c>
      <c r="M1289" s="130">
        <v>21</v>
      </c>
      <c r="N1289" s="130">
        <v>1556</v>
      </c>
      <c r="O1289" s="130">
        <v>263</v>
      </c>
      <c r="P1289" s="130">
        <v>2903</v>
      </c>
      <c r="Q1289" s="130">
        <v>58375</v>
      </c>
      <c r="R1289" s="12" t="s">
        <v>363</v>
      </c>
      <c r="S1289" s="12" t="s">
        <v>25</v>
      </c>
      <c r="T1289" s="12" t="s">
        <v>25</v>
      </c>
    </row>
    <row r="1290" spans="1:20" hidden="1" x14ac:dyDescent="0.3">
      <c r="A1290" s="13">
        <v>43946.708333333336</v>
      </c>
      <c r="B1290" s="12" t="s">
        <v>22</v>
      </c>
      <c r="C1290" s="130">
        <v>12</v>
      </c>
      <c r="D1290" s="12" t="s">
        <v>48</v>
      </c>
      <c r="E1290" s="130">
        <v>4189277044</v>
      </c>
      <c r="F1290" s="130">
        <v>1248366722</v>
      </c>
      <c r="G1290" s="130">
        <v>1421</v>
      </c>
      <c r="H1290" s="130">
        <v>183</v>
      </c>
      <c r="I1290" s="130">
        <v>1604</v>
      </c>
      <c r="J1290" s="130">
        <v>2957</v>
      </c>
      <c r="K1290" s="130">
        <v>4561</v>
      </c>
      <c r="L1290" s="130">
        <v>69</v>
      </c>
      <c r="M1290" s="130">
        <v>92</v>
      </c>
      <c r="N1290" s="130">
        <v>1276</v>
      </c>
      <c r="O1290" s="130">
        <v>387</v>
      </c>
      <c r="P1290" s="130">
        <v>6224</v>
      </c>
      <c r="Q1290" s="130">
        <v>118354</v>
      </c>
      <c r="R1290" s="12" t="s">
        <v>364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30">
        <v>7</v>
      </c>
      <c r="D1291" s="12" t="s">
        <v>49</v>
      </c>
      <c r="E1291" s="130">
        <v>4441149315</v>
      </c>
      <c r="F1291" s="130">
        <v>89326992</v>
      </c>
      <c r="G1291" s="130">
        <v>759</v>
      </c>
      <c r="H1291" s="130">
        <v>83</v>
      </c>
      <c r="I1291" s="130">
        <v>842</v>
      </c>
      <c r="J1291" s="130">
        <v>2591</v>
      </c>
      <c r="K1291" s="130">
        <v>3433</v>
      </c>
      <c r="L1291" s="130">
        <v>-4</v>
      </c>
      <c r="M1291" s="130">
        <v>128</v>
      </c>
      <c r="N1291" s="130">
        <v>2775</v>
      </c>
      <c r="O1291" s="130">
        <v>1093</v>
      </c>
      <c r="P1291" s="130">
        <v>7301</v>
      </c>
      <c r="Q1291" s="130">
        <v>41125</v>
      </c>
      <c r="R1291" s="12" t="s">
        <v>365</v>
      </c>
      <c r="S1291" s="12" t="s">
        <v>25</v>
      </c>
      <c r="T1291" s="12" t="s">
        <v>25</v>
      </c>
    </row>
    <row r="1292" spans="1:20" hidden="1" x14ac:dyDescent="0.3">
      <c r="A1292" s="13">
        <v>43946.708333333336</v>
      </c>
      <c r="B1292" s="12" t="s">
        <v>22</v>
      </c>
      <c r="C1292" s="130">
        <v>3</v>
      </c>
      <c r="D1292" s="12" t="s">
        <v>50</v>
      </c>
      <c r="E1292" s="130">
        <v>4546679409</v>
      </c>
      <c r="F1292" s="130">
        <v>9190347404</v>
      </c>
      <c r="G1292" s="130">
        <v>8489</v>
      </c>
      <c r="H1292" s="130">
        <v>724</v>
      </c>
      <c r="I1292" s="130">
        <v>9213</v>
      </c>
      <c r="J1292" s="130">
        <v>25260</v>
      </c>
      <c r="K1292" s="130">
        <v>34473</v>
      </c>
      <c r="L1292" s="130">
        <v>105</v>
      </c>
      <c r="M1292" s="130">
        <v>713</v>
      </c>
      <c r="N1292" s="130">
        <v>24227</v>
      </c>
      <c r="O1292" s="130">
        <v>13269</v>
      </c>
      <c r="P1292" s="130">
        <v>71969</v>
      </c>
      <c r="Q1292" s="130">
        <v>326940</v>
      </c>
      <c r="R1292" s="12" t="s">
        <v>366</v>
      </c>
      <c r="S1292" s="12" t="s">
        <v>25</v>
      </c>
      <c r="T1292" s="12" t="s">
        <v>25</v>
      </c>
    </row>
    <row r="1293" spans="1:20" hidden="1" x14ac:dyDescent="0.3">
      <c r="A1293" s="13">
        <v>43946.708333333336</v>
      </c>
      <c r="B1293" s="12" t="s">
        <v>22</v>
      </c>
      <c r="C1293" s="130">
        <v>11</v>
      </c>
      <c r="D1293" s="12" t="s">
        <v>51</v>
      </c>
      <c r="E1293" s="130">
        <v>4361675973</v>
      </c>
      <c r="F1293" s="130">
        <v>135188753</v>
      </c>
      <c r="G1293" s="130">
        <v>689</v>
      </c>
      <c r="H1293" s="130">
        <v>58</v>
      </c>
      <c r="I1293" s="130">
        <v>747</v>
      </c>
      <c r="J1293" s="130">
        <v>2525</v>
      </c>
      <c r="K1293" s="130">
        <v>3272</v>
      </c>
      <c r="L1293" s="130">
        <v>-1</v>
      </c>
      <c r="M1293" s="130">
        <v>30</v>
      </c>
      <c r="N1293" s="130">
        <v>1912</v>
      </c>
      <c r="O1293" s="130">
        <v>874</v>
      </c>
      <c r="P1293" s="130">
        <v>6058</v>
      </c>
      <c r="Q1293" s="130">
        <v>50996</v>
      </c>
      <c r="R1293" s="12" t="s">
        <v>367</v>
      </c>
      <c r="S1293" s="12" t="s">
        <v>25</v>
      </c>
      <c r="T1293" s="12" t="s">
        <v>25</v>
      </c>
    </row>
    <row r="1294" spans="1:20" hidden="1" x14ac:dyDescent="0.3">
      <c r="A1294" s="13">
        <v>43946.708333333336</v>
      </c>
      <c r="B1294" s="12" t="s">
        <v>22</v>
      </c>
      <c r="C1294" s="130">
        <v>14</v>
      </c>
      <c r="D1294" s="12" t="s">
        <v>52</v>
      </c>
      <c r="E1294" s="130">
        <v>4155774754</v>
      </c>
      <c r="F1294" s="130">
        <v>1465916051</v>
      </c>
      <c r="G1294" s="130">
        <v>19</v>
      </c>
      <c r="H1294" s="130">
        <v>1</v>
      </c>
      <c r="I1294" s="130">
        <v>20</v>
      </c>
      <c r="J1294" s="130">
        <v>178</v>
      </c>
      <c r="K1294" s="130">
        <v>198</v>
      </c>
      <c r="L1294" s="130">
        <v>-2</v>
      </c>
      <c r="M1294" s="130">
        <v>5</v>
      </c>
      <c r="N1294" s="130">
        <v>73</v>
      </c>
      <c r="O1294" s="130">
        <v>21</v>
      </c>
      <c r="P1294" s="130">
        <v>292</v>
      </c>
      <c r="Q1294" s="130">
        <v>5191</v>
      </c>
      <c r="R1294" s="12" t="s">
        <v>368</v>
      </c>
      <c r="S1294" s="12" t="s">
        <v>25</v>
      </c>
      <c r="T1294" s="12" t="s">
        <v>25</v>
      </c>
    </row>
    <row r="1295" spans="1:20" hidden="1" x14ac:dyDescent="0.3">
      <c r="A1295" s="13">
        <v>43946.708333333336</v>
      </c>
      <c r="B1295" s="12" t="s">
        <v>22</v>
      </c>
      <c r="C1295" s="130">
        <v>1</v>
      </c>
      <c r="D1295" s="12" t="s">
        <v>53</v>
      </c>
      <c r="E1295" s="130">
        <v>450732745</v>
      </c>
      <c r="F1295" s="130">
        <v>7680687483</v>
      </c>
      <c r="G1295" s="130">
        <v>2937</v>
      </c>
      <c r="H1295" s="130">
        <v>238</v>
      </c>
      <c r="I1295" s="130">
        <v>3175</v>
      </c>
      <c r="J1295" s="130">
        <v>12327</v>
      </c>
      <c r="K1295" s="130">
        <v>15502</v>
      </c>
      <c r="L1295" s="130">
        <v>111</v>
      </c>
      <c r="M1295" s="130">
        <v>604</v>
      </c>
      <c r="N1295" s="130">
        <v>6157</v>
      </c>
      <c r="O1295" s="130">
        <v>2767</v>
      </c>
      <c r="P1295" s="130">
        <v>24426</v>
      </c>
      <c r="Q1295" s="130">
        <v>131107</v>
      </c>
      <c r="R1295" s="12" t="s">
        <v>369</v>
      </c>
      <c r="S1295" s="12" t="s">
        <v>25</v>
      </c>
      <c r="T1295" s="12" t="s">
        <v>25</v>
      </c>
    </row>
    <row r="1296" spans="1:20" hidden="1" x14ac:dyDescent="0.3">
      <c r="A1296" s="13">
        <v>43946.708333333336</v>
      </c>
      <c r="B1296" s="12" t="s">
        <v>22</v>
      </c>
      <c r="C1296" s="130">
        <v>16</v>
      </c>
      <c r="D1296" s="12" t="s">
        <v>54</v>
      </c>
      <c r="E1296" s="130">
        <v>4112559576</v>
      </c>
      <c r="F1296" s="130">
        <v>1686736689</v>
      </c>
      <c r="G1296" s="130">
        <v>469</v>
      </c>
      <c r="H1296" s="130">
        <v>48</v>
      </c>
      <c r="I1296" s="130">
        <v>517</v>
      </c>
      <c r="J1296" s="130">
        <v>2402</v>
      </c>
      <c r="K1296" s="130">
        <v>2919</v>
      </c>
      <c r="L1296" s="130">
        <v>-14</v>
      </c>
      <c r="M1296" s="130">
        <v>31</v>
      </c>
      <c r="N1296" s="130">
        <v>602</v>
      </c>
      <c r="O1296" s="130">
        <v>391</v>
      </c>
      <c r="P1296" s="130">
        <v>3912</v>
      </c>
      <c r="Q1296" s="130">
        <v>54628</v>
      </c>
      <c r="R1296" s="12" t="s">
        <v>370</v>
      </c>
      <c r="S1296" s="12" t="s">
        <v>25</v>
      </c>
      <c r="T1296" s="12" t="s">
        <v>25</v>
      </c>
    </row>
    <row r="1297" spans="1:20" hidden="1" x14ac:dyDescent="0.3">
      <c r="A1297" s="13">
        <v>43946.708333333336</v>
      </c>
      <c r="B1297" s="12" t="s">
        <v>22</v>
      </c>
      <c r="C1297" s="130">
        <v>20</v>
      </c>
      <c r="D1297" s="12" t="s">
        <v>55</v>
      </c>
      <c r="E1297" s="130">
        <v>3921531192</v>
      </c>
      <c r="F1297" s="130">
        <v>9110616306</v>
      </c>
      <c r="G1297" s="130">
        <v>96</v>
      </c>
      <c r="H1297" s="130">
        <v>18</v>
      </c>
      <c r="I1297" s="130">
        <v>114</v>
      </c>
      <c r="J1297" s="130">
        <v>680</v>
      </c>
      <c r="K1297" s="130">
        <v>794</v>
      </c>
      <c r="L1297" s="130">
        <v>-10</v>
      </c>
      <c r="M1297" s="130">
        <v>14</v>
      </c>
      <c r="N1297" s="130">
        <v>374</v>
      </c>
      <c r="O1297" s="130">
        <v>103</v>
      </c>
      <c r="P1297" s="130">
        <v>1271</v>
      </c>
      <c r="Q1297" s="130">
        <v>20351</v>
      </c>
      <c r="R1297" s="12" t="s">
        <v>371</v>
      </c>
      <c r="S1297" s="12" t="s">
        <v>25</v>
      </c>
      <c r="T1297" s="12" t="s">
        <v>25</v>
      </c>
    </row>
    <row r="1298" spans="1:20" hidden="1" x14ac:dyDescent="0.3">
      <c r="A1298" s="13">
        <v>43946.708333333336</v>
      </c>
      <c r="B1298" s="12" t="s">
        <v>22</v>
      </c>
      <c r="C1298" s="130">
        <v>19</v>
      </c>
      <c r="D1298" s="12" t="s">
        <v>56</v>
      </c>
      <c r="E1298" s="130">
        <v>3811569725</v>
      </c>
      <c r="F1298" s="130">
        <v>133623567</v>
      </c>
      <c r="G1298" s="130">
        <v>452</v>
      </c>
      <c r="H1298" s="130">
        <v>33</v>
      </c>
      <c r="I1298" s="130">
        <v>485</v>
      </c>
      <c r="J1298" s="130">
        <v>1787</v>
      </c>
      <c r="K1298" s="130">
        <v>2272</v>
      </c>
      <c r="L1298" s="130">
        <v>-48</v>
      </c>
      <c r="M1298" s="130">
        <v>39</v>
      </c>
      <c r="N1298" s="130">
        <v>524</v>
      </c>
      <c r="O1298" s="130">
        <v>224</v>
      </c>
      <c r="P1298" s="130">
        <v>3020</v>
      </c>
      <c r="Q1298" s="130">
        <v>68251</v>
      </c>
      <c r="R1298" s="12" t="s">
        <v>372</v>
      </c>
      <c r="S1298" s="12" t="s">
        <v>25</v>
      </c>
      <c r="T1298" s="12" t="s">
        <v>25</v>
      </c>
    </row>
    <row r="1299" spans="1:20" hidden="1" x14ac:dyDescent="0.3">
      <c r="A1299" s="13">
        <v>43946.708333333336</v>
      </c>
      <c r="B1299" s="12" t="s">
        <v>22</v>
      </c>
      <c r="C1299" s="130">
        <v>9</v>
      </c>
      <c r="D1299" s="12" t="s">
        <v>57</v>
      </c>
      <c r="E1299" s="130">
        <v>4376923077</v>
      </c>
      <c r="F1299" s="130">
        <v>1125588885</v>
      </c>
      <c r="G1299" s="130">
        <v>687</v>
      </c>
      <c r="H1299" s="130">
        <v>166</v>
      </c>
      <c r="I1299" s="130">
        <v>853</v>
      </c>
      <c r="J1299" s="130">
        <v>5293</v>
      </c>
      <c r="K1299" s="130">
        <v>6146</v>
      </c>
      <c r="L1299" s="130">
        <v>13</v>
      </c>
      <c r="M1299" s="130">
        <v>138</v>
      </c>
      <c r="N1299" s="130">
        <v>2109</v>
      </c>
      <c r="O1299" s="130">
        <v>760</v>
      </c>
      <c r="P1299" s="130">
        <v>9015</v>
      </c>
      <c r="Q1299" s="130">
        <v>125495</v>
      </c>
      <c r="R1299" s="12" t="s">
        <v>373</v>
      </c>
      <c r="S1299" s="12" t="s">
        <v>25</v>
      </c>
      <c r="T1299" s="12" t="s">
        <v>25</v>
      </c>
    </row>
    <row r="1300" spans="1:20" hidden="1" x14ac:dyDescent="0.3">
      <c r="A1300" s="13">
        <v>43946.708333333336</v>
      </c>
      <c r="B1300" s="12" t="s">
        <v>22</v>
      </c>
      <c r="C1300" s="130">
        <v>22</v>
      </c>
      <c r="D1300" s="12" t="s">
        <v>58</v>
      </c>
      <c r="E1300" s="130">
        <v>4606893511</v>
      </c>
      <c r="F1300" s="130">
        <v>1112123097</v>
      </c>
      <c r="G1300" s="130">
        <v>202</v>
      </c>
      <c r="H1300" s="130">
        <v>27</v>
      </c>
      <c r="I1300" s="130">
        <v>229</v>
      </c>
      <c r="J1300" s="130">
        <v>1515</v>
      </c>
      <c r="K1300" s="130">
        <v>1744</v>
      </c>
      <c r="L1300" s="130">
        <v>-83</v>
      </c>
      <c r="M1300" s="130">
        <v>62</v>
      </c>
      <c r="N1300" s="130">
        <v>1694</v>
      </c>
      <c r="O1300" s="130">
        <v>400</v>
      </c>
      <c r="P1300" s="130">
        <v>3838</v>
      </c>
      <c r="Q1300" s="130">
        <v>30661</v>
      </c>
      <c r="R1300" s="12" t="s">
        <v>374</v>
      </c>
      <c r="S1300" s="12" t="s">
        <v>25</v>
      </c>
      <c r="T1300" s="12" t="s">
        <v>25</v>
      </c>
    </row>
    <row r="1301" spans="1:20" hidden="1" x14ac:dyDescent="0.3">
      <c r="A1301" s="13">
        <v>43946.708333333336</v>
      </c>
      <c r="B1301" s="12" t="s">
        <v>22</v>
      </c>
      <c r="C1301" s="130">
        <v>10</v>
      </c>
      <c r="D1301" s="12" t="s">
        <v>59</v>
      </c>
      <c r="E1301" s="130">
        <v>4310675841</v>
      </c>
      <c r="F1301" s="130">
        <v>1238824698</v>
      </c>
      <c r="G1301" s="130">
        <v>95</v>
      </c>
      <c r="H1301" s="130">
        <v>18</v>
      </c>
      <c r="I1301" s="130">
        <v>113</v>
      </c>
      <c r="J1301" s="130">
        <v>184</v>
      </c>
      <c r="K1301" s="130">
        <v>297</v>
      </c>
      <c r="L1301" s="130">
        <v>-25</v>
      </c>
      <c r="M1301" s="130">
        <v>3</v>
      </c>
      <c r="N1301" s="130">
        <v>1006</v>
      </c>
      <c r="O1301" s="130">
        <v>63</v>
      </c>
      <c r="P1301" s="130">
        <v>1366</v>
      </c>
      <c r="Q1301" s="130">
        <v>31939</v>
      </c>
      <c r="R1301" s="12" t="s">
        <v>375</v>
      </c>
      <c r="S1301" s="12" t="s">
        <v>25</v>
      </c>
      <c r="T1301" s="12" t="s">
        <v>25</v>
      </c>
    </row>
    <row r="1302" spans="1:20" hidden="1" x14ac:dyDescent="0.3">
      <c r="A1302" s="13">
        <v>43946.708333333336</v>
      </c>
      <c r="B1302" s="12" t="s">
        <v>22</v>
      </c>
      <c r="C1302" s="130">
        <v>2</v>
      </c>
      <c r="D1302" s="12" t="s">
        <v>60</v>
      </c>
      <c r="E1302" s="130">
        <v>4573750286</v>
      </c>
      <c r="F1302" s="130">
        <v>7320149366</v>
      </c>
      <c r="G1302" s="130">
        <v>83</v>
      </c>
      <c r="H1302" s="130">
        <v>6</v>
      </c>
      <c r="I1302" s="130">
        <v>89</v>
      </c>
      <c r="J1302" s="130">
        <v>224</v>
      </c>
      <c r="K1302" s="130">
        <v>313</v>
      </c>
      <c r="L1302" s="130">
        <v>-41</v>
      </c>
      <c r="M1302" s="130">
        <v>0</v>
      </c>
      <c r="N1302" s="130">
        <v>657</v>
      </c>
      <c r="O1302" s="130">
        <v>130</v>
      </c>
      <c r="P1302" s="130">
        <v>1100</v>
      </c>
      <c r="Q1302" s="130">
        <v>5966</v>
      </c>
      <c r="R1302" s="12" t="s">
        <v>376</v>
      </c>
      <c r="S1302" s="12" t="s">
        <v>25</v>
      </c>
      <c r="T1302" s="12" t="s">
        <v>25</v>
      </c>
    </row>
    <row r="1303" spans="1:20" hidden="1" x14ac:dyDescent="0.3">
      <c r="A1303" s="13">
        <v>43946.708333333336</v>
      </c>
      <c r="B1303" s="12" t="s">
        <v>22</v>
      </c>
      <c r="C1303" s="131">
        <v>5</v>
      </c>
      <c r="D1303" s="12" t="s">
        <v>61</v>
      </c>
      <c r="E1303" s="131">
        <v>4543490485</v>
      </c>
      <c r="F1303" s="131">
        <v>1233845213</v>
      </c>
      <c r="G1303" s="131">
        <v>1105</v>
      </c>
      <c r="H1303" s="131">
        <v>129</v>
      </c>
      <c r="I1303" s="131">
        <v>1234</v>
      </c>
      <c r="J1303" s="131">
        <v>8198</v>
      </c>
      <c r="K1303" s="131">
        <v>9432</v>
      </c>
      <c r="L1303" s="131">
        <v>-247</v>
      </c>
      <c r="M1303" s="131">
        <v>162</v>
      </c>
      <c r="N1303" s="131">
        <v>6671</v>
      </c>
      <c r="O1303" s="131">
        <v>1288</v>
      </c>
      <c r="P1303" s="131">
        <v>17391</v>
      </c>
      <c r="Q1303" s="131">
        <v>306977</v>
      </c>
      <c r="R1303" s="12" t="s">
        <v>377</v>
      </c>
      <c r="S1303" s="12" t="s">
        <v>25</v>
      </c>
      <c r="T1303" s="12" t="s">
        <v>25</v>
      </c>
    </row>
    <row r="1304" spans="1:20" hidden="1" x14ac:dyDescent="0.3">
      <c r="A1304" s="13">
        <v>43947.708333333336</v>
      </c>
      <c r="B1304" s="12" t="s">
        <v>22</v>
      </c>
      <c r="C1304" s="131">
        <v>13</v>
      </c>
      <c r="D1304" s="12" t="s">
        <v>42</v>
      </c>
      <c r="E1304" s="131">
        <v>4235122196</v>
      </c>
      <c r="F1304" s="131">
        <v>1339843823</v>
      </c>
      <c r="G1304" s="131">
        <v>324</v>
      </c>
      <c r="H1304" s="131">
        <v>24</v>
      </c>
      <c r="I1304" s="131">
        <v>348</v>
      </c>
      <c r="J1304" s="131">
        <v>1720</v>
      </c>
      <c r="K1304" s="131">
        <v>2068</v>
      </c>
      <c r="L1304" s="131">
        <v>7</v>
      </c>
      <c r="M1304" s="131">
        <v>27</v>
      </c>
      <c r="N1304" s="131">
        <v>496</v>
      </c>
      <c r="O1304" s="131">
        <v>295</v>
      </c>
      <c r="P1304" s="131">
        <v>2859</v>
      </c>
      <c r="Q1304" s="131">
        <v>33820</v>
      </c>
      <c r="R1304" s="12" t="s">
        <v>4322</v>
      </c>
      <c r="S1304" s="12" t="s">
        <v>25</v>
      </c>
      <c r="T1304" s="12" t="s">
        <v>25</v>
      </c>
    </row>
    <row r="1305" spans="1:20" hidden="1" x14ac:dyDescent="0.3">
      <c r="A1305" s="13">
        <v>43947.708333333336</v>
      </c>
      <c r="B1305" s="12" t="s">
        <v>22</v>
      </c>
      <c r="C1305" s="131">
        <v>17</v>
      </c>
      <c r="D1305" s="12" t="s">
        <v>43</v>
      </c>
      <c r="E1305" s="131">
        <v>4063947052</v>
      </c>
      <c r="F1305" s="131">
        <v>1580514834</v>
      </c>
      <c r="G1305" s="131">
        <v>57</v>
      </c>
      <c r="H1305" s="131">
        <v>7</v>
      </c>
      <c r="I1305" s="131">
        <v>64</v>
      </c>
      <c r="J1305" s="131">
        <v>155</v>
      </c>
      <c r="K1305" s="131">
        <v>219</v>
      </c>
      <c r="L1305" s="131">
        <v>1</v>
      </c>
      <c r="M1305" s="131">
        <v>5</v>
      </c>
      <c r="N1305" s="131">
        <v>122</v>
      </c>
      <c r="O1305" s="131">
        <v>25</v>
      </c>
      <c r="P1305" s="131">
        <v>366</v>
      </c>
      <c r="Q1305" s="131">
        <v>10077</v>
      </c>
      <c r="R1305" s="12" t="s">
        <v>4323</v>
      </c>
      <c r="S1305" s="12" t="s">
        <v>25</v>
      </c>
      <c r="T1305" s="12" t="s">
        <v>25</v>
      </c>
    </row>
    <row r="1306" spans="1:20" hidden="1" x14ac:dyDescent="0.3">
      <c r="A1306" s="13">
        <v>43947.708333333336</v>
      </c>
      <c r="B1306" s="12" t="s">
        <v>22</v>
      </c>
      <c r="C1306" s="131">
        <v>21</v>
      </c>
      <c r="D1306" s="12" t="s">
        <v>44</v>
      </c>
      <c r="E1306" s="131">
        <v>4649933453</v>
      </c>
      <c r="F1306" s="131">
        <v>1135662422</v>
      </c>
      <c r="G1306" s="131">
        <v>138</v>
      </c>
      <c r="H1306" s="131">
        <v>14</v>
      </c>
      <c r="I1306" s="131">
        <v>152</v>
      </c>
      <c r="J1306" s="131">
        <v>842</v>
      </c>
      <c r="K1306" s="131">
        <v>994</v>
      </c>
      <c r="L1306" s="131">
        <v>-41</v>
      </c>
      <c r="M1306" s="131">
        <v>5</v>
      </c>
      <c r="N1306" s="131">
        <v>1218</v>
      </c>
      <c r="O1306" s="131">
        <v>269</v>
      </c>
      <c r="P1306" s="131">
        <v>2481</v>
      </c>
      <c r="Q1306" s="131">
        <v>37431</v>
      </c>
      <c r="R1306" s="12" t="s">
        <v>4324</v>
      </c>
      <c r="S1306" s="12" t="s">
        <v>25</v>
      </c>
      <c r="T1306" s="12" t="s">
        <v>25</v>
      </c>
    </row>
    <row r="1307" spans="1:20" hidden="1" x14ac:dyDescent="0.3">
      <c r="A1307" s="13">
        <v>43947.708333333336</v>
      </c>
      <c r="B1307" s="12" t="s">
        <v>22</v>
      </c>
      <c r="C1307" s="131">
        <v>18</v>
      </c>
      <c r="D1307" s="12" t="s">
        <v>45</v>
      </c>
      <c r="E1307" s="131">
        <v>3890597598</v>
      </c>
      <c r="F1307" s="131">
        <v>1659440194</v>
      </c>
      <c r="G1307" s="131">
        <v>118</v>
      </c>
      <c r="H1307" s="131">
        <v>8</v>
      </c>
      <c r="I1307" s="131">
        <v>126</v>
      </c>
      <c r="J1307" s="131">
        <v>671</v>
      </c>
      <c r="K1307" s="131">
        <v>797</v>
      </c>
      <c r="L1307" s="131">
        <v>-14</v>
      </c>
      <c r="M1307" s="131">
        <v>1</v>
      </c>
      <c r="N1307" s="131">
        <v>212</v>
      </c>
      <c r="O1307" s="131">
        <v>80</v>
      </c>
      <c r="P1307" s="131">
        <v>1089</v>
      </c>
      <c r="Q1307" s="131">
        <v>30853</v>
      </c>
      <c r="R1307" s="12" t="s">
        <v>4325</v>
      </c>
      <c r="S1307" s="12" t="s">
        <v>25</v>
      </c>
      <c r="T1307" s="12" t="s">
        <v>25</v>
      </c>
    </row>
    <row r="1308" spans="1:20" hidden="1" x14ac:dyDescent="0.3">
      <c r="A1308" s="13">
        <v>43947.708333333336</v>
      </c>
      <c r="B1308" s="12" t="s">
        <v>22</v>
      </c>
      <c r="C1308" s="131">
        <v>15</v>
      </c>
      <c r="D1308" s="12" t="s">
        <v>46</v>
      </c>
      <c r="E1308" s="131">
        <v>4083956555</v>
      </c>
      <c r="F1308" s="131">
        <v>1425084984</v>
      </c>
      <c r="G1308" s="131">
        <v>536</v>
      </c>
      <c r="H1308" s="131">
        <v>45</v>
      </c>
      <c r="I1308" s="131">
        <v>581</v>
      </c>
      <c r="J1308" s="131">
        <v>2343</v>
      </c>
      <c r="K1308" s="131">
        <v>2924</v>
      </c>
      <c r="L1308" s="131">
        <v>-11</v>
      </c>
      <c r="M1308" s="131">
        <v>32</v>
      </c>
      <c r="N1308" s="131">
        <v>1062</v>
      </c>
      <c r="O1308" s="131">
        <v>345</v>
      </c>
      <c r="P1308" s="131">
        <v>4331</v>
      </c>
      <c r="Q1308" s="131">
        <v>67218</v>
      </c>
      <c r="R1308" s="12" t="s">
        <v>4326</v>
      </c>
      <c r="S1308" s="12" t="s">
        <v>25</v>
      </c>
      <c r="T1308" s="12" t="s">
        <v>25</v>
      </c>
    </row>
    <row r="1309" spans="1:20" hidden="1" x14ac:dyDescent="0.3">
      <c r="A1309" s="13">
        <v>43947.708333333336</v>
      </c>
      <c r="B1309" s="12" t="s">
        <v>22</v>
      </c>
      <c r="C1309" s="131">
        <v>8</v>
      </c>
      <c r="D1309" s="12" t="s">
        <v>95</v>
      </c>
      <c r="E1309" s="131">
        <v>4449436681</v>
      </c>
      <c r="F1309" s="131">
        <v>113417208</v>
      </c>
      <c r="G1309" s="131">
        <v>2695</v>
      </c>
      <c r="H1309" s="131">
        <v>245</v>
      </c>
      <c r="I1309" s="131">
        <v>2940</v>
      </c>
      <c r="J1309" s="131">
        <v>9401</v>
      </c>
      <c r="K1309" s="131">
        <v>12341</v>
      </c>
      <c r="L1309" s="131">
        <v>-6</v>
      </c>
      <c r="M1309" s="131">
        <v>241</v>
      </c>
      <c r="N1309" s="131">
        <v>8723</v>
      </c>
      <c r="O1309" s="131">
        <v>3386</v>
      </c>
      <c r="P1309" s="131">
        <v>24450</v>
      </c>
      <c r="Q1309" s="131">
        <v>161928</v>
      </c>
      <c r="R1309" s="12" t="s">
        <v>4327</v>
      </c>
      <c r="S1309" s="12" t="s">
        <v>25</v>
      </c>
      <c r="T1309" s="12" t="s">
        <v>25</v>
      </c>
    </row>
    <row r="1310" spans="1:20" hidden="1" x14ac:dyDescent="0.3">
      <c r="A1310" s="13">
        <v>43947.708333333336</v>
      </c>
      <c r="B1310" s="12" t="s">
        <v>22</v>
      </c>
      <c r="C1310" s="131">
        <v>6</v>
      </c>
      <c r="D1310" s="12" t="s">
        <v>47</v>
      </c>
      <c r="E1310" s="131">
        <v>456494354</v>
      </c>
      <c r="F1310" s="131">
        <v>1376813649</v>
      </c>
      <c r="G1310" s="131">
        <v>129</v>
      </c>
      <c r="H1310" s="131">
        <v>13</v>
      </c>
      <c r="I1310" s="131">
        <v>142</v>
      </c>
      <c r="J1310" s="131">
        <v>1106</v>
      </c>
      <c r="K1310" s="131">
        <v>1248</v>
      </c>
      <c r="L1310" s="131">
        <v>164</v>
      </c>
      <c r="M1310" s="131">
        <v>14</v>
      </c>
      <c r="N1310" s="131">
        <v>1405</v>
      </c>
      <c r="O1310" s="131">
        <v>264</v>
      </c>
      <c r="P1310" s="131">
        <v>2917</v>
      </c>
      <c r="Q1310" s="131">
        <v>59681</v>
      </c>
      <c r="R1310" s="12" t="s">
        <v>4328</v>
      </c>
      <c r="S1310" s="12" t="s">
        <v>25</v>
      </c>
      <c r="T1310" s="12" t="s">
        <v>25</v>
      </c>
    </row>
    <row r="1311" spans="1:20" hidden="1" x14ac:dyDescent="0.3">
      <c r="A1311" s="13">
        <v>43947.708333333336</v>
      </c>
      <c r="B1311" s="12" t="s">
        <v>22</v>
      </c>
      <c r="C1311" s="131">
        <v>12</v>
      </c>
      <c r="D1311" s="12" t="s">
        <v>48</v>
      </c>
      <c r="E1311" s="131">
        <v>4189277044</v>
      </c>
      <c r="F1311" s="131">
        <v>1248366722</v>
      </c>
      <c r="G1311" s="131">
        <v>1442</v>
      </c>
      <c r="H1311" s="131">
        <v>161</v>
      </c>
      <c r="I1311" s="131">
        <v>1603</v>
      </c>
      <c r="J1311" s="131">
        <v>2970</v>
      </c>
      <c r="K1311" s="131">
        <v>4573</v>
      </c>
      <c r="L1311" s="131">
        <v>12</v>
      </c>
      <c r="M1311" s="131">
        <v>85</v>
      </c>
      <c r="N1311" s="131">
        <v>1347</v>
      </c>
      <c r="O1311" s="131">
        <v>389</v>
      </c>
      <c r="P1311" s="131">
        <v>6309</v>
      </c>
      <c r="Q1311" s="131">
        <v>121677</v>
      </c>
      <c r="R1311" s="12" t="s">
        <v>4329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31">
        <v>7</v>
      </c>
      <c r="D1312" s="12" t="s">
        <v>49</v>
      </c>
      <c r="E1312" s="131">
        <v>4441149315</v>
      </c>
      <c r="F1312" s="131">
        <v>89326992</v>
      </c>
      <c r="G1312" s="131">
        <v>748</v>
      </c>
      <c r="H1312" s="131">
        <v>82</v>
      </c>
      <c r="I1312" s="131">
        <v>830</v>
      </c>
      <c r="J1312" s="131">
        <v>2650</v>
      </c>
      <c r="K1312" s="131">
        <v>3480</v>
      </c>
      <c r="L1312" s="131">
        <v>47</v>
      </c>
      <c r="M1312" s="131">
        <v>187</v>
      </c>
      <c r="N1312" s="131">
        <v>2894</v>
      </c>
      <c r="O1312" s="131">
        <v>1114</v>
      </c>
      <c r="P1312" s="131">
        <v>7488</v>
      </c>
      <c r="Q1312" s="131">
        <v>42607</v>
      </c>
      <c r="R1312" s="12" t="s">
        <v>4330</v>
      </c>
      <c r="S1312" s="12" t="s">
        <v>25</v>
      </c>
      <c r="T1312" s="12" t="s">
        <v>25</v>
      </c>
    </row>
    <row r="1313" spans="1:20" hidden="1" x14ac:dyDescent="0.3">
      <c r="A1313" s="13">
        <v>43947.708333333336</v>
      </c>
      <c r="B1313" s="12" t="s">
        <v>22</v>
      </c>
      <c r="C1313" s="131">
        <v>3</v>
      </c>
      <c r="D1313" s="12" t="s">
        <v>50</v>
      </c>
      <c r="E1313" s="131">
        <v>4546679409</v>
      </c>
      <c r="F1313" s="131">
        <v>9190347404</v>
      </c>
      <c r="G1313" s="131">
        <v>8481</v>
      </c>
      <c r="H1313" s="131">
        <v>706</v>
      </c>
      <c r="I1313" s="131">
        <v>9187</v>
      </c>
      <c r="J1313" s="131">
        <v>25979</v>
      </c>
      <c r="K1313" s="131">
        <v>35166</v>
      </c>
      <c r="L1313" s="131">
        <v>693</v>
      </c>
      <c r="M1313" s="131">
        <v>920</v>
      </c>
      <c r="N1313" s="131">
        <v>24398</v>
      </c>
      <c r="O1313" s="131">
        <v>13325</v>
      </c>
      <c r="P1313" s="131">
        <v>72889</v>
      </c>
      <c r="Q1313" s="131">
        <v>337797</v>
      </c>
      <c r="R1313" s="12" t="s">
        <v>4331</v>
      </c>
      <c r="S1313" s="12" t="s">
        <v>25</v>
      </c>
      <c r="T1313" s="12" t="s">
        <v>25</v>
      </c>
    </row>
    <row r="1314" spans="1:20" hidden="1" x14ac:dyDescent="0.3">
      <c r="A1314" s="13">
        <v>43947.708333333336</v>
      </c>
      <c r="B1314" s="12" t="s">
        <v>22</v>
      </c>
      <c r="C1314" s="131">
        <v>11</v>
      </c>
      <c r="D1314" s="12" t="s">
        <v>51</v>
      </c>
      <c r="E1314" s="131">
        <v>4361675973</v>
      </c>
      <c r="F1314" s="131">
        <v>135188753</v>
      </c>
      <c r="G1314" s="131">
        <v>668</v>
      </c>
      <c r="H1314" s="131">
        <v>58</v>
      </c>
      <c r="I1314" s="131">
        <v>726</v>
      </c>
      <c r="J1314" s="131">
        <v>2582</v>
      </c>
      <c r="K1314" s="131">
        <v>3308</v>
      </c>
      <c r="L1314" s="131">
        <v>36</v>
      </c>
      <c r="M1314" s="131">
        <v>53</v>
      </c>
      <c r="N1314" s="131">
        <v>1924</v>
      </c>
      <c r="O1314" s="131">
        <v>879</v>
      </c>
      <c r="P1314" s="131">
        <v>6111</v>
      </c>
      <c r="Q1314" s="131">
        <v>52063</v>
      </c>
      <c r="R1314" s="12" t="s">
        <v>4332</v>
      </c>
      <c r="S1314" s="12" t="s">
        <v>25</v>
      </c>
      <c r="T1314" s="12" t="s">
        <v>25</v>
      </c>
    </row>
    <row r="1315" spans="1:20" hidden="1" x14ac:dyDescent="0.3">
      <c r="A1315" s="13">
        <v>43947.708333333336</v>
      </c>
      <c r="B1315" s="12" t="s">
        <v>22</v>
      </c>
      <c r="C1315" s="131">
        <v>14</v>
      </c>
      <c r="D1315" s="12" t="s">
        <v>52</v>
      </c>
      <c r="E1315" s="131">
        <v>4155774754</v>
      </c>
      <c r="F1315" s="131">
        <v>1465916051</v>
      </c>
      <c r="G1315" s="131">
        <v>20</v>
      </c>
      <c r="H1315" s="131">
        <v>1</v>
      </c>
      <c r="I1315" s="131">
        <v>21</v>
      </c>
      <c r="J1315" s="131">
        <v>179</v>
      </c>
      <c r="K1315" s="131">
        <v>200</v>
      </c>
      <c r="L1315" s="131">
        <v>2</v>
      </c>
      <c r="M1315" s="131">
        <v>4</v>
      </c>
      <c r="N1315" s="131">
        <v>75</v>
      </c>
      <c r="O1315" s="131">
        <v>21</v>
      </c>
      <c r="P1315" s="131">
        <v>296</v>
      </c>
      <c r="Q1315" s="131">
        <v>5567</v>
      </c>
      <c r="R1315" s="12" t="s">
        <v>4333</v>
      </c>
      <c r="S1315" s="12" t="s">
        <v>25</v>
      </c>
      <c r="T1315" s="12" t="s">
        <v>25</v>
      </c>
    </row>
    <row r="1316" spans="1:20" hidden="1" x14ac:dyDescent="0.3">
      <c r="A1316" s="13">
        <v>43947.708333333336</v>
      </c>
      <c r="B1316" s="12" t="s">
        <v>22</v>
      </c>
      <c r="C1316" s="131">
        <v>1</v>
      </c>
      <c r="D1316" s="12" t="s">
        <v>53</v>
      </c>
      <c r="E1316" s="131">
        <v>450732745</v>
      </c>
      <c r="F1316" s="131">
        <v>7680687483</v>
      </c>
      <c r="G1316" s="131">
        <v>2866</v>
      </c>
      <c r="H1316" s="131">
        <v>214</v>
      </c>
      <c r="I1316" s="131">
        <v>3080</v>
      </c>
      <c r="J1316" s="131">
        <v>12439</v>
      </c>
      <c r="K1316" s="131">
        <v>15519</v>
      </c>
      <c r="L1316" s="131">
        <v>17</v>
      </c>
      <c r="M1316" s="131">
        <v>394</v>
      </c>
      <c r="N1316" s="131">
        <v>6478</v>
      </c>
      <c r="O1316" s="131">
        <v>2823</v>
      </c>
      <c r="P1316" s="131">
        <v>24820</v>
      </c>
      <c r="Q1316" s="131">
        <v>135142</v>
      </c>
      <c r="R1316" s="12" t="s">
        <v>4334</v>
      </c>
      <c r="S1316" s="12" t="s">
        <v>25</v>
      </c>
      <c r="T1316" s="12" t="s">
        <v>25</v>
      </c>
    </row>
    <row r="1317" spans="1:20" hidden="1" x14ac:dyDescent="0.3">
      <c r="A1317" s="13">
        <v>43947.708333333336</v>
      </c>
      <c r="B1317" s="12" t="s">
        <v>22</v>
      </c>
      <c r="C1317" s="131">
        <v>16</v>
      </c>
      <c r="D1317" s="12" t="s">
        <v>54</v>
      </c>
      <c r="E1317" s="131">
        <v>4112559576</v>
      </c>
      <c r="F1317" s="131">
        <v>1686736689</v>
      </c>
      <c r="G1317" s="131">
        <v>464</v>
      </c>
      <c r="H1317" s="131">
        <v>48</v>
      </c>
      <c r="I1317" s="131">
        <v>512</v>
      </c>
      <c r="J1317" s="131">
        <v>2425</v>
      </c>
      <c r="K1317" s="131">
        <v>2937</v>
      </c>
      <c r="L1317" s="131">
        <v>18</v>
      </c>
      <c r="M1317" s="131">
        <v>36</v>
      </c>
      <c r="N1317" s="131">
        <v>612</v>
      </c>
      <c r="O1317" s="131">
        <v>399</v>
      </c>
      <c r="P1317" s="131">
        <v>3948</v>
      </c>
      <c r="Q1317" s="131">
        <v>55992</v>
      </c>
      <c r="R1317" s="12" t="s">
        <v>4335</v>
      </c>
      <c r="S1317" s="12" t="s">
        <v>25</v>
      </c>
      <c r="T1317" s="12" t="s">
        <v>25</v>
      </c>
    </row>
    <row r="1318" spans="1:20" hidden="1" x14ac:dyDescent="0.3">
      <c r="A1318" s="13">
        <v>43947.708333333336</v>
      </c>
      <c r="B1318" s="12" t="s">
        <v>22</v>
      </c>
      <c r="C1318" s="131">
        <v>20</v>
      </c>
      <c r="D1318" s="12" t="s">
        <v>55</v>
      </c>
      <c r="E1318" s="131">
        <v>3921531192</v>
      </c>
      <c r="F1318" s="131">
        <v>9110616306</v>
      </c>
      <c r="G1318" s="131">
        <v>95</v>
      </c>
      <c r="H1318" s="131">
        <v>20</v>
      </c>
      <c r="I1318" s="131">
        <v>115</v>
      </c>
      <c r="J1318" s="131">
        <v>668</v>
      </c>
      <c r="K1318" s="131">
        <v>783</v>
      </c>
      <c r="L1318" s="131">
        <v>-11</v>
      </c>
      <c r="M1318" s="131">
        <v>9</v>
      </c>
      <c r="N1318" s="131">
        <v>388</v>
      </c>
      <c r="O1318" s="131">
        <v>109</v>
      </c>
      <c r="P1318" s="131">
        <v>1280</v>
      </c>
      <c r="Q1318" s="131">
        <v>21101</v>
      </c>
      <c r="R1318" s="12" t="s">
        <v>4336</v>
      </c>
      <c r="S1318" s="12" t="s">
        <v>25</v>
      </c>
      <c r="T1318" s="12" t="s">
        <v>25</v>
      </c>
    </row>
    <row r="1319" spans="1:20" hidden="1" x14ac:dyDescent="0.3">
      <c r="A1319" s="13">
        <v>43947.708333333336</v>
      </c>
      <c r="B1319" s="12" t="s">
        <v>22</v>
      </c>
      <c r="C1319" s="131">
        <v>19</v>
      </c>
      <c r="D1319" s="12" t="s">
        <v>56</v>
      </c>
      <c r="E1319" s="131">
        <v>3811569725</v>
      </c>
      <c r="F1319" s="131">
        <v>133623567</v>
      </c>
      <c r="G1319" s="131">
        <v>445</v>
      </c>
      <c r="H1319" s="131">
        <v>33</v>
      </c>
      <c r="I1319" s="131">
        <v>478</v>
      </c>
      <c r="J1319" s="131">
        <v>1629</v>
      </c>
      <c r="K1319" s="131">
        <v>2107</v>
      </c>
      <c r="L1319" s="131">
        <v>-165</v>
      </c>
      <c r="M1319" s="131">
        <v>35</v>
      </c>
      <c r="N1319" s="131">
        <v>720</v>
      </c>
      <c r="O1319" s="131">
        <v>228</v>
      </c>
      <c r="P1319" s="131">
        <v>3055</v>
      </c>
      <c r="Q1319" s="131">
        <v>70104</v>
      </c>
      <c r="R1319" s="12" t="s">
        <v>4337</v>
      </c>
      <c r="S1319" s="12" t="s">
        <v>25</v>
      </c>
      <c r="T1319" s="12" t="s">
        <v>25</v>
      </c>
    </row>
    <row r="1320" spans="1:20" hidden="1" x14ac:dyDescent="0.3">
      <c r="A1320" s="13">
        <v>43947.708333333336</v>
      </c>
      <c r="B1320" s="12" t="s">
        <v>22</v>
      </c>
      <c r="C1320" s="131">
        <v>9</v>
      </c>
      <c r="D1320" s="12" t="s">
        <v>57</v>
      </c>
      <c r="E1320" s="131">
        <v>4376923077</v>
      </c>
      <c r="F1320" s="131">
        <v>1125588885</v>
      </c>
      <c r="G1320" s="131">
        <v>677</v>
      </c>
      <c r="H1320" s="131">
        <v>158</v>
      </c>
      <c r="I1320" s="131">
        <v>835</v>
      </c>
      <c r="J1320" s="131">
        <v>5234</v>
      </c>
      <c r="K1320" s="131">
        <v>6069</v>
      </c>
      <c r="L1320" s="131">
        <v>-77</v>
      </c>
      <c r="M1320" s="131">
        <v>132</v>
      </c>
      <c r="N1320" s="131">
        <v>2300</v>
      </c>
      <c r="O1320" s="131">
        <v>778</v>
      </c>
      <c r="P1320" s="131">
        <v>9147</v>
      </c>
      <c r="Q1320" s="131">
        <v>127394</v>
      </c>
      <c r="R1320" s="12" t="s">
        <v>4338</v>
      </c>
      <c r="S1320" s="12" t="s">
        <v>25</v>
      </c>
      <c r="T1320" s="12" t="s">
        <v>25</v>
      </c>
    </row>
    <row r="1321" spans="1:20" hidden="1" x14ac:dyDescent="0.3">
      <c r="A1321" s="13">
        <v>43947.708333333336</v>
      </c>
      <c r="B1321" s="12" t="s">
        <v>22</v>
      </c>
      <c r="C1321" s="131">
        <v>22</v>
      </c>
      <c r="D1321" s="12" t="s">
        <v>58</v>
      </c>
      <c r="E1321" s="131">
        <v>4606893511</v>
      </c>
      <c r="F1321" s="131">
        <v>1112123097</v>
      </c>
      <c r="G1321" s="131">
        <v>199</v>
      </c>
      <c r="H1321" s="131">
        <v>24</v>
      </c>
      <c r="I1321" s="131">
        <v>223</v>
      </c>
      <c r="J1321" s="131">
        <v>1459</v>
      </c>
      <c r="K1321" s="131">
        <v>1682</v>
      </c>
      <c r="L1321" s="131">
        <v>-62</v>
      </c>
      <c r="M1321" s="131">
        <v>56</v>
      </c>
      <c r="N1321" s="131">
        <v>1807</v>
      </c>
      <c r="O1321" s="131">
        <v>405</v>
      </c>
      <c r="P1321" s="131">
        <v>3894</v>
      </c>
      <c r="Q1321" s="131">
        <v>32142</v>
      </c>
      <c r="R1321" s="12" t="s">
        <v>4339</v>
      </c>
      <c r="S1321" s="12" t="s">
        <v>25</v>
      </c>
      <c r="T1321" s="12" t="s">
        <v>25</v>
      </c>
    </row>
    <row r="1322" spans="1:20" hidden="1" x14ac:dyDescent="0.3">
      <c r="A1322" s="13">
        <v>43947.708333333336</v>
      </c>
      <c r="B1322" s="12" t="s">
        <v>22</v>
      </c>
      <c r="C1322" s="131">
        <v>10</v>
      </c>
      <c r="D1322" s="12" t="s">
        <v>59</v>
      </c>
      <c r="E1322" s="131">
        <v>4310675841</v>
      </c>
      <c r="F1322" s="131">
        <v>1238824698</v>
      </c>
      <c r="G1322" s="131">
        <v>91</v>
      </c>
      <c r="H1322" s="131">
        <v>17</v>
      </c>
      <c r="I1322" s="131">
        <v>108</v>
      </c>
      <c r="J1322" s="131">
        <v>188</v>
      </c>
      <c r="K1322" s="131">
        <v>296</v>
      </c>
      <c r="L1322" s="131">
        <v>-1</v>
      </c>
      <c r="M1322" s="131">
        <v>2</v>
      </c>
      <c r="N1322" s="131">
        <v>1008</v>
      </c>
      <c r="O1322" s="131">
        <v>64</v>
      </c>
      <c r="P1322" s="131">
        <v>1368</v>
      </c>
      <c r="Q1322" s="131">
        <v>32569</v>
      </c>
      <c r="R1322" s="12" t="s">
        <v>4340</v>
      </c>
      <c r="S1322" s="12" t="s">
        <v>25</v>
      </c>
      <c r="T1322" s="12" t="s">
        <v>25</v>
      </c>
    </row>
    <row r="1323" spans="1:20" hidden="1" x14ac:dyDescent="0.3">
      <c r="A1323" s="13">
        <v>43947.708333333336</v>
      </c>
      <c r="B1323" s="12" t="s">
        <v>22</v>
      </c>
      <c r="C1323" s="131">
        <v>2</v>
      </c>
      <c r="D1323" s="12" t="s">
        <v>60</v>
      </c>
      <c r="E1323" s="131">
        <v>4573750286</v>
      </c>
      <c r="F1323" s="131">
        <v>7320149366</v>
      </c>
      <c r="G1323" s="131">
        <v>82</v>
      </c>
      <c r="H1323" s="131">
        <v>7</v>
      </c>
      <c r="I1323" s="131">
        <v>89</v>
      </c>
      <c r="J1323" s="131">
        <v>165</v>
      </c>
      <c r="K1323" s="131">
        <v>254</v>
      </c>
      <c r="L1323" s="131">
        <v>-59</v>
      </c>
      <c r="M1323" s="131">
        <v>6</v>
      </c>
      <c r="N1323" s="131">
        <v>721</v>
      </c>
      <c r="O1323" s="131">
        <v>131</v>
      </c>
      <c r="P1323" s="131">
        <v>1106</v>
      </c>
      <c r="Q1323" s="131">
        <v>6135</v>
      </c>
      <c r="R1323" s="12" t="s">
        <v>4341</v>
      </c>
      <c r="S1323" s="12" t="s">
        <v>4342</v>
      </c>
      <c r="T1323" s="12" t="s">
        <v>4343</v>
      </c>
    </row>
    <row r="1324" spans="1:20" hidden="1" x14ac:dyDescent="0.3">
      <c r="A1324" s="13">
        <v>43947.708333333336</v>
      </c>
      <c r="B1324" s="12" t="s">
        <v>22</v>
      </c>
      <c r="C1324" s="157">
        <v>5</v>
      </c>
      <c r="D1324" s="12" t="s">
        <v>61</v>
      </c>
      <c r="E1324" s="157">
        <v>4543490485</v>
      </c>
      <c r="F1324" s="157">
        <v>1233845213</v>
      </c>
      <c r="G1324" s="157">
        <v>1097</v>
      </c>
      <c r="H1324" s="157">
        <v>124</v>
      </c>
      <c r="I1324" s="157">
        <v>1221</v>
      </c>
      <c r="J1324" s="157">
        <v>7917</v>
      </c>
      <c r="K1324" s="157">
        <v>9138</v>
      </c>
      <c r="L1324" s="157">
        <v>-294</v>
      </c>
      <c r="M1324" s="157">
        <v>80</v>
      </c>
      <c r="N1324" s="157">
        <v>7018</v>
      </c>
      <c r="O1324" s="157">
        <v>1315</v>
      </c>
      <c r="P1324" s="157">
        <v>17471</v>
      </c>
      <c r="Q1324" s="157">
        <v>316361</v>
      </c>
      <c r="R1324" s="12" t="s">
        <v>4344</v>
      </c>
      <c r="S1324" s="12" t="s">
        <v>25</v>
      </c>
      <c r="T1324" s="12" t="s">
        <v>25</v>
      </c>
    </row>
    <row r="1325" spans="1:20" hidden="1" x14ac:dyDescent="0.3">
      <c r="A1325" s="13">
        <v>43948.708333333336</v>
      </c>
      <c r="B1325" s="12" t="s">
        <v>22</v>
      </c>
      <c r="C1325" s="157">
        <v>13</v>
      </c>
      <c r="D1325" s="12" t="s">
        <v>42</v>
      </c>
      <c r="E1325" s="157">
        <v>4235122196</v>
      </c>
      <c r="F1325" s="157">
        <v>1339843823</v>
      </c>
      <c r="G1325" s="157">
        <v>328</v>
      </c>
      <c r="H1325" s="157">
        <v>23</v>
      </c>
      <c r="I1325" s="157">
        <v>351</v>
      </c>
      <c r="J1325" s="157">
        <v>1679</v>
      </c>
      <c r="K1325" s="157">
        <v>2030</v>
      </c>
      <c r="L1325" s="157">
        <v>-38</v>
      </c>
      <c r="M1325" s="157">
        <v>15</v>
      </c>
      <c r="N1325" s="157">
        <v>545</v>
      </c>
      <c r="O1325" s="157">
        <v>299</v>
      </c>
      <c r="P1325" s="157">
        <v>2874</v>
      </c>
      <c r="Q1325" s="157">
        <v>34176</v>
      </c>
      <c r="R1325" s="12" t="s">
        <v>4358</v>
      </c>
      <c r="S1325" s="12" t="s">
        <v>25</v>
      </c>
      <c r="T1325" s="12" t="s">
        <v>25</v>
      </c>
    </row>
    <row r="1326" spans="1:20" hidden="1" x14ac:dyDescent="0.3">
      <c r="A1326" s="13">
        <v>43948.708333333336</v>
      </c>
      <c r="B1326" s="12" t="s">
        <v>22</v>
      </c>
      <c r="C1326" s="157">
        <v>17</v>
      </c>
      <c r="D1326" s="12" t="s">
        <v>43</v>
      </c>
      <c r="E1326" s="157">
        <v>4063947052</v>
      </c>
      <c r="F1326" s="157">
        <v>1580514834</v>
      </c>
      <c r="G1326" s="157">
        <v>57</v>
      </c>
      <c r="H1326" s="157">
        <v>7</v>
      </c>
      <c r="I1326" s="157">
        <v>64</v>
      </c>
      <c r="J1326" s="157">
        <v>153</v>
      </c>
      <c r="K1326" s="157">
        <v>217</v>
      </c>
      <c r="L1326" s="157">
        <v>-2</v>
      </c>
      <c r="M1326" s="157">
        <v>0</v>
      </c>
      <c r="N1326" s="157">
        <v>124</v>
      </c>
      <c r="O1326" s="157">
        <v>25</v>
      </c>
      <c r="P1326" s="157">
        <v>366</v>
      </c>
      <c r="Q1326" s="157">
        <v>10364</v>
      </c>
      <c r="R1326" s="12" t="s">
        <v>4359</v>
      </c>
      <c r="S1326" s="12" t="s">
        <v>25</v>
      </c>
      <c r="T1326" s="12" t="s">
        <v>25</v>
      </c>
    </row>
    <row r="1327" spans="1:20" hidden="1" x14ac:dyDescent="0.3">
      <c r="A1327" s="13">
        <v>43948.708333333336</v>
      </c>
      <c r="B1327" s="12" t="s">
        <v>22</v>
      </c>
      <c r="C1327" s="157">
        <v>21</v>
      </c>
      <c r="D1327" s="12" t="s">
        <v>44</v>
      </c>
      <c r="E1327" s="157">
        <v>4649933453</v>
      </c>
      <c r="F1327" s="157">
        <v>1135662422</v>
      </c>
      <c r="G1327" s="157">
        <v>150</v>
      </c>
      <c r="H1327" s="157">
        <v>16</v>
      </c>
      <c r="I1327" s="157">
        <v>166</v>
      </c>
      <c r="J1327" s="157">
        <v>774</v>
      </c>
      <c r="K1327" s="157">
        <v>940</v>
      </c>
      <c r="L1327" s="157">
        <v>-54</v>
      </c>
      <c r="M1327" s="157">
        <v>15</v>
      </c>
      <c r="N1327" s="157">
        <v>1286</v>
      </c>
      <c r="O1327" s="157">
        <v>270</v>
      </c>
      <c r="P1327" s="157">
        <v>2496</v>
      </c>
      <c r="Q1327" s="157">
        <v>38640</v>
      </c>
      <c r="R1327" s="12" t="s">
        <v>4360</v>
      </c>
      <c r="S1327" s="12" t="s">
        <v>25</v>
      </c>
      <c r="T1327" s="12" t="s">
        <v>25</v>
      </c>
    </row>
    <row r="1328" spans="1:20" hidden="1" x14ac:dyDescent="0.3">
      <c r="A1328" s="13">
        <v>43948.708333333336</v>
      </c>
      <c r="B1328" s="12" t="s">
        <v>22</v>
      </c>
      <c r="C1328" s="157">
        <v>18</v>
      </c>
      <c r="D1328" s="12" t="s">
        <v>45</v>
      </c>
      <c r="E1328" s="157">
        <v>3890597598</v>
      </c>
      <c r="F1328" s="157">
        <v>1659440194</v>
      </c>
      <c r="G1328" s="157">
        <v>114</v>
      </c>
      <c r="H1328" s="157">
        <v>6</v>
      </c>
      <c r="I1328" s="157">
        <v>120</v>
      </c>
      <c r="J1328" s="157">
        <v>662</v>
      </c>
      <c r="K1328" s="157">
        <v>782</v>
      </c>
      <c r="L1328" s="157">
        <v>-15</v>
      </c>
      <c r="M1328" s="157">
        <v>7</v>
      </c>
      <c r="N1328" s="157">
        <v>231</v>
      </c>
      <c r="O1328" s="157">
        <v>83</v>
      </c>
      <c r="P1328" s="157">
        <v>1096</v>
      </c>
      <c r="Q1328" s="157">
        <v>31787</v>
      </c>
      <c r="R1328" s="12" t="s">
        <v>4361</v>
      </c>
      <c r="S1328" s="12" t="s">
        <v>25</v>
      </c>
      <c r="T1328" s="12" t="s">
        <v>25</v>
      </c>
    </row>
    <row r="1329" spans="1:20" hidden="1" x14ac:dyDescent="0.3">
      <c r="A1329" s="13">
        <v>43948.708333333336</v>
      </c>
      <c r="B1329" s="12" t="s">
        <v>22</v>
      </c>
      <c r="C1329" s="157">
        <v>15</v>
      </c>
      <c r="D1329" s="12" t="s">
        <v>46</v>
      </c>
      <c r="E1329" s="157">
        <v>4083956555</v>
      </c>
      <c r="F1329" s="157">
        <v>1425084984</v>
      </c>
      <c r="G1329" s="157">
        <v>541</v>
      </c>
      <c r="H1329" s="157">
        <v>37</v>
      </c>
      <c r="I1329" s="157">
        <v>578</v>
      </c>
      <c r="J1329" s="157">
        <v>2299</v>
      </c>
      <c r="K1329" s="157">
        <v>2877</v>
      </c>
      <c r="L1329" s="157">
        <v>-47</v>
      </c>
      <c r="M1329" s="157">
        <v>18</v>
      </c>
      <c r="N1329" s="157">
        <v>1120</v>
      </c>
      <c r="O1329" s="157">
        <v>352</v>
      </c>
      <c r="P1329" s="157">
        <v>4349</v>
      </c>
      <c r="Q1329" s="157">
        <v>68727</v>
      </c>
      <c r="R1329" s="12" t="s">
        <v>4362</v>
      </c>
      <c r="S1329" s="12" t="s">
        <v>25</v>
      </c>
      <c r="T1329" s="12" t="s">
        <v>25</v>
      </c>
    </row>
    <row r="1330" spans="1:20" hidden="1" x14ac:dyDescent="0.3">
      <c r="A1330" s="13">
        <v>43948.708333333336</v>
      </c>
      <c r="B1330" s="12" t="s">
        <v>22</v>
      </c>
      <c r="C1330" s="157">
        <v>8</v>
      </c>
      <c r="D1330" s="12" t="s">
        <v>95</v>
      </c>
      <c r="E1330" s="157">
        <v>4449436681</v>
      </c>
      <c r="F1330" s="157">
        <v>113417208</v>
      </c>
      <c r="G1330" s="157">
        <v>2640</v>
      </c>
      <c r="H1330" s="157">
        <v>247</v>
      </c>
      <c r="I1330" s="157">
        <v>2887</v>
      </c>
      <c r="J1330" s="157">
        <v>9338</v>
      </c>
      <c r="K1330" s="157">
        <v>12225</v>
      </c>
      <c r="L1330" s="157">
        <v>-116</v>
      </c>
      <c r="M1330" s="157">
        <v>212</v>
      </c>
      <c r="N1330" s="157">
        <v>9006</v>
      </c>
      <c r="O1330" s="157">
        <v>3431</v>
      </c>
      <c r="P1330" s="157">
        <v>24662</v>
      </c>
      <c r="Q1330" s="157">
        <v>164979</v>
      </c>
      <c r="R1330" s="12" t="s">
        <v>4363</v>
      </c>
      <c r="S1330" s="12" t="s">
        <v>25</v>
      </c>
      <c r="T1330" s="12" t="s">
        <v>25</v>
      </c>
    </row>
    <row r="1331" spans="1:20" hidden="1" x14ac:dyDescent="0.3">
      <c r="A1331" s="13">
        <v>43948.708333333336</v>
      </c>
      <c r="B1331" s="12" t="s">
        <v>22</v>
      </c>
      <c r="C1331" s="157">
        <v>6</v>
      </c>
      <c r="D1331" s="12" t="s">
        <v>47</v>
      </c>
      <c r="E1331" s="157">
        <v>456494354</v>
      </c>
      <c r="F1331" s="157">
        <v>1376813649</v>
      </c>
      <c r="G1331" s="157">
        <v>130</v>
      </c>
      <c r="H1331" s="157">
        <v>13</v>
      </c>
      <c r="I1331" s="157">
        <v>143</v>
      </c>
      <c r="J1331" s="157">
        <v>1115</v>
      </c>
      <c r="K1331" s="157">
        <v>1258</v>
      </c>
      <c r="L1331" s="157">
        <v>10</v>
      </c>
      <c r="M1331" s="157">
        <v>60</v>
      </c>
      <c r="N1331" s="157">
        <v>1448</v>
      </c>
      <c r="O1331" s="157">
        <v>271</v>
      </c>
      <c r="P1331" s="157">
        <v>2977</v>
      </c>
      <c r="Q1331" s="157">
        <v>60940</v>
      </c>
      <c r="R1331" s="12" t="s">
        <v>4364</v>
      </c>
      <c r="S1331" s="12" t="s">
        <v>25</v>
      </c>
      <c r="T1331" s="12" t="s">
        <v>25</v>
      </c>
    </row>
    <row r="1332" spans="1:20" hidden="1" x14ac:dyDescent="0.3">
      <c r="A1332" s="13">
        <v>43948.708333333336</v>
      </c>
      <c r="B1332" s="12" t="s">
        <v>22</v>
      </c>
      <c r="C1332" s="157">
        <v>12</v>
      </c>
      <c r="D1332" s="12" t="s">
        <v>48</v>
      </c>
      <c r="E1332" s="157">
        <v>4189277044</v>
      </c>
      <c r="F1332" s="157">
        <v>1248366722</v>
      </c>
      <c r="G1332" s="157">
        <v>1464</v>
      </c>
      <c r="H1332" s="157">
        <v>143</v>
      </c>
      <c r="I1332" s="157">
        <v>1607</v>
      </c>
      <c r="J1332" s="157">
        <v>2955</v>
      </c>
      <c r="K1332" s="157">
        <v>4562</v>
      </c>
      <c r="L1332" s="157">
        <v>-11</v>
      </c>
      <c r="M1332" s="157">
        <v>83</v>
      </c>
      <c r="N1332" s="157">
        <v>1433</v>
      </c>
      <c r="O1332" s="157">
        <v>397</v>
      </c>
      <c r="P1332" s="157">
        <v>6392</v>
      </c>
      <c r="Q1332" s="157">
        <v>124769</v>
      </c>
      <c r="R1332" s="12" t="s">
        <v>4365</v>
      </c>
      <c r="S1332" s="12" t="s">
        <v>25</v>
      </c>
      <c r="T1332" s="12" t="s">
        <v>25</v>
      </c>
    </row>
    <row r="1333" spans="1:20" x14ac:dyDescent="0.3">
      <c r="A1333" s="13">
        <v>43948.708333333336</v>
      </c>
      <c r="B1333" s="12" t="s">
        <v>22</v>
      </c>
      <c r="C1333" s="157">
        <v>7</v>
      </c>
      <c r="D1333" s="12" t="s">
        <v>49</v>
      </c>
      <c r="E1333" s="157">
        <v>4441149315</v>
      </c>
      <c r="F1333" s="157">
        <v>89326992</v>
      </c>
      <c r="G1333" s="157">
        <v>754</v>
      </c>
      <c r="H1333" s="157">
        <v>83</v>
      </c>
      <c r="I1333" s="157">
        <v>837</v>
      </c>
      <c r="J1333" s="157">
        <v>2743</v>
      </c>
      <c r="K1333" s="157">
        <v>3580</v>
      </c>
      <c r="L1333" s="157">
        <v>100</v>
      </c>
      <c r="M1333" s="157">
        <v>154</v>
      </c>
      <c r="N1333" s="157">
        <v>2934</v>
      </c>
      <c r="O1333" s="157">
        <v>1128</v>
      </c>
      <c r="P1333" s="157">
        <v>7642</v>
      </c>
      <c r="Q1333" s="157">
        <v>44039</v>
      </c>
      <c r="R1333" s="12" t="s">
        <v>4366</v>
      </c>
      <c r="S1333" s="12" t="s">
        <v>25</v>
      </c>
      <c r="T1333" s="12" t="s">
        <v>25</v>
      </c>
    </row>
    <row r="1334" spans="1:20" hidden="1" x14ac:dyDescent="0.3">
      <c r="A1334" s="13">
        <v>43948.708333333336</v>
      </c>
      <c r="B1334" s="12" t="s">
        <v>22</v>
      </c>
      <c r="C1334" s="157">
        <v>3</v>
      </c>
      <c r="D1334" s="12" t="s">
        <v>50</v>
      </c>
      <c r="E1334" s="157">
        <v>4546679409</v>
      </c>
      <c r="F1334" s="157">
        <v>9190347404</v>
      </c>
      <c r="G1334" s="157">
        <v>7525</v>
      </c>
      <c r="H1334" s="157">
        <v>680</v>
      </c>
      <c r="I1334" s="157">
        <v>8205</v>
      </c>
      <c r="J1334" s="157">
        <v>27236</v>
      </c>
      <c r="K1334" s="157">
        <v>35441</v>
      </c>
      <c r="L1334" s="157">
        <v>275</v>
      </c>
      <c r="M1334" s="157">
        <v>590</v>
      </c>
      <c r="N1334" s="157">
        <v>24589</v>
      </c>
      <c r="O1334" s="157">
        <v>13449</v>
      </c>
      <c r="P1334" s="157">
        <v>73479</v>
      </c>
      <c r="Q1334" s="157">
        <v>342850</v>
      </c>
      <c r="R1334" s="12" t="s">
        <v>4367</v>
      </c>
      <c r="S1334" s="12" t="s">
        <v>25</v>
      </c>
      <c r="T1334" s="12" t="s">
        <v>25</v>
      </c>
    </row>
    <row r="1335" spans="1:20" hidden="1" x14ac:dyDescent="0.3">
      <c r="A1335" s="13">
        <v>43948.708333333336</v>
      </c>
      <c r="B1335" s="12" t="s">
        <v>22</v>
      </c>
      <c r="C1335" s="157">
        <v>11</v>
      </c>
      <c r="D1335" s="12" t="s">
        <v>51</v>
      </c>
      <c r="E1335" s="157">
        <v>4361675973</v>
      </c>
      <c r="F1335" s="157">
        <v>135188753</v>
      </c>
      <c r="G1335" s="157">
        <v>667</v>
      </c>
      <c r="H1335" s="157">
        <v>58</v>
      </c>
      <c r="I1335" s="157">
        <v>725</v>
      </c>
      <c r="J1335" s="157">
        <v>2585</v>
      </c>
      <c r="K1335" s="157">
        <v>3310</v>
      </c>
      <c r="L1335" s="157">
        <v>2</v>
      </c>
      <c r="M1335" s="157">
        <v>16</v>
      </c>
      <c r="N1335" s="157">
        <v>1933</v>
      </c>
      <c r="O1335" s="157">
        <v>884</v>
      </c>
      <c r="P1335" s="157">
        <v>6127</v>
      </c>
      <c r="Q1335" s="157">
        <v>52765</v>
      </c>
      <c r="R1335" s="12" t="s">
        <v>4368</v>
      </c>
      <c r="S1335" s="12" t="s">
        <v>25</v>
      </c>
      <c r="T1335" s="12" t="s">
        <v>25</v>
      </c>
    </row>
    <row r="1336" spans="1:20" hidden="1" x14ac:dyDescent="0.3">
      <c r="A1336" s="13">
        <v>43948.708333333336</v>
      </c>
      <c r="B1336" s="12" t="s">
        <v>22</v>
      </c>
      <c r="C1336" s="157">
        <v>14</v>
      </c>
      <c r="D1336" s="12" t="s">
        <v>52</v>
      </c>
      <c r="E1336" s="157">
        <v>4155774754</v>
      </c>
      <c r="F1336" s="157">
        <v>1465916051</v>
      </c>
      <c r="G1336" s="157">
        <v>20</v>
      </c>
      <c r="H1336" s="157">
        <v>1</v>
      </c>
      <c r="I1336" s="157">
        <v>21</v>
      </c>
      <c r="J1336" s="157">
        <v>179</v>
      </c>
      <c r="K1336" s="157">
        <v>200</v>
      </c>
      <c r="L1336" s="157">
        <v>0</v>
      </c>
      <c r="M1336" s="157">
        <v>0</v>
      </c>
      <c r="N1336" s="157">
        <v>75</v>
      </c>
      <c r="O1336" s="157">
        <v>21</v>
      </c>
      <c r="P1336" s="157">
        <v>296</v>
      </c>
      <c r="Q1336" s="157">
        <v>5656</v>
      </c>
      <c r="R1336" s="12" t="s">
        <v>4369</v>
      </c>
      <c r="S1336" s="12" t="s">
        <v>25</v>
      </c>
      <c r="T1336" s="12" t="s">
        <v>25</v>
      </c>
    </row>
    <row r="1337" spans="1:20" hidden="1" x14ac:dyDescent="0.3">
      <c r="A1337" s="13">
        <v>43948.708333333336</v>
      </c>
      <c r="B1337" s="12" t="s">
        <v>22</v>
      </c>
      <c r="C1337" s="157">
        <v>1</v>
      </c>
      <c r="D1337" s="12" t="s">
        <v>53</v>
      </c>
      <c r="E1337" s="157">
        <v>450732745</v>
      </c>
      <c r="F1337" s="157">
        <v>7680687483</v>
      </c>
      <c r="G1337" s="157">
        <v>2830</v>
      </c>
      <c r="H1337" s="157">
        <v>214</v>
      </c>
      <c r="I1337" s="157">
        <v>3044</v>
      </c>
      <c r="J1337" s="157">
        <v>12464</v>
      </c>
      <c r="K1337" s="157">
        <v>15508</v>
      </c>
      <c r="L1337" s="157">
        <v>-11</v>
      </c>
      <c r="M1337" s="157">
        <v>278</v>
      </c>
      <c r="N1337" s="157">
        <v>6712</v>
      </c>
      <c r="O1337" s="157">
        <v>2878</v>
      </c>
      <c r="P1337" s="157">
        <v>25098</v>
      </c>
      <c r="Q1337" s="157">
        <v>139348</v>
      </c>
      <c r="R1337" s="12" t="s">
        <v>4370</v>
      </c>
      <c r="S1337" s="12" t="s">
        <v>25</v>
      </c>
      <c r="T1337" s="12" t="s">
        <v>25</v>
      </c>
    </row>
    <row r="1338" spans="1:20" hidden="1" x14ac:dyDescent="0.3">
      <c r="A1338" s="13">
        <v>43948.708333333336</v>
      </c>
      <c r="B1338" s="12" t="s">
        <v>22</v>
      </c>
      <c r="C1338" s="157">
        <v>16</v>
      </c>
      <c r="D1338" s="12" t="s">
        <v>54</v>
      </c>
      <c r="E1338" s="157">
        <v>4112559576</v>
      </c>
      <c r="F1338" s="157">
        <v>1686736689</v>
      </c>
      <c r="G1338" s="157">
        <v>449</v>
      </c>
      <c r="H1338" s="157">
        <v>51</v>
      </c>
      <c r="I1338" s="157">
        <v>500</v>
      </c>
      <c r="J1338" s="157">
        <v>2412</v>
      </c>
      <c r="K1338" s="157">
        <v>2912</v>
      </c>
      <c r="L1338" s="157">
        <v>-25</v>
      </c>
      <c r="M1338" s="157">
        <v>10</v>
      </c>
      <c r="N1338" s="157">
        <v>641</v>
      </c>
      <c r="O1338" s="157">
        <v>405</v>
      </c>
      <c r="P1338" s="157">
        <v>3958</v>
      </c>
      <c r="Q1338" s="157">
        <v>56976</v>
      </c>
      <c r="R1338" s="12" t="s">
        <v>4371</v>
      </c>
      <c r="S1338" s="12" t="s">
        <v>25</v>
      </c>
      <c r="T1338" s="12" t="s">
        <v>25</v>
      </c>
    </row>
    <row r="1339" spans="1:20" hidden="1" x14ac:dyDescent="0.3">
      <c r="A1339" s="13">
        <v>43948.708333333336</v>
      </c>
      <c r="B1339" s="12" t="s">
        <v>22</v>
      </c>
      <c r="C1339" s="157">
        <v>20</v>
      </c>
      <c r="D1339" s="12" t="s">
        <v>55</v>
      </c>
      <c r="E1339" s="157">
        <v>3921531192</v>
      </c>
      <c r="F1339" s="157">
        <v>9110616306</v>
      </c>
      <c r="G1339" s="157">
        <v>97</v>
      </c>
      <c r="H1339" s="157">
        <v>19</v>
      </c>
      <c r="I1339" s="157">
        <v>116</v>
      </c>
      <c r="J1339" s="157">
        <v>660</v>
      </c>
      <c r="K1339" s="157">
        <v>776</v>
      </c>
      <c r="L1339" s="157">
        <v>-7</v>
      </c>
      <c r="M1339" s="157">
        <v>3</v>
      </c>
      <c r="N1339" s="157">
        <v>398</v>
      </c>
      <c r="O1339" s="157">
        <v>109</v>
      </c>
      <c r="P1339" s="157">
        <v>1283</v>
      </c>
      <c r="Q1339" s="157">
        <v>21395</v>
      </c>
      <c r="R1339" s="12" t="s">
        <v>4372</v>
      </c>
      <c r="S1339" s="12" t="s">
        <v>25</v>
      </c>
      <c r="T1339" s="12" t="s">
        <v>25</v>
      </c>
    </row>
    <row r="1340" spans="1:20" hidden="1" x14ac:dyDescent="0.3">
      <c r="A1340" s="13">
        <v>43948.708333333336</v>
      </c>
      <c r="B1340" s="12" t="s">
        <v>22</v>
      </c>
      <c r="C1340" s="157">
        <v>19</v>
      </c>
      <c r="D1340" s="12" t="s">
        <v>56</v>
      </c>
      <c r="E1340" s="157">
        <v>3811569725</v>
      </c>
      <c r="F1340" s="157">
        <v>133623567</v>
      </c>
      <c r="G1340" s="157">
        <v>440</v>
      </c>
      <c r="H1340" s="157">
        <v>35</v>
      </c>
      <c r="I1340" s="157">
        <v>475</v>
      </c>
      <c r="J1340" s="157">
        <v>1648</v>
      </c>
      <c r="K1340" s="157">
        <v>2123</v>
      </c>
      <c r="L1340" s="157">
        <v>16</v>
      </c>
      <c r="M1340" s="157">
        <v>30</v>
      </c>
      <c r="N1340" s="157">
        <v>731</v>
      </c>
      <c r="O1340" s="157">
        <v>231</v>
      </c>
      <c r="P1340" s="157">
        <v>3085</v>
      </c>
      <c r="Q1340" s="157">
        <v>70650</v>
      </c>
      <c r="R1340" s="12" t="s">
        <v>4373</v>
      </c>
      <c r="S1340" s="12" t="s">
        <v>25</v>
      </c>
      <c r="T1340" s="12" t="s">
        <v>25</v>
      </c>
    </row>
    <row r="1341" spans="1:20" hidden="1" x14ac:dyDescent="0.3">
      <c r="A1341" s="13">
        <v>43948.708333333336</v>
      </c>
      <c r="B1341" s="12" t="s">
        <v>22</v>
      </c>
      <c r="C1341" s="157">
        <v>9</v>
      </c>
      <c r="D1341" s="12" t="s">
        <v>57</v>
      </c>
      <c r="E1341" s="157">
        <v>4376923077</v>
      </c>
      <c r="F1341" s="157">
        <v>1125588885</v>
      </c>
      <c r="G1341" s="157">
        <v>671</v>
      </c>
      <c r="H1341" s="157">
        <v>154</v>
      </c>
      <c r="I1341" s="157">
        <v>825</v>
      </c>
      <c r="J1341" s="157">
        <v>5158</v>
      </c>
      <c r="K1341" s="157">
        <v>5983</v>
      </c>
      <c r="L1341" s="157">
        <v>-86</v>
      </c>
      <c r="M1341" s="157">
        <v>32</v>
      </c>
      <c r="N1341" s="157">
        <v>2401</v>
      </c>
      <c r="O1341" s="157">
        <v>795</v>
      </c>
      <c r="P1341" s="157">
        <v>9179</v>
      </c>
      <c r="Q1341" s="157">
        <v>129048</v>
      </c>
      <c r="R1341" s="12" t="s">
        <v>4374</v>
      </c>
      <c r="S1341" s="12" t="s">
        <v>25</v>
      </c>
      <c r="T1341" s="12" t="s">
        <v>25</v>
      </c>
    </row>
    <row r="1342" spans="1:20" hidden="1" x14ac:dyDescent="0.3">
      <c r="A1342" s="13">
        <v>43948.708333333336</v>
      </c>
      <c r="B1342" s="12" t="s">
        <v>22</v>
      </c>
      <c r="C1342" s="157">
        <v>22</v>
      </c>
      <c r="D1342" s="12" t="s">
        <v>58</v>
      </c>
      <c r="E1342" s="157">
        <v>4606893511</v>
      </c>
      <c r="F1342" s="157">
        <v>1112123097</v>
      </c>
      <c r="G1342" s="157">
        <v>201</v>
      </c>
      <c r="H1342" s="157">
        <v>23</v>
      </c>
      <c r="I1342" s="157">
        <v>224</v>
      </c>
      <c r="J1342" s="157">
        <v>1483</v>
      </c>
      <c r="K1342" s="157">
        <v>1707</v>
      </c>
      <c r="L1342" s="157">
        <v>25</v>
      </c>
      <c r="M1342" s="157">
        <v>101</v>
      </c>
      <c r="N1342" s="157">
        <v>1881</v>
      </c>
      <c r="O1342" s="157">
        <v>407</v>
      </c>
      <c r="P1342" s="157">
        <v>3995</v>
      </c>
      <c r="Q1342" s="157">
        <v>33152</v>
      </c>
      <c r="R1342" s="12" t="s">
        <v>4375</v>
      </c>
      <c r="S1342" s="12" t="s">
        <v>25</v>
      </c>
      <c r="T1342" s="12" t="s">
        <v>25</v>
      </c>
    </row>
    <row r="1343" spans="1:20" hidden="1" x14ac:dyDescent="0.3">
      <c r="A1343" s="13">
        <v>43948.708333333336</v>
      </c>
      <c r="B1343" s="12" t="s">
        <v>22</v>
      </c>
      <c r="C1343" s="157">
        <v>10</v>
      </c>
      <c r="D1343" s="12" t="s">
        <v>59</v>
      </c>
      <c r="E1343" s="157">
        <v>4310675841</v>
      </c>
      <c r="F1343" s="157">
        <v>1238824698</v>
      </c>
      <c r="G1343" s="157">
        <v>90</v>
      </c>
      <c r="H1343" s="157">
        <v>16</v>
      </c>
      <c r="I1343" s="157">
        <v>106</v>
      </c>
      <c r="J1343" s="157">
        <v>181</v>
      </c>
      <c r="K1343" s="157">
        <v>287</v>
      </c>
      <c r="L1343" s="157">
        <v>-9</v>
      </c>
      <c r="M1343" s="157">
        <v>2</v>
      </c>
      <c r="N1343" s="157">
        <v>1018</v>
      </c>
      <c r="O1343" s="157">
        <v>65</v>
      </c>
      <c r="P1343" s="157">
        <v>1370</v>
      </c>
      <c r="Q1343" s="157">
        <v>32823</v>
      </c>
      <c r="R1343" s="12" t="s">
        <v>4376</v>
      </c>
      <c r="S1343" s="12" t="s">
        <v>25</v>
      </c>
      <c r="T1343" s="12" t="s">
        <v>25</v>
      </c>
    </row>
    <row r="1344" spans="1:20" hidden="1" x14ac:dyDescent="0.3">
      <c r="A1344" s="13">
        <v>43948.708333333336</v>
      </c>
      <c r="B1344" s="12" t="s">
        <v>22</v>
      </c>
      <c r="C1344" s="157">
        <v>2</v>
      </c>
      <c r="D1344" s="12" t="s">
        <v>60</v>
      </c>
      <c r="E1344" s="157">
        <v>4573750286</v>
      </c>
      <c r="F1344" s="157">
        <v>7320149366</v>
      </c>
      <c r="G1344" s="157">
        <v>86</v>
      </c>
      <c r="H1344" s="157">
        <v>7</v>
      </c>
      <c r="I1344" s="157">
        <v>93</v>
      </c>
      <c r="J1344" s="157">
        <v>142</v>
      </c>
      <c r="K1344" s="157">
        <v>235</v>
      </c>
      <c r="L1344" s="157">
        <v>-19</v>
      </c>
      <c r="M1344" s="157">
        <v>5</v>
      </c>
      <c r="N1344" s="157">
        <v>743</v>
      </c>
      <c r="O1344" s="157">
        <v>133</v>
      </c>
      <c r="P1344" s="157">
        <v>1111</v>
      </c>
      <c r="Q1344" s="157">
        <v>6551</v>
      </c>
      <c r="R1344" s="12" t="s">
        <v>3755</v>
      </c>
      <c r="S1344" s="12" t="s">
        <v>25</v>
      </c>
      <c r="T1344" s="12" t="s">
        <v>25</v>
      </c>
    </row>
    <row r="1345" spans="1:20" hidden="1" x14ac:dyDescent="0.3">
      <c r="A1345" s="13">
        <v>43948.708333333336</v>
      </c>
      <c r="B1345" s="12" t="s">
        <v>22</v>
      </c>
      <c r="C1345" s="235">
        <v>5</v>
      </c>
      <c r="D1345" s="12" t="s">
        <v>61</v>
      </c>
      <c r="E1345" s="235">
        <v>4543490485</v>
      </c>
      <c r="F1345" s="235">
        <v>1233845213</v>
      </c>
      <c r="G1345" s="235">
        <v>1099</v>
      </c>
      <c r="H1345" s="235">
        <v>123</v>
      </c>
      <c r="I1345" s="235">
        <v>1222</v>
      </c>
      <c r="J1345" s="235">
        <v>7638</v>
      </c>
      <c r="K1345" s="235">
        <v>8860</v>
      </c>
      <c r="L1345" s="235">
        <v>-278</v>
      </c>
      <c r="M1345" s="235">
        <v>108</v>
      </c>
      <c r="N1345" s="235">
        <v>7375</v>
      </c>
      <c r="O1345" s="235">
        <v>1344</v>
      </c>
      <c r="P1345" s="235">
        <v>17579</v>
      </c>
      <c r="Q1345" s="235">
        <v>320027</v>
      </c>
      <c r="R1345" s="12" t="s">
        <v>4377</v>
      </c>
      <c r="S1345" s="12" t="s">
        <v>25</v>
      </c>
      <c r="T1345" s="12" t="s">
        <v>25</v>
      </c>
    </row>
    <row r="1346" spans="1:20" hidden="1" x14ac:dyDescent="0.3">
      <c r="A1346" s="13">
        <v>43949.708333333336</v>
      </c>
      <c r="B1346" s="12" t="s">
        <v>22</v>
      </c>
      <c r="C1346" s="235">
        <v>13</v>
      </c>
      <c r="D1346" s="12" t="s">
        <v>42</v>
      </c>
      <c r="E1346" s="235">
        <v>4235122196</v>
      </c>
      <c r="F1346" s="235">
        <v>1339843823</v>
      </c>
      <c r="G1346" s="235">
        <v>312</v>
      </c>
      <c r="H1346" s="235">
        <v>21</v>
      </c>
      <c r="I1346" s="235">
        <v>333</v>
      </c>
      <c r="J1346" s="235">
        <v>1657</v>
      </c>
      <c r="K1346" s="235">
        <v>1990</v>
      </c>
      <c r="L1346" s="235">
        <v>-40</v>
      </c>
      <c r="M1346" s="235">
        <v>25</v>
      </c>
      <c r="N1346" s="235">
        <v>599</v>
      </c>
      <c r="O1346" s="235">
        <v>310</v>
      </c>
      <c r="P1346" s="235">
        <v>2899</v>
      </c>
      <c r="Q1346" s="235">
        <v>35356</v>
      </c>
      <c r="R1346" s="12" t="s">
        <v>4404</v>
      </c>
      <c r="S1346" s="12" t="s">
        <v>25</v>
      </c>
      <c r="T1346" s="12" t="s">
        <v>25</v>
      </c>
    </row>
    <row r="1347" spans="1:20" hidden="1" x14ac:dyDescent="0.3">
      <c r="A1347" s="13">
        <v>43949.708333333336</v>
      </c>
      <c r="B1347" s="12" t="s">
        <v>22</v>
      </c>
      <c r="C1347" s="235">
        <v>17</v>
      </c>
      <c r="D1347" s="12" t="s">
        <v>43</v>
      </c>
      <c r="E1347" s="235">
        <v>4063947052</v>
      </c>
      <c r="F1347" s="235">
        <v>1580514834</v>
      </c>
      <c r="G1347" s="235">
        <v>56</v>
      </c>
      <c r="H1347" s="235">
        <v>7</v>
      </c>
      <c r="I1347" s="235">
        <v>63</v>
      </c>
      <c r="J1347" s="235">
        <v>142</v>
      </c>
      <c r="K1347" s="235">
        <v>205</v>
      </c>
      <c r="L1347" s="235">
        <v>-12</v>
      </c>
      <c r="M1347" s="235">
        <v>0</v>
      </c>
      <c r="N1347" s="235">
        <v>136</v>
      </c>
      <c r="O1347" s="235">
        <v>25</v>
      </c>
      <c r="P1347" s="235">
        <v>366</v>
      </c>
      <c r="Q1347" s="235">
        <v>10889</v>
      </c>
      <c r="R1347" s="12" t="s">
        <v>4405</v>
      </c>
      <c r="S1347" s="12" t="s">
        <v>25</v>
      </c>
      <c r="T1347" s="12" t="s">
        <v>25</v>
      </c>
    </row>
    <row r="1348" spans="1:20" hidden="1" x14ac:dyDescent="0.3">
      <c r="A1348" s="13">
        <v>43949.708333333336</v>
      </c>
      <c r="B1348" s="12" t="s">
        <v>22</v>
      </c>
      <c r="C1348" s="235">
        <v>21</v>
      </c>
      <c r="D1348" s="12" t="s">
        <v>44</v>
      </c>
      <c r="E1348" s="235">
        <v>4649933453</v>
      </c>
      <c r="F1348" s="235">
        <v>1135662422</v>
      </c>
      <c r="G1348" s="235">
        <v>136</v>
      </c>
      <c r="H1348" s="235">
        <v>15</v>
      </c>
      <c r="I1348" s="235">
        <v>151</v>
      </c>
      <c r="J1348" s="235">
        <v>759</v>
      </c>
      <c r="K1348" s="235">
        <v>910</v>
      </c>
      <c r="L1348" s="235">
        <v>-30</v>
      </c>
      <c r="M1348" s="235">
        <v>2</v>
      </c>
      <c r="N1348" s="235">
        <v>1316</v>
      </c>
      <c r="O1348" s="235">
        <v>272</v>
      </c>
      <c r="P1348" s="235">
        <v>2498</v>
      </c>
      <c r="Q1348" s="235">
        <v>39130</v>
      </c>
      <c r="R1348" s="12" t="s">
        <v>4406</v>
      </c>
      <c r="S1348" s="12" t="s">
        <v>25</v>
      </c>
      <c r="T1348" s="12" t="s">
        <v>25</v>
      </c>
    </row>
    <row r="1349" spans="1:20" hidden="1" x14ac:dyDescent="0.3">
      <c r="A1349" s="13">
        <v>43949.708333333336</v>
      </c>
      <c r="B1349" s="12" t="s">
        <v>22</v>
      </c>
      <c r="C1349" s="235">
        <v>18</v>
      </c>
      <c r="D1349" s="12" t="s">
        <v>45</v>
      </c>
      <c r="E1349" s="235">
        <v>3890597598</v>
      </c>
      <c r="F1349" s="235">
        <v>1659440194</v>
      </c>
      <c r="G1349" s="235">
        <v>113</v>
      </c>
      <c r="H1349" s="235">
        <v>6</v>
      </c>
      <c r="I1349" s="235">
        <v>119</v>
      </c>
      <c r="J1349" s="235">
        <v>645</v>
      </c>
      <c r="K1349" s="235">
        <v>764</v>
      </c>
      <c r="L1349" s="235">
        <v>-18</v>
      </c>
      <c r="M1349" s="235">
        <v>1</v>
      </c>
      <c r="N1349" s="235">
        <v>248</v>
      </c>
      <c r="O1349" s="235">
        <v>85</v>
      </c>
      <c r="P1349" s="235">
        <v>1097</v>
      </c>
      <c r="Q1349" s="235">
        <v>33755</v>
      </c>
      <c r="R1349" s="12" t="s">
        <v>4407</v>
      </c>
      <c r="S1349" s="12" t="s">
        <v>25</v>
      </c>
      <c r="T1349" s="12" t="s">
        <v>25</v>
      </c>
    </row>
    <row r="1350" spans="1:20" hidden="1" x14ac:dyDescent="0.3">
      <c r="A1350" s="13">
        <v>43949.708333333336</v>
      </c>
      <c r="B1350" s="12" t="s">
        <v>22</v>
      </c>
      <c r="C1350" s="235">
        <v>15</v>
      </c>
      <c r="D1350" s="12" t="s">
        <v>46</v>
      </c>
      <c r="E1350" s="235">
        <v>4083956555</v>
      </c>
      <c r="F1350" s="235">
        <v>1425084984</v>
      </c>
      <c r="G1350" s="235">
        <v>544</v>
      </c>
      <c r="H1350" s="235">
        <v>33</v>
      </c>
      <c r="I1350" s="235">
        <v>577</v>
      </c>
      <c r="J1350" s="235">
        <v>2225</v>
      </c>
      <c r="K1350" s="235">
        <v>2802</v>
      </c>
      <c r="L1350" s="235">
        <v>-75</v>
      </c>
      <c r="M1350" s="235">
        <v>31</v>
      </c>
      <c r="N1350" s="235">
        <v>1220</v>
      </c>
      <c r="O1350" s="235">
        <v>358</v>
      </c>
      <c r="P1350" s="235">
        <v>4380</v>
      </c>
      <c r="Q1350" s="235">
        <v>70566</v>
      </c>
      <c r="R1350" s="12" t="s">
        <v>4408</v>
      </c>
      <c r="S1350" s="12" t="s">
        <v>25</v>
      </c>
      <c r="T1350" s="12" t="s">
        <v>25</v>
      </c>
    </row>
    <row r="1351" spans="1:20" hidden="1" x14ac:dyDescent="0.3">
      <c r="A1351" s="13">
        <v>43949.708333333336</v>
      </c>
      <c r="B1351" s="12" t="s">
        <v>22</v>
      </c>
      <c r="C1351" s="235">
        <v>8</v>
      </c>
      <c r="D1351" s="12" t="s">
        <v>95</v>
      </c>
      <c r="E1351" s="235">
        <v>4449436681</v>
      </c>
      <c r="F1351" s="235">
        <v>113417208</v>
      </c>
      <c r="G1351" s="235">
        <v>2574</v>
      </c>
      <c r="H1351" s="235">
        <v>228</v>
      </c>
      <c r="I1351" s="235">
        <v>2802</v>
      </c>
      <c r="J1351" s="235">
        <v>9201</v>
      </c>
      <c r="K1351" s="235">
        <v>12003</v>
      </c>
      <c r="L1351" s="235">
        <v>-222</v>
      </c>
      <c r="M1351" s="235">
        <v>252</v>
      </c>
      <c r="N1351" s="235">
        <v>9439</v>
      </c>
      <c r="O1351" s="235">
        <v>3472</v>
      </c>
      <c r="P1351" s="235">
        <v>24914</v>
      </c>
      <c r="Q1351" s="235">
        <v>172589</v>
      </c>
      <c r="R1351" s="12" t="s">
        <v>4409</v>
      </c>
      <c r="S1351" s="12" t="s">
        <v>25</v>
      </c>
      <c r="T1351" s="12" t="s">
        <v>25</v>
      </c>
    </row>
    <row r="1352" spans="1:20" hidden="1" x14ac:dyDescent="0.3">
      <c r="A1352" s="13">
        <v>43949.708333333336</v>
      </c>
      <c r="B1352" s="12" t="s">
        <v>22</v>
      </c>
      <c r="C1352" s="235">
        <v>6</v>
      </c>
      <c r="D1352" s="12" t="s">
        <v>47</v>
      </c>
      <c r="E1352" s="235">
        <v>456494354</v>
      </c>
      <c r="F1352" s="235">
        <v>1376813649</v>
      </c>
      <c r="G1352" s="235">
        <v>136</v>
      </c>
      <c r="H1352" s="235">
        <v>13</v>
      </c>
      <c r="I1352" s="235">
        <v>149</v>
      </c>
      <c r="J1352" s="235">
        <v>1090</v>
      </c>
      <c r="K1352" s="235">
        <v>1239</v>
      </c>
      <c r="L1352" s="235">
        <v>-19</v>
      </c>
      <c r="M1352" s="235">
        <v>18</v>
      </c>
      <c r="N1352" s="235">
        <v>1478</v>
      </c>
      <c r="O1352" s="235">
        <v>278</v>
      </c>
      <c r="P1352" s="235">
        <v>2995</v>
      </c>
      <c r="Q1352" s="235">
        <v>64151</v>
      </c>
      <c r="R1352" s="12" t="s">
        <v>4410</v>
      </c>
      <c r="S1352" s="12" t="s">
        <v>25</v>
      </c>
      <c r="T1352" s="12" t="s">
        <v>25</v>
      </c>
    </row>
    <row r="1353" spans="1:20" hidden="1" x14ac:dyDescent="0.3">
      <c r="A1353" s="13">
        <v>43949.708333333336</v>
      </c>
      <c r="B1353" s="12" t="s">
        <v>22</v>
      </c>
      <c r="C1353" s="235">
        <v>12</v>
      </c>
      <c r="D1353" s="12" t="s">
        <v>48</v>
      </c>
      <c r="E1353" s="235">
        <v>4189277044</v>
      </c>
      <c r="F1353" s="235">
        <v>1248366722</v>
      </c>
      <c r="G1353" s="235">
        <v>1468</v>
      </c>
      <c r="H1353" s="235">
        <v>132</v>
      </c>
      <c r="I1353" s="235">
        <v>1600</v>
      </c>
      <c r="J1353" s="235">
        <v>2962</v>
      </c>
      <c r="K1353" s="235">
        <v>4562</v>
      </c>
      <c r="L1353" s="235">
        <v>0</v>
      </c>
      <c r="M1353" s="235">
        <v>75</v>
      </c>
      <c r="N1353" s="235">
        <v>1491</v>
      </c>
      <c r="O1353" s="235">
        <v>414</v>
      </c>
      <c r="P1353" s="235">
        <v>6467</v>
      </c>
      <c r="Q1353" s="235">
        <v>128664</v>
      </c>
      <c r="R1353" s="12" t="s">
        <v>4411</v>
      </c>
      <c r="S1353" s="12" t="s">
        <v>25</v>
      </c>
      <c r="T1353" s="12" t="s">
        <v>25</v>
      </c>
    </row>
    <row r="1354" spans="1:20" x14ac:dyDescent="0.3">
      <c r="A1354" s="13">
        <v>43949.708333333336</v>
      </c>
      <c r="B1354" s="12" t="s">
        <v>22</v>
      </c>
      <c r="C1354" s="235">
        <v>7</v>
      </c>
      <c r="D1354" s="12" t="s">
        <v>49</v>
      </c>
      <c r="E1354" s="235">
        <v>4441149315</v>
      </c>
      <c r="F1354" s="235">
        <v>89326992</v>
      </c>
      <c r="G1354" s="235">
        <v>718</v>
      </c>
      <c r="H1354" s="235">
        <v>81</v>
      </c>
      <c r="I1354" s="235">
        <v>799</v>
      </c>
      <c r="J1354" s="235">
        <v>2772</v>
      </c>
      <c r="K1354" s="235">
        <v>3571</v>
      </c>
      <c r="L1354" s="235">
        <v>-9</v>
      </c>
      <c r="M1354" s="235">
        <v>130</v>
      </c>
      <c r="N1354" s="235">
        <v>3060</v>
      </c>
      <c r="O1354" s="235">
        <v>1141</v>
      </c>
      <c r="P1354" s="235">
        <v>7772</v>
      </c>
      <c r="Q1354" s="235">
        <v>45719</v>
      </c>
      <c r="R1354" s="12" t="s">
        <v>4412</v>
      </c>
      <c r="S1354" s="12" t="s">
        <v>25</v>
      </c>
      <c r="T1354" s="12" t="s">
        <v>25</v>
      </c>
    </row>
    <row r="1355" spans="1:20" hidden="1" x14ac:dyDescent="0.3">
      <c r="A1355" s="13">
        <v>43949.708333333336</v>
      </c>
      <c r="B1355" s="12" t="s">
        <v>22</v>
      </c>
      <c r="C1355" s="235">
        <v>3</v>
      </c>
      <c r="D1355" s="12" t="s">
        <v>50</v>
      </c>
      <c r="E1355" s="235">
        <v>4546679409</v>
      </c>
      <c r="F1355" s="235">
        <v>9190347404</v>
      </c>
      <c r="G1355" s="235">
        <v>7280</v>
      </c>
      <c r="H1355" s="235">
        <v>655</v>
      </c>
      <c r="I1355" s="235">
        <v>7935</v>
      </c>
      <c r="J1355" s="235">
        <v>27809</v>
      </c>
      <c r="K1355" s="235">
        <v>35744</v>
      </c>
      <c r="L1355" s="235">
        <v>303</v>
      </c>
      <c r="M1355" s="235">
        <v>869</v>
      </c>
      <c r="N1355" s="235">
        <v>25029</v>
      </c>
      <c r="O1355" s="235">
        <v>13575</v>
      </c>
      <c r="P1355" s="235">
        <v>74348</v>
      </c>
      <c r="Q1355" s="235">
        <v>351423</v>
      </c>
      <c r="R1355" s="12" t="s">
        <v>4413</v>
      </c>
      <c r="S1355" s="12" t="s">
        <v>25</v>
      </c>
      <c r="T1355" s="12" t="s">
        <v>25</v>
      </c>
    </row>
    <row r="1356" spans="1:20" hidden="1" x14ac:dyDescent="0.3">
      <c r="A1356" s="13">
        <v>43949.708333333336</v>
      </c>
      <c r="B1356" s="12" t="s">
        <v>22</v>
      </c>
      <c r="C1356" s="235">
        <v>11</v>
      </c>
      <c r="D1356" s="12" t="s">
        <v>51</v>
      </c>
      <c r="E1356" s="235">
        <v>4361675973</v>
      </c>
      <c r="F1356" s="235">
        <v>135188753</v>
      </c>
      <c r="G1356" s="235">
        <v>666</v>
      </c>
      <c r="H1356" s="235">
        <v>58</v>
      </c>
      <c r="I1356" s="235">
        <v>724</v>
      </c>
      <c r="J1356" s="235">
        <v>2610</v>
      </c>
      <c r="K1356" s="235">
        <v>3334</v>
      </c>
      <c r="L1356" s="235">
        <v>24</v>
      </c>
      <c r="M1356" s="235">
        <v>48</v>
      </c>
      <c r="N1356" s="235">
        <v>1948</v>
      </c>
      <c r="O1356" s="235">
        <v>893</v>
      </c>
      <c r="P1356" s="235">
        <v>6175</v>
      </c>
      <c r="Q1356" s="235">
        <v>54313</v>
      </c>
      <c r="R1356" s="12" t="s">
        <v>4414</v>
      </c>
      <c r="S1356" s="12" t="s">
        <v>25</v>
      </c>
      <c r="T1356" s="12" t="s">
        <v>25</v>
      </c>
    </row>
    <row r="1357" spans="1:20" hidden="1" x14ac:dyDescent="0.3">
      <c r="A1357" s="13">
        <v>43949.708333333336</v>
      </c>
      <c r="B1357" s="12" t="s">
        <v>22</v>
      </c>
      <c r="C1357" s="235">
        <v>14</v>
      </c>
      <c r="D1357" s="12" t="s">
        <v>52</v>
      </c>
      <c r="E1357" s="235">
        <v>4155774754</v>
      </c>
      <c r="F1357" s="235">
        <v>1465916051</v>
      </c>
      <c r="G1357" s="235">
        <v>18</v>
      </c>
      <c r="H1357" s="235">
        <v>1</v>
      </c>
      <c r="I1357" s="235">
        <v>19</v>
      </c>
      <c r="J1357" s="235">
        <v>176</v>
      </c>
      <c r="K1357" s="235">
        <v>195</v>
      </c>
      <c r="L1357" s="235">
        <v>-5</v>
      </c>
      <c r="M1357" s="235">
        <v>1</v>
      </c>
      <c r="N1357" s="235">
        <v>81</v>
      </c>
      <c r="O1357" s="235">
        <v>21</v>
      </c>
      <c r="P1357" s="235">
        <v>297</v>
      </c>
      <c r="Q1357" s="235">
        <v>5776</v>
      </c>
      <c r="R1357" s="12" t="s">
        <v>4415</v>
      </c>
      <c r="S1357" s="12" t="s">
        <v>25</v>
      </c>
      <c r="T1357" s="12" t="s">
        <v>25</v>
      </c>
    </row>
    <row r="1358" spans="1:20" hidden="1" x14ac:dyDescent="0.3">
      <c r="A1358" s="13">
        <v>43949.708333333336</v>
      </c>
      <c r="B1358" s="12" t="s">
        <v>22</v>
      </c>
      <c r="C1358" s="235">
        <v>1</v>
      </c>
      <c r="D1358" s="12" t="s">
        <v>53</v>
      </c>
      <c r="E1358" s="235">
        <v>450732745</v>
      </c>
      <c r="F1358" s="235">
        <v>7680687483</v>
      </c>
      <c r="G1358" s="235">
        <v>2701</v>
      </c>
      <c r="H1358" s="235">
        <v>202</v>
      </c>
      <c r="I1358" s="235">
        <v>2903</v>
      </c>
      <c r="J1358" s="235">
        <v>12603</v>
      </c>
      <c r="K1358" s="235">
        <v>15506</v>
      </c>
      <c r="L1358" s="235">
        <v>-2</v>
      </c>
      <c r="M1358" s="235">
        <v>352</v>
      </c>
      <c r="N1358" s="235">
        <v>7008</v>
      </c>
      <c r="O1358" s="235">
        <v>2936</v>
      </c>
      <c r="P1358" s="235">
        <v>25450</v>
      </c>
      <c r="Q1358" s="235">
        <v>144531</v>
      </c>
      <c r="R1358" s="12" t="s">
        <v>4416</v>
      </c>
      <c r="S1358" s="12" t="s">
        <v>25</v>
      </c>
      <c r="T1358" s="12" t="s">
        <v>25</v>
      </c>
    </row>
    <row r="1359" spans="1:20" hidden="1" x14ac:dyDescent="0.3">
      <c r="A1359" s="13">
        <v>43949.708333333336</v>
      </c>
      <c r="B1359" s="12" t="s">
        <v>22</v>
      </c>
      <c r="C1359" s="235">
        <v>16</v>
      </c>
      <c r="D1359" s="12" t="s">
        <v>54</v>
      </c>
      <c r="E1359" s="235">
        <v>4112559576</v>
      </c>
      <c r="F1359" s="235">
        <v>1686736689</v>
      </c>
      <c r="G1359" s="235">
        <v>448</v>
      </c>
      <c r="H1359" s="235">
        <v>51</v>
      </c>
      <c r="I1359" s="235">
        <v>499</v>
      </c>
      <c r="J1359" s="235">
        <v>2420</v>
      </c>
      <c r="K1359" s="235">
        <v>2919</v>
      </c>
      <c r="L1359" s="235">
        <v>7</v>
      </c>
      <c r="M1359" s="235">
        <v>22</v>
      </c>
      <c r="N1359" s="235">
        <v>654</v>
      </c>
      <c r="O1359" s="235">
        <v>407</v>
      </c>
      <c r="P1359" s="235">
        <v>3980</v>
      </c>
      <c r="Q1359" s="235">
        <v>58496</v>
      </c>
      <c r="R1359" s="12" t="s">
        <v>4417</v>
      </c>
      <c r="S1359" s="12" t="s">
        <v>25</v>
      </c>
      <c r="T1359" s="12" t="s">
        <v>25</v>
      </c>
    </row>
    <row r="1360" spans="1:20" hidden="1" x14ac:dyDescent="0.3">
      <c r="A1360" s="13">
        <v>43949.708333333336</v>
      </c>
      <c r="B1360" s="12" t="s">
        <v>22</v>
      </c>
      <c r="C1360" s="235">
        <v>20</v>
      </c>
      <c r="D1360" s="12" t="s">
        <v>55</v>
      </c>
      <c r="E1360" s="235">
        <v>3921531192</v>
      </c>
      <c r="F1360" s="235">
        <v>9110616306</v>
      </c>
      <c r="G1360" s="235">
        <v>96</v>
      </c>
      <c r="H1360" s="235">
        <v>18</v>
      </c>
      <c r="I1360" s="235">
        <v>114</v>
      </c>
      <c r="J1360" s="235">
        <v>658</v>
      </c>
      <c r="K1360" s="235">
        <v>772</v>
      </c>
      <c r="L1360" s="235">
        <v>-4</v>
      </c>
      <c r="M1360" s="235">
        <v>2</v>
      </c>
      <c r="N1360" s="235">
        <v>404</v>
      </c>
      <c r="O1360" s="235">
        <v>109</v>
      </c>
      <c r="P1360" s="235">
        <v>1285</v>
      </c>
      <c r="Q1360" s="235">
        <v>22116</v>
      </c>
      <c r="R1360" s="12" t="s">
        <v>4418</v>
      </c>
      <c r="S1360" s="12" t="s">
        <v>25</v>
      </c>
      <c r="T1360" s="12" t="s">
        <v>25</v>
      </c>
    </row>
    <row r="1361" spans="1:20" hidden="1" x14ac:dyDescent="0.3">
      <c r="A1361" s="13">
        <v>43949.708333333336</v>
      </c>
      <c r="B1361" s="12" t="s">
        <v>22</v>
      </c>
      <c r="C1361" s="235">
        <v>19</v>
      </c>
      <c r="D1361" s="12" t="s">
        <v>56</v>
      </c>
      <c r="E1361" s="235">
        <v>3811569725</v>
      </c>
      <c r="F1361" s="235">
        <v>133623567</v>
      </c>
      <c r="G1361" s="235">
        <v>428</v>
      </c>
      <c r="H1361" s="235">
        <v>34</v>
      </c>
      <c r="I1361" s="235">
        <v>462</v>
      </c>
      <c r="J1361" s="235">
        <v>1681</v>
      </c>
      <c r="K1361" s="235">
        <v>2143</v>
      </c>
      <c r="L1361" s="235">
        <v>20</v>
      </c>
      <c r="M1361" s="235">
        <v>35</v>
      </c>
      <c r="N1361" s="235">
        <v>745</v>
      </c>
      <c r="O1361" s="235">
        <v>232</v>
      </c>
      <c r="P1361" s="235">
        <v>3120</v>
      </c>
      <c r="Q1361" s="235">
        <v>73008</v>
      </c>
      <c r="R1361" s="12" t="s">
        <v>4419</v>
      </c>
      <c r="S1361" s="12" t="s">
        <v>25</v>
      </c>
      <c r="T1361" s="12" t="s">
        <v>25</v>
      </c>
    </row>
    <row r="1362" spans="1:20" hidden="1" x14ac:dyDescent="0.3">
      <c r="A1362" s="13">
        <v>43949.708333333336</v>
      </c>
      <c r="B1362" s="12" t="s">
        <v>22</v>
      </c>
      <c r="C1362" s="235">
        <v>9</v>
      </c>
      <c r="D1362" s="12" t="s">
        <v>57</v>
      </c>
      <c r="E1362" s="235">
        <v>4376923077</v>
      </c>
      <c r="F1362" s="235">
        <v>1125588885</v>
      </c>
      <c r="G1362" s="235">
        <v>619</v>
      </c>
      <c r="H1362" s="235">
        <v>144</v>
      </c>
      <c r="I1362" s="235">
        <v>763</v>
      </c>
      <c r="J1362" s="235">
        <v>5133</v>
      </c>
      <c r="K1362" s="235">
        <v>5896</v>
      </c>
      <c r="L1362" s="235">
        <v>-87</v>
      </c>
      <c r="M1362" s="235">
        <v>52</v>
      </c>
      <c r="N1362" s="235">
        <v>2524</v>
      </c>
      <c r="O1362" s="235">
        <v>811</v>
      </c>
      <c r="P1362" s="235">
        <v>9231</v>
      </c>
      <c r="Q1362" s="235">
        <v>133617</v>
      </c>
      <c r="R1362" s="12" t="s">
        <v>4420</v>
      </c>
      <c r="S1362" s="12" t="s">
        <v>25</v>
      </c>
      <c r="T1362" s="12" t="s">
        <v>25</v>
      </c>
    </row>
    <row r="1363" spans="1:20" hidden="1" x14ac:dyDescent="0.3">
      <c r="A1363" s="13">
        <v>43949.708333333336</v>
      </c>
      <c r="B1363" s="12" t="s">
        <v>22</v>
      </c>
      <c r="C1363" s="235">
        <v>22</v>
      </c>
      <c r="D1363" s="12" t="s">
        <v>58</v>
      </c>
      <c r="E1363" s="235">
        <v>4606893511</v>
      </c>
      <c r="F1363" s="235">
        <v>1112123097</v>
      </c>
      <c r="G1363" s="235">
        <v>182</v>
      </c>
      <c r="H1363" s="235">
        <v>22</v>
      </c>
      <c r="I1363" s="235">
        <v>204</v>
      </c>
      <c r="J1363" s="235">
        <v>1361</v>
      </c>
      <c r="K1363" s="235">
        <v>1565</v>
      </c>
      <c r="L1363" s="235">
        <v>-142</v>
      </c>
      <c r="M1363" s="235">
        <v>30</v>
      </c>
      <c r="N1363" s="235">
        <v>2048</v>
      </c>
      <c r="O1363" s="235">
        <v>412</v>
      </c>
      <c r="P1363" s="235">
        <v>4025</v>
      </c>
      <c r="Q1363" s="235">
        <v>33839</v>
      </c>
      <c r="R1363" s="12" t="s">
        <v>4421</v>
      </c>
      <c r="S1363" s="12" t="s">
        <v>25</v>
      </c>
      <c r="T1363" s="12" t="s">
        <v>25</v>
      </c>
    </row>
    <row r="1364" spans="1:20" hidden="1" x14ac:dyDescent="0.3">
      <c r="A1364" s="13">
        <v>43949.708333333336</v>
      </c>
      <c r="B1364" s="12" t="s">
        <v>22</v>
      </c>
      <c r="C1364" s="235">
        <v>10</v>
      </c>
      <c r="D1364" s="12" t="s">
        <v>59</v>
      </c>
      <c r="E1364" s="235">
        <v>4310675841</v>
      </c>
      <c r="F1364" s="235">
        <v>1238824698</v>
      </c>
      <c r="G1364" s="235">
        <v>80</v>
      </c>
      <c r="H1364" s="235">
        <v>17</v>
      </c>
      <c r="I1364" s="235">
        <v>97</v>
      </c>
      <c r="J1364" s="235">
        <v>178</v>
      </c>
      <c r="K1364" s="235">
        <v>275</v>
      </c>
      <c r="L1364" s="235">
        <v>-12</v>
      </c>
      <c r="M1364" s="235">
        <v>9</v>
      </c>
      <c r="N1364" s="235">
        <v>1039</v>
      </c>
      <c r="O1364" s="235">
        <v>65</v>
      </c>
      <c r="P1364" s="235">
        <v>1379</v>
      </c>
      <c r="Q1364" s="235">
        <v>33881</v>
      </c>
      <c r="R1364" s="12" t="s">
        <v>4422</v>
      </c>
      <c r="S1364" s="12" t="s">
        <v>25</v>
      </c>
      <c r="T1364" s="12" t="s">
        <v>25</v>
      </c>
    </row>
    <row r="1365" spans="1:20" hidden="1" x14ac:dyDescent="0.3">
      <c r="A1365" s="13">
        <v>43949.708333333336</v>
      </c>
      <c r="B1365" s="12" t="s">
        <v>22</v>
      </c>
      <c r="C1365" s="235">
        <v>2</v>
      </c>
      <c r="D1365" s="12" t="s">
        <v>60</v>
      </c>
      <c r="E1365" s="235">
        <v>4573750286</v>
      </c>
      <c r="F1365" s="235">
        <v>7320149366</v>
      </c>
      <c r="G1365" s="235">
        <v>81</v>
      </c>
      <c r="H1365" s="235">
        <v>5</v>
      </c>
      <c r="I1365" s="235">
        <v>86</v>
      </c>
      <c r="J1365" s="235">
        <v>123</v>
      </c>
      <c r="K1365" s="235">
        <v>209</v>
      </c>
      <c r="L1365" s="235">
        <v>-26</v>
      </c>
      <c r="M1365" s="235">
        <v>8</v>
      </c>
      <c r="N1365" s="235">
        <v>775</v>
      </c>
      <c r="O1365" s="235">
        <v>135</v>
      </c>
      <c r="P1365" s="235">
        <v>1119</v>
      </c>
      <c r="Q1365" s="235">
        <v>6897</v>
      </c>
      <c r="R1365" s="12" t="s">
        <v>4423</v>
      </c>
      <c r="S1365" s="12" t="s">
        <v>25</v>
      </c>
      <c r="T1365" s="12" t="s">
        <v>25</v>
      </c>
    </row>
    <row r="1366" spans="1:20" hidden="1" x14ac:dyDescent="0.3">
      <c r="A1366" s="13">
        <v>43949.708333333336</v>
      </c>
      <c r="B1366" s="12" t="s">
        <v>22</v>
      </c>
      <c r="C1366" s="265">
        <v>5</v>
      </c>
      <c r="D1366" s="12" t="s">
        <v>61</v>
      </c>
      <c r="E1366" s="265">
        <v>4543490485</v>
      </c>
      <c r="F1366" s="265">
        <v>1233845213</v>
      </c>
      <c r="G1366" s="265">
        <v>1067</v>
      </c>
      <c r="H1366" s="265">
        <v>120</v>
      </c>
      <c r="I1366" s="265">
        <v>1187</v>
      </c>
      <c r="J1366" s="265">
        <v>7414</v>
      </c>
      <c r="K1366" s="265">
        <v>8601</v>
      </c>
      <c r="L1366" s="265">
        <v>-259</v>
      </c>
      <c r="M1366" s="265">
        <v>129</v>
      </c>
      <c r="N1366" s="265">
        <v>7699</v>
      </c>
      <c r="O1366" s="265">
        <v>1408</v>
      </c>
      <c r="P1366" s="265">
        <v>17708</v>
      </c>
      <c r="Q1366" s="265">
        <v>328218</v>
      </c>
      <c r="R1366" s="12" t="s">
        <v>4424</v>
      </c>
      <c r="S1366" s="12" t="s">
        <v>25</v>
      </c>
      <c r="T1366" s="12" t="s">
        <v>25</v>
      </c>
    </row>
    <row r="1367" spans="1:20" hidden="1" x14ac:dyDescent="0.3">
      <c r="A1367" s="13">
        <v>43950.708333333336</v>
      </c>
      <c r="B1367" s="12" t="s">
        <v>22</v>
      </c>
      <c r="C1367" s="265">
        <v>13</v>
      </c>
      <c r="D1367" s="12" t="s">
        <v>42</v>
      </c>
      <c r="E1367" s="265">
        <v>4235122196</v>
      </c>
      <c r="F1367" s="265">
        <v>1339843823</v>
      </c>
      <c r="G1367" s="265">
        <v>309</v>
      </c>
      <c r="H1367" s="265">
        <v>19</v>
      </c>
      <c r="I1367" s="265">
        <v>328</v>
      </c>
      <c r="J1367" s="265">
        <v>1648</v>
      </c>
      <c r="K1367" s="265">
        <v>1976</v>
      </c>
      <c r="L1367" s="265">
        <v>-14</v>
      </c>
      <c r="M1367" s="265">
        <v>24</v>
      </c>
      <c r="N1367" s="265">
        <v>632</v>
      </c>
      <c r="O1367" s="265">
        <v>315</v>
      </c>
      <c r="P1367" s="265">
        <v>2923</v>
      </c>
      <c r="Q1367" s="265">
        <v>36614</v>
      </c>
      <c r="R1367" s="12" t="s">
        <v>4439</v>
      </c>
      <c r="S1367" s="12" t="s">
        <v>25</v>
      </c>
      <c r="T1367" s="12" t="s">
        <v>25</v>
      </c>
    </row>
    <row r="1368" spans="1:20" hidden="1" x14ac:dyDescent="0.3">
      <c r="A1368" s="13">
        <v>43950.708333333336</v>
      </c>
      <c r="B1368" s="12" t="s">
        <v>22</v>
      </c>
      <c r="C1368" s="265">
        <v>17</v>
      </c>
      <c r="D1368" s="12" t="s">
        <v>43</v>
      </c>
      <c r="E1368" s="265">
        <v>4063947052</v>
      </c>
      <c r="F1368" s="265">
        <v>1580514834</v>
      </c>
      <c r="G1368" s="265">
        <v>51</v>
      </c>
      <c r="H1368" s="265">
        <v>4</v>
      </c>
      <c r="I1368" s="265">
        <v>55</v>
      </c>
      <c r="J1368" s="265">
        <v>139</v>
      </c>
      <c r="K1368" s="265">
        <v>194</v>
      </c>
      <c r="L1368" s="265">
        <v>-11</v>
      </c>
      <c r="M1368" s="265">
        <v>0</v>
      </c>
      <c r="N1368" s="265">
        <v>147</v>
      </c>
      <c r="O1368" s="265">
        <v>25</v>
      </c>
      <c r="P1368" s="265">
        <v>366</v>
      </c>
      <c r="Q1368" s="265">
        <v>11331</v>
      </c>
      <c r="R1368" s="12" t="s">
        <v>4440</v>
      </c>
      <c r="S1368" s="12" t="s">
        <v>25</v>
      </c>
      <c r="T1368" s="12" t="s">
        <v>25</v>
      </c>
    </row>
    <row r="1369" spans="1:20" hidden="1" x14ac:dyDescent="0.3">
      <c r="A1369" s="13">
        <v>43950.708333333336</v>
      </c>
      <c r="B1369" s="12" t="s">
        <v>22</v>
      </c>
      <c r="C1369" s="265">
        <v>21</v>
      </c>
      <c r="D1369" s="12" t="s">
        <v>44</v>
      </c>
      <c r="E1369" s="265">
        <v>4649933453</v>
      </c>
      <c r="F1369" s="265">
        <v>1135662422</v>
      </c>
      <c r="G1369" s="265">
        <v>119</v>
      </c>
      <c r="H1369" s="265">
        <v>14</v>
      </c>
      <c r="I1369" s="265">
        <v>133</v>
      </c>
      <c r="J1369" s="265">
        <v>712</v>
      </c>
      <c r="K1369" s="265">
        <v>845</v>
      </c>
      <c r="L1369" s="265">
        <v>-65</v>
      </c>
      <c r="M1369" s="265">
        <v>9</v>
      </c>
      <c r="N1369" s="265">
        <v>1388</v>
      </c>
      <c r="O1369" s="265">
        <v>274</v>
      </c>
      <c r="P1369" s="265">
        <v>2507</v>
      </c>
      <c r="Q1369" s="265">
        <v>40218</v>
      </c>
      <c r="R1369" s="12" t="s">
        <v>4441</v>
      </c>
      <c r="S1369" s="12" t="s">
        <v>25</v>
      </c>
      <c r="T1369" s="12" t="s">
        <v>25</v>
      </c>
    </row>
    <row r="1370" spans="1:20" hidden="1" x14ac:dyDescent="0.3">
      <c r="A1370" s="13">
        <v>43950.708333333336</v>
      </c>
      <c r="B1370" s="12" t="s">
        <v>22</v>
      </c>
      <c r="C1370" s="265">
        <v>18</v>
      </c>
      <c r="D1370" s="12" t="s">
        <v>45</v>
      </c>
      <c r="E1370" s="265">
        <v>3890597598</v>
      </c>
      <c r="F1370" s="265">
        <v>1659440194</v>
      </c>
      <c r="G1370" s="265">
        <v>107</v>
      </c>
      <c r="H1370" s="265">
        <v>6</v>
      </c>
      <c r="I1370" s="265">
        <v>113</v>
      </c>
      <c r="J1370" s="265">
        <v>640</v>
      </c>
      <c r="K1370" s="265">
        <v>753</v>
      </c>
      <c r="L1370" s="265">
        <v>-11</v>
      </c>
      <c r="M1370" s="265">
        <v>5</v>
      </c>
      <c r="N1370" s="265">
        <v>263</v>
      </c>
      <c r="O1370" s="265">
        <v>86</v>
      </c>
      <c r="P1370" s="265">
        <v>1102</v>
      </c>
      <c r="Q1370" s="265">
        <v>34914</v>
      </c>
      <c r="R1370" s="12" t="s">
        <v>4442</v>
      </c>
      <c r="S1370" s="12" t="s">
        <v>25</v>
      </c>
      <c r="T1370" s="12" t="s">
        <v>25</v>
      </c>
    </row>
    <row r="1371" spans="1:20" hidden="1" x14ac:dyDescent="0.3">
      <c r="A1371" s="13">
        <v>43950.708333333336</v>
      </c>
      <c r="B1371" s="12" t="s">
        <v>22</v>
      </c>
      <c r="C1371" s="265">
        <v>15</v>
      </c>
      <c r="D1371" s="12" t="s">
        <v>46</v>
      </c>
      <c r="E1371" s="265">
        <v>4083956555</v>
      </c>
      <c r="F1371" s="265">
        <v>1425084984</v>
      </c>
      <c r="G1371" s="265">
        <v>518</v>
      </c>
      <c r="H1371" s="265">
        <v>31</v>
      </c>
      <c r="I1371" s="265">
        <v>549</v>
      </c>
      <c r="J1371" s="265">
        <v>2233</v>
      </c>
      <c r="K1371" s="265">
        <v>2782</v>
      </c>
      <c r="L1371" s="265">
        <v>-20</v>
      </c>
      <c r="M1371" s="265">
        <v>30</v>
      </c>
      <c r="N1371" s="265">
        <v>1269</v>
      </c>
      <c r="O1371" s="265">
        <v>359</v>
      </c>
      <c r="P1371" s="265">
        <v>4410</v>
      </c>
      <c r="Q1371" s="265">
        <v>73094</v>
      </c>
      <c r="R1371" s="12" t="s">
        <v>4443</v>
      </c>
      <c r="S1371" s="12" t="s">
        <v>25</v>
      </c>
      <c r="T1371" s="12" t="s">
        <v>25</v>
      </c>
    </row>
    <row r="1372" spans="1:20" hidden="1" x14ac:dyDescent="0.3">
      <c r="A1372" s="13">
        <v>43950.708333333336</v>
      </c>
      <c r="B1372" s="12" t="s">
        <v>22</v>
      </c>
      <c r="C1372" s="265">
        <v>8</v>
      </c>
      <c r="D1372" s="12" t="s">
        <v>95</v>
      </c>
      <c r="E1372" s="265">
        <v>4449436681</v>
      </c>
      <c r="F1372" s="265">
        <v>113417208</v>
      </c>
      <c r="G1372" s="265">
        <v>2527</v>
      </c>
      <c r="H1372" s="265">
        <v>226</v>
      </c>
      <c r="I1372" s="265">
        <v>2753</v>
      </c>
      <c r="J1372" s="265">
        <v>9109</v>
      </c>
      <c r="K1372" s="265">
        <v>11862</v>
      </c>
      <c r="L1372" s="265">
        <v>-141</v>
      </c>
      <c r="M1372" s="265">
        <v>263</v>
      </c>
      <c r="N1372" s="265">
        <v>9803</v>
      </c>
      <c r="O1372" s="265">
        <v>3512</v>
      </c>
      <c r="P1372" s="265">
        <v>25177</v>
      </c>
      <c r="Q1372" s="265">
        <v>176865</v>
      </c>
      <c r="R1372" s="12" t="s">
        <v>4444</v>
      </c>
      <c r="S1372" s="12" t="s">
        <v>25</v>
      </c>
      <c r="T1372" s="12" t="s">
        <v>25</v>
      </c>
    </row>
    <row r="1373" spans="1:20" hidden="1" x14ac:dyDescent="0.3">
      <c r="A1373" s="13">
        <v>43950.708333333336</v>
      </c>
      <c r="B1373" s="12" t="s">
        <v>22</v>
      </c>
      <c r="C1373" s="265">
        <v>6</v>
      </c>
      <c r="D1373" s="12" t="s">
        <v>47</v>
      </c>
      <c r="E1373" s="265">
        <v>456494354</v>
      </c>
      <c r="F1373" s="265">
        <v>1376813649</v>
      </c>
      <c r="G1373" s="265">
        <v>134</v>
      </c>
      <c r="H1373" s="265">
        <v>12</v>
      </c>
      <c r="I1373" s="265">
        <v>146</v>
      </c>
      <c r="J1373" s="265">
        <v>1081</v>
      </c>
      <c r="K1373" s="265">
        <v>1227</v>
      </c>
      <c r="L1373" s="265">
        <v>-12</v>
      </c>
      <c r="M1373" s="265">
        <v>15</v>
      </c>
      <c r="N1373" s="265">
        <v>1498</v>
      </c>
      <c r="O1373" s="265">
        <v>285</v>
      </c>
      <c r="P1373" s="265">
        <v>3010</v>
      </c>
      <c r="Q1373" s="265">
        <v>66769</v>
      </c>
      <c r="R1373" s="12" t="s">
        <v>4445</v>
      </c>
      <c r="S1373" s="12" t="s">
        <v>25</v>
      </c>
      <c r="T1373" s="12" t="s">
        <v>25</v>
      </c>
    </row>
    <row r="1374" spans="1:20" hidden="1" x14ac:dyDescent="0.3">
      <c r="A1374" s="13">
        <v>43950.708333333336</v>
      </c>
      <c r="B1374" s="12" t="s">
        <v>22</v>
      </c>
      <c r="C1374" s="265">
        <v>12</v>
      </c>
      <c r="D1374" s="12" t="s">
        <v>48</v>
      </c>
      <c r="E1374" s="265">
        <v>4189277044</v>
      </c>
      <c r="F1374" s="265">
        <v>1248366722</v>
      </c>
      <c r="G1374" s="265">
        <v>1445</v>
      </c>
      <c r="H1374" s="265">
        <v>130</v>
      </c>
      <c r="I1374" s="265">
        <v>1575</v>
      </c>
      <c r="J1374" s="265">
        <v>2960</v>
      </c>
      <c r="K1374" s="265">
        <v>4535</v>
      </c>
      <c r="L1374" s="265">
        <v>-27</v>
      </c>
      <c r="M1374" s="265">
        <v>78</v>
      </c>
      <c r="N1374" s="265">
        <v>1579</v>
      </c>
      <c r="O1374" s="265">
        <v>431</v>
      </c>
      <c r="P1374" s="265">
        <v>6545</v>
      </c>
      <c r="Q1374" s="265">
        <v>133503</v>
      </c>
      <c r="R1374" s="12" t="s">
        <v>4446</v>
      </c>
      <c r="S1374" s="12" t="s">
        <v>25</v>
      </c>
      <c r="T1374" s="12" t="s">
        <v>25</v>
      </c>
    </row>
    <row r="1375" spans="1:20" x14ac:dyDescent="0.3">
      <c r="A1375" s="13">
        <v>43950.708333333336</v>
      </c>
      <c r="B1375" s="12" t="s">
        <v>22</v>
      </c>
      <c r="C1375" s="265">
        <v>7</v>
      </c>
      <c r="D1375" s="12" t="s">
        <v>49</v>
      </c>
      <c r="E1375" s="265">
        <v>4441149315</v>
      </c>
      <c r="F1375" s="265">
        <v>89326992</v>
      </c>
      <c r="G1375" s="265">
        <v>697</v>
      </c>
      <c r="H1375" s="265">
        <v>70</v>
      </c>
      <c r="I1375" s="265">
        <v>767</v>
      </c>
      <c r="J1375" s="265">
        <v>2809</v>
      </c>
      <c r="K1375" s="265">
        <v>3576</v>
      </c>
      <c r="L1375" s="265">
        <v>5</v>
      </c>
      <c r="M1375" s="265">
        <v>117</v>
      </c>
      <c r="N1375" s="265">
        <v>3161</v>
      </c>
      <c r="O1375" s="265">
        <v>1152</v>
      </c>
      <c r="P1375" s="265">
        <v>7889</v>
      </c>
      <c r="Q1375" s="265">
        <v>47220</v>
      </c>
      <c r="R1375" s="12" t="s">
        <v>4447</v>
      </c>
      <c r="S1375" s="12" t="s">
        <v>25</v>
      </c>
      <c r="T1375" s="12" t="s">
        <v>25</v>
      </c>
    </row>
    <row r="1376" spans="1:20" hidden="1" x14ac:dyDescent="0.3">
      <c r="A1376" s="13">
        <v>43950.708333333336</v>
      </c>
      <c r="B1376" s="12" t="s">
        <v>22</v>
      </c>
      <c r="C1376" s="265">
        <v>3</v>
      </c>
      <c r="D1376" s="12" t="s">
        <v>50</v>
      </c>
      <c r="E1376" s="265">
        <v>4546679409</v>
      </c>
      <c r="F1376" s="265">
        <v>9190347404</v>
      </c>
      <c r="G1376" s="265">
        <v>7120</v>
      </c>
      <c r="H1376" s="265">
        <v>634</v>
      </c>
      <c r="I1376" s="265">
        <v>7754</v>
      </c>
      <c r="J1376" s="265">
        <v>28368</v>
      </c>
      <c r="K1376" s="265">
        <v>36122</v>
      </c>
      <c r="L1376" s="265">
        <v>378</v>
      </c>
      <c r="M1376" s="265">
        <v>786</v>
      </c>
      <c r="N1376" s="265">
        <v>25333</v>
      </c>
      <c r="O1376" s="265">
        <v>13679</v>
      </c>
      <c r="P1376" s="265">
        <v>75134</v>
      </c>
      <c r="Q1376" s="265">
        <v>365895</v>
      </c>
      <c r="R1376" s="12" t="s">
        <v>4448</v>
      </c>
      <c r="S1376" s="12" t="s">
        <v>25</v>
      </c>
      <c r="T1376" s="12" t="s">
        <v>25</v>
      </c>
    </row>
    <row r="1377" spans="1:20" hidden="1" x14ac:dyDescent="0.3">
      <c r="A1377" s="13">
        <v>43950.708333333336</v>
      </c>
      <c r="B1377" s="12" t="s">
        <v>22</v>
      </c>
      <c r="C1377" s="265">
        <v>11</v>
      </c>
      <c r="D1377" s="12" t="s">
        <v>51</v>
      </c>
      <c r="E1377" s="265">
        <v>4361675973</v>
      </c>
      <c r="F1377" s="265">
        <v>135188753</v>
      </c>
      <c r="G1377" s="265">
        <v>640</v>
      </c>
      <c r="H1377" s="265">
        <v>52</v>
      </c>
      <c r="I1377" s="265">
        <v>692</v>
      </c>
      <c r="J1377" s="265">
        <v>2655</v>
      </c>
      <c r="K1377" s="265">
        <v>3347</v>
      </c>
      <c r="L1377" s="265">
        <v>13</v>
      </c>
      <c r="M1377" s="265">
        <v>35</v>
      </c>
      <c r="N1377" s="265">
        <v>1964</v>
      </c>
      <c r="O1377" s="265">
        <v>899</v>
      </c>
      <c r="P1377" s="265">
        <v>6210</v>
      </c>
      <c r="Q1377" s="265">
        <v>55905</v>
      </c>
      <c r="R1377" s="12" t="s">
        <v>4449</v>
      </c>
      <c r="S1377" s="12" t="s">
        <v>25</v>
      </c>
      <c r="T1377" s="12" t="s">
        <v>25</v>
      </c>
    </row>
    <row r="1378" spans="1:20" hidden="1" x14ac:dyDescent="0.3">
      <c r="A1378" s="13">
        <v>43950.708333333336</v>
      </c>
      <c r="B1378" s="12" t="s">
        <v>22</v>
      </c>
      <c r="C1378" s="265">
        <v>14</v>
      </c>
      <c r="D1378" s="12" t="s">
        <v>52</v>
      </c>
      <c r="E1378" s="265">
        <v>4155774754</v>
      </c>
      <c r="F1378" s="265">
        <v>1465916051</v>
      </c>
      <c r="G1378" s="265">
        <v>17</v>
      </c>
      <c r="H1378" s="265">
        <v>1</v>
      </c>
      <c r="I1378" s="265">
        <v>18</v>
      </c>
      <c r="J1378" s="265">
        <v>175</v>
      </c>
      <c r="K1378" s="265">
        <v>193</v>
      </c>
      <c r="L1378" s="265">
        <v>-2</v>
      </c>
      <c r="M1378" s="265">
        <v>0</v>
      </c>
      <c r="N1378" s="265">
        <v>83</v>
      </c>
      <c r="O1378" s="265">
        <v>21</v>
      </c>
      <c r="P1378" s="265">
        <v>297</v>
      </c>
      <c r="Q1378" s="265">
        <v>5910</v>
      </c>
      <c r="R1378" s="12" t="s">
        <v>4450</v>
      </c>
      <c r="S1378" s="12" t="s">
        <v>25</v>
      </c>
      <c r="T1378" s="12" t="s">
        <v>25</v>
      </c>
    </row>
    <row r="1379" spans="1:20" hidden="1" x14ac:dyDescent="0.3">
      <c r="A1379" s="13">
        <v>43950.708333333336</v>
      </c>
      <c r="B1379" s="12" t="s">
        <v>22</v>
      </c>
      <c r="C1379" s="265">
        <v>1</v>
      </c>
      <c r="D1379" s="12" t="s">
        <v>53</v>
      </c>
      <c r="E1379" s="265">
        <v>450732745</v>
      </c>
      <c r="F1379" s="265">
        <v>7680687483</v>
      </c>
      <c r="G1379" s="265">
        <v>2637</v>
      </c>
      <c r="H1379" s="265">
        <v>202</v>
      </c>
      <c r="I1379" s="265">
        <v>2839</v>
      </c>
      <c r="J1379" s="265">
        <v>12682</v>
      </c>
      <c r="K1379" s="265">
        <v>15521</v>
      </c>
      <c r="L1379" s="265">
        <v>15</v>
      </c>
      <c r="M1379" s="265">
        <v>411</v>
      </c>
      <c r="N1379" s="265">
        <v>7337</v>
      </c>
      <c r="O1379" s="265">
        <v>3003</v>
      </c>
      <c r="P1379" s="265">
        <v>25861</v>
      </c>
      <c r="Q1379" s="265">
        <v>151266</v>
      </c>
      <c r="R1379" s="12" t="s">
        <v>4451</v>
      </c>
      <c r="S1379" s="12" t="s">
        <v>25</v>
      </c>
      <c r="T1379" s="12" t="s">
        <v>25</v>
      </c>
    </row>
    <row r="1380" spans="1:20" hidden="1" x14ac:dyDescent="0.3">
      <c r="A1380" s="13">
        <v>43950.708333333336</v>
      </c>
      <c r="B1380" s="12" t="s">
        <v>22</v>
      </c>
      <c r="C1380" s="265">
        <v>16</v>
      </c>
      <c r="D1380" s="12" t="s">
        <v>54</v>
      </c>
      <c r="E1380" s="265">
        <v>4112559576</v>
      </c>
      <c r="F1380" s="265">
        <v>1686736689</v>
      </c>
      <c r="G1380" s="265">
        <v>449</v>
      </c>
      <c r="H1380" s="265">
        <v>47</v>
      </c>
      <c r="I1380" s="265">
        <v>496</v>
      </c>
      <c r="J1380" s="265">
        <v>2431</v>
      </c>
      <c r="K1380" s="265">
        <v>2927</v>
      </c>
      <c r="L1380" s="265">
        <v>8</v>
      </c>
      <c r="M1380" s="265">
        <v>49</v>
      </c>
      <c r="N1380" s="265">
        <v>692</v>
      </c>
      <c r="O1380" s="265">
        <v>410</v>
      </c>
      <c r="P1380" s="265">
        <v>4029</v>
      </c>
      <c r="Q1380" s="265">
        <v>60334</v>
      </c>
      <c r="R1380" s="12" t="s">
        <v>4452</v>
      </c>
      <c r="S1380" s="12" t="s">
        <v>25</v>
      </c>
      <c r="T1380" s="12" t="s">
        <v>25</v>
      </c>
    </row>
    <row r="1381" spans="1:20" hidden="1" x14ac:dyDescent="0.3">
      <c r="A1381" s="13">
        <v>43950.708333333336</v>
      </c>
      <c r="B1381" s="12" t="s">
        <v>22</v>
      </c>
      <c r="C1381" s="265">
        <v>20</v>
      </c>
      <c r="D1381" s="12" t="s">
        <v>55</v>
      </c>
      <c r="E1381" s="265">
        <v>3921531192</v>
      </c>
      <c r="F1381" s="265">
        <v>9110616306</v>
      </c>
      <c r="G1381" s="265">
        <v>87</v>
      </c>
      <c r="H1381" s="265">
        <v>17</v>
      </c>
      <c r="I1381" s="265">
        <v>104</v>
      </c>
      <c r="J1381" s="265">
        <v>657</v>
      </c>
      <c r="K1381" s="265">
        <v>761</v>
      </c>
      <c r="L1381" s="265">
        <v>-11</v>
      </c>
      <c r="M1381" s="265">
        <v>5</v>
      </c>
      <c r="N1381" s="265">
        <v>413</v>
      </c>
      <c r="O1381" s="265">
        <v>116</v>
      </c>
      <c r="P1381" s="265">
        <v>1290</v>
      </c>
      <c r="Q1381" s="265">
        <v>23299</v>
      </c>
      <c r="R1381" s="12" t="s">
        <v>4453</v>
      </c>
      <c r="S1381" s="12" t="s">
        <v>25</v>
      </c>
      <c r="T1381" s="12" t="s">
        <v>25</v>
      </c>
    </row>
    <row r="1382" spans="1:20" hidden="1" x14ac:dyDescent="0.3">
      <c r="A1382" s="13">
        <v>43950.708333333336</v>
      </c>
      <c r="B1382" s="12" t="s">
        <v>22</v>
      </c>
      <c r="C1382" s="265">
        <v>19</v>
      </c>
      <c r="D1382" s="12" t="s">
        <v>56</v>
      </c>
      <c r="E1382" s="265">
        <v>3811569725</v>
      </c>
      <c r="F1382" s="265">
        <v>133623567</v>
      </c>
      <c r="G1382" s="265">
        <v>415</v>
      </c>
      <c r="H1382" s="265">
        <v>34</v>
      </c>
      <c r="I1382" s="265">
        <v>449</v>
      </c>
      <c r="J1382" s="265">
        <v>1696</v>
      </c>
      <c r="K1382" s="265">
        <v>2145</v>
      </c>
      <c r="L1382" s="265">
        <v>2</v>
      </c>
      <c r="M1382" s="265">
        <v>20</v>
      </c>
      <c r="N1382" s="265">
        <v>763</v>
      </c>
      <c r="O1382" s="265">
        <v>232</v>
      </c>
      <c r="P1382" s="265">
        <v>3140</v>
      </c>
      <c r="Q1382" s="265">
        <v>75360</v>
      </c>
      <c r="R1382" s="12" t="s">
        <v>4454</v>
      </c>
      <c r="S1382" s="12" t="s">
        <v>25</v>
      </c>
      <c r="T1382" s="12" t="s">
        <v>25</v>
      </c>
    </row>
    <row r="1383" spans="1:20" hidden="1" x14ac:dyDescent="0.3">
      <c r="A1383" s="13">
        <v>43950.708333333336</v>
      </c>
      <c r="B1383" s="12" t="s">
        <v>22</v>
      </c>
      <c r="C1383" s="265">
        <v>9</v>
      </c>
      <c r="D1383" s="12" t="s">
        <v>57</v>
      </c>
      <c r="E1383" s="265">
        <v>4376923077</v>
      </c>
      <c r="F1383" s="265">
        <v>1125588885</v>
      </c>
      <c r="G1383" s="265">
        <v>576</v>
      </c>
      <c r="H1383" s="265">
        <v>139</v>
      </c>
      <c r="I1383" s="265">
        <v>715</v>
      </c>
      <c r="J1383" s="265">
        <v>4948</v>
      </c>
      <c r="K1383" s="265">
        <v>5663</v>
      </c>
      <c r="L1383" s="265">
        <v>-233</v>
      </c>
      <c r="M1383" s="265">
        <v>61</v>
      </c>
      <c r="N1383" s="265">
        <v>2802</v>
      </c>
      <c r="O1383" s="265">
        <v>827</v>
      </c>
      <c r="P1383" s="265">
        <v>9292</v>
      </c>
      <c r="Q1383" s="265">
        <v>137482</v>
      </c>
      <c r="R1383" s="12" t="s">
        <v>4455</v>
      </c>
      <c r="S1383" s="12" t="s">
        <v>25</v>
      </c>
      <c r="T1383" s="12" t="s">
        <v>25</v>
      </c>
    </row>
    <row r="1384" spans="1:20" hidden="1" x14ac:dyDescent="0.3">
      <c r="A1384" s="13">
        <v>43950.708333333336</v>
      </c>
      <c r="B1384" s="12" t="s">
        <v>22</v>
      </c>
      <c r="C1384" s="265">
        <v>22</v>
      </c>
      <c r="D1384" s="12" t="s">
        <v>58</v>
      </c>
      <c r="E1384" s="265">
        <v>4606893511</v>
      </c>
      <c r="F1384" s="265">
        <v>1112123097</v>
      </c>
      <c r="G1384" s="265">
        <v>165</v>
      </c>
      <c r="H1384" s="265">
        <v>22</v>
      </c>
      <c r="I1384" s="265">
        <v>187</v>
      </c>
      <c r="J1384" s="265">
        <v>1276</v>
      </c>
      <c r="K1384" s="265">
        <v>1463</v>
      </c>
      <c r="L1384" s="265">
        <v>-102</v>
      </c>
      <c r="M1384" s="265">
        <v>44</v>
      </c>
      <c r="N1384" s="265">
        <v>2190</v>
      </c>
      <c r="O1384" s="265">
        <v>416</v>
      </c>
      <c r="P1384" s="265">
        <v>4069</v>
      </c>
      <c r="Q1384" s="265">
        <v>35008</v>
      </c>
      <c r="R1384" s="12" t="s">
        <v>4456</v>
      </c>
      <c r="S1384" s="12" t="s">
        <v>25</v>
      </c>
      <c r="T1384" s="12" t="s">
        <v>25</v>
      </c>
    </row>
    <row r="1385" spans="1:20" hidden="1" x14ac:dyDescent="0.3">
      <c r="A1385" s="13">
        <v>43950.708333333336</v>
      </c>
      <c r="B1385" s="12" t="s">
        <v>22</v>
      </c>
      <c r="C1385" s="265">
        <v>10</v>
      </c>
      <c r="D1385" s="12" t="s">
        <v>59</v>
      </c>
      <c r="E1385" s="265">
        <v>4310675841</v>
      </c>
      <c r="F1385" s="265">
        <v>1238824698</v>
      </c>
      <c r="G1385" s="265">
        <v>77</v>
      </c>
      <c r="H1385" s="265">
        <v>16</v>
      </c>
      <c r="I1385" s="265">
        <v>93</v>
      </c>
      <c r="J1385" s="265">
        <v>168</v>
      </c>
      <c r="K1385" s="265">
        <v>261</v>
      </c>
      <c r="L1385" s="265">
        <v>-14</v>
      </c>
      <c r="M1385" s="265">
        <v>12</v>
      </c>
      <c r="N1385" s="265">
        <v>1064</v>
      </c>
      <c r="O1385" s="265">
        <v>66</v>
      </c>
      <c r="P1385" s="265">
        <v>1391</v>
      </c>
      <c r="Q1385" s="265">
        <v>34937</v>
      </c>
      <c r="R1385" s="12" t="s">
        <v>4457</v>
      </c>
      <c r="S1385" s="12" t="s">
        <v>25</v>
      </c>
      <c r="T1385" s="12" t="s">
        <v>25</v>
      </c>
    </row>
    <row r="1386" spans="1:20" hidden="1" x14ac:dyDescent="0.3">
      <c r="A1386" s="13">
        <v>43950.708333333336</v>
      </c>
      <c r="B1386" s="12" t="s">
        <v>22</v>
      </c>
      <c r="C1386" s="265">
        <v>2</v>
      </c>
      <c r="D1386" s="12" t="s">
        <v>60</v>
      </c>
      <c r="E1386" s="265">
        <v>4573750286</v>
      </c>
      <c r="F1386" s="265">
        <v>7320149366</v>
      </c>
      <c r="G1386" s="265">
        <v>78</v>
      </c>
      <c r="H1386" s="265">
        <v>5</v>
      </c>
      <c r="I1386" s="265">
        <v>83</v>
      </c>
      <c r="J1386" s="265">
        <v>52</v>
      </c>
      <c r="K1386" s="265">
        <v>135</v>
      </c>
      <c r="L1386" s="265">
        <v>-74</v>
      </c>
      <c r="M1386" s="265">
        <v>5</v>
      </c>
      <c r="N1386" s="265">
        <v>852</v>
      </c>
      <c r="O1386" s="265">
        <v>137</v>
      </c>
      <c r="P1386" s="265">
        <v>1124</v>
      </c>
      <c r="Q1386" s="265">
        <v>7181</v>
      </c>
      <c r="R1386" s="12" t="s">
        <v>4458</v>
      </c>
      <c r="S1386" s="12" t="s">
        <v>25</v>
      </c>
      <c r="T1386" s="12" t="s">
        <v>25</v>
      </c>
    </row>
    <row r="1387" spans="1:20" hidden="1" x14ac:dyDescent="0.3">
      <c r="A1387" s="13">
        <v>43950.708333333336</v>
      </c>
      <c r="B1387" s="12" t="s">
        <v>22</v>
      </c>
      <c r="C1387" s="265">
        <v>5</v>
      </c>
      <c r="D1387" s="12" t="s">
        <v>61</v>
      </c>
      <c r="E1387" s="265">
        <v>4543490485</v>
      </c>
      <c r="F1387" s="265">
        <v>1233845213</v>
      </c>
      <c r="G1387" s="265">
        <v>1042</v>
      </c>
      <c r="H1387" s="265">
        <v>114</v>
      </c>
      <c r="I1387" s="265">
        <v>1156</v>
      </c>
      <c r="J1387" s="265">
        <v>7213</v>
      </c>
      <c r="K1387" s="265">
        <v>8369</v>
      </c>
      <c r="L1387" s="265">
        <v>-232</v>
      </c>
      <c r="M1387" s="265">
        <v>117</v>
      </c>
      <c r="N1387" s="265">
        <v>8019</v>
      </c>
      <c r="O1387" s="265">
        <v>1437</v>
      </c>
      <c r="P1387" s="265">
        <v>17825</v>
      </c>
      <c r="Q1387" s="265">
        <v>337656</v>
      </c>
      <c r="R1387" s="12" t="s">
        <v>4459</v>
      </c>
      <c r="S1387" s="12" t="s">
        <v>25</v>
      </c>
      <c r="T1387" s="12" t="s">
        <v>25</v>
      </c>
    </row>
    <row r="1388" spans="1:20" hidden="1" x14ac:dyDescent="0.3">
      <c r="A1388" s="13">
        <v>43951.708333333336</v>
      </c>
      <c r="B1388" s="12" t="s">
        <v>22</v>
      </c>
      <c r="C1388" s="265">
        <v>13</v>
      </c>
      <c r="D1388" s="12" t="s">
        <v>42</v>
      </c>
      <c r="E1388" s="265">
        <v>4235122196</v>
      </c>
      <c r="F1388" s="265">
        <v>1339843823</v>
      </c>
      <c r="G1388" s="265">
        <v>306</v>
      </c>
      <c r="H1388" s="265">
        <v>16</v>
      </c>
      <c r="I1388" s="265">
        <v>322</v>
      </c>
      <c r="J1388" s="265">
        <v>1593</v>
      </c>
      <c r="K1388" s="265">
        <v>1915</v>
      </c>
      <c r="L1388" s="265">
        <v>-61</v>
      </c>
      <c r="M1388" s="265">
        <v>7</v>
      </c>
      <c r="N1388" s="265">
        <v>695</v>
      </c>
      <c r="O1388" s="265">
        <v>320</v>
      </c>
      <c r="P1388" s="265">
        <v>2930</v>
      </c>
      <c r="Q1388" s="265">
        <v>37996</v>
      </c>
      <c r="R1388" s="12" t="s">
        <v>4460</v>
      </c>
      <c r="S1388" s="12" t="s">
        <v>25</v>
      </c>
      <c r="T1388" s="12" t="s">
        <v>25</v>
      </c>
    </row>
    <row r="1389" spans="1:20" hidden="1" x14ac:dyDescent="0.3">
      <c r="A1389" s="13">
        <v>43951.708333333336</v>
      </c>
      <c r="B1389" s="12" t="s">
        <v>22</v>
      </c>
      <c r="C1389" s="265">
        <v>17</v>
      </c>
      <c r="D1389" s="12" t="s">
        <v>43</v>
      </c>
      <c r="E1389" s="265">
        <v>4063947052</v>
      </c>
      <c r="F1389" s="265">
        <v>1580514834</v>
      </c>
      <c r="G1389" s="265">
        <v>49</v>
      </c>
      <c r="H1389" s="265">
        <v>4</v>
      </c>
      <c r="I1389" s="265">
        <v>53</v>
      </c>
      <c r="J1389" s="265">
        <v>139</v>
      </c>
      <c r="K1389" s="265">
        <v>192</v>
      </c>
      <c r="L1389" s="265">
        <v>-2</v>
      </c>
      <c r="M1389" s="265">
        <v>1</v>
      </c>
      <c r="N1389" s="265">
        <v>150</v>
      </c>
      <c r="O1389" s="265">
        <v>25</v>
      </c>
      <c r="P1389" s="265">
        <v>367</v>
      </c>
      <c r="Q1389" s="265">
        <v>12774</v>
      </c>
      <c r="R1389" s="12" t="s">
        <v>4461</v>
      </c>
      <c r="S1389" s="12" t="s">
        <v>25</v>
      </c>
      <c r="T1389" s="12" t="s">
        <v>25</v>
      </c>
    </row>
    <row r="1390" spans="1:20" hidden="1" x14ac:dyDescent="0.3">
      <c r="A1390" s="13">
        <v>43951.708333333336</v>
      </c>
      <c r="B1390" s="12" t="s">
        <v>22</v>
      </c>
      <c r="C1390" s="265">
        <v>21</v>
      </c>
      <c r="D1390" s="12" t="s">
        <v>44</v>
      </c>
      <c r="E1390" s="265">
        <v>4649933453</v>
      </c>
      <c r="F1390" s="265">
        <v>1135662422</v>
      </c>
      <c r="G1390" s="265">
        <v>126</v>
      </c>
      <c r="H1390" s="265">
        <v>13</v>
      </c>
      <c r="I1390" s="265">
        <v>139</v>
      </c>
      <c r="J1390" s="265">
        <v>663</v>
      </c>
      <c r="K1390" s="265">
        <v>802</v>
      </c>
      <c r="L1390" s="265">
        <v>-43</v>
      </c>
      <c r="M1390" s="265">
        <v>11</v>
      </c>
      <c r="N1390" s="265">
        <v>1441</v>
      </c>
      <c r="O1390" s="265">
        <v>275</v>
      </c>
      <c r="P1390" s="265">
        <v>2518</v>
      </c>
      <c r="Q1390" s="265">
        <v>41297</v>
      </c>
      <c r="R1390" s="12" t="s">
        <v>4462</v>
      </c>
      <c r="S1390" s="12" t="s">
        <v>25</v>
      </c>
      <c r="T1390" s="12" t="s">
        <v>25</v>
      </c>
    </row>
    <row r="1391" spans="1:20" hidden="1" x14ac:dyDescent="0.3">
      <c r="A1391" s="13">
        <v>43951.708333333336</v>
      </c>
      <c r="B1391" s="12" t="s">
        <v>22</v>
      </c>
      <c r="C1391" s="265">
        <v>18</v>
      </c>
      <c r="D1391" s="12" t="s">
        <v>45</v>
      </c>
      <c r="E1391" s="265">
        <v>3890597598</v>
      </c>
      <c r="F1391" s="265">
        <v>1659440194</v>
      </c>
      <c r="G1391" s="265">
        <v>105</v>
      </c>
      <c r="H1391" s="265">
        <v>6</v>
      </c>
      <c r="I1391" s="265">
        <v>111</v>
      </c>
      <c r="J1391" s="265">
        <v>629</v>
      </c>
      <c r="K1391" s="265">
        <v>740</v>
      </c>
      <c r="L1391" s="265">
        <v>-13</v>
      </c>
      <c r="M1391" s="265">
        <v>6</v>
      </c>
      <c r="N1391" s="265">
        <v>282</v>
      </c>
      <c r="O1391" s="265">
        <v>86</v>
      </c>
      <c r="P1391" s="265">
        <v>1108</v>
      </c>
      <c r="Q1391" s="265">
        <v>35903</v>
      </c>
      <c r="R1391" s="12" t="s">
        <v>4463</v>
      </c>
      <c r="S1391" s="12" t="s">
        <v>25</v>
      </c>
      <c r="T1391" s="12" t="s">
        <v>25</v>
      </c>
    </row>
    <row r="1392" spans="1:20" hidden="1" x14ac:dyDescent="0.3">
      <c r="A1392" s="13">
        <v>43951.708333333336</v>
      </c>
      <c r="B1392" s="12" t="s">
        <v>22</v>
      </c>
      <c r="C1392" s="265">
        <v>15</v>
      </c>
      <c r="D1392" s="12" t="s">
        <v>46</v>
      </c>
      <c r="E1392" s="265">
        <v>4083956555</v>
      </c>
      <c r="F1392" s="265">
        <v>1425084984</v>
      </c>
      <c r="G1392" s="265">
        <v>484</v>
      </c>
      <c r="H1392" s="265">
        <v>29</v>
      </c>
      <c r="I1392" s="265">
        <v>513</v>
      </c>
      <c r="J1392" s="265">
        <v>2260</v>
      </c>
      <c r="K1392" s="265">
        <v>2773</v>
      </c>
      <c r="L1392" s="265">
        <v>-9</v>
      </c>
      <c r="M1392" s="265">
        <v>13</v>
      </c>
      <c r="N1392" s="265">
        <v>1291</v>
      </c>
      <c r="O1392" s="265">
        <v>359</v>
      </c>
      <c r="P1392" s="265">
        <v>4423</v>
      </c>
      <c r="Q1392" s="265">
        <v>76108</v>
      </c>
      <c r="R1392" s="12" t="s">
        <v>4464</v>
      </c>
      <c r="S1392" s="12" t="s">
        <v>25</v>
      </c>
      <c r="T1392" s="12" t="s">
        <v>25</v>
      </c>
    </row>
    <row r="1393" spans="1:20" hidden="1" x14ac:dyDescent="0.3">
      <c r="A1393" s="13">
        <v>43951.708333333336</v>
      </c>
      <c r="B1393" s="12" t="s">
        <v>22</v>
      </c>
      <c r="C1393" s="265">
        <v>8</v>
      </c>
      <c r="D1393" s="12" t="s">
        <v>95</v>
      </c>
      <c r="E1393" s="265">
        <v>4449436681</v>
      </c>
      <c r="F1393" s="265">
        <v>113417208</v>
      </c>
      <c r="G1393" s="265">
        <v>2146</v>
      </c>
      <c r="H1393" s="265">
        <v>206</v>
      </c>
      <c r="I1393" s="265">
        <v>2352</v>
      </c>
      <c r="J1393" s="265">
        <v>7211</v>
      </c>
      <c r="K1393" s="265">
        <v>9563</v>
      </c>
      <c r="L1393" s="265">
        <v>-2299</v>
      </c>
      <c r="M1393" s="265">
        <v>259</v>
      </c>
      <c r="N1393" s="265">
        <v>12322</v>
      </c>
      <c r="O1393" s="265">
        <v>3551</v>
      </c>
      <c r="P1393" s="265">
        <v>25436</v>
      </c>
      <c r="Q1393" s="265">
        <v>182857</v>
      </c>
      <c r="R1393" s="12" t="s">
        <v>4465</v>
      </c>
      <c r="S1393" s="12" t="s">
        <v>25</v>
      </c>
      <c r="T1393" s="12" t="s">
        <v>25</v>
      </c>
    </row>
    <row r="1394" spans="1:20" hidden="1" x14ac:dyDescent="0.3">
      <c r="A1394" s="13">
        <v>43951.708333333336</v>
      </c>
      <c r="B1394" s="12" t="s">
        <v>22</v>
      </c>
      <c r="C1394" s="265">
        <v>6</v>
      </c>
      <c r="D1394" s="12" t="s">
        <v>47</v>
      </c>
      <c r="E1394" s="265">
        <v>456494354</v>
      </c>
      <c r="F1394" s="265">
        <v>1376813649</v>
      </c>
      <c r="G1394" s="265">
        <v>109</v>
      </c>
      <c r="H1394" s="265">
        <v>11</v>
      </c>
      <c r="I1394" s="265">
        <v>120</v>
      </c>
      <c r="J1394" s="265">
        <v>1050</v>
      </c>
      <c r="K1394" s="265">
        <v>1170</v>
      </c>
      <c r="L1394" s="265">
        <v>-57</v>
      </c>
      <c r="M1394" s="265">
        <v>15</v>
      </c>
      <c r="N1394" s="265">
        <v>1566</v>
      </c>
      <c r="O1394" s="265">
        <v>289</v>
      </c>
      <c r="P1394" s="265">
        <v>3025</v>
      </c>
      <c r="Q1394" s="265">
        <v>67930</v>
      </c>
      <c r="R1394" s="12" t="s">
        <v>4466</v>
      </c>
      <c r="S1394" s="12" t="s">
        <v>25</v>
      </c>
      <c r="T1394" s="12" t="s">
        <v>25</v>
      </c>
    </row>
    <row r="1395" spans="1:20" hidden="1" x14ac:dyDescent="0.3">
      <c r="A1395" s="13">
        <v>43951.708333333336</v>
      </c>
      <c r="B1395" s="12" t="s">
        <v>22</v>
      </c>
      <c r="C1395" s="265">
        <v>12</v>
      </c>
      <c r="D1395" s="12" t="s">
        <v>48</v>
      </c>
      <c r="E1395" s="265">
        <v>4189277044</v>
      </c>
      <c r="F1395" s="265">
        <v>1248366722</v>
      </c>
      <c r="G1395" s="265">
        <v>1417</v>
      </c>
      <c r="H1395" s="265">
        <v>115</v>
      </c>
      <c r="I1395" s="265">
        <v>1532</v>
      </c>
      <c r="J1395" s="265">
        <v>2936</v>
      </c>
      <c r="K1395" s="265">
        <v>4468</v>
      </c>
      <c r="L1395" s="265">
        <v>-67</v>
      </c>
      <c r="M1395" s="265">
        <v>71</v>
      </c>
      <c r="N1395" s="265">
        <v>1707</v>
      </c>
      <c r="O1395" s="265">
        <v>441</v>
      </c>
      <c r="P1395" s="265">
        <v>6616</v>
      </c>
      <c r="Q1395" s="265">
        <v>137596</v>
      </c>
      <c r="R1395" s="12" t="s">
        <v>4467</v>
      </c>
      <c r="S1395" s="12" t="s">
        <v>25</v>
      </c>
      <c r="T1395" s="12" t="s">
        <v>25</v>
      </c>
    </row>
    <row r="1396" spans="1:20" x14ac:dyDescent="0.3">
      <c r="A1396" s="13">
        <v>43951.708333333336</v>
      </c>
      <c r="B1396" s="12" t="s">
        <v>22</v>
      </c>
      <c r="C1396" s="265">
        <v>7</v>
      </c>
      <c r="D1396" s="12" t="s">
        <v>49</v>
      </c>
      <c r="E1396" s="265">
        <v>4441149315</v>
      </c>
      <c r="F1396" s="265">
        <v>89326992</v>
      </c>
      <c r="G1396" s="265">
        <v>676</v>
      </c>
      <c r="H1396" s="265">
        <v>69</v>
      </c>
      <c r="I1396" s="265">
        <v>745</v>
      </c>
      <c r="J1396" s="265">
        <v>2806</v>
      </c>
      <c r="K1396" s="265">
        <v>3551</v>
      </c>
      <c r="L1396" s="265">
        <v>-25</v>
      </c>
      <c r="M1396" s="265">
        <v>104</v>
      </c>
      <c r="N1396" s="265">
        <v>3275</v>
      </c>
      <c r="O1396" s="265">
        <v>1167</v>
      </c>
      <c r="P1396" s="265">
        <v>7993</v>
      </c>
      <c r="Q1396" s="265">
        <v>48762</v>
      </c>
      <c r="R1396" s="12" t="s">
        <v>4468</v>
      </c>
      <c r="S1396" s="12" t="s">
        <v>25</v>
      </c>
      <c r="T1396" s="12" t="s">
        <v>25</v>
      </c>
    </row>
    <row r="1397" spans="1:20" hidden="1" x14ac:dyDescent="0.3">
      <c r="A1397" s="13">
        <v>43951.708333333336</v>
      </c>
      <c r="B1397" s="12" t="s">
        <v>22</v>
      </c>
      <c r="C1397" s="265">
        <v>3</v>
      </c>
      <c r="D1397" s="12" t="s">
        <v>50</v>
      </c>
      <c r="E1397" s="265">
        <v>4546679409</v>
      </c>
      <c r="F1397" s="265">
        <v>9190347404</v>
      </c>
      <c r="G1397" s="265">
        <v>6834</v>
      </c>
      <c r="H1397" s="265">
        <v>605</v>
      </c>
      <c r="I1397" s="265">
        <v>7439</v>
      </c>
      <c r="J1397" s="265">
        <v>28772</v>
      </c>
      <c r="K1397" s="265">
        <v>36211</v>
      </c>
      <c r="L1397" s="265">
        <v>89</v>
      </c>
      <c r="M1397" s="265">
        <v>598</v>
      </c>
      <c r="N1397" s="265">
        <v>25749</v>
      </c>
      <c r="O1397" s="265">
        <v>13772</v>
      </c>
      <c r="P1397" s="265">
        <v>75732</v>
      </c>
      <c r="Q1397" s="265">
        <v>376943</v>
      </c>
      <c r="R1397" s="12" t="s">
        <v>4469</v>
      </c>
      <c r="S1397" s="12" t="s">
        <v>25</v>
      </c>
      <c r="T1397" s="12" t="s">
        <v>25</v>
      </c>
    </row>
    <row r="1398" spans="1:20" hidden="1" x14ac:dyDescent="0.3">
      <c r="A1398" s="13">
        <v>43951.708333333336</v>
      </c>
      <c r="B1398" s="12" t="s">
        <v>22</v>
      </c>
      <c r="C1398" s="265">
        <v>11</v>
      </c>
      <c r="D1398" s="12" t="s">
        <v>51</v>
      </c>
      <c r="E1398" s="265">
        <v>4361675973</v>
      </c>
      <c r="F1398" s="265">
        <v>135188753</v>
      </c>
      <c r="G1398" s="265">
        <v>465</v>
      </c>
      <c r="H1398" s="265">
        <v>48</v>
      </c>
      <c r="I1398" s="265">
        <v>513</v>
      </c>
      <c r="J1398" s="265">
        <v>2697</v>
      </c>
      <c r="K1398" s="265">
        <v>3210</v>
      </c>
      <c r="L1398" s="265">
        <v>-137</v>
      </c>
      <c r="M1398" s="265">
        <v>37</v>
      </c>
      <c r="N1398" s="265">
        <v>2131</v>
      </c>
      <c r="O1398" s="265">
        <v>906</v>
      </c>
      <c r="P1398" s="265">
        <v>6247</v>
      </c>
      <c r="Q1398" s="265">
        <v>59488</v>
      </c>
      <c r="R1398" s="12" t="s">
        <v>4470</v>
      </c>
      <c r="S1398" s="12" t="s">
        <v>25</v>
      </c>
      <c r="T1398" s="12" t="s">
        <v>25</v>
      </c>
    </row>
    <row r="1399" spans="1:20" hidden="1" x14ac:dyDescent="0.3">
      <c r="A1399" s="13">
        <v>43951.708333333336</v>
      </c>
      <c r="B1399" s="12" t="s">
        <v>22</v>
      </c>
      <c r="C1399" s="265">
        <v>14</v>
      </c>
      <c r="D1399" s="12" t="s">
        <v>52</v>
      </c>
      <c r="E1399" s="265">
        <v>4155774754</v>
      </c>
      <c r="F1399" s="265">
        <v>1465916051</v>
      </c>
      <c r="G1399" s="265">
        <v>17</v>
      </c>
      <c r="H1399" s="265">
        <v>1</v>
      </c>
      <c r="I1399" s="265">
        <v>18</v>
      </c>
      <c r="J1399" s="265">
        <v>172</v>
      </c>
      <c r="K1399" s="265">
        <v>190</v>
      </c>
      <c r="L1399" s="265">
        <v>-3</v>
      </c>
      <c r="M1399" s="265">
        <v>1</v>
      </c>
      <c r="N1399" s="265">
        <v>87</v>
      </c>
      <c r="O1399" s="265">
        <v>21</v>
      </c>
      <c r="P1399" s="265">
        <v>298</v>
      </c>
      <c r="Q1399" s="265">
        <v>6446</v>
      </c>
      <c r="R1399" s="12" t="s">
        <v>4471</v>
      </c>
      <c r="S1399" s="12" t="s">
        <v>25</v>
      </c>
      <c r="T1399" s="12" t="s">
        <v>25</v>
      </c>
    </row>
    <row r="1400" spans="1:20" hidden="1" x14ac:dyDescent="0.3">
      <c r="A1400" s="13">
        <v>43951.708333333336</v>
      </c>
      <c r="B1400" s="12" t="s">
        <v>22</v>
      </c>
      <c r="C1400" s="265">
        <v>1</v>
      </c>
      <c r="D1400" s="12" t="s">
        <v>53</v>
      </c>
      <c r="E1400" s="265">
        <v>450732745</v>
      </c>
      <c r="F1400" s="265">
        <v>7680687483</v>
      </c>
      <c r="G1400" s="265">
        <v>2621</v>
      </c>
      <c r="H1400" s="265">
        <v>199</v>
      </c>
      <c r="I1400" s="265">
        <v>2820</v>
      </c>
      <c r="J1400" s="265">
        <v>12673</v>
      </c>
      <c r="K1400" s="265">
        <v>15493</v>
      </c>
      <c r="L1400" s="265">
        <v>-28</v>
      </c>
      <c r="M1400" s="265">
        <v>428</v>
      </c>
      <c r="N1400" s="265">
        <v>7730</v>
      </c>
      <c r="O1400" s="265">
        <v>3066</v>
      </c>
      <c r="P1400" s="265">
        <v>26289</v>
      </c>
      <c r="Q1400" s="265">
        <v>156534</v>
      </c>
      <c r="R1400" s="12" t="s">
        <v>4472</v>
      </c>
      <c r="S1400" s="12" t="s">
        <v>25</v>
      </c>
      <c r="T1400" s="12" t="s">
        <v>25</v>
      </c>
    </row>
    <row r="1401" spans="1:20" hidden="1" x14ac:dyDescent="0.3">
      <c r="A1401" s="13">
        <v>43951.708333333336</v>
      </c>
      <c r="B1401" s="12" t="s">
        <v>22</v>
      </c>
      <c r="C1401" s="265">
        <v>16</v>
      </c>
      <c r="D1401" s="12" t="s">
        <v>54</v>
      </c>
      <c r="E1401" s="265">
        <v>4112559576</v>
      </c>
      <c r="F1401" s="265">
        <v>1686736689</v>
      </c>
      <c r="G1401" s="265">
        <v>439</v>
      </c>
      <c r="H1401" s="265">
        <v>42</v>
      </c>
      <c r="I1401" s="265">
        <v>481</v>
      </c>
      <c r="J1401" s="265">
        <v>2468</v>
      </c>
      <c r="K1401" s="265">
        <v>2949</v>
      </c>
      <c r="L1401" s="265">
        <v>22</v>
      </c>
      <c r="M1401" s="265">
        <v>43</v>
      </c>
      <c r="N1401" s="265">
        <v>708</v>
      </c>
      <c r="O1401" s="265">
        <v>415</v>
      </c>
      <c r="P1401" s="265">
        <v>4072</v>
      </c>
      <c r="Q1401" s="265">
        <v>62460</v>
      </c>
      <c r="R1401" s="12" t="s">
        <v>4473</v>
      </c>
      <c r="S1401" s="12" t="s">
        <v>25</v>
      </c>
      <c r="T1401" s="12" t="s">
        <v>25</v>
      </c>
    </row>
    <row r="1402" spans="1:20" hidden="1" x14ac:dyDescent="0.3">
      <c r="A1402" s="13">
        <v>43951.708333333336</v>
      </c>
      <c r="B1402" s="12" t="s">
        <v>22</v>
      </c>
      <c r="C1402" s="265">
        <v>20</v>
      </c>
      <c r="D1402" s="12" t="s">
        <v>55</v>
      </c>
      <c r="E1402" s="265">
        <v>3921531192</v>
      </c>
      <c r="F1402" s="265">
        <v>9110616306</v>
      </c>
      <c r="G1402" s="265">
        <v>87</v>
      </c>
      <c r="H1402" s="265">
        <v>16</v>
      </c>
      <c r="I1402" s="265">
        <v>103</v>
      </c>
      <c r="J1402" s="265">
        <v>641</v>
      </c>
      <c r="K1402" s="265">
        <v>744</v>
      </c>
      <c r="L1402" s="265">
        <v>-17</v>
      </c>
      <c r="M1402" s="265">
        <v>5</v>
      </c>
      <c r="N1402" s="265">
        <v>435</v>
      </c>
      <c r="O1402" s="265">
        <v>116</v>
      </c>
      <c r="P1402" s="265">
        <v>1295</v>
      </c>
      <c r="Q1402" s="265">
        <v>24754</v>
      </c>
      <c r="R1402" s="12" t="s">
        <v>4474</v>
      </c>
      <c r="S1402" s="12" t="s">
        <v>25</v>
      </c>
      <c r="T1402" s="12" t="s">
        <v>25</v>
      </c>
    </row>
    <row r="1403" spans="1:20" hidden="1" x14ac:dyDescent="0.3">
      <c r="A1403" s="13">
        <v>43951.708333333336</v>
      </c>
      <c r="B1403" s="12" t="s">
        <v>22</v>
      </c>
      <c r="C1403" s="265">
        <v>19</v>
      </c>
      <c r="D1403" s="12" t="s">
        <v>56</v>
      </c>
      <c r="E1403" s="265">
        <v>3811569725</v>
      </c>
      <c r="F1403" s="265">
        <v>133623567</v>
      </c>
      <c r="G1403" s="265">
        <v>408</v>
      </c>
      <c r="H1403" s="265">
        <v>33</v>
      </c>
      <c r="I1403" s="265">
        <v>441</v>
      </c>
      <c r="J1403" s="265">
        <v>1716</v>
      </c>
      <c r="K1403" s="265">
        <v>2157</v>
      </c>
      <c r="L1403" s="265">
        <v>12</v>
      </c>
      <c r="M1403" s="265">
        <v>26</v>
      </c>
      <c r="N1403" s="265">
        <v>774</v>
      </c>
      <c r="O1403" s="265">
        <v>235</v>
      </c>
      <c r="P1403" s="265">
        <v>3166</v>
      </c>
      <c r="Q1403" s="265">
        <v>79669</v>
      </c>
      <c r="R1403" s="12" t="s">
        <v>4475</v>
      </c>
      <c r="S1403" s="12" t="s">
        <v>25</v>
      </c>
      <c r="T1403" s="12" t="s">
        <v>25</v>
      </c>
    </row>
    <row r="1404" spans="1:20" hidden="1" x14ac:dyDescent="0.3">
      <c r="A1404" s="13">
        <v>43951.708333333336</v>
      </c>
      <c r="B1404" s="12" t="s">
        <v>22</v>
      </c>
      <c r="C1404" s="265">
        <v>9</v>
      </c>
      <c r="D1404" s="12" t="s">
        <v>57</v>
      </c>
      <c r="E1404" s="265">
        <v>4376923077</v>
      </c>
      <c r="F1404" s="265">
        <v>1125588885</v>
      </c>
      <c r="G1404" s="265">
        <v>546</v>
      </c>
      <c r="H1404" s="265">
        <v>126</v>
      </c>
      <c r="I1404" s="265">
        <v>672</v>
      </c>
      <c r="J1404" s="265">
        <v>4912</v>
      </c>
      <c r="K1404" s="265">
        <v>5584</v>
      </c>
      <c r="L1404" s="265">
        <v>-79</v>
      </c>
      <c r="M1404" s="265">
        <v>60</v>
      </c>
      <c r="N1404" s="265">
        <v>2926</v>
      </c>
      <c r="O1404" s="265">
        <v>842</v>
      </c>
      <c r="P1404" s="265">
        <v>9352</v>
      </c>
      <c r="Q1404" s="265">
        <v>141849</v>
      </c>
      <c r="R1404" s="12" t="s">
        <v>4476</v>
      </c>
      <c r="S1404" s="12" t="s">
        <v>25</v>
      </c>
      <c r="T1404" s="12" t="s">
        <v>25</v>
      </c>
    </row>
    <row r="1405" spans="1:20" hidden="1" x14ac:dyDescent="0.3">
      <c r="A1405" s="13">
        <v>43951.708333333336</v>
      </c>
      <c r="B1405" s="12" t="s">
        <v>22</v>
      </c>
      <c r="C1405" s="265">
        <v>22</v>
      </c>
      <c r="D1405" s="12" t="s">
        <v>58</v>
      </c>
      <c r="E1405" s="265">
        <v>4606893511</v>
      </c>
      <c r="F1405" s="265">
        <v>1112123097</v>
      </c>
      <c r="G1405" s="265">
        <v>158</v>
      </c>
      <c r="H1405" s="265">
        <v>21</v>
      </c>
      <c r="I1405" s="265">
        <v>179</v>
      </c>
      <c r="J1405" s="265">
        <v>1191</v>
      </c>
      <c r="K1405" s="265">
        <v>1370</v>
      </c>
      <c r="L1405" s="265">
        <v>-93</v>
      </c>
      <c r="M1405" s="265">
        <v>47</v>
      </c>
      <c r="N1405" s="265">
        <v>2328</v>
      </c>
      <c r="O1405" s="265">
        <v>418</v>
      </c>
      <c r="P1405" s="265">
        <v>4116</v>
      </c>
      <c r="Q1405" s="265">
        <v>36534</v>
      </c>
      <c r="R1405" s="12" t="s">
        <v>4477</v>
      </c>
      <c r="S1405" s="12" t="s">
        <v>25</v>
      </c>
      <c r="T1405" s="12" t="s">
        <v>25</v>
      </c>
    </row>
    <row r="1406" spans="1:20" hidden="1" x14ac:dyDescent="0.3">
      <c r="A1406" s="13">
        <v>43951.708333333336</v>
      </c>
      <c r="B1406" s="12" t="s">
        <v>22</v>
      </c>
      <c r="C1406" s="265">
        <v>10</v>
      </c>
      <c r="D1406" s="12" t="s">
        <v>59</v>
      </c>
      <c r="E1406" s="265">
        <v>4310675841</v>
      </c>
      <c r="F1406" s="265">
        <v>1238824698</v>
      </c>
      <c r="G1406" s="265">
        <v>68</v>
      </c>
      <c r="H1406" s="265">
        <v>16</v>
      </c>
      <c r="I1406" s="265">
        <v>84</v>
      </c>
      <c r="J1406" s="265">
        <v>149</v>
      </c>
      <c r="K1406" s="265">
        <v>233</v>
      </c>
      <c r="L1406" s="265">
        <v>-28</v>
      </c>
      <c r="M1406" s="265">
        <v>1</v>
      </c>
      <c r="N1406" s="265">
        <v>1092</v>
      </c>
      <c r="O1406" s="265">
        <v>67</v>
      </c>
      <c r="P1406" s="265">
        <v>1392</v>
      </c>
      <c r="Q1406" s="265">
        <v>36459</v>
      </c>
      <c r="R1406" s="12" t="s">
        <v>4478</v>
      </c>
      <c r="S1406" s="12" t="s">
        <v>25</v>
      </c>
      <c r="T1406" s="12" t="s">
        <v>25</v>
      </c>
    </row>
    <row r="1407" spans="1:20" hidden="1" x14ac:dyDescent="0.3">
      <c r="A1407" s="13">
        <v>43951.708333333336</v>
      </c>
      <c r="B1407" s="12" t="s">
        <v>22</v>
      </c>
      <c r="C1407" s="265">
        <v>2</v>
      </c>
      <c r="D1407" s="12" t="s">
        <v>60</v>
      </c>
      <c r="E1407" s="265">
        <v>4573750286</v>
      </c>
      <c r="F1407" s="265">
        <v>7320149366</v>
      </c>
      <c r="G1407" s="265">
        <v>76</v>
      </c>
      <c r="H1407" s="265">
        <v>4</v>
      </c>
      <c r="I1407" s="265">
        <v>80</v>
      </c>
      <c r="J1407" s="265">
        <v>9</v>
      </c>
      <c r="K1407" s="265">
        <v>89</v>
      </c>
      <c r="L1407" s="265">
        <v>-46</v>
      </c>
      <c r="M1407" s="265">
        <v>4</v>
      </c>
      <c r="N1407" s="265">
        <v>902</v>
      </c>
      <c r="O1407" s="265">
        <v>137</v>
      </c>
      <c r="P1407" s="265">
        <v>1128</v>
      </c>
      <c r="Q1407" s="265">
        <v>7631</v>
      </c>
      <c r="R1407" s="12" t="s">
        <v>4479</v>
      </c>
      <c r="S1407" s="12" t="s">
        <v>25</v>
      </c>
      <c r="T1407" s="12" t="s">
        <v>25</v>
      </c>
    </row>
    <row r="1408" spans="1:20" hidden="1" x14ac:dyDescent="0.3">
      <c r="A1408" s="13">
        <v>43951.708333333336</v>
      </c>
      <c r="B1408" s="12" t="s">
        <v>22</v>
      </c>
      <c r="C1408" s="265">
        <v>5</v>
      </c>
      <c r="D1408" s="12" t="s">
        <v>61</v>
      </c>
      <c r="E1408" s="265">
        <v>4543490485</v>
      </c>
      <c r="F1408" s="265">
        <v>1233845213</v>
      </c>
      <c r="G1408" s="265">
        <v>1012</v>
      </c>
      <c r="H1408" s="265">
        <v>114</v>
      </c>
      <c r="I1408" s="265">
        <v>1126</v>
      </c>
      <c r="J1408" s="265">
        <v>7021</v>
      </c>
      <c r="K1408" s="265">
        <v>8147</v>
      </c>
      <c r="L1408" s="265">
        <v>-222</v>
      </c>
      <c r="M1408" s="265">
        <v>135</v>
      </c>
      <c r="N1408" s="265">
        <v>8354</v>
      </c>
      <c r="O1408" s="265">
        <v>1459</v>
      </c>
      <c r="P1408" s="265">
        <v>17960</v>
      </c>
      <c r="Q1408" s="265">
        <v>349227</v>
      </c>
      <c r="R1408" s="12" t="s">
        <v>4480</v>
      </c>
      <c r="S1408" s="12" t="s">
        <v>25</v>
      </c>
      <c r="T1408" s="12" t="s">
        <v>25</v>
      </c>
    </row>
    <row r="1409" spans="1:20" hidden="1" x14ac:dyDescent="0.3">
      <c r="A1409" s="13">
        <v>43952.708333333336</v>
      </c>
      <c r="B1409" s="12" t="s">
        <v>22</v>
      </c>
      <c r="C1409" s="265">
        <v>13</v>
      </c>
      <c r="D1409" s="12" t="s">
        <v>42</v>
      </c>
      <c r="E1409" s="265">
        <v>4235122196</v>
      </c>
      <c r="F1409" s="265">
        <v>1339843823</v>
      </c>
      <c r="G1409" s="265">
        <v>297</v>
      </c>
      <c r="H1409" s="265">
        <v>16</v>
      </c>
      <c r="I1409" s="265">
        <v>313</v>
      </c>
      <c r="J1409" s="265">
        <v>1598</v>
      </c>
      <c r="K1409" s="265">
        <v>1911</v>
      </c>
      <c r="L1409" s="265">
        <v>-4</v>
      </c>
      <c r="M1409" s="265">
        <v>18</v>
      </c>
      <c r="N1409" s="265">
        <v>713</v>
      </c>
      <c r="O1409" s="265">
        <v>324</v>
      </c>
      <c r="P1409" s="265">
        <v>2948</v>
      </c>
      <c r="Q1409" s="265">
        <v>39385</v>
      </c>
      <c r="R1409" s="12" t="s">
        <v>4481</v>
      </c>
      <c r="S1409" s="12" t="s">
        <v>25</v>
      </c>
      <c r="T1409" s="12" t="s">
        <v>25</v>
      </c>
    </row>
    <row r="1410" spans="1:20" hidden="1" x14ac:dyDescent="0.3">
      <c r="A1410" s="13">
        <v>43952.708333333336</v>
      </c>
      <c r="B1410" s="12" t="s">
        <v>22</v>
      </c>
      <c r="C1410" s="265">
        <v>17</v>
      </c>
      <c r="D1410" s="12" t="s">
        <v>43</v>
      </c>
      <c r="E1410" s="265">
        <v>4063947052</v>
      </c>
      <c r="F1410" s="265">
        <v>1580514834</v>
      </c>
      <c r="G1410" s="265">
        <v>49</v>
      </c>
      <c r="H1410" s="265">
        <v>4</v>
      </c>
      <c r="I1410" s="265">
        <v>53</v>
      </c>
      <c r="J1410" s="265">
        <v>140</v>
      </c>
      <c r="K1410" s="265">
        <v>193</v>
      </c>
      <c r="L1410" s="265">
        <v>1</v>
      </c>
      <c r="M1410" s="265">
        <v>11</v>
      </c>
      <c r="N1410" s="265">
        <v>160</v>
      </c>
      <c r="O1410" s="265">
        <v>25</v>
      </c>
      <c r="P1410" s="265">
        <v>378</v>
      </c>
      <c r="Q1410" s="265">
        <v>13269</v>
      </c>
      <c r="R1410" s="12" t="s">
        <v>4482</v>
      </c>
      <c r="S1410" s="12" t="s">
        <v>25</v>
      </c>
      <c r="T1410" s="12" t="s">
        <v>25</v>
      </c>
    </row>
    <row r="1411" spans="1:20" hidden="1" x14ac:dyDescent="0.3">
      <c r="A1411" s="13">
        <v>43952.708333333336</v>
      </c>
      <c r="B1411" s="12" t="s">
        <v>22</v>
      </c>
      <c r="C1411" s="265">
        <v>21</v>
      </c>
      <c r="D1411" s="12" t="s">
        <v>44</v>
      </c>
      <c r="E1411" s="265">
        <v>4649933453</v>
      </c>
      <c r="F1411" s="265">
        <v>1135662422</v>
      </c>
      <c r="G1411" s="265">
        <v>112</v>
      </c>
      <c r="H1411" s="265">
        <v>11</v>
      </c>
      <c r="I1411" s="265">
        <v>123</v>
      </c>
      <c r="J1411" s="265">
        <v>634</v>
      </c>
      <c r="K1411" s="265">
        <v>757</v>
      </c>
      <c r="L1411" s="265">
        <v>-45</v>
      </c>
      <c r="M1411" s="265">
        <v>10</v>
      </c>
      <c r="N1411" s="265">
        <v>1493</v>
      </c>
      <c r="O1411" s="265">
        <v>278</v>
      </c>
      <c r="P1411" s="265">
        <v>2528</v>
      </c>
      <c r="Q1411" s="265">
        <v>42903</v>
      </c>
      <c r="R1411" s="12" t="s">
        <v>4483</v>
      </c>
      <c r="S1411" s="12" t="s">
        <v>25</v>
      </c>
      <c r="T1411" s="12" t="s">
        <v>25</v>
      </c>
    </row>
    <row r="1412" spans="1:20" hidden="1" x14ac:dyDescent="0.3">
      <c r="A1412" s="13">
        <v>43952.708333333336</v>
      </c>
      <c r="B1412" s="12" t="s">
        <v>22</v>
      </c>
      <c r="C1412" s="265">
        <v>18</v>
      </c>
      <c r="D1412" s="12" t="s">
        <v>45</v>
      </c>
      <c r="E1412" s="265">
        <v>3890597598</v>
      </c>
      <c r="F1412" s="265">
        <v>1659440194</v>
      </c>
      <c r="G1412" s="265">
        <v>105</v>
      </c>
      <c r="H1412" s="265">
        <v>3</v>
      </c>
      <c r="I1412" s="265">
        <v>108</v>
      </c>
      <c r="J1412" s="265">
        <v>619</v>
      </c>
      <c r="K1412" s="265">
        <v>727</v>
      </c>
      <c r="L1412" s="265">
        <v>-13</v>
      </c>
      <c r="M1412" s="265">
        <v>4</v>
      </c>
      <c r="N1412" s="265">
        <v>299</v>
      </c>
      <c r="O1412" s="265">
        <v>86</v>
      </c>
      <c r="P1412" s="265">
        <v>1112</v>
      </c>
      <c r="Q1412" s="265">
        <v>37054</v>
      </c>
      <c r="R1412" s="12" t="s">
        <v>4484</v>
      </c>
      <c r="S1412" s="12" t="s">
        <v>25</v>
      </c>
      <c r="T1412" s="12" t="s">
        <v>25</v>
      </c>
    </row>
    <row r="1413" spans="1:20" hidden="1" x14ac:dyDescent="0.3">
      <c r="A1413" s="13">
        <v>43952.708333333336</v>
      </c>
      <c r="B1413" s="12" t="s">
        <v>22</v>
      </c>
      <c r="C1413" s="265">
        <v>15</v>
      </c>
      <c r="D1413" s="12" t="s">
        <v>46</v>
      </c>
      <c r="E1413" s="265">
        <v>4083956555</v>
      </c>
      <c r="F1413" s="265">
        <v>1425084984</v>
      </c>
      <c r="G1413" s="265">
        <v>478</v>
      </c>
      <c r="H1413" s="265">
        <v>29</v>
      </c>
      <c r="I1413" s="265">
        <v>507</v>
      </c>
      <c r="J1413" s="265">
        <v>2246</v>
      </c>
      <c r="K1413" s="265">
        <v>2753</v>
      </c>
      <c r="L1413" s="265">
        <v>-20</v>
      </c>
      <c r="M1413" s="265">
        <v>21</v>
      </c>
      <c r="N1413" s="265">
        <v>1332</v>
      </c>
      <c r="O1413" s="265">
        <v>359</v>
      </c>
      <c r="P1413" s="265">
        <v>4444</v>
      </c>
      <c r="Q1413" s="265">
        <v>79940</v>
      </c>
      <c r="R1413" s="12" t="s">
        <v>4485</v>
      </c>
      <c r="S1413" s="12" t="s">
        <v>25</v>
      </c>
      <c r="T1413" s="12" t="s">
        <v>25</v>
      </c>
    </row>
    <row r="1414" spans="1:20" hidden="1" x14ac:dyDescent="0.3">
      <c r="A1414" s="13">
        <v>43952.708333333336</v>
      </c>
      <c r="B1414" s="12" t="s">
        <v>22</v>
      </c>
      <c r="C1414" s="265">
        <v>8</v>
      </c>
      <c r="D1414" s="12" t="s">
        <v>95</v>
      </c>
      <c r="E1414" s="265">
        <v>4449436681</v>
      </c>
      <c r="F1414" s="265">
        <v>113417208</v>
      </c>
      <c r="G1414" s="265">
        <v>2112</v>
      </c>
      <c r="H1414" s="265">
        <v>197</v>
      </c>
      <c r="I1414" s="265">
        <v>2309</v>
      </c>
      <c r="J1414" s="265">
        <v>7175</v>
      </c>
      <c r="K1414" s="265">
        <v>9484</v>
      </c>
      <c r="L1414" s="265">
        <v>-79</v>
      </c>
      <c r="M1414" s="265">
        <v>208</v>
      </c>
      <c r="N1414" s="265">
        <v>12581</v>
      </c>
      <c r="O1414" s="265">
        <v>3579</v>
      </c>
      <c r="P1414" s="265">
        <v>25644</v>
      </c>
      <c r="Q1414" s="265">
        <v>188264</v>
      </c>
      <c r="R1414" s="12" t="s">
        <v>4486</v>
      </c>
      <c r="S1414" s="12" t="s">
        <v>25</v>
      </c>
      <c r="T1414" s="12" t="s">
        <v>25</v>
      </c>
    </row>
    <row r="1415" spans="1:20" hidden="1" x14ac:dyDescent="0.3">
      <c r="A1415" s="13">
        <v>43952.708333333336</v>
      </c>
      <c r="B1415" s="12" t="s">
        <v>22</v>
      </c>
      <c r="C1415" s="265">
        <v>6</v>
      </c>
      <c r="D1415" s="12" t="s">
        <v>47</v>
      </c>
      <c r="E1415" s="265">
        <v>456494354</v>
      </c>
      <c r="F1415" s="265">
        <v>1376813649</v>
      </c>
      <c r="G1415" s="265">
        <v>131</v>
      </c>
      <c r="H1415" s="265">
        <v>6</v>
      </c>
      <c r="I1415" s="265">
        <v>137</v>
      </c>
      <c r="J1415" s="265">
        <v>978</v>
      </c>
      <c r="K1415" s="265">
        <v>1115</v>
      </c>
      <c r="L1415" s="265">
        <v>-55</v>
      </c>
      <c r="M1415" s="265">
        <v>16</v>
      </c>
      <c r="N1415" s="265">
        <v>1632</v>
      </c>
      <c r="O1415" s="265">
        <v>294</v>
      </c>
      <c r="P1415" s="265">
        <v>3041</v>
      </c>
      <c r="Q1415" s="265">
        <v>71013</v>
      </c>
      <c r="R1415" s="12" t="s">
        <v>4487</v>
      </c>
      <c r="S1415" s="12" t="s">
        <v>25</v>
      </c>
      <c r="T1415" s="12" t="s">
        <v>25</v>
      </c>
    </row>
    <row r="1416" spans="1:20" hidden="1" x14ac:dyDescent="0.3">
      <c r="A1416" s="13">
        <v>43952.708333333336</v>
      </c>
      <c r="B1416" s="12" t="s">
        <v>22</v>
      </c>
      <c r="C1416" s="265">
        <v>12</v>
      </c>
      <c r="D1416" s="12" t="s">
        <v>48</v>
      </c>
      <c r="E1416" s="265">
        <v>4189277044</v>
      </c>
      <c r="F1416" s="265">
        <v>1248366722</v>
      </c>
      <c r="G1416" s="265">
        <v>1372</v>
      </c>
      <c r="H1416" s="265">
        <v>105</v>
      </c>
      <c r="I1416" s="265">
        <v>1477</v>
      </c>
      <c r="J1416" s="265">
        <v>2969</v>
      </c>
      <c r="K1416" s="265">
        <v>4446</v>
      </c>
      <c r="L1416" s="265">
        <v>-22</v>
      </c>
      <c r="M1416" s="265">
        <v>56</v>
      </c>
      <c r="N1416" s="265">
        <v>1744</v>
      </c>
      <c r="O1416" s="265">
        <v>482</v>
      </c>
      <c r="P1416" s="265">
        <v>6672</v>
      </c>
      <c r="Q1416" s="265">
        <v>143804</v>
      </c>
      <c r="R1416" s="12" t="s">
        <v>4488</v>
      </c>
      <c r="S1416" s="12" t="s">
        <v>4489</v>
      </c>
      <c r="T1416" s="12" t="s">
        <v>4490</v>
      </c>
    </row>
    <row r="1417" spans="1:20" x14ac:dyDescent="0.3">
      <c r="A1417" s="13">
        <v>43952.708333333336</v>
      </c>
      <c r="B1417" s="12" t="s">
        <v>22</v>
      </c>
      <c r="C1417" s="265">
        <v>7</v>
      </c>
      <c r="D1417" s="12" t="s">
        <v>49</v>
      </c>
      <c r="E1417" s="265">
        <v>4441149315</v>
      </c>
      <c r="F1417" s="265">
        <v>89326992</v>
      </c>
      <c r="G1417" s="265">
        <v>666</v>
      </c>
      <c r="H1417" s="265">
        <v>68</v>
      </c>
      <c r="I1417" s="265">
        <v>734</v>
      </c>
      <c r="J1417" s="265">
        <v>2784</v>
      </c>
      <c r="K1417" s="265">
        <v>3518</v>
      </c>
      <c r="L1417" s="265">
        <v>-33</v>
      </c>
      <c r="M1417" s="265">
        <v>133</v>
      </c>
      <c r="N1417" s="265">
        <v>3424</v>
      </c>
      <c r="O1417" s="265">
        <v>1184</v>
      </c>
      <c r="P1417" s="265">
        <v>8126</v>
      </c>
      <c r="Q1417" s="265">
        <v>51199</v>
      </c>
      <c r="R1417" s="12" t="s">
        <v>4491</v>
      </c>
      <c r="S1417" s="12" t="s">
        <v>25</v>
      </c>
      <c r="T1417" s="12" t="s">
        <v>25</v>
      </c>
    </row>
    <row r="1418" spans="1:20" hidden="1" x14ac:dyDescent="0.3">
      <c r="A1418" s="13">
        <v>43952.708333333336</v>
      </c>
      <c r="B1418" s="12" t="s">
        <v>22</v>
      </c>
      <c r="C1418" s="265">
        <v>3</v>
      </c>
      <c r="D1418" s="12" t="s">
        <v>50</v>
      </c>
      <c r="E1418" s="265">
        <v>4546679409</v>
      </c>
      <c r="F1418" s="265">
        <v>9190347404</v>
      </c>
      <c r="G1418" s="265">
        <v>6628</v>
      </c>
      <c r="H1418" s="265">
        <v>563</v>
      </c>
      <c r="I1418" s="265">
        <v>7191</v>
      </c>
      <c r="J1418" s="265">
        <v>29282</v>
      </c>
      <c r="K1418" s="265">
        <v>36473</v>
      </c>
      <c r="L1418" s="265">
        <v>262</v>
      </c>
      <c r="M1418" s="265">
        <v>737</v>
      </c>
      <c r="N1418" s="265">
        <v>26136</v>
      </c>
      <c r="O1418" s="265">
        <v>13860</v>
      </c>
      <c r="P1418" s="265">
        <v>76469</v>
      </c>
      <c r="Q1418" s="265">
        <v>390644</v>
      </c>
      <c r="R1418" s="12" t="s">
        <v>4492</v>
      </c>
      <c r="S1418" s="12" t="s">
        <v>25</v>
      </c>
      <c r="T1418" s="12" t="s">
        <v>25</v>
      </c>
    </row>
    <row r="1419" spans="1:20" hidden="1" x14ac:dyDescent="0.3">
      <c r="A1419" s="13">
        <v>43952.708333333336</v>
      </c>
      <c r="B1419" s="12" t="s">
        <v>22</v>
      </c>
      <c r="C1419" s="265">
        <v>11</v>
      </c>
      <c r="D1419" s="12" t="s">
        <v>51</v>
      </c>
      <c r="E1419" s="265">
        <v>4361675973</v>
      </c>
      <c r="F1419" s="265">
        <v>135188753</v>
      </c>
      <c r="G1419" s="265">
        <v>413</v>
      </c>
      <c r="H1419" s="265">
        <v>44</v>
      </c>
      <c r="I1419" s="265">
        <v>457</v>
      </c>
      <c r="J1419" s="265">
        <v>2754</v>
      </c>
      <c r="K1419" s="265">
        <v>3211</v>
      </c>
      <c r="L1419" s="265">
        <v>1</v>
      </c>
      <c r="M1419" s="265">
        <v>28</v>
      </c>
      <c r="N1419" s="265">
        <v>2153</v>
      </c>
      <c r="O1419" s="265">
        <v>911</v>
      </c>
      <c r="P1419" s="265">
        <v>6275</v>
      </c>
      <c r="Q1419" s="265">
        <v>61241</v>
      </c>
      <c r="R1419" s="12" t="s">
        <v>4493</v>
      </c>
      <c r="S1419" s="12" t="s">
        <v>25</v>
      </c>
      <c r="T1419" s="12" t="s">
        <v>25</v>
      </c>
    </row>
    <row r="1420" spans="1:20" hidden="1" x14ac:dyDescent="0.3">
      <c r="A1420" s="13">
        <v>43952.708333333336</v>
      </c>
      <c r="B1420" s="12" t="s">
        <v>22</v>
      </c>
      <c r="C1420" s="265">
        <v>14</v>
      </c>
      <c r="D1420" s="12" t="s">
        <v>52</v>
      </c>
      <c r="E1420" s="265">
        <v>4155774754</v>
      </c>
      <c r="F1420" s="265">
        <v>1465916051</v>
      </c>
      <c r="G1420" s="265">
        <v>17</v>
      </c>
      <c r="H1420" s="265">
        <v>1</v>
      </c>
      <c r="I1420" s="265">
        <v>18</v>
      </c>
      <c r="J1420" s="265">
        <v>172</v>
      </c>
      <c r="K1420" s="265">
        <v>190</v>
      </c>
      <c r="L1420" s="265">
        <v>0</v>
      </c>
      <c r="M1420" s="265">
        <v>2</v>
      </c>
      <c r="N1420" s="265">
        <v>89</v>
      </c>
      <c r="O1420" s="265">
        <v>21</v>
      </c>
      <c r="P1420" s="265">
        <v>300</v>
      </c>
      <c r="Q1420" s="265">
        <v>6463</v>
      </c>
      <c r="R1420" s="12" t="s">
        <v>4494</v>
      </c>
      <c r="S1420" s="12" t="s">
        <v>25</v>
      </c>
      <c r="T1420" s="12" t="s">
        <v>25</v>
      </c>
    </row>
    <row r="1421" spans="1:20" hidden="1" x14ac:dyDescent="0.3">
      <c r="A1421" s="13">
        <v>43952.708333333336</v>
      </c>
      <c r="B1421" s="12" t="s">
        <v>22</v>
      </c>
      <c r="C1421" s="265">
        <v>1</v>
      </c>
      <c r="D1421" s="12" t="s">
        <v>53</v>
      </c>
      <c r="E1421" s="265">
        <v>450732745</v>
      </c>
      <c r="F1421" s="265">
        <v>7680687483</v>
      </c>
      <c r="G1421" s="265">
        <v>2503</v>
      </c>
      <c r="H1421" s="265">
        <v>181</v>
      </c>
      <c r="I1421" s="265">
        <v>2684</v>
      </c>
      <c r="J1421" s="265">
        <v>12878</v>
      </c>
      <c r="K1421" s="265">
        <v>15562</v>
      </c>
      <c r="L1421" s="265">
        <v>69</v>
      </c>
      <c r="M1421" s="265">
        <v>395</v>
      </c>
      <c r="N1421" s="265">
        <v>8025</v>
      </c>
      <c r="O1421" s="265">
        <v>3097</v>
      </c>
      <c r="P1421" s="265">
        <v>26684</v>
      </c>
      <c r="Q1421" s="265">
        <v>162568</v>
      </c>
      <c r="R1421" s="12" t="s">
        <v>4495</v>
      </c>
      <c r="S1421" s="12" t="s">
        <v>25</v>
      </c>
      <c r="T1421" s="12" t="s">
        <v>25</v>
      </c>
    </row>
    <row r="1422" spans="1:20" hidden="1" x14ac:dyDescent="0.3">
      <c r="A1422" s="13">
        <v>43952.708333333336</v>
      </c>
      <c r="B1422" s="12" t="s">
        <v>22</v>
      </c>
      <c r="C1422" s="265">
        <v>16</v>
      </c>
      <c r="D1422" s="12" t="s">
        <v>54</v>
      </c>
      <c r="E1422" s="265">
        <v>4112559576</v>
      </c>
      <c r="F1422" s="265">
        <v>1686736689</v>
      </c>
      <c r="G1422" s="265">
        <v>428</v>
      </c>
      <c r="H1422" s="265">
        <v>39</v>
      </c>
      <c r="I1422" s="265">
        <v>467</v>
      </c>
      <c r="J1422" s="265">
        <v>2480</v>
      </c>
      <c r="K1422" s="265">
        <v>2947</v>
      </c>
      <c r="L1422" s="265">
        <v>-2</v>
      </c>
      <c r="M1422" s="265">
        <v>27</v>
      </c>
      <c r="N1422" s="265">
        <v>731</v>
      </c>
      <c r="O1422" s="265">
        <v>421</v>
      </c>
      <c r="P1422" s="265">
        <v>4099</v>
      </c>
      <c r="Q1422" s="265">
        <v>64292</v>
      </c>
      <c r="R1422" s="12" t="s">
        <v>4496</v>
      </c>
      <c r="S1422" s="12" t="s">
        <v>25</v>
      </c>
      <c r="T1422" s="12" t="s">
        <v>25</v>
      </c>
    </row>
    <row r="1423" spans="1:20" hidden="1" x14ac:dyDescent="0.3">
      <c r="A1423" s="13">
        <v>43952.708333333336</v>
      </c>
      <c r="B1423" s="12" t="s">
        <v>22</v>
      </c>
      <c r="C1423" s="265">
        <v>20</v>
      </c>
      <c r="D1423" s="12" t="s">
        <v>55</v>
      </c>
      <c r="E1423" s="265">
        <v>3921531192</v>
      </c>
      <c r="F1423" s="265">
        <v>9110616306</v>
      </c>
      <c r="G1423" s="265">
        <v>84</v>
      </c>
      <c r="H1423" s="265">
        <v>12</v>
      </c>
      <c r="I1423" s="265">
        <v>96</v>
      </c>
      <c r="J1423" s="265">
        <v>648</v>
      </c>
      <c r="K1423" s="265">
        <v>744</v>
      </c>
      <c r="L1423" s="265">
        <v>0</v>
      </c>
      <c r="M1423" s="265">
        <v>18</v>
      </c>
      <c r="N1423" s="265">
        <v>452</v>
      </c>
      <c r="O1423" s="265">
        <v>117</v>
      </c>
      <c r="P1423" s="265">
        <v>1313</v>
      </c>
      <c r="Q1423" s="265">
        <v>26242</v>
      </c>
      <c r="R1423" s="12" t="s">
        <v>4497</v>
      </c>
      <c r="S1423" s="12" t="s">
        <v>25</v>
      </c>
      <c r="T1423" s="12" t="s">
        <v>25</v>
      </c>
    </row>
    <row r="1424" spans="1:20" hidden="1" x14ac:dyDescent="0.3">
      <c r="A1424" s="13">
        <v>43952.708333333336</v>
      </c>
      <c r="B1424" s="12" t="s">
        <v>22</v>
      </c>
      <c r="C1424" s="265">
        <v>19</v>
      </c>
      <c r="D1424" s="12" t="s">
        <v>56</v>
      </c>
      <c r="E1424" s="265">
        <v>3811569725</v>
      </c>
      <c r="F1424" s="265">
        <v>133623567</v>
      </c>
      <c r="G1424" s="265">
        <v>399</v>
      </c>
      <c r="H1424" s="265">
        <v>30</v>
      </c>
      <c r="I1424" s="265">
        <v>429</v>
      </c>
      <c r="J1424" s="265">
        <v>1742</v>
      </c>
      <c r="K1424" s="265">
        <v>2171</v>
      </c>
      <c r="L1424" s="265">
        <v>14</v>
      </c>
      <c r="M1424" s="265">
        <v>28</v>
      </c>
      <c r="N1424" s="265">
        <v>786</v>
      </c>
      <c r="O1424" s="265">
        <v>237</v>
      </c>
      <c r="P1424" s="265">
        <v>3194</v>
      </c>
      <c r="Q1424" s="265">
        <v>82860</v>
      </c>
      <c r="R1424" s="12" t="s">
        <v>4498</v>
      </c>
      <c r="S1424" s="12" t="s">
        <v>25</v>
      </c>
      <c r="T1424" s="12" t="s">
        <v>25</v>
      </c>
    </row>
    <row r="1425" spans="1:20" hidden="1" x14ac:dyDescent="0.3">
      <c r="A1425" s="13">
        <v>43952.708333333336</v>
      </c>
      <c r="B1425" s="12" t="s">
        <v>22</v>
      </c>
      <c r="C1425" s="265">
        <v>9</v>
      </c>
      <c r="D1425" s="12" t="s">
        <v>57</v>
      </c>
      <c r="E1425" s="265">
        <v>4376923077</v>
      </c>
      <c r="F1425" s="265">
        <v>1125588885</v>
      </c>
      <c r="G1425" s="265">
        <v>520</v>
      </c>
      <c r="H1425" s="265">
        <v>124</v>
      </c>
      <c r="I1425" s="265">
        <v>644</v>
      </c>
      <c r="J1425" s="265">
        <v>4729</v>
      </c>
      <c r="K1425" s="265">
        <v>5373</v>
      </c>
      <c r="L1425" s="265">
        <v>-211</v>
      </c>
      <c r="M1425" s="265">
        <v>93</v>
      </c>
      <c r="N1425" s="265">
        <v>3218</v>
      </c>
      <c r="O1425" s="265">
        <v>854</v>
      </c>
      <c r="P1425" s="265">
        <v>9445</v>
      </c>
      <c r="Q1425" s="265">
        <v>146456</v>
      </c>
      <c r="R1425" s="12" t="s">
        <v>4499</v>
      </c>
      <c r="S1425" s="12" t="s">
        <v>25</v>
      </c>
      <c r="T1425" s="12" t="s">
        <v>25</v>
      </c>
    </row>
    <row r="1426" spans="1:20" hidden="1" x14ac:dyDescent="0.3">
      <c r="A1426" s="13">
        <v>43952.708333333336</v>
      </c>
      <c r="B1426" s="12" t="s">
        <v>22</v>
      </c>
      <c r="C1426" s="265">
        <v>22</v>
      </c>
      <c r="D1426" s="12" t="s">
        <v>58</v>
      </c>
      <c r="E1426" s="265">
        <v>4606893511</v>
      </c>
      <c r="F1426" s="265">
        <v>1112123097</v>
      </c>
      <c r="G1426" s="265">
        <v>146</v>
      </c>
      <c r="H1426" s="265">
        <v>19</v>
      </c>
      <c r="I1426" s="265">
        <v>165</v>
      </c>
      <c r="J1426" s="265">
        <v>1128</v>
      </c>
      <c r="K1426" s="265">
        <v>1293</v>
      </c>
      <c r="L1426" s="265">
        <v>-77</v>
      </c>
      <c r="M1426" s="265">
        <v>16</v>
      </c>
      <c r="N1426" s="265">
        <v>2416</v>
      </c>
      <c r="O1426" s="265">
        <v>423</v>
      </c>
      <c r="P1426" s="265">
        <v>4132</v>
      </c>
      <c r="Q1426" s="265">
        <v>37838</v>
      </c>
      <c r="R1426" s="12" t="s">
        <v>4500</v>
      </c>
      <c r="S1426" s="12" t="s">
        <v>25</v>
      </c>
      <c r="T1426" s="12" t="s">
        <v>25</v>
      </c>
    </row>
    <row r="1427" spans="1:20" hidden="1" x14ac:dyDescent="0.3">
      <c r="A1427" s="13">
        <v>43952.708333333336</v>
      </c>
      <c r="B1427" s="12" t="s">
        <v>22</v>
      </c>
      <c r="C1427" s="265">
        <v>10</v>
      </c>
      <c r="D1427" s="12" t="s">
        <v>59</v>
      </c>
      <c r="E1427" s="265">
        <v>4310675841</v>
      </c>
      <c r="F1427" s="265">
        <v>1238824698</v>
      </c>
      <c r="G1427" s="265">
        <v>60</v>
      </c>
      <c r="H1427" s="265">
        <v>13</v>
      </c>
      <c r="I1427" s="265">
        <v>73</v>
      </c>
      <c r="J1427" s="265">
        <v>131</v>
      </c>
      <c r="K1427" s="265">
        <v>204</v>
      </c>
      <c r="L1427" s="265">
        <v>-29</v>
      </c>
      <c r="M1427" s="265">
        <v>1</v>
      </c>
      <c r="N1427" s="265">
        <v>1121</v>
      </c>
      <c r="O1427" s="265">
        <v>68</v>
      </c>
      <c r="P1427" s="265">
        <v>1393</v>
      </c>
      <c r="Q1427" s="265">
        <v>37762</v>
      </c>
      <c r="R1427" s="12" t="s">
        <v>4501</v>
      </c>
      <c r="S1427" s="12" t="s">
        <v>25</v>
      </c>
      <c r="T1427" s="12" t="s">
        <v>25</v>
      </c>
    </row>
    <row r="1428" spans="1:20" hidden="1" x14ac:dyDescent="0.3">
      <c r="A1428" s="13">
        <v>43952.708333333336</v>
      </c>
      <c r="B1428" s="12" t="s">
        <v>22</v>
      </c>
      <c r="C1428" s="265">
        <v>2</v>
      </c>
      <c r="D1428" s="12" t="s">
        <v>60</v>
      </c>
      <c r="E1428" s="265">
        <v>4573750286</v>
      </c>
      <c r="F1428" s="265">
        <v>7320149366</v>
      </c>
      <c r="G1428" s="265">
        <v>72</v>
      </c>
      <c r="H1428" s="265">
        <v>3</v>
      </c>
      <c r="I1428" s="265">
        <v>75</v>
      </c>
      <c r="J1428" s="265">
        <v>17</v>
      </c>
      <c r="K1428" s="265">
        <v>92</v>
      </c>
      <c r="L1428" s="265">
        <v>3</v>
      </c>
      <c r="M1428" s="265">
        <v>5</v>
      </c>
      <c r="N1428" s="265">
        <v>904</v>
      </c>
      <c r="O1428" s="265">
        <v>137</v>
      </c>
      <c r="P1428" s="265">
        <v>1133</v>
      </c>
      <c r="Q1428" s="265">
        <v>7769</v>
      </c>
      <c r="R1428" s="12" t="s">
        <v>4502</v>
      </c>
      <c r="S1428" s="12" t="s">
        <v>25</v>
      </c>
      <c r="T1428" s="12" t="s">
        <v>25</v>
      </c>
    </row>
    <row r="1429" spans="1:20" hidden="1" x14ac:dyDescent="0.3">
      <c r="A1429" s="13">
        <v>43952.708333333336</v>
      </c>
      <c r="B1429" s="12" t="s">
        <v>22</v>
      </c>
      <c r="C1429" s="265">
        <v>5</v>
      </c>
      <c r="D1429" s="12" t="s">
        <v>61</v>
      </c>
      <c r="E1429" s="265">
        <v>4543490485</v>
      </c>
      <c r="F1429" s="265">
        <v>1233845213</v>
      </c>
      <c r="G1429" s="265">
        <v>977</v>
      </c>
      <c r="H1429" s="265">
        <v>110</v>
      </c>
      <c r="I1429" s="265">
        <v>1087</v>
      </c>
      <c r="J1429" s="265">
        <v>6692</v>
      </c>
      <c r="K1429" s="265">
        <v>7779</v>
      </c>
      <c r="L1429" s="265">
        <v>-368</v>
      </c>
      <c r="M1429" s="265">
        <v>138</v>
      </c>
      <c r="N1429" s="265">
        <v>8840</v>
      </c>
      <c r="O1429" s="265">
        <v>1479</v>
      </c>
      <c r="P1429" s="265">
        <v>18098</v>
      </c>
      <c r="Q1429" s="265">
        <v>362459</v>
      </c>
      <c r="R1429" s="12" t="s">
        <v>4503</v>
      </c>
      <c r="S1429" s="12" t="s">
        <v>25</v>
      </c>
      <c r="T1429" s="12" t="s">
        <v>25</v>
      </c>
    </row>
    <row r="1430" spans="1:20" hidden="1" x14ac:dyDescent="0.3">
      <c r="A1430" s="13">
        <v>43953.708333333336</v>
      </c>
      <c r="B1430" s="12" t="s">
        <v>22</v>
      </c>
      <c r="C1430" s="265">
        <v>13</v>
      </c>
      <c r="D1430" s="12" t="s">
        <v>42</v>
      </c>
      <c r="E1430" s="265">
        <v>4235122196</v>
      </c>
      <c r="F1430" s="265">
        <v>1339843823</v>
      </c>
      <c r="G1430" s="265">
        <v>303</v>
      </c>
      <c r="H1430" s="265">
        <v>16</v>
      </c>
      <c r="I1430" s="265">
        <v>319</v>
      </c>
      <c r="J1430" s="265">
        <v>1560</v>
      </c>
      <c r="K1430" s="265">
        <v>1879</v>
      </c>
      <c r="L1430" s="265">
        <v>-32</v>
      </c>
      <c r="M1430" s="265">
        <v>16</v>
      </c>
      <c r="N1430" s="265">
        <v>758</v>
      </c>
      <c r="O1430" s="265">
        <v>327</v>
      </c>
      <c r="P1430" s="265">
        <v>2964</v>
      </c>
      <c r="Q1430" s="265">
        <v>39916</v>
      </c>
      <c r="R1430" s="12" t="s">
        <v>4504</v>
      </c>
      <c r="S1430" s="12" t="s">
        <v>25</v>
      </c>
      <c r="T1430" s="12" t="s">
        <v>25</v>
      </c>
    </row>
    <row r="1431" spans="1:20" hidden="1" x14ac:dyDescent="0.3">
      <c r="A1431" s="13">
        <v>43953.708333333336</v>
      </c>
      <c r="B1431" s="12" t="s">
        <v>22</v>
      </c>
      <c r="C1431" s="265">
        <v>17</v>
      </c>
      <c r="D1431" s="12" t="s">
        <v>43</v>
      </c>
      <c r="E1431" s="265">
        <v>4063947052</v>
      </c>
      <c r="F1431" s="265">
        <v>1580514834</v>
      </c>
      <c r="G1431" s="265">
        <v>48</v>
      </c>
      <c r="H1431" s="265">
        <v>4</v>
      </c>
      <c r="I1431" s="265">
        <v>52</v>
      </c>
      <c r="J1431" s="265">
        <v>139</v>
      </c>
      <c r="K1431" s="265">
        <v>191</v>
      </c>
      <c r="L1431" s="265">
        <v>-2</v>
      </c>
      <c r="M1431" s="265">
        <v>2</v>
      </c>
      <c r="N1431" s="265">
        <v>164</v>
      </c>
      <c r="O1431" s="265">
        <v>25</v>
      </c>
      <c r="P1431" s="265">
        <v>380</v>
      </c>
      <c r="Q1431" s="265">
        <v>13722</v>
      </c>
      <c r="R1431" s="12" t="s">
        <v>4505</v>
      </c>
      <c r="S1431" s="12" t="s">
        <v>25</v>
      </c>
      <c r="T1431" s="12" t="s">
        <v>25</v>
      </c>
    </row>
    <row r="1432" spans="1:20" hidden="1" x14ac:dyDescent="0.3">
      <c r="A1432" s="13">
        <v>43953.708333333336</v>
      </c>
      <c r="B1432" s="12" t="s">
        <v>22</v>
      </c>
      <c r="C1432" s="265">
        <v>21</v>
      </c>
      <c r="D1432" s="12" t="s">
        <v>44</v>
      </c>
      <c r="E1432" s="265">
        <v>4649933453</v>
      </c>
      <c r="F1432" s="265">
        <v>1135662422</v>
      </c>
      <c r="G1432" s="265">
        <v>113</v>
      </c>
      <c r="H1432" s="265">
        <v>10</v>
      </c>
      <c r="I1432" s="265">
        <v>123</v>
      </c>
      <c r="J1432" s="265">
        <v>580</v>
      </c>
      <c r="K1432" s="265">
        <v>703</v>
      </c>
      <c r="L1432" s="265">
        <v>-54</v>
      </c>
      <c r="M1432" s="265">
        <v>7</v>
      </c>
      <c r="N1432" s="265">
        <v>1553</v>
      </c>
      <c r="O1432" s="265">
        <v>279</v>
      </c>
      <c r="P1432" s="265">
        <v>2535</v>
      </c>
      <c r="Q1432" s="265">
        <v>43804</v>
      </c>
      <c r="R1432" s="12" t="s">
        <v>4506</v>
      </c>
      <c r="S1432" s="12" t="s">
        <v>25</v>
      </c>
      <c r="T1432" s="12" t="s">
        <v>25</v>
      </c>
    </row>
    <row r="1433" spans="1:20" hidden="1" x14ac:dyDescent="0.3">
      <c r="A1433" s="13">
        <v>43953.708333333336</v>
      </c>
      <c r="B1433" s="12" t="s">
        <v>22</v>
      </c>
      <c r="C1433" s="265">
        <v>18</v>
      </c>
      <c r="D1433" s="12" t="s">
        <v>45</v>
      </c>
      <c r="E1433" s="265">
        <v>3890597598</v>
      </c>
      <c r="F1433" s="265">
        <v>1659440194</v>
      </c>
      <c r="G1433" s="265">
        <v>100</v>
      </c>
      <c r="H1433" s="265">
        <v>4</v>
      </c>
      <c r="I1433" s="265">
        <v>104</v>
      </c>
      <c r="J1433" s="265">
        <v>609</v>
      </c>
      <c r="K1433" s="265">
        <v>713</v>
      </c>
      <c r="L1433" s="265">
        <v>-14</v>
      </c>
      <c r="M1433" s="265">
        <v>0</v>
      </c>
      <c r="N1433" s="265">
        <v>311</v>
      </c>
      <c r="O1433" s="265">
        <v>88</v>
      </c>
      <c r="P1433" s="265">
        <v>1112</v>
      </c>
      <c r="Q1433" s="265">
        <v>37928</v>
      </c>
      <c r="R1433" s="12" t="s">
        <v>4507</v>
      </c>
      <c r="S1433" s="12" t="s">
        <v>25</v>
      </c>
      <c r="T1433" s="12" t="s">
        <v>25</v>
      </c>
    </row>
    <row r="1434" spans="1:20" hidden="1" x14ac:dyDescent="0.3">
      <c r="A1434" s="13">
        <v>43953.708333333336</v>
      </c>
      <c r="B1434" s="12" t="s">
        <v>22</v>
      </c>
      <c r="C1434" s="265">
        <v>15</v>
      </c>
      <c r="D1434" s="12" t="s">
        <v>46</v>
      </c>
      <c r="E1434" s="265">
        <v>4083956555</v>
      </c>
      <c r="F1434" s="265">
        <v>1425084984</v>
      </c>
      <c r="G1434" s="265">
        <v>470</v>
      </c>
      <c r="H1434" s="265">
        <v>27</v>
      </c>
      <c r="I1434" s="265">
        <v>497</v>
      </c>
      <c r="J1434" s="265">
        <v>2224</v>
      </c>
      <c r="K1434" s="265">
        <v>2721</v>
      </c>
      <c r="L1434" s="265">
        <v>-32</v>
      </c>
      <c r="M1434" s="265">
        <v>15</v>
      </c>
      <c r="N1434" s="265">
        <v>1376</v>
      </c>
      <c r="O1434" s="265">
        <v>362</v>
      </c>
      <c r="P1434" s="265">
        <v>4459</v>
      </c>
      <c r="Q1434" s="265">
        <v>83592</v>
      </c>
      <c r="R1434" s="12" t="s">
        <v>4508</v>
      </c>
      <c r="S1434" s="12" t="s">
        <v>25</v>
      </c>
      <c r="T1434" s="12" t="s">
        <v>25</v>
      </c>
    </row>
    <row r="1435" spans="1:20" hidden="1" x14ac:dyDescent="0.3">
      <c r="A1435" s="13">
        <v>43953.708333333336</v>
      </c>
      <c r="B1435" s="12" t="s">
        <v>22</v>
      </c>
      <c r="C1435" s="265">
        <v>8</v>
      </c>
      <c r="D1435" s="12" t="s">
        <v>95</v>
      </c>
      <c r="E1435" s="265">
        <v>4449436681</v>
      </c>
      <c r="F1435" s="265">
        <v>113417208</v>
      </c>
      <c r="G1435" s="265">
        <v>2033</v>
      </c>
      <c r="H1435" s="265">
        <v>196</v>
      </c>
      <c r="I1435" s="265">
        <v>2229</v>
      </c>
      <c r="J1435" s="265">
        <v>7094</v>
      </c>
      <c r="K1435" s="265">
        <v>9323</v>
      </c>
      <c r="L1435" s="265">
        <v>-161</v>
      </c>
      <c r="M1435" s="265">
        <v>206</v>
      </c>
      <c r="N1435" s="265">
        <v>12913</v>
      </c>
      <c r="O1435" s="265">
        <v>3614</v>
      </c>
      <c r="P1435" s="265">
        <v>25850</v>
      </c>
      <c r="Q1435" s="265">
        <v>192135</v>
      </c>
      <c r="R1435" s="12" t="s">
        <v>4509</v>
      </c>
      <c r="S1435" s="12" t="s">
        <v>25</v>
      </c>
      <c r="T1435" s="12" t="s">
        <v>25</v>
      </c>
    </row>
    <row r="1436" spans="1:20" hidden="1" x14ac:dyDescent="0.3">
      <c r="A1436" s="13">
        <v>43953.708333333336</v>
      </c>
      <c r="B1436" s="12" t="s">
        <v>22</v>
      </c>
      <c r="C1436" s="265">
        <v>6</v>
      </c>
      <c r="D1436" s="12" t="s">
        <v>47</v>
      </c>
      <c r="E1436" s="265">
        <v>456494354</v>
      </c>
      <c r="F1436" s="265">
        <v>1376813649</v>
      </c>
      <c r="G1436" s="265">
        <v>131</v>
      </c>
      <c r="H1436" s="265">
        <v>5</v>
      </c>
      <c r="I1436" s="265">
        <v>136</v>
      </c>
      <c r="J1436" s="265">
        <v>973</v>
      </c>
      <c r="K1436" s="265">
        <v>1109</v>
      </c>
      <c r="L1436" s="265">
        <v>-6</v>
      </c>
      <c r="M1436" s="265">
        <v>18</v>
      </c>
      <c r="N1436" s="265">
        <v>1655</v>
      </c>
      <c r="O1436" s="265">
        <v>295</v>
      </c>
      <c r="P1436" s="265">
        <v>3059</v>
      </c>
      <c r="Q1436" s="265">
        <v>73855</v>
      </c>
      <c r="R1436" s="12" t="s">
        <v>4510</v>
      </c>
      <c r="S1436" s="12" t="s">
        <v>25</v>
      </c>
      <c r="T1436" s="12" t="s">
        <v>25</v>
      </c>
    </row>
    <row r="1437" spans="1:20" hidden="1" x14ac:dyDescent="0.3">
      <c r="A1437" s="13">
        <v>43953.708333333336</v>
      </c>
      <c r="B1437" s="12" t="s">
        <v>22</v>
      </c>
      <c r="C1437" s="265">
        <v>12</v>
      </c>
      <c r="D1437" s="12" t="s">
        <v>48</v>
      </c>
      <c r="E1437" s="265">
        <v>4189277044</v>
      </c>
      <c r="F1437" s="265">
        <v>1248366722</v>
      </c>
      <c r="G1437" s="265">
        <v>1370</v>
      </c>
      <c r="H1437" s="265">
        <v>96</v>
      </c>
      <c r="I1437" s="265">
        <v>1466</v>
      </c>
      <c r="J1437" s="265">
        <v>2986</v>
      </c>
      <c r="K1437" s="265">
        <v>4452</v>
      </c>
      <c r="L1437" s="265">
        <v>6</v>
      </c>
      <c r="M1437" s="265">
        <v>84</v>
      </c>
      <c r="N1437" s="265">
        <v>1807</v>
      </c>
      <c r="O1437" s="265">
        <v>497</v>
      </c>
      <c r="P1437" s="265">
        <v>6756</v>
      </c>
      <c r="Q1437" s="265">
        <v>147078</v>
      </c>
      <c r="R1437" s="12" t="s">
        <v>4511</v>
      </c>
      <c r="S1437" s="12" t="s">
        <v>25</v>
      </c>
      <c r="T1437" s="12" t="s">
        <v>25</v>
      </c>
    </row>
    <row r="1438" spans="1:20" x14ac:dyDescent="0.3">
      <c r="A1438" s="13">
        <v>43953.708333333336</v>
      </c>
      <c r="B1438" s="12" t="s">
        <v>22</v>
      </c>
      <c r="C1438" s="265">
        <v>7</v>
      </c>
      <c r="D1438" s="12" t="s">
        <v>49</v>
      </c>
      <c r="E1438" s="265">
        <v>4441149315</v>
      </c>
      <c r="F1438" s="265">
        <v>89326992</v>
      </c>
      <c r="G1438" s="265">
        <v>647</v>
      </c>
      <c r="H1438" s="265">
        <v>68</v>
      </c>
      <c r="I1438" s="265">
        <v>715</v>
      </c>
      <c r="J1438" s="265">
        <v>2883</v>
      </c>
      <c r="K1438" s="265">
        <v>3598</v>
      </c>
      <c r="L1438" s="265">
        <v>80</v>
      </c>
      <c r="M1438" s="265">
        <v>186</v>
      </c>
      <c r="N1438" s="265">
        <v>3519</v>
      </c>
      <c r="O1438" s="265">
        <v>1195</v>
      </c>
      <c r="P1438" s="265">
        <v>8312</v>
      </c>
      <c r="Q1438" s="265">
        <v>53202</v>
      </c>
      <c r="R1438" s="12" t="s">
        <v>4512</v>
      </c>
      <c r="S1438" s="12" t="s">
        <v>25</v>
      </c>
      <c r="T1438" s="12" t="s">
        <v>25</v>
      </c>
    </row>
    <row r="1439" spans="1:20" hidden="1" x14ac:dyDescent="0.3">
      <c r="A1439" s="13">
        <v>43953.708333333336</v>
      </c>
      <c r="B1439" s="12" t="s">
        <v>22</v>
      </c>
      <c r="C1439" s="265">
        <v>3</v>
      </c>
      <c r="D1439" s="12" t="s">
        <v>50</v>
      </c>
      <c r="E1439" s="265">
        <v>4546679409</v>
      </c>
      <c r="F1439" s="265">
        <v>9190347404</v>
      </c>
      <c r="G1439" s="265">
        <v>6529</v>
      </c>
      <c r="H1439" s="265">
        <v>545</v>
      </c>
      <c r="I1439" s="265">
        <v>7074</v>
      </c>
      <c r="J1439" s="265">
        <v>29593</v>
      </c>
      <c r="K1439" s="265">
        <v>36667</v>
      </c>
      <c r="L1439" s="265">
        <v>194</v>
      </c>
      <c r="M1439" s="265">
        <v>533</v>
      </c>
      <c r="N1439" s="265">
        <v>26146</v>
      </c>
      <c r="O1439" s="265">
        <v>14189</v>
      </c>
      <c r="P1439" s="265">
        <v>77002</v>
      </c>
      <c r="Q1439" s="265">
        <v>403702</v>
      </c>
      <c r="R1439" s="12" t="s">
        <v>4513</v>
      </c>
      <c r="S1439" s="12" t="s">
        <v>4514</v>
      </c>
      <c r="T1439" s="12" t="s">
        <v>4515</v>
      </c>
    </row>
    <row r="1440" spans="1:20" hidden="1" x14ac:dyDescent="0.3">
      <c r="A1440" s="13">
        <v>43953.708333333336</v>
      </c>
      <c r="B1440" s="12" t="s">
        <v>22</v>
      </c>
      <c r="C1440" s="265">
        <v>11</v>
      </c>
      <c r="D1440" s="12" t="s">
        <v>51</v>
      </c>
      <c r="E1440" s="265">
        <v>4361675973</v>
      </c>
      <c r="F1440" s="265">
        <v>135188753</v>
      </c>
      <c r="G1440" s="265">
        <v>399</v>
      </c>
      <c r="H1440" s="265">
        <v>46</v>
      </c>
      <c r="I1440" s="265">
        <v>445</v>
      </c>
      <c r="J1440" s="265">
        <v>2760</v>
      </c>
      <c r="K1440" s="265">
        <v>3205</v>
      </c>
      <c r="L1440" s="265">
        <v>-6</v>
      </c>
      <c r="M1440" s="265">
        <v>23</v>
      </c>
      <c r="N1440" s="265">
        <v>2177</v>
      </c>
      <c r="O1440" s="265">
        <v>916</v>
      </c>
      <c r="P1440" s="265">
        <v>6298</v>
      </c>
      <c r="Q1440" s="265">
        <v>62834</v>
      </c>
      <c r="R1440" s="12" t="s">
        <v>4516</v>
      </c>
      <c r="S1440" s="12" t="s">
        <v>25</v>
      </c>
      <c r="T1440" s="12" t="s">
        <v>25</v>
      </c>
    </row>
    <row r="1441" spans="1:20" hidden="1" x14ac:dyDescent="0.3">
      <c r="A1441" s="13">
        <v>43953.708333333336</v>
      </c>
      <c r="B1441" s="12" t="s">
        <v>22</v>
      </c>
      <c r="C1441" s="265">
        <v>14</v>
      </c>
      <c r="D1441" s="12" t="s">
        <v>52</v>
      </c>
      <c r="E1441" s="265">
        <v>4155774754</v>
      </c>
      <c r="F1441" s="265">
        <v>1465916051</v>
      </c>
      <c r="G1441" s="265">
        <v>9</v>
      </c>
      <c r="H1441" s="265">
        <v>1</v>
      </c>
      <c r="I1441" s="265">
        <v>10</v>
      </c>
      <c r="J1441" s="265">
        <v>172</v>
      </c>
      <c r="K1441" s="265">
        <v>182</v>
      </c>
      <c r="L1441" s="265">
        <v>-8</v>
      </c>
      <c r="M1441" s="265">
        <v>1</v>
      </c>
      <c r="N1441" s="265">
        <v>98</v>
      </c>
      <c r="O1441" s="265">
        <v>21</v>
      </c>
      <c r="P1441" s="265">
        <v>301</v>
      </c>
      <c r="Q1441" s="265">
        <v>7075</v>
      </c>
      <c r="R1441" s="12" t="s">
        <v>4517</v>
      </c>
      <c r="S1441" s="12" t="s">
        <v>25</v>
      </c>
      <c r="T1441" s="12" t="s">
        <v>25</v>
      </c>
    </row>
    <row r="1442" spans="1:20" hidden="1" x14ac:dyDescent="0.3">
      <c r="A1442" s="13">
        <v>43953.708333333336</v>
      </c>
      <c r="B1442" s="12" t="s">
        <v>22</v>
      </c>
      <c r="C1442" s="265">
        <v>1</v>
      </c>
      <c r="D1442" s="12" t="s">
        <v>53</v>
      </c>
      <c r="E1442" s="265">
        <v>450732745</v>
      </c>
      <c r="F1442" s="265">
        <v>7680687483</v>
      </c>
      <c r="G1442" s="265">
        <v>2550</v>
      </c>
      <c r="H1442" s="265">
        <v>178</v>
      </c>
      <c r="I1442" s="265">
        <v>2728</v>
      </c>
      <c r="J1442" s="265">
        <v>12991</v>
      </c>
      <c r="K1442" s="265">
        <v>15719</v>
      </c>
      <c r="L1442" s="265">
        <v>157</v>
      </c>
      <c r="M1442" s="265">
        <v>495</v>
      </c>
      <c r="N1442" s="265">
        <v>8334</v>
      </c>
      <c r="O1442" s="265">
        <v>3126</v>
      </c>
      <c r="P1442" s="265">
        <v>27179</v>
      </c>
      <c r="Q1442" s="265">
        <v>168479</v>
      </c>
      <c r="R1442" s="12" t="s">
        <v>4518</v>
      </c>
      <c r="S1442" s="12" t="s">
        <v>25</v>
      </c>
      <c r="T1442" s="12" t="s">
        <v>25</v>
      </c>
    </row>
    <row r="1443" spans="1:20" hidden="1" x14ac:dyDescent="0.3">
      <c r="A1443" s="13">
        <v>43953.708333333336</v>
      </c>
      <c r="B1443" s="12" t="s">
        <v>22</v>
      </c>
      <c r="C1443" s="265">
        <v>16</v>
      </c>
      <c r="D1443" s="12" t="s">
        <v>54</v>
      </c>
      <c r="E1443" s="265">
        <v>4112559576</v>
      </c>
      <c r="F1443" s="265">
        <v>1686736689</v>
      </c>
      <c r="G1443" s="265">
        <v>416</v>
      </c>
      <c r="H1443" s="265">
        <v>39</v>
      </c>
      <c r="I1443" s="265">
        <v>455</v>
      </c>
      <c r="J1443" s="265">
        <v>2499</v>
      </c>
      <c r="K1443" s="265">
        <v>2954</v>
      </c>
      <c r="L1443" s="265">
        <v>7</v>
      </c>
      <c r="M1443" s="265">
        <v>34</v>
      </c>
      <c r="N1443" s="265">
        <v>757</v>
      </c>
      <c r="O1443" s="265">
        <v>422</v>
      </c>
      <c r="P1443" s="265">
        <v>4133</v>
      </c>
      <c r="Q1443" s="265">
        <v>65370</v>
      </c>
      <c r="R1443" s="12" t="s">
        <v>4519</v>
      </c>
      <c r="S1443" s="12" t="s">
        <v>25</v>
      </c>
      <c r="T1443" s="12" t="s">
        <v>25</v>
      </c>
    </row>
    <row r="1444" spans="1:20" hidden="1" x14ac:dyDescent="0.3">
      <c r="A1444" s="13">
        <v>43953.708333333336</v>
      </c>
      <c r="B1444" s="12" t="s">
        <v>22</v>
      </c>
      <c r="C1444" s="265">
        <v>20</v>
      </c>
      <c r="D1444" s="12" t="s">
        <v>55</v>
      </c>
      <c r="E1444" s="265">
        <v>3921531192</v>
      </c>
      <c r="F1444" s="265">
        <v>9110616306</v>
      </c>
      <c r="G1444" s="265">
        <v>86</v>
      </c>
      <c r="H1444" s="265">
        <v>13</v>
      </c>
      <c r="I1444" s="265">
        <v>99</v>
      </c>
      <c r="J1444" s="265">
        <v>631</v>
      </c>
      <c r="K1444" s="265">
        <v>730</v>
      </c>
      <c r="L1444" s="265">
        <v>-14</v>
      </c>
      <c r="M1444" s="265">
        <v>2</v>
      </c>
      <c r="N1444" s="265">
        <v>466</v>
      </c>
      <c r="O1444" s="265">
        <v>119</v>
      </c>
      <c r="P1444" s="265">
        <v>1315</v>
      </c>
      <c r="Q1444" s="265">
        <v>26990</v>
      </c>
      <c r="R1444" s="12" t="s">
        <v>4520</v>
      </c>
      <c r="S1444" s="12" t="s">
        <v>25</v>
      </c>
      <c r="T1444" s="12" t="s">
        <v>25</v>
      </c>
    </row>
    <row r="1445" spans="1:20" hidden="1" x14ac:dyDescent="0.3">
      <c r="A1445" s="13">
        <v>43953.708333333336</v>
      </c>
      <c r="B1445" s="12" t="s">
        <v>22</v>
      </c>
      <c r="C1445" s="265">
        <v>19</v>
      </c>
      <c r="D1445" s="12" t="s">
        <v>56</v>
      </c>
      <c r="E1445" s="265">
        <v>3811569725</v>
      </c>
      <c r="F1445" s="265">
        <v>133623567</v>
      </c>
      <c r="G1445" s="265">
        <v>396</v>
      </c>
      <c r="H1445" s="265">
        <v>30</v>
      </c>
      <c r="I1445" s="265">
        <v>426</v>
      </c>
      <c r="J1445" s="265">
        <v>1760</v>
      </c>
      <c r="K1445" s="265">
        <v>2186</v>
      </c>
      <c r="L1445" s="265">
        <v>15</v>
      </c>
      <c r="M1445" s="265">
        <v>19</v>
      </c>
      <c r="N1445" s="265">
        <v>787</v>
      </c>
      <c r="O1445" s="265">
        <v>240</v>
      </c>
      <c r="P1445" s="265">
        <v>3213</v>
      </c>
      <c r="Q1445" s="265">
        <v>84352</v>
      </c>
      <c r="R1445" s="12" t="s">
        <v>4521</v>
      </c>
      <c r="S1445" s="12" t="s">
        <v>25</v>
      </c>
      <c r="T1445" s="12" t="s">
        <v>25</v>
      </c>
    </row>
    <row r="1446" spans="1:20" hidden="1" x14ac:dyDescent="0.3">
      <c r="A1446" s="13">
        <v>43953.708333333336</v>
      </c>
      <c r="B1446" s="12" t="s">
        <v>22</v>
      </c>
      <c r="C1446" s="265">
        <v>9</v>
      </c>
      <c r="D1446" s="12" t="s">
        <v>57</v>
      </c>
      <c r="E1446" s="265">
        <v>4376923077</v>
      </c>
      <c r="F1446" s="265">
        <v>1125588885</v>
      </c>
      <c r="G1446" s="265">
        <v>519</v>
      </c>
      <c r="H1446" s="265">
        <v>118</v>
      </c>
      <c r="I1446" s="265">
        <v>637</v>
      </c>
      <c r="J1446" s="265">
        <v>4728</v>
      </c>
      <c r="K1446" s="265">
        <v>5365</v>
      </c>
      <c r="L1446" s="265">
        <v>-8</v>
      </c>
      <c r="M1446" s="265">
        <v>80</v>
      </c>
      <c r="N1446" s="265">
        <v>3297</v>
      </c>
      <c r="O1446" s="265">
        <v>863</v>
      </c>
      <c r="P1446" s="265">
        <v>9525</v>
      </c>
      <c r="Q1446" s="265">
        <v>148223</v>
      </c>
      <c r="R1446" s="12" t="s">
        <v>4522</v>
      </c>
      <c r="S1446" s="12" t="s">
        <v>25</v>
      </c>
      <c r="T1446" s="12" t="s">
        <v>25</v>
      </c>
    </row>
    <row r="1447" spans="1:20" hidden="1" x14ac:dyDescent="0.3">
      <c r="A1447" s="13">
        <v>43953.708333333336</v>
      </c>
      <c r="B1447" s="12" t="s">
        <v>22</v>
      </c>
      <c r="C1447" s="265">
        <v>22</v>
      </c>
      <c r="D1447" s="12" t="s">
        <v>58</v>
      </c>
      <c r="E1447" s="265">
        <v>4606893511</v>
      </c>
      <c r="F1447" s="265">
        <v>1112123097</v>
      </c>
      <c r="G1447" s="265">
        <v>138</v>
      </c>
      <c r="H1447" s="265">
        <v>19</v>
      </c>
      <c r="I1447" s="265">
        <v>157</v>
      </c>
      <c r="J1447" s="265">
        <v>1125</v>
      </c>
      <c r="K1447" s="265">
        <v>1282</v>
      </c>
      <c r="L1447" s="265">
        <v>-11</v>
      </c>
      <c r="M1447" s="265">
        <v>49</v>
      </c>
      <c r="N1447" s="265">
        <v>2474</v>
      </c>
      <c r="O1447" s="265">
        <v>425</v>
      </c>
      <c r="P1447" s="265">
        <v>4181</v>
      </c>
      <c r="Q1447" s="265">
        <v>39579</v>
      </c>
      <c r="R1447" s="12" t="s">
        <v>4523</v>
      </c>
      <c r="S1447" s="12" t="s">
        <v>25</v>
      </c>
      <c r="T1447" s="12" t="s">
        <v>25</v>
      </c>
    </row>
    <row r="1448" spans="1:20" hidden="1" x14ac:dyDescent="0.3">
      <c r="A1448" s="13">
        <v>43953.708333333336</v>
      </c>
      <c r="B1448" s="12" t="s">
        <v>22</v>
      </c>
      <c r="C1448" s="265">
        <v>10</v>
      </c>
      <c r="D1448" s="12" t="s">
        <v>59</v>
      </c>
      <c r="E1448" s="265">
        <v>4310675841</v>
      </c>
      <c r="F1448" s="265">
        <v>1238824698</v>
      </c>
      <c r="G1448" s="265">
        <v>60</v>
      </c>
      <c r="H1448" s="265">
        <v>13</v>
      </c>
      <c r="I1448" s="265">
        <v>73</v>
      </c>
      <c r="J1448" s="265">
        <v>123</v>
      </c>
      <c r="K1448" s="265">
        <v>196</v>
      </c>
      <c r="L1448" s="265">
        <v>-8</v>
      </c>
      <c r="M1448" s="265">
        <v>1</v>
      </c>
      <c r="N1448" s="265">
        <v>1130</v>
      </c>
      <c r="O1448" s="265">
        <v>68</v>
      </c>
      <c r="P1448" s="265">
        <v>1394</v>
      </c>
      <c r="Q1448" s="265">
        <v>38072</v>
      </c>
      <c r="R1448" s="12" t="s">
        <v>4524</v>
      </c>
      <c r="S1448" s="12" t="s">
        <v>25</v>
      </c>
      <c r="T1448" s="12" t="s">
        <v>25</v>
      </c>
    </row>
    <row r="1449" spans="1:20" hidden="1" x14ac:dyDescent="0.3">
      <c r="A1449" s="13">
        <v>43953.708333333336</v>
      </c>
      <c r="B1449" s="12" t="s">
        <v>22</v>
      </c>
      <c r="C1449" s="265">
        <v>2</v>
      </c>
      <c r="D1449" s="12" t="s">
        <v>60</v>
      </c>
      <c r="E1449" s="265">
        <v>4573750286</v>
      </c>
      <c r="F1449" s="265">
        <v>7320149366</v>
      </c>
      <c r="G1449" s="265">
        <v>70</v>
      </c>
      <c r="H1449" s="265">
        <v>3</v>
      </c>
      <c r="I1449" s="265">
        <v>73</v>
      </c>
      <c r="J1449" s="265">
        <v>25</v>
      </c>
      <c r="K1449" s="265">
        <v>98</v>
      </c>
      <c r="L1449" s="265">
        <v>6</v>
      </c>
      <c r="M1449" s="265">
        <v>3</v>
      </c>
      <c r="N1449" s="265">
        <v>901</v>
      </c>
      <c r="O1449" s="265">
        <v>137</v>
      </c>
      <c r="P1449" s="265">
        <v>1136</v>
      </c>
      <c r="Q1449" s="265">
        <v>7951</v>
      </c>
      <c r="R1449" s="12" t="s">
        <v>4525</v>
      </c>
      <c r="S1449" s="12" t="s">
        <v>25</v>
      </c>
      <c r="T1449" s="12" t="s">
        <v>25</v>
      </c>
    </row>
    <row r="1450" spans="1:20" hidden="1" x14ac:dyDescent="0.3">
      <c r="A1450" s="13">
        <v>43953.708333333336</v>
      </c>
      <c r="B1450" s="12" t="s">
        <v>22</v>
      </c>
      <c r="C1450" s="265">
        <v>5</v>
      </c>
      <c r="D1450" s="12" t="s">
        <v>61</v>
      </c>
      <c r="E1450" s="265">
        <v>4543490485</v>
      </c>
      <c r="F1450" s="265">
        <v>1233845213</v>
      </c>
      <c r="G1450" s="265">
        <v>970</v>
      </c>
      <c r="H1450" s="265">
        <v>108</v>
      </c>
      <c r="I1450" s="265">
        <v>1078</v>
      </c>
      <c r="J1450" s="265">
        <v>6353</v>
      </c>
      <c r="K1450" s="265">
        <v>7431</v>
      </c>
      <c r="L1450" s="265">
        <v>-348</v>
      </c>
      <c r="M1450" s="265">
        <v>126</v>
      </c>
      <c r="N1450" s="265">
        <v>9291</v>
      </c>
      <c r="O1450" s="265">
        <v>1502</v>
      </c>
      <c r="P1450" s="265">
        <v>18224</v>
      </c>
      <c r="Q1450" s="265">
        <v>370978</v>
      </c>
      <c r="R1450" s="12" t="s">
        <v>4526</v>
      </c>
      <c r="S1450" s="12" t="s">
        <v>25</v>
      </c>
      <c r="T1450" s="12" t="s">
        <v>25</v>
      </c>
    </row>
    <row r="1451" spans="1:20" hidden="1" x14ac:dyDescent="0.3">
      <c r="A1451" s="13">
        <v>43954.708333333336</v>
      </c>
      <c r="B1451" s="12" t="s">
        <v>22</v>
      </c>
      <c r="C1451" s="265">
        <v>13</v>
      </c>
      <c r="D1451" s="12" t="s">
        <v>42</v>
      </c>
      <c r="E1451" s="265">
        <v>4235122196</v>
      </c>
      <c r="F1451" s="265">
        <v>1339843823</v>
      </c>
      <c r="G1451" s="265">
        <v>300</v>
      </c>
      <c r="H1451" s="265">
        <v>16</v>
      </c>
      <c r="I1451" s="265">
        <v>316</v>
      </c>
      <c r="J1451" s="265">
        <v>1552</v>
      </c>
      <c r="K1451" s="265">
        <v>1868</v>
      </c>
      <c r="L1451" s="265">
        <v>-11</v>
      </c>
      <c r="M1451" s="265">
        <v>32</v>
      </c>
      <c r="N1451" s="265">
        <v>798</v>
      </c>
      <c r="O1451" s="265">
        <v>330</v>
      </c>
      <c r="P1451" s="265">
        <v>2996</v>
      </c>
      <c r="Q1451" s="265">
        <v>40699</v>
      </c>
      <c r="R1451" s="12" t="s">
        <v>4527</v>
      </c>
      <c r="S1451" s="12" t="s">
        <v>25</v>
      </c>
      <c r="T1451" s="12" t="s">
        <v>25</v>
      </c>
    </row>
    <row r="1452" spans="1:20" hidden="1" x14ac:dyDescent="0.3">
      <c r="A1452" s="13">
        <v>43954.708333333336</v>
      </c>
      <c r="B1452" s="12" t="s">
        <v>22</v>
      </c>
      <c r="C1452" s="265">
        <v>17</v>
      </c>
      <c r="D1452" s="12" t="s">
        <v>43</v>
      </c>
      <c r="E1452" s="265">
        <v>4063947052</v>
      </c>
      <c r="F1452" s="265">
        <v>1580514834</v>
      </c>
      <c r="G1452" s="265">
        <v>48</v>
      </c>
      <c r="H1452" s="265">
        <v>3</v>
      </c>
      <c r="I1452" s="265">
        <v>51</v>
      </c>
      <c r="J1452" s="265">
        <v>143</v>
      </c>
      <c r="K1452" s="265">
        <v>194</v>
      </c>
      <c r="L1452" s="265">
        <v>3</v>
      </c>
      <c r="M1452" s="265">
        <v>6</v>
      </c>
      <c r="N1452" s="265">
        <v>167</v>
      </c>
      <c r="O1452" s="265">
        <v>25</v>
      </c>
      <c r="P1452" s="265">
        <v>386</v>
      </c>
      <c r="Q1452" s="265">
        <v>14210</v>
      </c>
      <c r="R1452" s="12" t="s">
        <v>4528</v>
      </c>
      <c r="S1452" s="12" t="s">
        <v>25</v>
      </c>
      <c r="T1452" s="12" t="s">
        <v>25</v>
      </c>
    </row>
    <row r="1453" spans="1:20" hidden="1" x14ac:dyDescent="0.3">
      <c r="A1453" s="13">
        <v>43954.708333333336</v>
      </c>
      <c r="B1453" s="12" t="s">
        <v>22</v>
      </c>
      <c r="C1453" s="265">
        <v>21</v>
      </c>
      <c r="D1453" s="12" t="s">
        <v>44</v>
      </c>
      <c r="E1453" s="265">
        <v>4649933453</v>
      </c>
      <c r="F1453" s="265">
        <v>1135662422</v>
      </c>
      <c r="G1453" s="265">
        <v>109</v>
      </c>
      <c r="H1453" s="265">
        <v>11</v>
      </c>
      <c r="I1453" s="265">
        <v>120</v>
      </c>
      <c r="J1453" s="265">
        <v>545</v>
      </c>
      <c r="K1453" s="265">
        <v>665</v>
      </c>
      <c r="L1453" s="265">
        <v>-38</v>
      </c>
      <c r="M1453" s="265">
        <v>1</v>
      </c>
      <c r="N1453" s="265">
        <v>1590</v>
      </c>
      <c r="O1453" s="265">
        <v>281</v>
      </c>
      <c r="P1453" s="265">
        <v>2536</v>
      </c>
      <c r="Q1453" s="265">
        <v>44240</v>
      </c>
      <c r="R1453" s="12" t="s">
        <v>4529</v>
      </c>
      <c r="S1453" s="12" t="s">
        <v>25</v>
      </c>
      <c r="T1453" s="12" t="s">
        <v>25</v>
      </c>
    </row>
    <row r="1454" spans="1:20" hidden="1" x14ac:dyDescent="0.3">
      <c r="A1454" s="13">
        <v>43954.708333333336</v>
      </c>
      <c r="B1454" s="12" t="s">
        <v>22</v>
      </c>
      <c r="C1454" s="265">
        <v>18</v>
      </c>
      <c r="D1454" s="12" t="s">
        <v>45</v>
      </c>
      <c r="E1454" s="265">
        <v>3890597598</v>
      </c>
      <c r="F1454" s="265">
        <v>1659440194</v>
      </c>
      <c r="G1454" s="265">
        <v>95</v>
      </c>
      <c r="H1454" s="265">
        <v>4</v>
      </c>
      <c r="I1454" s="265">
        <v>99</v>
      </c>
      <c r="J1454" s="265">
        <v>603</v>
      </c>
      <c r="K1454" s="265">
        <v>702</v>
      </c>
      <c r="L1454" s="265">
        <v>-11</v>
      </c>
      <c r="M1454" s="265">
        <v>2</v>
      </c>
      <c r="N1454" s="265">
        <v>324</v>
      </c>
      <c r="O1454" s="265">
        <v>88</v>
      </c>
      <c r="P1454" s="265">
        <v>1114</v>
      </c>
      <c r="Q1454" s="265">
        <v>38835</v>
      </c>
      <c r="R1454" s="12" t="s">
        <v>4530</v>
      </c>
      <c r="S1454" s="12" t="s">
        <v>25</v>
      </c>
      <c r="T1454" s="12" t="s">
        <v>25</v>
      </c>
    </row>
    <row r="1455" spans="1:20" hidden="1" x14ac:dyDescent="0.3">
      <c r="A1455" s="13">
        <v>43954.708333333336</v>
      </c>
      <c r="B1455" s="12" t="s">
        <v>22</v>
      </c>
      <c r="C1455" s="265">
        <v>15</v>
      </c>
      <c r="D1455" s="12" t="s">
        <v>46</v>
      </c>
      <c r="E1455" s="265">
        <v>4083956555</v>
      </c>
      <c r="F1455" s="265">
        <v>1425084984</v>
      </c>
      <c r="G1455" s="265">
        <v>455</v>
      </c>
      <c r="H1455" s="265">
        <v>30</v>
      </c>
      <c r="I1455" s="265">
        <v>485</v>
      </c>
      <c r="J1455" s="265">
        <v>2241</v>
      </c>
      <c r="K1455" s="265">
        <v>2726</v>
      </c>
      <c r="L1455" s="265">
        <v>5</v>
      </c>
      <c r="M1455" s="265">
        <v>25</v>
      </c>
      <c r="N1455" s="265">
        <v>1394</v>
      </c>
      <c r="O1455" s="265">
        <v>364</v>
      </c>
      <c r="P1455" s="265">
        <v>4484</v>
      </c>
      <c r="Q1455" s="265">
        <v>86498</v>
      </c>
      <c r="R1455" s="12" t="s">
        <v>4531</v>
      </c>
      <c r="S1455" s="12" t="s">
        <v>25</v>
      </c>
      <c r="T1455" s="12" t="s">
        <v>25</v>
      </c>
    </row>
    <row r="1456" spans="1:20" hidden="1" x14ac:dyDescent="0.3">
      <c r="A1456" s="13">
        <v>43954.708333333336</v>
      </c>
      <c r="B1456" s="12" t="s">
        <v>22</v>
      </c>
      <c r="C1456" s="265">
        <v>8</v>
      </c>
      <c r="D1456" s="12" t="s">
        <v>95</v>
      </c>
      <c r="E1456" s="265">
        <v>4449436681</v>
      </c>
      <c r="F1456" s="265">
        <v>113417208</v>
      </c>
      <c r="G1456" s="265">
        <v>1997</v>
      </c>
      <c r="H1456" s="265">
        <v>197</v>
      </c>
      <c r="I1456" s="265">
        <v>2194</v>
      </c>
      <c r="J1456" s="265">
        <v>6851</v>
      </c>
      <c r="K1456" s="265">
        <v>9045</v>
      </c>
      <c r="L1456" s="265">
        <v>-278</v>
      </c>
      <c r="M1456" s="265">
        <v>166</v>
      </c>
      <c r="N1456" s="265">
        <v>13329</v>
      </c>
      <c r="O1456" s="265">
        <v>3642</v>
      </c>
      <c r="P1456" s="265">
        <v>26016</v>
      </c>
      <c r="Q1456" s="265">
        <v>197075</v>
      </c>
      <c r="R1456" s="12" t="s">
        <v>4532</v>
      </c>
      <c r="S1456" s="12" t="s">
        <v>25</v>
      </c>
      <c r="T1456" s="12" t="s">
        <v>25</v>
      </c>
    </row>
    <row r="1457" spans="1:20" hidden="1" x14ac:dyDescent="0.3">
      <c r="A1457" s="13">
        <v>43954.708333333336</v>
      </c>
      <c r="B1457" s="12" t="s">
        <v>22</v>
      </c>
      <c r="C1457" s="265">
        <v>6</v>
      </c>
      <c r="D1457" s="12" t="s">
        <v>47</v>
      </c>
      <c r="E1457" s="265">
        <v>456494354</v>
      </c>
      <c r="F1457" s="265">
        <v>1376813649</v>
      </c>
      <c r="G1457" s="265">
        <v>131</v>
      </c>
      <c r="H1457" s="265">
        <v>6</v>
      </c>
      <c r="I1457" s="265">
        <v>137</v>
      </c>
      <c r="J1457" s="265">
        <v>950</v>
      </c>
      <c r="K1457" s="265">
        <v>1087</v>
      </c>
      <c r="L1457" s="265">
        <v>-22</v>
      </c>
      <c r="M1457" s="265">
        <v>13</v>
      </c>
      <c r="N1457" s="265">
        <v>1688</v>
      </c>
      <c r="O1457" s="265">
        <v>297</v>
      </c>
      <c r="P1457" s="265">
        <v>3072</v>
      </c>
      <c r="Q1457" s="265">
        <v>74990</v>
      </c>
      <c r="R1457" s="12" t="s">
        <v>4533</v>
      </c>
      <c r="S1457" s="12" t="s">
        <v>25</v>
      </c>
      <c r="T1457" s="12" t="s">
        <v>25</v>
      </c>
    </row>
    <row r="1458" spans="1:20" hidden="1" x14ac:dyDescent="0.3">
      <c r="A1458" s="13">
        <v>43954.708333333336</v>
      </c>
      <c r="B1458" s="12" t="s">
        <v>22</v>
      </c>
      <c r="C1458" s="265">
        <v>12</v>
      </c>
      <c r="D1458" s="12" t="s">
        <v>48</v>
      </c>
      <c r="E1458" s="265">
        <v>4189277044</v>
      </c>
      <c r="F1458" s="265">
        <v>1248366722</v>
      </c>
      <c r="G1458" s="265">
        <v>1346</v>
      </c>
      <c r="H1458" s="265">
        <v>95</v>
      </c>
      <c r="I1458" s="265">
        <v>1441</v>
      </c>
      <c r="J1458" s="265">
        <v>2944</v>
      </c>
      <c r="K1458" s="265">
        <v>4385</v>
      </c>
      <c r="L1458" s="265">
        <v>-67</v>
      </c>
      <c r="M1458" s="265">
        <v>53</v>
      </c>
      <c r="N1458" s="265">
        <v>1916</v>
      </c>
      <c r="O1458" s="265">
        <v>508</v>
      </c>
      <c r="P1458" s="265">
        <v>6809</v>
      </c>
      <c r="Q1458" s="265">
        <v>150912</v>
      </c>
      <c r="R1458" s="12" t="s">
        <v>4534</v>
      </c>
      <c r="S1458" s="12" t="s">
        <v>25</v>
      </c>
      <c r="T1458" s="12" t="s">
        <v>25</v>
      </c>
    </row>
    <row r="1459" spans="1:20" x14ac:dyDescent="0.3">
      <c r="A1459" s="13">
        <v>43954.708333333336</v>
      </c>
      <c r="B1459" s="12" t="s">
        <v>22</v>
      </c>
      <c r="C1459" s="265">
        <v>7</v>
      </c>
      <c r="D1459" s="12" t="s">
        <v>49</v>
      </c>
      <c r="E1459" s="265">
        <v>4441149315</v>
      </c>
      <c r="F1459" s="265">
        <v>89326992</v>
      </c>
      <c r="G1459" s="265">
        <v>627</v>
      </c>
      <c r="H1459" s="265">
        <v>68</v>
      </c>
      <c r="I1459" s="265">
        <v>695</v>
      </c>
      <c r="J1459" s="265">
        <v>2856</v>
      </c>
      <c r="K1459" s="265">
        <v>3551</v>
      </c>
      <c r="L1459" s="265">
        <v>-47</v>
      </c>
      <c r="M1459" s="265">
        <v>47</v>
      </c>
      <c r="N1459" s="265">
        <v>3599</v>
      </c>
      <c r="O1459" s="265">
        <v>1209</v>
      </c>
      <c r="P1459" s="265">
        <v>8359</v>
      </c>
      <c r="Q1459" s="265">
        <v>54492</v>
      </c>
      <c r="R1459" s="12" t="s">
        <v>4535</v>
      </c>
      <c r="S1459" s="12" t="s">
        <v>25</v>
      </c>
      <c r="T1459" s="12" t="s">
        <v>25</v>
      </c>
    </row>
    <row r="1460" spans="1:20" hidden="1" x14ac:dyDescent="0.3">
      <c r="A1460" s="13">
        <v>43954.708333333336</v>
      </c>
      <c r="B1460" s="12" t="s">
        <v>22</v>
      </c>
      <c r="C1460" s="265">
        <v>3</v>
      </c>
      <c r="D1460" s="12" t="s">
        <v>50</v>
      </c>
      <c r="E1460" s="265">
        <v>4546679409</v>
      </c>
      <c r="F1460" s="265">
        <v>9190347404</v>
      </c>
      <c r="G1460" s="265">
        <v>6609</v>
      </c>
      <c r="H1460" s="265">
        <v>532</v>
      </c>
      <c r="I1460" s="265">
        <v>7141</v>
      </c>
      <c r="J1460" s="265">
        <v>29785</v>
      </c>
      <c r="K1460" s="265">
        <v>36926</v>
      </c>
      <c r="L1460" s="265">
        <v>259</v>
      </c>
      <c r="M1460" s="265">
        <v>526</v>
      </c>
      <c r="N1460" s="265">
        <v>26371</v>
      </c>
      <c r="O1460" s="265">
        <v>14231</v>
      </c>
      <c r="P1460" s="265">
        <v>77528</v>
      </c>
      <c r="Q1460" s="265">
        <v>410857</v>
      </c>
      <c r="R1460" s="12" t="s">
        <v>4536</v>
      </c>
      <c r="S1460" s="12" t="s">
        <v>25</v>
      </c>
      <c r="T1460" s="12" t="s">
        <v>25</v>
      </c>
    </row>
    <row r="1461" spans="1:20" hidden="1" x14ac:dyDescent="0.3">
      <c r="A1461" s="13">
        <v>43954.708333333336</v>
      </c>
      <c r="B1461" s="12" t="s">
        <v>22</v>
      </c>
      <c r="C1461" s="265">
        <v>11</v>
      </c>
      <c r="D1461" s="12" t="s">
        <v>51</v>
      </c>
      <c r="E1461" s="265">
        <v>4361675973</v>
      </c>
      <c r="F1461" s="265">
        <v>135188753</v>
      </c>
      <c r="G1461" s="265">
        <v>400</v>
      </c>
      <c r="H1461" s="265">
        <v>43</v>
      </c>
      <c r="I1461" s="265">
        <v>443</v>
      </c>
      <c r="J1461" s="265">
        <v>2755</v>
      </c>
      <c r="K1461" s="265">
        <v>3198</v>
      </c>
      <c r="L1461" s="265">
        <v>-7</v>
      </c>
      <c r="M1461" s="265">
        <v>21</v>
      </c>
      <c r="N1461" s="265">
        <v>2194</v>
      </c>
      <c r="O1461" s="265">
        <v>927</v>
      </c>
      <c r="P1461" s="265">
        <v>6319</v>
      </c>
      <c r="Q1461" s="265">
        <v>64412</v>
      </c>
      <c r="R1461" s="12" t="s">
        <v>4537</v>
      </c>
      <c r="S1461" s="12" t="s">
        <v>25</v>
      </c>
      <c r="T1461" s="12" t="s">
        <v>25</v>
      </c>
    </row>
    <row r="1462" spans="1:20" hidden="1" x14ac:dyDescent="0.3">
      <c r="A1462" s="13">
        <v>43954.708333333336</v>
      </c>
      <c r="B1462" s="12" t="s">
        <v>22</v>
      </c>
      <c r="C1462" s="265">
        <v>14</v>
      </c>
      <c r="D1462" s="12" t="s">
        <v>52</v>
      </c>
      <c r="E1462" s="265">
        <v>4155774754</v>
      </c>
      <c r="F1462" s="265">
        <v>1465916051</v>
      </c>
      <c r="G1462" s="265">
        <v>8</v>
      </c>
      <c r="H1462" s="265">
        <v>1</v>
      </c>
      <c r="I1462" s="265">
        <v>9</v>
      </c>
      <c r="J1462" s="265">
        <v>172</v>
      </c>
      <c r="K1462" s="265">
        <v>181</v>
      </c>
      <c r="L1462" s="265">
        <v>-1</v>
      </c>
      <c r="M1462" s="265">
        <v>0</v>
      </c>
      <c r="N1462" s="265">
        <v>98</v>
      </c>
      <c r="O1462" s="265">
        <v>22</v>
      </c>
      <c r="P1462" s="265">
        <v>301</v>
      </c>
      <c r="Q1462" s="265">
        <v>7075</v>
      </c>
      <c r="R1462" s="12" t="s">
        <v>4517</v>
      </c>
      <c r="S1462" s="12" t="s">
        <v>25</v>
      </c>
      <c r="T1462" s="12" t="s">
        <v>25</v>
      </c>
    </row>
    <row r="1463" spans="1:20" hidden="1" x14ac:dyDescent="0.3">
      <c r="A1463" s="13">
        <v>43954.708333333336</v>
      </c>
      <c r="B1463" s="12" t="s">
        <v>22</v>
      </c>
      <c r="C1463" s="265">
        <v>1</v>
      </c>
      <c r="D1463" s="12" t="s">
        <v>53</v>
      </c>
      <c r="E1463" s="265">
        <v>450732745</v>
      </c>
      <c r="F1463" s="265">
        <v>7680687483</v>
      </c>
      <c r="G1463" s="265">
        <v>2496</v>
      </c>
      <c r="H1463" s="265">
        <v>169</v>
      </c>
      <c r="I1463" s="265">
        <v>2665</v>
      </c>
      <c r="J1463" s="265">
        <v>12973</v>
      </c>
      <c r="K1463" s="265">
        <v>15638</v>
      </c>
      <c r="L1463" s="265">
        <v>-81</v>
      </c>
      <c r="M1463" s="265">
        <v>251</v>
      </c>
      <c r="N1463" s="265">
        <v>8640</v>
      </c>
      <c r="O1463" s="265">
        <v>3152</v>
      </c>
      <c r="P1463" s="265">
        <v>27430</v>
      </c>
      <c r="Q1463" s="265">
        <v>172208</v>
      </c>
      <c r="R1463" s="12" t="s">
        <v>4538</v>
      </c>
      <c r="S1463" s="12" t="s">
        <v>25</v>
      </c>
      <c r="T1463" s="12" t="s">
        <v>25</v>
      </c>
    </row>
    <row r="1464" spans="1:20" hidden="1" x14ac:dyDescent="0.3">
      <c r="A1464" s="13">
        <v>43954.708333333336</v>
      </c>
      <c r="B1464" s="12" t="s">
        <v>22</v>
      </c>
      <c r="C1464" s="265">
        <v>16</v>
      </c>
      <c r="D1464" s="12" t="s">
        <v>54</v>
      </c>
      <c r="E1464" s="265">
        <v>4112559576</v>
      </c>
      <c r="F1464" s="265">
        <v>1686736689</v>
      </c>
      <c r="G1464" s="265">
        <v>410</v>
      </c>
      <c r="H1464" s="265">
        <v>40</v>
      </c>
      <c r="I1464" s="265">
        <v>450</v>
      </c>
      <c r="J1464" s="265">
        <v>2505</v>
      </c>
      <c r="K1464" s="265">
        <v>2955</v>
      </c>
      <c r="L1464" s="265">
        <v>1</v>
      </c>
      <c r="M1464" s="265">
        <v>11</v>
      </c>
      <c r="N1464" s="265">
        <v>765</v>
      </c>
      <c r="O1464" s="265">
        <v>424</v>
      </c>
      <c r="P1464" s="265">
        <v>4144</v>
      </c>
      <c r="Q1464" s="265">
        <v>66443</v>
      </c>
      <c r="R1464" s="12" t="s">
        <v>4539</v>
      </c>
      <c r="S1464" s="12" t="s">
        <v>25</v>
      </c>
      <c r="T1464" s="12" t="s">
        <v>25</v>
      </c>
    </row>
    <row r="1465" spans="1:20" hidden="1" x14ac:dyDescent="0.3">
      <c r="A1465" s="13">
        <v>43954.708333333336</v>
      </c>
      <c r="B1465" s="12" t="s">
        <v>22</v>
      </c>
      <c r="C1465" s="265">
        <v>20</v>
      </c>
      <c r="D1465" s="12" t="s">
        <v>55</v>
      </c>
      <c r="E1465" s="265">
        <v>3921531192</v>
      </c>
      <c r="F1465" s="265">
        <v>9110616306</v>
      </c>
      <c r="G1465" s="265">
        <v>92</v>
      </c>
      <c r="H1465" s="265">
        <v>10</v>
      </c>
      <c r="I1465" s="265">
        <v>102</v>
      </c>
      <c r="J1465" s="265">
        <v>587</v>
      </c>
      <c r="K1465" s="265">
        <v>689</v>
      </c>
      <c r="L1465" s="265">
        <v>-41</v>
      </c>
      <c r="M1465" s="265">
        <v>4</v>
      </c>
      <c r="N1465" s="265">
        <v>511</v>
      </c>
      <c r="O1465" s="265">
        <v>119</v>
      </c>
      <c r="P1465" s="265">
        <v>1319</v>
      </c>
      <c r="Q1465" s="265">
        <v>27737</v>
      </c>
      <c r="R1465" s="12" t="s">
        <v>4540</v>
      </c>
      <c r="S1465" s="12" t="s">
        <v>25</v>
      </c>
      <c r="T1465" s="12" t="s">
        <v>25</v>
      </c>
    </row>
    <row r="1466" spans="1:20" hidden="1" x14ac:dyDescent="0.3">
      <c r="A1466" s="13">
        <v>43954.708333333336</v>
      </c>
      <c r="B1466" s="12" t="s">
        <v>22</v>
      </c>
      <c r="C1466" s="265">
        <v>19</v>
      </c>
      <c r="D1466" s="12" t="s">
        <v>56</v>
      </c>
      <c r="E1466" s="265">
        <v>3811569725</v>
      </c>
      <c r="F1466" s="265">
        <v>133623567</v>
      </c>
      <c r="G1466" s="265">
        <v>383</v>
      </c>
      <c r="H1466" s="265">
        <v>29</v>
      </c>
      <c r="I1466" s="265">
        <v>412</v>
      </c>
      <c r="J1466" s="265">
        <v>1791</v>
      </c>
      <c r="K1466" s="265">
        <v>2203</v>
      </c>
      <c r="L1466" s="265">
        <v>17</v>
      </c>
      <c r="M1466" s="265">
        <v>27</v>
      </c>
      <c r="N1466" s="265">
        <v>795</v>
      </c>
      <c r="O1466" s="265">
        <v>242</v>
      </c>
      <c r="P1466" s="265">
        <v>3240</v>
      </c>
      <c r="Q1466" s="265">
        <v>85955</v>
      </c>
      <c r="R1466" s="12" t="s">
        <v>4541</v>
      </c>
      <c r="S1466" s="12" t="s">
        <v>25</v>
      </c>
      <c r="T1466" s="12" t="s">
        <v>25</v>
      </c>
    </row>
    <row r="1467" spans="1:20" hidden="1" x14ac:dyDescent="0.3">
      <c r="A1467" s="13">
        <v>43954.708333333336</v>
      </c>
      <c r="B1467" s="12" t="s">
        <v>22</v>
      </c>
      <c r="C1467" s="265">
        <v>9</v>
      </c>
      <c r="D1467" s="12" t="s">
        <v>57</v>
      </c>
      <c r="E1467" s="265">
        <v>4376923077</v>
      </c>
      <c r="F1467" s="265">
        <v>1125588885</v>
      </c>
      <c r="G1467" s="265">
        <v>513</v>
      </c>
      <c r="H1467" s="265">
        <v>112</v>
      </c>
      <c r="I1467" s="265">
        <v>625</v>
      </c>
      <c r="J1467" s="265">
        <v>4703</v>
      </c>
      <c r="K1467" s="265">
        <v>5328</v>
      </c>
      <c r="L1467" s="265">
        <v>-37</v>
      </c>
      <c r="M1467" s="265">
        <v>38</v>
      </c>
      <c r="N1467" s="265">
        <v>3363</v>
      </c>
      <c r="O1467" s="265">
        <v>872</v>
      </c>
      <c r="P1467" s="265">
        <v>9563</v>
      </c>
      <c r="Q1467" s="265">
        <v>150914</v>
      </c>
      <c r="R1467" s="12" t="s">
        <v>4542</v>
      </c>
      <c r="S1467" s="12" t="s">
        <v>25</v>
      </c>
      <c r="T1467" s="12" t="s">
        <v>25</v>
      </c>
    </row>
    <row r="1468" spans="1:20" hidden="1" x14ac:dyDescent="0.3">
      <c r="A1468" s="13">
        <v>43954.708333333336</v>
      </c>
      <c r="B1468" s="12" t="s">
        <v>22</v>
      </c>
      <c r="C1468" s="265">
        <v>22</v>
      </c>
      <c r="D1468" s="12" t="s">
        <v>58</v>
      </c>
      <c r="E1468" s="265">
        <v>4606893511</v>
      </c>
      <c r="F1468" s="265">
        <v>1112123097</v>
      </c>
      <c r="G1468" s="265">
        <v>136</v>
      </c>
      <c r="H1468" s="265">
        <v>17</v>
      </c>
      <c r="I1468" s="265">
        <v>153</v>
      </c>
      <c r="J1468" s="265">
        <v>1094</v>
      </c>
      <c r="K1468" s="265">
        <v>1247</v>
      </c>
      <c r="L1468" s="265">
        <v>-35</v>
      </c>
      <c r="M1468" s="265">
        <v>66</v>
      </c>
      <c r="N1468" s="265">
        <v>2571</v>
      </c>
      <c r="O1468" s="265">
        <v>429</v>
      </c>
      <c r="P1468" s="265">
        <v>4247</v>
      </c>
      <c r="Q1468" s="265">
        <v>41095</v>
      </c>
      <c r="R1468" s="12" t="s">
        <v>4543</v>
      </c>
      <c r="S1468" s="12" t="s">
        <v>25</v>
      </c>
      <c r="T1468" s="12" t="s">
        <v>25</v>
      </c>
    </row>
    <row r="1469" spans="1:20" hidden="1" x14ac:dyDescent="0.3">
      <c r="A1469" s="13">
        <v>43954.708333333336</v>
      </c>
      <c r="B1469" s="12" t="s">
        <v>22</v>
      </c>
      <c r="C1469" s="265">
        <v>10</v>
      </c>
      <c r="D1469" s="12" t="s">
        <v>59</v>
      </c>
      <c r="E1469" s="265">
        <v>4310675841</v>
      </c>
      <c r="F1469" s="265">
        <v>1238824698</v>
      </c>
      <c r="G1469" s="265">
        <v>58</v>
      </c>
      <c r="H1469" s="265">
        <v>13</v>
      </c>
      <c r="I1469" s="265">
        <v>71</v>
      </c>
      <c r="J1469" s="265">
        <v>112</v>
      </c>
      <c r="K1469" s="265">
        <v>183</v>
      </c>
      <c r="L1469" s="265">
        <v>-13</v>
      </c>
      <c r="M1469" s="265">
        <v>0</v>
      </c>
      <c r="N1469" s="265">
        <v>1143</v>
      </c>
      <c r="O1469" s="265">
        <v>68</v>
      </c>
      <c r="P1469" s="265">
        <v>1394</v>
      </c>
      <c r="Q1469" s="265">
        <v>38823</v>
      </c>
      <c r="R1469" s="12" t="s">
        <v>4544</v>
      </c>
      <c r="S1469" s="12" t="s">
        <v>25</v>
      </c>
      <c r="T1469" s="12" t="s">
        <v>25</v>
      </c>
    </row>
    <row r="1470" spans="1:20" hidden="1" x14ac:dyDescent="0.3">
      <c r="A1470" s="13">
        <v>43954.708333333336</v>
      </c>
      <c r="B1470" s="12" t="s">
        <v>22</v>
      </c>
      <c r="C1470" s="265">
        <v>2</v>
      </c>
      <c r="D1470" s="12" t="s">
        <v>60</v>
      </c>
      <c r="E1470" s="265">
        <v>4573750286</v>
      </c>
      <c r="F1470" s="265">
        <v>7320149366</v>
      </c>
      <c r="G1470" s="265">
        <v>74</v>
      </c>
      <c r="H1470" s="265">
        <v>2</v>
      </c>
      <c r="I1470" s="265">
        <v>76</v>
      </c>
      <c r="J1470" s="265">
        <v>33</v>
      </c>
      <c r="K1470" s="265">
        <v>109</v>
      </c>
      <c r="L1470" s="265">
        <v>11</v>
      </c>
      <c r="M1470" s="265">
        <v>6</v>
      </c>
      <c r="N1470" s="265">
        <v>895</v>
      </c>
      <c r="O1470" s="265">
        <v>138</v>
      </c>
      <c r="P1470" s="265">
        <v>1142</v>
      </c>
      <c r="Q1470" s="265">
        <v>8100</v>
      </c>
      <c r="R1470" s="12" t="s">
        <v>4545</v>
      </c>
      <c r="S1470" s="12" t="s">
        <v>25</v>
      </c>
      <c r="T1470" s="12" t="s">
        <v>25</v>
      </c>
    </row>
    <row r="1471" spans="1:20" hidden="1" x14ac:dyDescent="0.3">
      <c r="A1471" s="13">
        <v>43954.708333333336</v>
      </c>
      <c r="B1471" s="12" t="s">
        <v>22</v>
      </c>
      <c r="C1471" s="265">
        <v>5</v>
      </c>
      <c r="D1471" s="12" t="s">
        <v>61</v>
      </c>
      <c r="E1471" s="265">
        <v>4543490485</v>
      </c>
      <c r="F1471" s="265">
        <v>1233845213</v>
      </c>
      <c r="G1471" s="265">
        <v>955</v>
      </c>
      <c r="H1471" s="265">
        <v>103</v>
      </c>
      <c r="I1471" s="265">
        <v>1058</v>
      </c>
      <c r="J1471" s="265">
        <v>6241</v>
      </c>
      <c r="K1471" s="265">
        <v>7299</v>
      </c>
      <c r="L1471" s="265">
        <v>-132</v>
      </c>
      <c r="M1471" s="265">
        <v>94</v>
      </c>
      <c r="N1471" s="265">
        <v>9503</v>
      </c>
      <c r="O1471" s="265">
        <v>1516</v>
      </c>
      <c r="P1471" s="265">
        <v>18318</v>
      </c>
      <c r="Q1471" s="265">
        <v>378202</v>
      </c>
      <c r="R1471" s="12" t="s">
        <v>4546</v>
      </c>
      <c r="S1471" s="12" t="s">
        <v>25</v>
      </c>
      <c r="T1471" s="12" t="s">
        <v>25</v>
      </c>
    </row>
    <row r="1472" spans="1:20" hidden="1" x14ac:dyDescent="0.3">
      <c r="A1472" s="13">
        <v>43955.708333333336</v>
      </c>
      <c r="B1472" s="12" t="s">
        <v>22</v>
      </c>
      <c r="C1472" s="265">
        <v>13</v>
      </c>
      <c r="D1472" s="12" t="s">
        <v>42</v>
      </c>
      <c r="E1472" s="265">
        <v>4235122196</v>
      </c>
      <c r="F1472" s="265">
        <v>1339843823</v>
      </c>
      <c r="G1472" s="265">
        <v>301</v>
      </c>
      <c r="H1472" s="265">
        <v>15</v>
      </c>
      <c r="I1472" s="265">
        <v>316</v>
      </c>
      <c r="J1472" s="265">
        <v>1521</v>
      </c>
      <c r="K1472" s="265">
        <v>1837</v>
      </c>
      <c r="L1472" s="265">
        <v>-31</v>
      </c>
      <c r="M1472" s="265">
        <v>4</v>
      </c>
      <c r="N1472" s="265">
        <v>831</v>
      </c>
      <c r="O1472" s="265">
        <v>332</v>
      </c>
      <c r="P1472" s="265">
        <v>3000</v>
      </c>
      <c r="Q1472" s="265">
        <v>41108</v>
      </c>
      <c r="R1472" s="12" t="s">
        <v>4547</v>
      </c>
      <c r="S1472" s="12" t="s">
        <v>25</v>
      </c>
      <c r="T1472" s="12" t="s">
        <v>25</v>
      </c>
    </row>
    <row r="1473" spans="1:20" hidden="1" x14ac:dyDescent="0.3">
      <c r="A1473" s="13">
        <v>43955.708333333336</v>
      </c>
      <c r="B1473" s="12" t="s">
        <v>22</v>
      </c>
      <c r="C1473" s="265">
        <v>17</v>
      </c>
      <c r="D1473" s="12" t="s">
        <v>43</v>
      </c>
      <c r="E1473" s="265">
        <v>4063947052</v>
      </c>
      <c r="F1473" s="265">
        <v>1580514834</v>
      </c>
      <c r="G1473" s="265">
        <v>50</v>
      </c>
      <c r="H1473" s="265">
        <v>3</v>
      </c>
      <c r="I1473" s="265">
        <v>53</v>
      </c>
      <c r="J1473" s="265">
        <v>120</v>
      </c>
      <c r="K1473" s="265">
        <v>173</v>
      </c>
      <c r="L1473" s="265">
        <v>-21</v>
      </c>
      <c r="M1473" s="265">
        <v>0</v>
      </c>
      <c r="N1473" s="265">
        <v>188</v>
      </c>
      <c r="O1473" s="265">
        <v>25</v>
      </c>
      <c r="P1473" s="265">
        <v>386</v>
      </c>
      <c r="Q1473" s="265">
        <v>14901</v>
      </c>
      <c r="R1473" s="12" t="s">
        <v>4548</v>
      </c>
      <c r="S1473" s="12" t="s">
        <v>25</v>
      </c>
      <c r="T1473" s="12" t="s">
        <v>25</v>
      </c>
    </row>
    <row r="1474" spans="1:20" hidden="1" x14ac:dyDescent="0.3">
      <c r="A1474" s="13">
        <v>43955.708333333336</v>
      </c>
      <c r="B1474" s="12" t="s">
        <v>22</v>
      </c>
      <c r="C1474" s="265">
        <v>21</v>
      </c>
      <c r="D1474" s="12" t="s">
        <v>44</v>
      </c>
      <c r="E1474" s="265">
        <v>4649933453</v>
      </c>
      <c r="F1474" s="265">
        <v>1135662422</v>
      </c>
      <c r="G1474" s="265">
        <v>103</v>
      </c>
      <c r="H1474" s="265">
        <v>10</v>
      </c>
      <c r="I1474" s="265">
        <v>113</v>
      </c>
      <c r="J1474" s="265">
        <v>523</v>
      </c>
      <c r="K1474" s="265">
        <v>636</v>
      </c>
      <c r="L1474" s="265">
        <v>-29</v>
      </c>
      <c r="M1474" s="265">
        <v>5</v>
      </c>
      <c r="N1474" s="265">
        <v>1621</v>
      </c>
      <c r="O1474" s="265">
        <v>284</v>
      </c>
      <c r="P1474" s="265">
        <v>2541</v>
      </c>
      <c r="Q1474" s="265">
        <v>44673</v>
      </c>
      <c r="R1474" s="12" t="s">
        <v>4549</v>
      </c>
      <c r="S1474" s="12" t="s">
        <v>25</v>
      </c>
      <c r="T1474" s="12" t="s">
        <v>25</v>
      </c>
    </row>
    <row r="1475" spans="1:20" hidden="1" x14ac:dyDescent="0.3">
      <c r="A1475" s="13">
        <v>43955.708333333336</v>
      </c>
      <c r="B1475" s="12" t="s">
        <v>22</v>
      </c>
      <c r="C1475" s="265">
        <v>18</v>
      </c>
      <c r="D1475" s="12" t="s">
        <v>45</v>
      </c>
      <c r="E1475" s="265">
        <v>3890597598</v>
      </c>
      <c r="F1475" s="265">
        <v>1659440194</v>
      </c>
      <c r="G1475" s="265">
        <v>93</v>
      </c>
      <c r="H1475" s="265">
        <v>4</v>
      </c>
      <c r="I1475" s="265">
        <v>97</v>
      </c>
      <c r="J1475" s="265">
        <v>577</v>
      </c>
      <c r="K1475" s="265">
        <v>674</v>
      </c>
      <c r="L1475" s="265">
        <v>-28</v>
      </c>
      <c r="M1475" s="265">
        <v>4</v>
      </c>
      <c r="N1475" s="265">
        <v>356</v>
      </c>
      <c r="O1475" s="265">
        <v>88</v>
      </c>
      <c r="P1475" s="265">
        <v>1118</v>
      </c>
      <c r="Q1475" s="265">
        <v>39438</v>
      </c>
      <c r="R1475" s="12" t="s">
        <v>4550</v>
      </c>
      <c r="S1475" s="12" t="s">
        <v>25</v>
      </c>
      <c r="T1475" s="12" t="s">
        <v>25</v>
      </c>
    </row>
    <row r="1476" spans="1:20" hidden="1" x14ac:dyDescent="0.3">
      <c r="A1476" s="13">
        <v>43955.708333333336</v>
      </c>
      <c r="B1476" s="12" t="s">
        <v>22</v>
      </c>
      <c r="C1476" s="265">
        <v>15</v>
      </c>
      <c r="D1476" s="12" t="s">
        <v>46</v>
      </c>
      <c r="E1476" s="265">
        <v>4083956555</v>
      </c>
      <c r="F1476" s="265">
        <v>1425084984</v>
      </c>
      <c r="G1476" s="265">
        <v>438</v>
      </c>
      <c r="H1476" s="265">
        <v>24</v>
      </c>
      <c r="I1476" s="265">
        <v>462</v>
      </c>
      <c r="J1476" s="265">
        <v>2249</v>
      </c>
      <c r="K1476" s="265">
        <v>2711</v>
      </c>
      <c r="L1476" s="265">
        <v>-15</v>
      </c>
      <c r="M1476" s="265">
        <v>14</v>
      </c>
      <c r="N1476" s="265">
        <v>1421</v>
      </c>
      <c r="O1476" s="265">
        <v>366</v>
      </c>
      <c r="P1476" s="265">
        <v>4498</v>
      </c>
      <c r="Q1476" s="265">
        <v>90543</v>
      </c>
      <c r="R1476" s="12" t="s">
        <v>4551</v>
      </c>
      <c r="S1476" s="12" t="s">
        <v>25</v>
      </c>
      <c r="T1476" s="12" t="s">
        <v>25</v>
      </c>
    </row>
    <row r="1477" spans="1:20" hidden="1" x14ac:dyDescent="0.3">
      <c r="A1477" s="13">
        <v>43955.708333333336</v>
      </c>
      <c r="B1477" s="12" t="s">
        <v>22</v>
      </c>
      <c r="C1477" s="265">
        <v>8</v>
      </c>
      <c r="D1477" s="12" t="s">
        <v>95</v>
      </c>
      <c r="E1477" s="265">
        <v>4449436681</v>
      </c>
      <c r="F1477" s="265">
        <v>113417208</v>
      </c>
      <c r="G1477" s="265">
        <v>1968</v>
      </c>
      <c r="H1477" s="265">
        <v>199</v>
      </c>
      <c r="I1477" s="265">
        <v>2167</v>
      </c>
      <c r="J1477" s="265">
        <v>6817</v>
      </c>
      <c r="K1477" s="265">
        <v>8984</v>
      </c>
      <c r="L1477" s="265">
        <v>-61</v>
      </c>
      <c r="M1477" s="265">
        <v>159</v>
      </c>
      <c r="N1477" s="265">
        <v>13525</v>
      </c>
      <c r="O1477" s="265">
        <v>3666</v>
      </c>
      <c r="P1477" s="265">
        <v>26175</v>
      </c>
      <c r="Q1477" s="265">
        <v>200427</v>
      </c>
      <c r="R1477" s="12" t="s">
        <v>4552</v>
      </c>
      <c r="S1477" s="12" t="s">
        <v>25</v>
      </c>
      <c r="T1477" s="12" t="s">
        <v>25</v>
      </c>
    </row>
    <row r="1478" spans="1:20" hidden="1" x14ac:dyDescent="0.3">
      <c r="A1478" s="13">
        <v>43955.708333333336</v>
      </c>
      <c r="B1478" s="12" t="s">
        <v>22</v>
      </c>
      <c r="C1478" s="265">
        <v>6</v>
      </c>
      <c r="D1478" s="12" t="s">
        <v>47</v>
      </c>
      <c r="E1478" s="265">
        <v>456494354</v>
      </c>
      <c r="F1478" s="265">
        <v>1376813649</v>
      </c>
      <c r="G1478" s="265">
        <v>130</v>
      </c>
      <c r="H1478" s="265">
        <v>4</v>
      </c>
      <c r="I1478" s="265">
        <v>134</v>
      </c>
      <c r="J1478" s="265">
        <v>916</v>
      </c>
      <c r="K1478" s="265">
        <v>1050</v>
      </c>
      <c r="L1478" s="265">
        <v>-37</v>
      </c>
      <c r="M1478" s="265">
        <v>4</v>
      </c>
      <c r="N1478" s="265">
        <v>1727</v>
      </c>
      <c r="O1478" s="265">
        <v>299</v>
      </c>
      <c r="P1478" s="265">
        <v>3076</v>
      </c>
      <c r="Q1478" s="265">
        <v>75421</v>
      </c>
      <c r="R1478" s="12" t="s">
        <v>4553</v>
      </c>
      <c r="S1478" s="12" t="s">
        <v>25</v>
      </c>
      <c r="T1478" s="12" t="s">
        <v>25</v>
      </c>
    </row>
    <row r="1479" spans="1:20" hidden="1" x14ac:dyDescent="0.3">
      <c r="A1479" s="13">
        <v>43955.708333333336</v>
      </c>
      <c r="B1479" s="12" t="s">
        <v>22</v>
      </c>
      <c r="C1479" s="265">
        <v>12</v>
      </c>
      <c r="D1479" s="12" t="s">
        <v>48</v>
      </c>
      <c r="E1479" s="265">
        <v>4189277044</v>
      </c>
      <c r="F1479" s="265">
        <v>1248366722</v>
      </c>
      <c r="G1479" s="265">
        <v>1335</v>
      </c>
      <c r="H1479" s="265">
        <v>95</v>
      </c>
      <c r="I1479" s="265">
        <v>1430</v>
      </c>
      <c r="J1479" s="265">
        <v>2955</v>
      </c>
      <c r="K1479" s="265">
        <v>4385</v>
      </c>
      <c r="L1479" s="265">
        <v>0</v>
      </c>
      <c r="M1479" s="265">
        <v>38</v>
      </c>
      <c r="N1479" s="265">
        <v>1938</v>
      </c>
      <c r="O1479" s="265">
        <v>524</v>
      </c>
      <c r="P1479" s="265">
        <v>6847</v>
      </c>
      <c r="Q1479" s="265">
        <v>153293</v>
      </c>
      <c r="R1479" s="12" t="s">
        <v>4554</v>
      </c>
      <c r="S1479" s="12" t="s">
        <v>25</v>
      </c>
      <c r="T1479" s="12" t="s">
        <v>25</v>
      </c>
    </row>
    <row r="1480" spans="1:20" x14ac:dyDescent="0.3">
      <c r="A1480" s="13">
        <v>43955.708333333336</v>
      </c>
      <c r="B1480" s="12" t="s">
        <v>22</v>
      </c>
      <c r="C1480" s="265">
        <v>7</v>
      </c>
      <c r="D1480" s="12" t="s">
        <v>49</v>
      </c>
      <c r="E1480" s="265">
        <v>4441149315</v>
      </c>
      <c r="F1480" s="265">
        <v>89326992</v>
      </c>
      <c r="G1480" s="265">
        <v>606</v>
      </c>
      <c r="H1480" s="265">
        <v>72</v>
      </c>
      <c r="I1480" s="265">
        <v>678</v>
      </c>
      <c r="J1480" s="265">
        <v>2830</v>
      </c>
      <c r="K1480" s="265">
        <v>3508</v>
      </c>
      <c r="L1480" s="265">
        <v>-43</v>
      </c>
      <c r="M1480" s="265">
        <v>53</v>
      </c>
      <c r="N1480" s="265">
        <v>3683</v>
      </c>
      <c r="O1480" s="265">
        <v>1221</v>
      </c>
      <c r="P1480" s="265">
        <v>8412</v>
      </c>
      <c r="Q1480" s="265">
        <v>56092</v>
      </c>
      <c r="R1480" s="12" t="s">
        <v>4555</v>
      </c>
      <c r="S1480" s="12" t="s">
        <v>25</v>
      </c>
      <c r="T1480" s="12" t="s">
        <v>25</v>
      </c>
    </row>
    <row r="1481" spans="1:20" hidden="1" x14ac:dyDescent="0.3">
      <c r="A1481" s="13">
        <v>43955.708333333336</v>
      </c>
      <c r="B1481" s="12" t="s">
        <v>22</v>
      </c>
      <c r="C1481" s="265">
        <v>3</v>
      </c>
      <c r="D1481" s="12" t="s">
        <v>50</v>
      </c>
      <c r="E1481" s="265">
        <v>4546679409</v>
      </c>
      <c r="F1481" s="265">
        <v>9190347404</v>
      </c>
      <c r="G1481" s="265">
        <v>6414</v>
      </c>
      <c r="H1481" s="265">
        <v>532</v>
      </c>
      <c r="I1481" s="265">
        <v>6946</v>
      </c>
      <c r="J1481" s="265">
        <v>30361</v>
      </c>
      <c r="K1481" s="265">
        <v>37307</v>
      </c>
      <c r="L1481" s="265">
        <v>381</v>
      </c>
      <c r="M1481" s="265">
        <v>577</v>
      </c>
      <c r="N1481" s="265">
        <v>26504</v>
      </c>
      <c r="O1481" s="265">
        <v>14294</v>
      </c>
      <c r="P1481" s="265">
        <v>78105</v>
      </c>
      <c r="Q1481" s="265">
        <v>418835</v>
      </c>
      <c r="R1481" s="12" t="s">
        <v>4556</v>
      </c>
      <c r="S1481" s="12" t="s">
        <v>25</v>
      </c>
      <c r="T1481" s="12" t="s">
        <v>25</v>
      </c>
    </row>
    <row r="1482" spans="1:20" hidden="1" x14ac:dyDescent="0.3">
      <c r="A1482" s="13">
        <v>43955.708333333336</v>
      </c>
      <c r="B1482" s="12" t="s">
        <v>22</v>
      </c>
      <c r="C1482" s="265">
        <v>11</v>
      </c>
      <c r="D1482" s="12" t="s">
        <v>51</v>
      </c>
      <c r="E1482" s="265">
        <v>4361675973</v>
      </c>
      <c r="F1482" s="265">
        <v>135188753</v>
      </c>
      <c r="G1482" s="265">
        <v>389</v>
      </c>
      <c r="H1482" s="265">
        <v>44</v>
      </c>
      <c r="I1482" s="265">
        <v>433</v>
      </c>
      <c r="J1482" s="265">
        <v>2773</v>
      </c>
      <c r="K1482" s="265">
        <v>3206</v>
      </c>
      <c r="L1482" s="265">
        <v>8</v>
      </c>
      <c r="M1482" s="265">
        <v>44</v>
      </c>
      <c r="N1482" s="265">
        <v>2225</v>
      </c>
      <c r="O1482" s="265">
        <v>932</v>
      </c>
      <c r="P1482" s="265">
        <v>6363</v>
      </c>
      <c r="Q1482" s="265">
        <v>65398</v>
      </c>
      <c r="R1482" s="12" t="s">
        <v>4557</v>
      </c>
      <c r="S1482" s="12" t="s">
        <v>25</v>
      </c>
      <c r="T1482" s="12" t="s">
        <v>25</v>
      </c>
    </row>
    <row r="1483" spans="1:20" hidden="1" x14ac:dyDescent="0.3">
      <c r="A1483" s="13">
        <v>43955.708333333336</v>
      </c>
      <c r="B1483" s="12" t="s">
        <v>22</v>
      </c>
      <c r="C1483" s="265">
        <v>14</v>
      </c>
      <c r="D1483" s="12" t="s">
        <v>52</v>
      </c>
      <c r="E1483" s="265">
        <v>4155774754</v>
      </c>
      <c r="F1483" s="265">
        <v>1465916051</v>
      </c>
      <c r="G1483" s="265">
        <v>9</v>
      </c>
      <c r="H1483" s="265">
        <v>1</v>
      </c>
      <c r="I1483" s="265">
        <v>10</v>
      </c>
      <c r="J1483" s="265">
        <v>168</v>
      </c>
      <c r="K1483" s="265">
        <v>178</v>
      </c>
      <c r="L1483" s="265">
        <v>-3</v>
      </c>
      <c r="M1483" s="265">
        <v>0</v>
      </c>
      <c r="N1483" s="265">
        <v>101</v>
      </c>
      <c r="O1483" s="265">
        <v>22</v>
      </c>
      <c r="P1483" s="265">
        <v>301</v>
      </c>
      <c r="Q1483" s="265">
        <v>7328</v>
      </c>
      <c r="R1483" s="12" t="s">
        <v>4558</v>
      </c>
      <c r="S1483" s="12" t="s">
        <v>25</v>
      </c>
      <c r="T1483" s="12" t="s">
        <v>25</v>
      </c>
    </row>
    <row r="1484" spans="1:20" hidden="1" x14ac:dyDescent="0.3">
      <c r="A1484" s="13">
        <v>43955.708333333336</v>
      </c>
      <c r="B1484" s="12" t="s">
        <v>22</v>
      </c>
      <c r="C1484" s="265">
        <v>1</v>
      </c>
      <c r="D1484" s="12" t="s">
        <v>53</v>
      </c>
      <c r="E1484" s="265">
        <v>450732745</v>
      </c>
      <c r="F1484" s="265">
        <v>7680687483</v>
      </c>
      <c r="G1484" s="265">
        <v>2391</v>
      </c>
      <c r="H1484" s="265">
        <v>161</v>
      </c>
      <c r="I1484" s="265">
        <v>2552</v>
      </c>
      <c r="J1484" s="265">
        <v>13010</v>
      </c>
      <c r="K1484" s="265">
        <v>15562</v>
      </c>
      <c r="L1484" s="265">
        <v>-76</v>
      </c>
      <c r="M1484" s="265">
        <v>192</v>
      </c>
      <c r="N1484" s="265">
        <v>8874</v>
      </c>
      <c r="O1484" s="265">
        <v>3186</v>
      </c>
      <c r="P1484" s="265">
        <v>27622</v>
      </c>
      <c r="Q1484" s="265">
        <v>176078</v>
      </c>
      <c r="R1484" s="12" t="s">
        <v>4559</v>
      </c>
      <c r="S1484" s="12" t="s">
        <v>25</v>
      </c>
      <c r="T1484" s="12" t="s">
        <v>25</v>
      </c>
    </row>
    <row r="1485" spans="1:20" hidden="1" x14ac:dyDescent="0.3">
      <c r="A1485" s="13">
        <v>43955.708333333336</v>
      </c>
      <c r="B1485" s="12" t="s">
        <v>22</v>
      </c>
      <c r="C1485" s="265">
        <v>16</v>
      </c>
      <c r="D1485" s="12" t="s">
        <v>54</v>
      </c>
      <c r="E1485" s="265">
        <v>4112559576</v>
      </c>
      <c r="F1485" s="265">
        <v>1686736689</v>
      </c>
      <c r="G1485" s="265">
        <v>397</v>
      </c>
      <c r="H1485" s="265">
        <v>39</v>
      </c>
      <c r="I1485" s="265">
        <v>436</v>
      </c>
      <c r="J1485" s="265">
        <v>2509</v>
      </c>
      <c r="K1485" s="265">
        <v>2945</v>
      </c>
      <c r="L1485" s="265">
        <v>-10</v>
      </c>
      <c r="M1485" s="265">
        <v>9</v>
      </c>
      <c r="N1485" s="265">
        <v>779</v>
      </c>
      <c r="O1485" s="265">
        <v>429</v>
      </c>
      <c r="P1485" s="265">
        <v>4153</v>
      </c>
      <c r="Q1485" s="265">
        <v>67167</v>
      </c>
      <c r="R1485" s="12" t="s">
        <v>4560</v>
      </c>
      <c r="S1485" s="12" t="s">
        <v>25</v>
      </c>
      <c r="T1485" s="12" t="s">
        <v>25</v>
      </c>
    </row>
    <row r="1486" spans="1:20" hidden="1" x14ac:dyDescent="0.3">
      <c r="A1486" s="13">
        <v>43955.708333333336</v>
      </c>
      <c r="B1486" s="12" t="s">
        <v>22</v>
      </c>
      <c r="C1486" s="265">
        <v>20</v>
      </c>
      <c r="D1486" s="12" t="s">
        <v>55</v>
      </c>
      <c r="E1486" s="265">
        <v>3921531192</v>
      </c>
      <c r="F1486" s="265">
        <v>9110616306</v>
      </c>
      <c r="G1486" s="265">
        <v>91</v>
      </c>
      <c r="H1486" s="265">
        <v>9</v>
      </c>
      <c r="I1486" s="265">
        <v>100</v>
      </c>
      <c r="J1486" s="265">
        <v>553</v>
      </c>
      <c r="K1486" s="265">
        <v>653</v>
      </c>
      <c r="L1486" s="265">
        <v>-36</v>
      </c>
      <c r="M1486" s="265">
        <v>-2</v>
      </c>
      <c r="N1486" s="265">
        <v>545</v>
      </c>
      <c r="O1486" s="265">
        <v>119</v>
      </c>
      <c r="P1486" s="265">
        <v>1317</v>
      </c>
      <c r="Q1486" s="265">
        <v>28052</v>
      </c>
      <c r="R1486" s="12" t="s">
        <v>4561</v>
      </c>
      <c r="S1486" s="12" t="s">
        <v>4562</v>
      </c>
      <c r="T1486" s="12" t="s">
        <v>4563</v>
      </c>
    </row>
    <row r="1487" spans="1:20" hidden="1" x14ac:dyDescent="0.3">
      <c r="A1487" s="13">
        <v>43955.708333333336</v>
      </c>
      <c r="B1487" s="12" t="s">
        <v>22</v>
      </c>
      <c r="C1487" s="265">
        <v>19</v>
      </c>
      <c r="D1487" s="12" t="s">
        <v>56</v>
      </c>
      <c r="E1487" s="265">
        <v>3811569725</v>
      </c>
      <c r="F1487" s="265">
        <v>133623567</v>
      </c>
      <c r="G1487" s="265">
        <v>376</v>
      </c>
      <c r="H1487" s="265">
        <v>27</v>
      </c>
      <c r="I1487" s="265">
        <v>403</v>
      </c>
      <c r="J1487" s="265">
        <v>1799</v>
      </c>
      <c r="K1487" s="265">
        <v>2202</v>
      </c>
      <c r="L1487" s="265">
        <v>-1</v>
      </c>
      <c r="M1487" s="265">
        <v>15</v>
      </c>
      <c r="N1487" s="265">
        <v>809</v>
      </c>
      <c r="O1487" s="265">
        <v>244</v>
      </c>
      <c r="P1487" s="265">
        <v>3255</v>
      </c>
      <c r="Q1487" s="265">
        <v>87166</v>
      </c>
      <c r="R1487" s="12" t="s">
        <v>4564</v>
      </c>
      <c r="S1487" s="12" t="s">
        <v>25</v>
      </c>
      <c r="T1487" s="12" t="s">
        <v>25</v>
      </c>
    </row>
    <row r="1488" spans="1:20" hidden="1" x14ac:dyDescent="0.3">
      <c r="A1488" s="13">
        <v>43955.708333333336</v>
      </c>
      <c r="B1488" s="12" t="s">
        <v>22</v>
      </c>
      <c r="C1488" s="265">
        <v>9</v>
      </c>
      <c r="D1488" s="12" t="s">
        <v>57</v>
      </c>
      <c r="E1488" s="265">
        <v>4376923077</v>
      </c>
      <c r="F1488" s="265">
        <v>1125588885</v>
      </c>
      <c r="G1488" s="265">
        <v>512</v>
      </c>
      <c r="H1488" s="265">
        <v>107</v>
      </c>
      <c r="I1488" s="265">
        <v>619</v>
      </c>
      <c r="J1488" s="265">
        <v>4660</v>
      </c>
      <c r="K1488" s="265">
        <v>5279</v>
      </c>
      <c r="L1488" s="265">
        <v>-49</v>
      </c>
      <c r="M1488" s="265">
        <v>38</v>
      </c>
      <c r="N1488" s="265">
        <v>3441</v>
      </c>
      <c r="O1488" s="265">
        <v>881</v>
      </c>
      <c r="P1488" s="265">
        <v>9601</v>
      </c>
      <c r="Q1488" s="265">
        <v>152447</v>
      </c>
      <c r="R1488" s="12" t="s">
        <v>4565</v>
      </c>
      <c r="S1488" s="12" t="s">
        <v>25</v>
      </c>
      <c r="T1488" s="12" t="s">
        <v>25</v>
      </c>
    </row>
    <row r="1489" spans="1:20" hidden="1" x14ac:dyDescent="0.3">
      <c r="A1489" s="13">
        <v>43955.708333333336</v>
      </c>
      <c r="B1489" s="12" t="s">
        <v>22</v>
      </c>
      <c r="C1489" s="265">
        <v>22</v>
      </c>
      <c r="D1489" s="12" t="s">
        <v>58</v>
      </c>
      <c r="E1489" s="265">
        <v>4606893511</v>
      </c>
      <c r="F1489" s="265">
        <v>1112123097</v>
      </c>
      <c r="G1489" s="265">
        <v>135</v>
      </c>
      <c r="H1489" s="265">
        <v>17</v>
      </c>
      <c r="I1489" s="265">
        <v>152</v>
      </c>
      <c r="J1489" s="265">
        <v>1013</v>
      </c>
      <c r="K1489" s="265">
        <v>1165</v>
      </c>
      <c r="L1489" s="265">
        <v>-82</v>
      </c>
      <c r="M1489" s="265">
        <v>11</v>
      </c>
      <c r="N1489" s="265">
        <v>2663</v>
      </c>
      <c r="O1489" s="265">
        <v>430</v>
      </c>
      <c r="P1489" s="265">
        <v>4258</v>
      </c>
      <c r="Q1489" s="265">
        <v>42061</v>
      </c>
      <c r="R1489" s="12" t="s">
        <v>4566</v>
      </c>
      <c r="S1489" s="12" t="s">
        <v>25</v>
      </c>
      <c r="T1489" s="12" t="s">
        <v>25</v>
      </c>
    </row>
    <row r="1490" spans="1:20" hidden="1" x14ac:dyDescent="0.3">
      <c r="A1490" s="13">
        <v>43955.708333333336</v>
      </c>
      <c r="B1490" s="12" t="s">
        <v>22</v>
      </c>
      <c r="C1490" s="265">
        <v>10</v>
      </c>
      <c r="D1490" s="12" t="s">
        <v>59</v>
      </c>
      <c r="E1490" s="265">
        <v>4310675841</v>
      </c>
      <c r="F1490" s="265">
        <v>1238824698</v>
      </c>
      <c r="G1490" s="265">
        <v>56</v>
      </c>
      <c r="H1490" s="265">
        <v>13</v>
      </c>
      <c r="I1490" s="265">
        <v>69</v>
      </c>
      <c r="J1490" s="265">
        <v>112</v>
      </c>
      <c r="K1490" s="265">
        <v>181</v>
      </c>
      <c r="L1490" s="265">
        <v>-2</v>
      </c>
      <c r="M1490" s="265">
        <v>0</v>
      </c>
      <c r="N1490" s="265">
        <v>1143</v>
      </c>
      <c r="O1490" s="265">
        <v>70</v>
      </c>
      <c r="P1490" s="265">
        <v>1394</v>
      </c>
      <c r="Q1490" s="265">
        <v>39044</v>
      </c>
      <c r="R1490" s="12" t="s">
        <v>4567</v>
      </c>
      <c r="S1490" s="12" t="s">
        <v>25</v>
      </c>
      <c r="T1490" s="12" t="s">
        <v>25</v>
      </c>
    </row>
    <row r="1491" spans="1:20" hidden="1" x14ac:dyDescent="0.3">
      <c r="A1491" s="13">
        <v>43955.708333333336</v>
      </c>
      <c r="B1491" s="12" t="s">
        <v>22</v>
      </c>
      <c r="C1491" s="265">
        <v>2</v>
      </c>
      <c r="D1491" s="12" t="s">
        <v>60</v>
      </c>
      <c r="E1491" s="265">
        <v>4573750286</v>
      </c>
      <c r="F1491" s="265">
        <v>7320149366</v>
      </c>
      <c r="G1491" s="265">
        <v>74</v>
      </c>
      <c r="H1491" s="265">
        <v>2</v>
      </c>
      <c r="I1491" s="265">
        <v>76</v>
      </c>
      <c r="J1491" s="265">
        <v>34</v>
      </c>
      <c r="K1491" s="265">
        <v>110</v>
      </c>
      <c r="L1491" s="265">
        <v>1</v>
      </c>
      <c r="M1491" s="265">
        <v>1</v>
      </c>
      <c r="N1491" s="265">
        <v>894</v>
      </c>
      <c r="O1491" s="265">
        <v>139</v>
      </c>
      <c r="P1491" s="265">
        <v>1143</v>
      </c>
      <c r="Q1491" s="265">
        <v>8271</v>
      </c>
      <c r="R1491" s="12" t="s">
        <v>4568</v>
      </c>
      <c r="S1491" s="12" t="s">
        <v>25</v>
      </c>
      <c r="T1491" s="12" t="s">
        <v>25</v>
      </c>
    </row>
    <row r="1492" spans="1:20" hidden="1" x14ac:dyDescent="0.3">
      <c r="A1492" s="13">
        <v>43955.708333333336</v>
      </c>
      <c r="B1492" s="12" t="s">
        <v>22</v>
      </c>
      <c r="C1492" s="265">
        <v>5</v>
      </c>
      <c r="D1492" s="12" t="s">
        <v>61</v>
      </c>
      <c r="E1492" s="265">
        <v>4543490485</v>
      </c>
      <c r="F1492" s="265">
        <v>1233845213</v>
      </c>
      <c r="G1492" s="265">
        <v>955</v>
      </c>
      <c r="H1492" s="265">
        <v>101</v>
      </c>
      <c r="I1492" s="265">
        <v>1056</v>
      </c>
      <c r="J1492" s="265">
        <v>6178</v>
      </c>
      <c r="K1492" s="265">
        <v>7234</v>
      </c>
      <c r="L1492" s="265">
        <v>-65</v>
      </c>
      <c r="M1492" s="265">
        <v>55</v>
      </c>
      <c r="N1492" s="265">
        <v>9611</v>
      </c>
      <c r="O1492" s="265">
        <v>1528</v>
      </c>
      <c r="P1492" s="265">
        <v>18373</v>
      </c>
      <c r="Q1492" s="265">
        <v>383660</v>
      </c>
      <c r="R1492" s="12" t="s">
        <v>4569</v>
      </c>
      <c r="S1492" s="12" t="s">
        <v>25</v>
      </c>
      <c r="T1492" s="12" t="s">
        <v>25</v>
      </c>
    </row>
    <row r="1493" spans="1:20" hidden="1" x14ac:dyDescent="0.3">
      <c r="A1493" s="13">
        <v>43956.708333333336</v>
      </c>
      <c r="B1493" s="12" t="s">
        <v>22</v>
      </c>
      <c r="C1493" s="265">
        <v>13</v>
      </c>
      <c r="D1493" s="12" t="s">
        <v>42</v>
      </c>
      <c r="E1493" s="265">
        <v>4235122196</v>
      </c>
      <c r="F1493" s="265">
        <v>1339843823</v>
      </c>
      <c r="G1493" s="265">
        <v>289</v>
      </c>
      <c r="H1493" s="265">
        <v>11</v>
      </c>
      <c r="I1493" s="265">
        <v>300</v>
      </c>
      <c r="J1493" s="265">
        <v>1509</v>
      </c>
      <c r="K1493" s="265">
        <v>1809</v>
      </c>
      <c r="L1493" s="265">
        <v>-28</v>
      </c>
      <c r="M1493" s="265">
        <v>25</v>
      </c>
      <c r="N1493" s="265">
        <v>881</v>
      </c>
      <c r="O1493" s="265">
        <v>335</v>
      </c>
      <c r="P1493" s="265">
        <v>3025</v>
      </c>
      <c r="Q1493" s="265">
        <v>42489</v>
      </c>
      <c r="R1493" s="12" t="s">
        <v>4570</v>
      </c>
      <c r="S1493" s="12" t="s">
        <v>25</v>
      </c>
      <c r="T1493" s="12" t="s">
        <v>25</v>
      </c>
    </row>
    <row r="1494" spans="1:20" hidden="1" x14ac:dyDescent="0.3">
      <c r="A1494" s="13">
        <v>43956.708333333336</v>
      </c>
      <c r="B1494" s="12" t="s">
        <v>22</v>
      </c>
      <c r="C1494" s="265">
        <v>17</v>
      </c>
      <c r="D1494" s="12" t="s">
        <v>43</v>
      </c>
      <c r="E1494" s="265">
        <v>4063947052</v>
      </c>
      <c r="F1494" s="265">
        <v>1580514834</v>
      </c>
      <c r="G1494" s="265">
        <v>50</v>
      </c>
      <c r="H1494" s="265">
        <v>3</v>
      </c>
      <c r="I1494" s="265">
        <v>53</v>
      </c>
      <c r="J1494" s="265">
        <v>124</v>
      </c>
      <c r="K1494" s="265">
        <v>177</v>
      </c>
      <c r="L1494" s="265">
        <v>4</v>
      </c>
      <c r="M1494" s="265">
        <v>10</v>
      </c>
      <c r="N1494" s="265">
        <v>194</v>
      </c>
      <c r="O1494" s="265">
        <v>25</v>
      </c>
      <c r="P1494" s="265">
        <v>396</v>
      </c>
      <c r="Q1494" s="265">
        <v>15476</v>
      </c>
      <c r="R1494" s="12" t="s">
        <v>4571</v>
      </c>
      <c r="S1494" s="12" t="s">
        <v>25</v>
      </c>
      <c r="T1494" s="12" t="s">
        <v>25</v>
      </c>
    </row>
    <row r="1495" spans="1:20" hidden="1" x14ac:dyDescent="0.3">
      <c r="A1495" s="13">
        <v>43956.708333333336</v>
      </c>
      <c r="B1495" s="12" t="s">
        <v>22</v>
      </c>
      <c r="C1495" s="265">
        <v>21</v>
      </c>
      <c r="D1495" s="12" t="s">
        <v>44</v>
      </c>
      <c r="E1495" s="265">
        <v>4649933453</v>
      </c>
      <c r="F1495" s="265">
        <v>1135662422</v>
      </c>
      <c r="G1495" s="265">
        <v>99</v>
      </c>
      <c r="H1495" s="265">
        <v>11</v>
      </c>
      <c r="I1495" s="265">
        <v>110</v>
      </c>
      <c r="J1495" s="265">
        <v>502</v>
      </c>
      <c r="K1495" s="265">
        <v>612</v>
      </c>
      <c r="L1495" s="265">
        <v>-24</v>
      </c>
      <c r="M1495" s="265">
        <v>1</v>
      </c>
      <c r="N1495" s="265">
        <v>1644</v>
      </c>
      <c r="O1495" s="265">
        <v>286</v>
      </c>
      <c r="P1495" s="265">
        <v>2542</v>
      </c>
      <c r="Q1495" s="265">
        <v>45264</v>
      </c>
      <c r="R1495" s="12" t="s">
        <v>4572</v>
      </c>
      <c r="S1495" s="12" t="s">
        <v>25</v>
      </c>
      <c r="T1495" s="12" t="s">
        <v>25</v>
      </c>
    </row>
    <row r="1496" spans="1:20" hidden="1" x14ac:dyDescent="0.3">
      <c r="A1496" s="13">
        <v>43956.708333333336</v>
      </c>
      <c r="B1496" s="12" t="s">
        <v>22</v>
      </c>
      <c r="C1496" s="265">
        <v>18</v>
      </c>
      <c r="D1496" s="12" t="s">
        <v>45</v>
      </c>
      <c r="E1496" s="265">
        <v>3890597598</v>
      </c>
      <c r="F1496" s="265">
        <v>1659440194</v>
      </c>
      <c r="G1496" s="265">
        <v>92</v>
      </c>
      <c r="H1496" s="265">
        <v>4</v>
      </c>
      <c r="I1496" s="265">
        <v>96</v>
      </c>
      <c r="J1496" s="265">
        <v>554</v>
      </c>
      <c r="K1496" s="265">
        <v>650</v>
      </c>
      <c r="L1496" s="265">
        <v>-24</v>
      </c>
      <c r="M1496" s="265">
        <v>1</v>
      </c>
      <c r="N1496" s="265">
        <v>381</v>
      </c>
      <c r="O1496" s="265">
        <v>88</v>
      </c>
      <c r="P1496" s="265">
        <v>1119</v>
      </c>
      <c r="Q1496" s="265">
        <v>40509</v>
      </c>
      <c r="R1496" s="12" t="s">
        <v>4573</v>
      </c>
      <c r="S1496" s="12" t="s">
        <v>25</v>
      </c>
      <c r="T1496" s="12" t="s">
        <v>25</v>
      </c>
    </row>
    <row r="1497" spans="1:20" hidden="1" x14ac:dyDescent="0.3">
      <c r="A1497" s="13">
        <v>43956.708333333336</v>
      </c>
      <c r="B1497" s="12" t="s">
        <v>22</v>
      </c>
      <c r="C1497" s="265">
        <v>15</v>
      </c>
      <c r="D1497" s="12" t="s">
        <v>46</v>
      </c>
      <c r="E1497" s="265">
        <v>4083956555</v>
      </c>
      <c r="F1497" s="265">
        <v>1425084984</v>
      </c>
      <c r="G1497" s="265">
        <v>408</v>
      </c>
      <c r="H1497" s="265">
        <v>25</v>
      </c>
      <c r="I1497" s="265">
        <v>433</v>
      </c>
      <c r="J1497" s="265">
        <v>2097</v>
      </c>
      <c r="K1497" s="265">
        <v>2530</v>
      </c>
      <c r="L1497" s="265">
        <v>-181</v>
      </c>
      <c r="M1497" s="265">
        <v>20</v>
      </c>
      <c r="N1497" s="265">
        <v>1619</v>
      </c>
      <c r="O1497" s="265">
        <v>369</v>
      </c>
      <c r="P1497" s="265">
        <v>4518</v>
      </c>
      <c r="Q1497" s="265">
        <v>93068</v>
      </c>
      <c r="R1497" s="12" t="s">
        <v>4574</v>
      </c>
      <c r="S1497" s="12" t="s">
        <v>25</v>
      </c>
      <c r="T1497" s="12" t="s">
        <v>25</v>
      </c>
    </row>
    <row r="1498" spans="1:20" hidden="1" x14ac:dyDescent="0.3">
      <c r="A1498" s="13">
        <v>43956.708333333336</v>
      </c>
      <c r="B1498" s="12" t="s">
        <v>22</v>
      </c>
      <c r="C1498" s="265">
        <v>8</v>
      </c>
      <c r="D1498" s="12" t="s">
        <v>95</v>
      </c>
      <c r="E1498" s="265">
        <v>4449436681</v>
      </c>
      <c r="F1498" s="265">
        <v>113417208</v>
      </c>
      <c r="G1498" s="265">
        <v>1917</v>
      </c>
      <c r="H1498" s="265">
        <v>191</v>
      </c>
      <c r="I1498" s="265">
        <v>2108</v>
      </c>
      <c r="J1498" s="265">
        <v>6573</v>
      </c>
      <c r="K1498" s="265">
        <v>8681</v>
      </c>
      <c r="L1498" s="265">
        <v>-303</v>
      </c>
      <c r="M1498" s="265">
        <v>100</v>
      </c>
      <c r="N1498" s="265">
        <v>13889</v>
      </c>
      <c r="O1498" s="265">
        <v>3705</v>
      </c>
      <c r="P1498" s="265">
        <v>26275</v>
      </c>
      <c r="Q1498" s="265">
        <v>206166</v>
      </c>
      <c r="R1498" s="12" t="s">
        <v>4575</v>
      </c>
      <c r="S1498" s="12" t="s">
        <v>25</v>
      </c>
      <c r="T1498" s="12" t="s">
        <v>25</v>
      </c>
    </row>
    <row r="1499" spans="1:20" hidden="1" x14ac:dyDescent="0.3">
      <c r="A1499" s="13">
        <v>43956.708333333336</v>
      </c>
      <c r="B1499" s="12" t="s">
        <v>22</v>
      </c>
      <c r="C1499" s="265">
        <v>6</v>
      </c>
      <c r="D1499" s="12" t="s">
        <v>47</v>
      </c>
      <c r="E1499" s="265">
        <v>456494354</v>
      </c>
      <c r="F1499" s="265">
        <v>1376813649</v>
      </c>
      <c r="G1499" s="265">
        <v>120</v>
      </c>
      <c r="H1499" s="265">
        <v>4</v>
      </c>
      <c r="I1499" s="265">
        <v>124</v>
      </c>
      <c r="J1499" s="265">
        <v>860</v>
      </c>
      <c r="K1499" s="265">
        <v>984</v>
      </c>
      <c r="L1499" s="265">
        <v>-66</v>
      </c>
      <c r="M1499" s="265">
        <v>9</v>
      </c>
      <c r="N1499" s="265">
        <v>1798</v>
      </c>
      <c r="O1499" s="265">
        <v>303</v>
      </c>
      <c r="P1499" s="265">
        <v>3085</v>
      </c>
      <c r="Q1499" s="265">
        <v>78510</v>
      </c>
      <c r="R1499" s="12" t="s">
        <v>4576</v>
      </c>
      <c r="S1499" s="12" t="s">
        <v>25</v>
      </c>
      <c r="T1499" s="12" t="s">
        <v>25</v>
      </c>
    </row>
    <row r="1500" spans="1:20" hidden="1" x14ac:dyDescent="0.3">
      <c r="A1500" s="13">
        <v>43956.708333333336</v>
      </c>
      <c r="B1500" s="12" t="s">
        <v>22</v>
      </c>
      <c r="C1500" s="265">
        <v>12</v>
      </c>
      <c r="D1500" s="12" t="s">
        <v>48</v>
      </c>
      <c r="E1500" s="265">
        <v>4189277044</v>
      </c>
      <c r="F1500" s="265">
        <v>1248366722</v>
      </c>
      <c r="G1500" s="265">
        <v>1315</v>
      </c>
      <c r="H1500" s="265">
        <v>91</v>
      </c>
      <c r="I1500" s="265">
        <v>1406</v>
      </c>
      <c r="J1500" s="265">
        <v>2964</v>
      </c>
      <c r="K1500" s="265">
        <v>4370</v>
      </c>
      <c r="L1500" s="265">
        <v>-15</v>
      </c>
      <c r="M1500" s="265">
        <v>67</v>
      </c>
      <c r="N1500" s="265">
        <v>2010</v>
      </c>
      <c r="O1500" s="265">
        <v>534</v>
      </c>
      <c r="P1500" s="265">
        <v>6914</v>
      </c>
      <c r="Q1500" s="265">
        <v>157307</v>
      </c>
      <c r="R1500" s="12" t="s">
        <v>4577</v>
      </c>
      <c r="S1500" s="12" t="s">
        <v>25</v>
      </c>
      <c r="T1500" s="12" t="s">
        <v>25</v>
      </c>
    </row>
    <row r="1501" spans="1:20" x14ac:dyDescent="0.3">
      <c r="A1501" s="13">
        <v>43956.708333333336</v>
      </c>
      <c r="B1501" s="12" t="s">
        <v>22</v>
      </c>
      <c r="C1501" s="265">
        <v>7</v>
      </c>
      <c r="D1501" s="12" t="s">
        <v>49</v>
      </c>
      <c r="E1501" s="265">
        <v>4441149315</v>
      </c>
      <c r="F1501" s="265">
        <v>89326992</v>
      </c>
      <c r="G1501" s="265">
        <v>583</v>
      </c>
      <c r="H1501" s="265">
        <v>68</v>
      </c>
      <c r="I1501" s="265">
        <v>651</v>
      </c>
      <c r="J1501" s="265">
        <v>2776</v>
      </c>
      <c r="K1501" s="265">
        <v>3427</v>
      </c>
      <c r="L1501" s="265">
        <v>-81</v>
      </c>
      <c r="M1501" s="265">
        <v>63</v>
      </c>
      <c r="N1501" s="265">
        <v>3816</v>
      </c>
      <c r="O1501" s="265">
        <v>1232</v>
      </c>
      <c r="P1501" s="265">
        <v>8475</v>
      </c>
      <c r="Q1501" s="265">
        <v>57622</v>
      </c>
      <c r="R1501" s="12" t="s">
        <v>4578</v>
      </c>
      <c r="S1501" s="12" t="s">
        <v>25</v>
      </c>
      <c r="T1501" s="12" t="s">
        <v>25</v>
      </c>
    </row>
    <row r="1502" spans="1:20" hidden="1" x14ac:dyDescent="0.3">
      <c r="A1502" s="13">
        <v>43956.708333333336</v>
      </c>
      <c r="B1502" s="12" t="s">
        <v>22</v>
      </c>
      <c r="C1502" s="265">
        <v>3</v>
      </c>
      <c r="D1502" s="12" t="s">
        <v>50</v>
      </c>
      <c r="E1502" s="265">
        <v>4546679409</v>
      </c>
      <c r="F1502" s="265">
        <v>9190347404</v>
      </c>
      <c r="G1502" s="265">
        <v>6201</v>
      </c>
      <c r="H1502" s="265">
        <v>509</v>
      </c>
      <c r="I1502" s="265">
        <v>6710</v>
      </c>
      <c r="J1502" s="265">
        <v>30382</v>
      </c>
      <c r="K1502" s="265">
        <v>37092</v>
      </c>
      <c r="L1502" s="265">
        <v>-215</v>
      </c>
      <c r="M1502" s="265">
        <v>500</v>
      </c>
      <c r="N1502" s="265">
        <v>27124</v>
      </c>
      <c r="O1502" s="265">
        <v>14389</v>
      </c>
      <c r="P1502" s="265">
        <v>78605</v>
      </c>
      <c r="Q1502" s="265">
        <v>425290</v>
      </c>
      <c r="R1502" s="12" t="s">
        <v>4579</v>
      </c>
      <c r="S1502" s="12" t="s">
        <v>25</v>
      </c>
      <c r="T1502" s="12" t="s">
        <v>25</v>
      </c>
    </row>
    <row r="1503" spans="1:20" hidden="1" x14ac:dyDescent="0.3">
      <c r="A1503" s="13">
        <v>43956.708333333336</v>
      </c>
      <c r="B1503" s="12" t="s">
        <v>22</v>
      </c>
      <c r="C1503" s="265">
        <v>11</v>
      </c>
      <c r="D1503" s="12" t="s">
        <v>51</v>
      </c>
      <c r="E1503" s="265">
        <v>4361675973</v>
      </c>
      <c r="F1503" s="265">
        <v>135188753</v>
      </c>
      <c r="G1503" s="265">
        <v>387</v>
      </c>
      <c r="H1503" s="265">
        <v>42</v>
      </c>
      <c r="I1503" s="265">
        <v>429</v>
      </c>
      <c r="J1503" s="265">
        <v>2790</v>
      </c>
      <c r="K1503" s="265">
        <v>3219</v>
      </c>
      <c r="L1503" s="265">
        <v>13</v>
      </c>
      <c r="M1503" s="265">
        <v>29</v>
      </c>
      <c r="N1503" s="265">
        <v>2237</v>
      </c>
      <c r="O1503" s="265">
        <v>936</v>
      </c>
      <c r="P1503" s="265">
        <v>6392</v>
      </c>
      <c r="Q1503" s="265">
        <v>67256</v>
      </c>
      <c r="R1503" s="12" t="s">
        <v>4580</v>
      </c>
      <c r="S1503" s="12" t="s">
        <v>25</v>
      </c>
      <c r="T1503" s="12" t="s">
        <v>25</v>
      </c>
    </row>
    <row r="1504" spans="1:20" hidden="1" x14ac:dyDescent="0.3">
      <c r="A1504" s="13">
        <v>43956.708333333336</v>
      </c>
      <c r="B1504" s="12" t="s">
        <v>22</v>
      </c>
      <c r="C1504" s="265">
        <v>14</v>
      </c>
      <c r="D1504" s="12" t="s">
        <v>52</v>
      </c>
      <c r="E1504" s="265">
        <v>4155774754</v>
      </c>
      <c r="F1504" s="265">
        <v>1465916051</v>
      </c>
      <c r="G1504" s="265">
        <v>9</v>
      </c>
      <c r="H1504" s="265">
        <v>1</v>
      </c>
      <c r="I1504" s="265">
        <v>10</v>
      </c>
      <c r="J1504" s="265">
        <v>167</v>
      </c>
      <c r="K1504" s="265">
        <v>177</v>
      </c>
      <c r="L1504" s="265">
        <v>-1</v>
      </c>
      <c r="M1504" s="265">
        <v>0</v>
      </c>
      <c r="N1504" s="265">
        <v>102</v>
      </c>
      <c r="O1504" s="265">
        <v>22</v>
      </c>
      <c r="P1504" s="265">
        <v>301</v>
      </c>
      <c r="Q1504" s="265">
        <v>7528</v>
      </c>
      <c r="R1504" s="12" t="s">
        <v>4581</v>
      </c>
      <c r="S1504" s="12" t="s">
        <v>25</v>
      </c>
      <c r="T1504" s="12" t="s">
        <v>25</v>
      </c>
    </row>
    <row r="1505" spans="1:20" hidden="1" x14ac:dyDescent="0.3">
      <c r="A1505" s="13">
        <v>43956.708333333336</v>
      </c>
      <c r="B1505" s="12" t="s">
        <v>22</v>
      </c>
      <c r="C1505" s="265">
        <v>1</v>
      </c>
      <c r="D1505" s="12" t="s">
        <v>53</v>
      </c>
      <c r="E1505" s="265">
        <v>450732745</v>
      </c>
      <c r="F1505" s="265">
        <v>7680687483</v>
      </c>
      <c r="G1505" s="265">
        <v>2307</v>
      </c>
      <c r="H1505" s="265">
        <v>155</v>
      </c>
      <c r="I1505" s="265">
        <v>2462</v>
      </c>
      <c r="J1505" s="265">
        <v>12861</v>
      </c>
      <c r="K1505" s="265">
        <v>15323</v>
      </c>
      <c r="L1505" s="265">
        <v>-239</v>
      </c>
      <c r="M1505" s="265">
        <v>152</v>
      </c>
      <c r="N1505" s="265">
        <v>9235</v>
      </c>
      <c r="O1505" s="265">
        <v>3216</v>
      </c>
      <c r="P1505" s="265">
        <v>27774</v>
      </c>
      <c r="Q1505" s="265">
        <v>181316</v>
      </c>
      <c r="R1505" s="12" t="s">
        <v>4582</v>
      </c>
      <c r="S1505" s="12" t="s">
        <v>25</v>
      </c>
      <c r="T1505" s="12" t="s">
        <v>25</v>
      </c>
    </row>
    <row r="1506" spans="1:20" hidden="1" x14ac:dyDescent="0.3">
      <c r="A1506" s="13">
        <v>43956.708333333336</v>
      </c>
      <c r="B1506" s="12" t="s">
        <v>22</v>
      </c>
      <c r="C1506" s="265">
        <v>16</v>
      </c>
      <c r="D1506" s="12" t="s">
        <v>54</v>
      </c>
      <c r="E1506" s="265">
        <v>4112559576</v>
      </c>
      <c r="F1506" s="265">
        <v>1686736689</v>
      </c>
      <c r="G1506" s="265">
        <v>384</v>
      </c>
      <c r="H1506" s="265">
        <v>39</v>
      </c>
      <c r="I1506" s="265">
        <v>423</v>
      </c>
      <c r="J1506" s="265">
        <v>2516</v>
      </c>
      <c r="K1506" s="265">
        <v>2939</v>
      </c>
      <c r="L1506" s="265">
        <v>-6</v>
      </c>
      <c r="M1506" s="265">
        <v>17</v>
      </c>
      <c r="N1506" s="265">
        <v>798</v>
      </c>
      <c r="O1506" s="265">
        <v>433</v>
      </c>
      <c r="P1506" s="265">
        <v>4170</v>
      </c>
      <c r="Q1506" s="265">
        <v>69128</v>
      </c>
      <c r="R1506" s="12" t="s">
        <v>4583</v>
      </c>
      <c r="S1506" s="12" t="s">
        <v>25</v>
      </c>
      <c r="T1506" s="12" t="s">
        <v>25</v>
      </c>
    </row>
    <row r="1507" spans="1:20" hidden="1" x14ac:dyDescent="0.3">
      <c r="A1507" s="13">
        <v>43956.708333333336</v>
      </c>
      <c r="B1507" s="12" t="s">
        <v>22</v>
      </c>
      <c r="C1507" s="265">
        <v>20</v>
      </c>
      <c r="D1507" s="12" t="s">
        <v>55</v>
      </c>
      <c r="E1507" s="265">
        <v>3921531192</v>
      </c>
      <c r="F1507" s="265">
        <v>9110616306</v>
      </c>
      <c r="G1507" s="265">
        <v>94</v>
      </c>
      <c r="H1507" s="265">
        <v>9</v>
      </c>
      <c r="I1507" s="265">
        <v>103</v>
      </c>
      <c r="J1507" s="265">
        <v>539</v>
      </c>
      <c r="K1507" s="265">
        <v>642</v>
      </c>
      <c r="L1507" s="265">
        <v>-11</v>
      </c>
      <c r="M1507" s="265">
        <v>1</v>
      </c>
      <c r="N1507" s="265">
        <v>557</v>
      </c>
      <c r="O1507" s="265">
        <v>119</v>
      </c>
      <c r="P1507" s="265">
        <v>1318</v>
      </c>
      <c r="Q1507" s="265">
        <v>28867</v>
      </c>
      <c r="R1507" s="12" t="s">
        <v>4584</v>
      </c>
      <c r="S1507" s="12" t="s">
        <v>25</v>
      </c>
      <c r="T1507" s="12" t="s">
        <v>25</v>
      </c>
    </row>
    <row r="1508" spans="1:20" hidden="1" x14ac:dyDescent="0.3">
      <c r="A1508" s="13">
        <v>43956.708333333336</v>
      </c>
      <c r="B1508" s="12" t="s">
        <v>22</v>
      </c>
      <c r="C1508" s="265">
        <v>19</v>
      </c>
      <c r="D1508" s="12" t="s">
        <v>56</v>
      </c>
      <c r="E1508" s="265">
        <v>3811569725</v>
      </c>
      <c r="F1508" s="265">
        <v>133623567</v>
      </c>
      <c r="G1508" s="265">
        <v>367</v>
      </c>
      <c r="H1508" s="265">
        <v>26</v>
      </c>
      <c r="I1508" s="265">
        <v>393</v>
      </c>
      <c r="J1508" s="265">
        <v>1809</v>
      </c>
      <c r="K1508" s="265">
        <v>2202</v>
      </c>
      <c r="L1508" s="265">
        <v>0</v>
      </c>
      <c r="M1508" s="265">
        <v>12</v>
      </c>
      <c r="N1508" s="265">
        <v>818</v>
      </c>
      <c r="O1508" s="265">
        <v>247</v>
      </c>
      <c r="P1508" s="265">
        <v>3267</v>
      </c>
      <c r="Q1508" s="265">
        <v>91306</v>
      </c>
      <c r="R1508" s="12" t="s">
        <v>4585</v>
      </c>
      <c r="S1508" s="12" t="s">
        <v>25</v>
      </c>
      <c r="T1508" s="12" t="s">
        <v>25</v>
      </c>
    </row>
    <row r="1509" spans="1:20" hidden="1" x14ac:dyDescent="0.3">
      <c r="A1509" s="13">
        <v>43956.708333333336</v>
      </c>
      <c r="B1509" s="12" t="s">
        <v>22</v>
      </c>
      <c r="C1509" s="265">
        <v>9</v>
      </c>
      <c r="D1509" s="12" t="s">
        <v>57</v>
      </c>
      <c r="E1509" s="265">
        <v>4376923077</v>
      </c>
      <c r="F1509" s="265">
        <v>1125588885</v>
      </c>
      <c r="G1509" s="265">
        <v>484</v>
      </c>
      <c r="H1509" s="265">
        <v>111</v>
      </c>
      <c r="I1509" s="265">
        <v>595</v>
      </c>
      <c r="J1509" s="265">
        <v>4595</v>
      </c>
      <c r="K1509" s="265">
        <v>5190</v>
      </c>
      <c r="L1509" s="265">
        <v>-89</v>
      </c>
      <c r="M1509" s="265">
        <v>30</v>
      </c>
      <c r="N1509" s="265">
        <v>3552</v>
      </c>
      <c r="O1509" s="265">
        <v>889</v>
      </c>
      <c r="P1509" s="265">
        <v>9631</v>
      </c>
      <c r="Q1509" s="265">
        <v>157260</v>
      </c>
      <c r="R1509" s="12" t="s">
        <v>4586</v>
      </c>
      <c r="S1509" s="12" t="s">
        <v>25</v>
      </c>
      <c r="T1509" s="12" t="s">
        <v>25</v>
      </c>
    </row>
    <row r="1510" spans="1:20" hidden="1" x14ac:dyDescent="0.3">
      <c r="A1510" s="13">
        <v>43956.708333333336</v>
      </c>
      <c r="B1510" s="12" t="s">
        <v>22</v>
      </c>
      <c r="C1510" s="265">
        <v>22</v>
      </c>
      <c r="D1510" s="12" t="s">
        <v>58</v>
      </c>
      <c r="E1510" s="265">
        <v>4606893511</v>
      </c>
      <c r="F1510" s="265">
        <v>1112123097</v>
      </c>
      <c r="G1510" s="265">
        <v>126</v>
      </c>
      <c r="H1510" s="265">
        <v>15</v>
      </c>
      <c r="I1510" s="265">
        <v>141</v>
      </c>
      <c r="J1510" s="265">
        <v>900</v>
      </c>
      <c r="K1510" s="265">
        <v>1041</v>
      </c>
      <c r="L1510" s="265">
        <v>-124</v>
      </c>
      <c r="M1510" s="265">
        <v>3</v>
      </c>
      <c r="N1510" s="265">
        <v>2787</v>
      </c>
      <c r="O1510" s="265">
        <v>433</v>
      </c>
      <c r="P1510" s="265">
        <v>4261</v>
      </c>
      <c r="Q1510" s="265">
        <v>42870</v>
      </c>
      <c r="R1510" s="12" t="s">
        <v>4587</v>
      </c>
      <c r="S1510" s="12" t="s">
        <v>25</v>
      </c>
      <c r="T1510" s="12" t="s">
        <v>25</v>
      </c>
    </row>
    <row r="1511" spans="1:20" hidden="1" x14ac:dyDescent="0.3">
      <c r="A1511" s="13">
        <v>43956.708333333336</v>
      </c>
      <c r="B1511" s="12" t="s">
        <v>22</v>
      </c>
      <c r="C1511" s="265">
        <v>10</v>
      </c>
      <c r="D1511" s="12" t="s">
        <v>59</v>
      </c>
      <c r="E1511" s="265">
        <v>4310675841</v>
      </c>
      <c r="F1511" s="265">
        <v>1238824698</v>
      </c>
      <c r="G1511" s="265">
        <v>56</v>
      </c>
      <c r="H1511" s="265">
        <v>11</v>
      </c>
      <c r="I1511" s="265">
        <v>67</v>
      </c>
      <c r="J1511" s="265">
        <v>109</v>
      </c>
      <c r="K1511" s="265">
        <v>176</v>
      </c>
      <c r="L1511" s="265">
        <v>-5</v>
      </c>
      <c r="M1511" s="265">
        <v>6</v>
      </c>
      <c r="N1511" s="265">
        <v>1154</v>
      </c>
      <c r="O1511" s="265">
        <v>70</v>
      </c>
      <c r="P1511" s="265">
        <v>1400</v>
      </c>
      <c r="Q1511" s="265">
        <v>39998</v>
      </c>
      <c r="R1511" s="12" t="s">
        <v>4588</v>
      </c>
      <c r="S1511" s="12" t="s">
        <v>25</v>
      </c>
      <c r="T1511" s="12" t="s">
        <v>25</v>
      </c>
    </row>
    <row r="1512" spans="1:20" hidden="1" x14ac:dyDescent="0.3">
      <c r="A1512" s="13">
        <v>43956.708333333336</v>
      </c>
      <c r="B1512" s="12" t="s">
        <v>22</v>
      </c>
      <c r="C1512" s="265">
        <v>2</v>
      </c>
      <c r="D1512" s="12" t="s">
        <v>60</v>
      </c>
      <c r="E1512" s="265">
        <v>4573750286</v>
      </c>
      <c r="F1512" s="265">
        <v>7320149366</v>
      </c>
      <c r="G1512" s="265">
        <v>56</v>
      </c>
      <c r="H1512" s="265">
        <v>3</v>
      </c>
      <c r="I1512" s="265">
        <v>59</v>
      </c>
      <c r="J1512" s="265">
        <v>51</v>
      </c>
      <c r="K1512" s="265">
        <v>110</v>
      </c>
      <c r="L1512" s="265">
        <v>0</v>
      </c>
      <c r="M1512" s="265">
        <v>0</v>
      </c>
      <c r="N1512" s="265">
        <v>894</v>
      </c>
      <c r="O1512" s="265">
        <v>139</v>
      </c>
      <c r="P1512" s="265">
        <v>1143</v>
      </c>
      <c r="Q1512" s="265">
        <v>8484</v>
      </c>
      <c r="R1512" s="12" t="s">
        <v>4589</v>
      </c>
      <c r="S1512" s="12" t="s">
        <v>25</v>
      </c>
      <c r="T1512" s="12" t="s">
        <v>25</v>
      </c>
    </row>
    <row r="1513" spans="1:20" hidden="1" x14ac:dyDescent="0.3">
      <c r="A1513" s="13">
        <v>43956.708333333336</v>
      </c>
      <c r="B1513" s="12" t="s">
        <v>22</v>
      </c>
      <c r="C1513" s="265">
        <v>5</v>
      </c>
      <c r="D1513" s="12" t="s">
        <v>61</v>
      </c>
      <c r="E1513" s="265">
        <v>4543490485</v>
      </c>
      <c r="F1513" s="265">
        <v>1233845213</v>
      </c>
      <c r="G1513" s="265">
        <v>926</v>
      </c>
      <c r="H1513" s="265">
        <v>98</v>
      </c>
      <c r="I1513" s="265">
        <v>1024</v>
      </c>
      <c r="J1513" s="265">
        <v>6092</v>
      </c>
      <c r="K1513" s="265">
        <v>7116</v>
      </c>
      <c r="L1513" s="265">
        <v>-118</v>
      </c>
      <c r="M1513" s="265">
        <v>29</v>
      </c>
      <c r="N1513" s="265">
        <v>9741</v>
      </c>
      <c r="O1513" s="265">
        <v>1545</v>
      </c>
      <c r="P1513" s="265">
        <v>18402</v>
      </c>
      <c r="Q1513" s="265">
        <v>390952</v>
      </c>
      <c r="R1513" s="12" t="s">
        <v>4590</v>
      </c>
      <c r="S1513" s="12" t="s">
        <v>25</v>
      </c>
      <c r="T1513" s="12" t="s">
        <v>25</v>
      </c>
    </row>
    <row r="1514" spans="1:20" hidden="1" x14ac:dyDescent="0.3">
      <c r="A1514" s="13">
        <v>43957.708333333336</v>
      </c>
      <c r="B1514" s="12" t="s">
        <v>22</v>
      </c>
      <c r="C1514" s="265">
        <v>13</v>
      </c>
      <c r="D1514" s="12" t="s">
        <v>42</v>
      </c>
      <c r="E1514" s="265">
        <v>4235122196</v>
      </c>
      <c r="F1514" s="265">
        <v>1339843823</v>
      </c>
      <c r="G1514" s="265">
        <v>285</v>
      </c>
      <c r="H1514" s="265">
        <v>11</v>
      </c>
      <c r="I1514" s="265">
        <v>296</v>
      </c>
      <c r="J1514" s="265">
        <v>1495</v>
      </c>
      <c r="K1514" s="265">
        <v>1791</v>
      </c>
      <c r="L1514" s="265">
        <v>-18</v>
      </c>
      <c r="M1514" s="265">
        <v>22</v>
      </c>
      <c r="N1514" s="265">
        <v>915</v>
      </c>
      <c r="O1514" s="265">
        <v>341</v>
      </c>
      <c r="P1514" s="265">
        <v>3047</v>
      </c>
      <c r="Q1514" s="265">
        <v>43803</v>
      </c>
      <c r="R1514" s="12" t="s">
        <v>4591</v>
      </c>
      <c r="S1514" s="12" t="s">
        <v>25</v>
      </c>
      <c r="T1514" s="12" t="s">
        <v>25</v>
      </c>
    </row>
    <row r="1515" spans="1:20" hidden="1" x14ac:dyDescent="0.3">
      <c r="A1515" s="13">
        <v>43957.708333333336</v>
      </c>
      <c r="B1515" s="12" t="s">
        <v>22</v>
      </c>
      <c r="C1515" s="265">
        <v>17</v>
      </c>
      <c r="D1515" s="12" t="s">
        <v>43</v>
      </c>
      <c r="E1515" s="265">
        <v>4063947052</v>
      </c>
      <c r="F1515" s="265">
        <v>1580514834</v>
      </c>
      <c r="G1515" s="265">
        <v>47</v>
      </c>
      <c r="H1515" s="265">
        <v>3</v>
      </c>
      <c r="I1515" s="265">
        <v>50</v>
      </c>
      <c r="J1515" s="265">
        <v>122</v>
      </c>
      <c r="K1515" s="265">
        <v>172</v>
      </c>
      <c r="L1515" s="265">
        <v>-5</v>
      </c>
      <c r="M1515" s="265">
        <v>3</v>
      </c>
      <c r="N1515" s="265">
        <v>202</v>
      </c>
      <c r="O1515" s="265">
        <v>25</v>
      </c>
      <c r="P1515" s="265">
        <v>399</v>
      </c>
      <c r="Q1515" s="265">
        <v>16103</v>
      </c>
      <c r="R1515" s="12" t="s">
        <v>4592</v>
      </c>
      <c r="S1515" s="12" t="s">
        <v>25</v>
      </c>
      <c r="T1515" s="12" t="s">
        <v>25</v>
      </c>
    </row>
    <row r="1516" spans="1:20" hidden="1" x14ac:dyDescent="0.3">
      <c r="A1516" s="13">
        <v>43957.708333333336</v>
      </c>
      <c r="B1516" s="12" t="s">
        <v>22</v>
      </c>
      <c r="C1516" s="265">
        <v>21</v>
      </c>
      <c r="D1516" s="12" t="s">
        <v>44</v>
      </c>
      <c r="E1516" s="265">
        <v>4649933453</v>
      </c>
      <c r="F1516" s="265">
        <v>1135662422</v>
      </c>
      <c r="G1516" s="265">
        <v>99</v>
      </c>
      <c r="H1516" s="265">
        <v>11</v>
      </c>
      <c r="I1516" s="265">
        <v>110</v>
      </c>
      <c r="J1516" s="265">
        <v>469</v>
      </c>
      <c r="K1516" s="265">
        <v>579</v>
      </c>
      <c r="L1516" s="265">
        <v>-33</v>
      </c>
      <c r="M1516" s="265">
        <v>1</v>
      </c>
      <c r="N1516" s="265">
        <v>1678</v>
      </c>
      <c r="O1516" s="265">
        <v>286</v>
      </c>
      <c r="P1516" s="265">
        <v>2543</v>
      </c>
      <c r="Q1516" s="265">
        <v>46228</v>
      </c>
      <c r="R1516" s="12" t="s">
        <v>4593</v>
      </c>
      <c r="S1516" s="12" t="s">
        <v>25</v>
      </c>
      <c r="T1516" s="12" t="s">
        <v>25</v>
      </c>
    </row>
    <row r="1517" spans="1:20" hidden="1" x14ac:dyDescent="0.3">
      <c r="A1517" s="13">
        <v>43957.708333333336</v>
      </c>
      <c r="B1517" s="12" t="s">
        <v>22</v>
      </c>
      <c r="C1517" s="265">
        <v>18</v>
      </c>
      <c r="D1517" s="12" t="s">
        <v>45</v>
      </c>
      <c r="E1517" s="265">
        <v>3890597598</v>
      </c>
      <c r="F1517" s="265">
        <v>1659440194</v>
      </c>
      <c r="G1517" s="265">
        <v>87</v>
      </c>
      <c r="H1517" s="265">
        <v>3</v>
      </c>
      <c r="I1517" s="265">
        <v>90</v>
      </c>
      <c r="J1517" s="265">
        <v>554</v>
      </c>
      <c r="K1517" s="265">
        <v>644</v>
      </c>
      <c r="L1517" s="265">
        <v>-6</v>
      </c>
      <c r="M1517" s="265">
        <v>3</v>
      </c>
      <c r="N1517" s="265">
        <v>389</v>
      </c>
      <c r="O1517" s="265">
        <v>89</v>
      </c>
      <c r="P1517" s="265">
        <v>1122</v>
      </c>
      <c r="Q1517" s="265">
        <v>41828</v>
      </c>
      <c r="R1517" s="12" t="s">
        <v>4594</v>
      </c>
      <c r="S1517" s="12" t="s">
        <v>25</v>
      </c>
      <c r="T1517" s="12" t="s">
        <v>25</v>
      </c>
    </row>
    <row r="1518" spans="1:20" hidden="1" x14ac:dyDescent="0.3">
      <c r="A1518" s="13">
        <v>43957.708333333336</v>
      </c>
      <c r="B1518" s="12" t="s">
        <v>22</v>
      </c>
      <c r="C1518" s="265">
        <v>15</v>
      </c>
      <c r="D1518" s="12" t="s">
        <v>46</v>
      </c>
      <c r="E1518" s="265">
        <v>4083956555</v>
      </c>
      <c r="F1518" s="265">
        <v>1425084984</v>
      </c>
      <c r="G1518" s="265">
        <v>433</v>
      </c>
      <c r="H1518" s="265">
        <v>25</v>
      </c>
      <c r="I1518" s="265">
        <v>458</v>
      </c>
      <c r="J1518" s="265">
        <v>1882</v>
      </c>
      <c r="K1518" s="265">
        <v>2340</v>
      </c>
      <c r="L1518" s="265">
        <v>-190</v>
      </c>
      <c r="M1518" s="265">
        <v>14</v>
      </c>
      <c r="N1518" s="265">
        <v>1816</v>
      </c>
      <c r="O1518" s="265">
        <v>376</v>
      </c>
      <c r="P1518" s="265">
        <v>4532</v>
      </c>
      <c r="Q1518" s="265">
        <v>96548</v>
      </c>
      <c r="R1518" s="12" t="s">
        <v>4595</v>
      </c>
      <c r="S1518" s="12" t="s">
        <v>25</v>
      </c>
      <c r="T1518" s="12" t="s">
        <v>25</v>
      </c>
    </row>
    <row r="1519" spans="1:20" hidden="1" x14ac:dyDescent="0.3">
      <c r="A1519" s="13">
        <v>43957.708333333336</v>
      </c>
      <c r="B1519" s="12" t="s">
        <v>22</v>
      </c>
      <c r="C1519" s="265">
        <v>8</v>
      </c>
      <c r="D1519" s="12" t="s">
        <v>95</v>
      </c>
      <c r="E1519" s="265">
        <v>4449436681</v>
      </c>
      <c r="F1519" s="265">
        <v>113417208</v>
      </c>
      <c r="G1519" s="265">
        <v>1816</v>
      </c>
      <c r="H1519" s="265">
        <v>176</v>
      </c>
      <c r="I1519" s="265">
        <v>1992</v>
      </c>
      <c r="J1519" s="265">
        <v>6399</v>
      </c>
      <c r="K1519" s="265">
        <v>8391</v>
      </c>
      <c r="L1519" s="265">
        <v>-290</v>
      </c>
      <c r="M1519" s="265">
        <v>104</v>
      </c>
      <c r="N1519" s="265">
        <v>14251</v>
      </c>
      <c r="O1519" s="265">
        <v>3737</v>
      </c>
      <c r="P1519" s="265">
        <v>26379</v>
      </c>
      <c r="Q1519" s="265">
        <v>211652</v>
      </c>
      <c r="R1519" s="12" t="s">
        <v>4596</v>
      </c>
      <c r="S1519" s="12" t="s">
        <v>25</v>
      </c>
      <c r="T1519" s="12" t="s">
        <v>25</v>
      </c>
    </row>
    <row r="1520" spans="1:20" hidden="1" x14ac:dyDescent="0.3">
      <c r="A1520" s="13">
        <v>43957.708333333336</v>
      </c>
      <c r="B1520" s="12" t="s">
        <v>22</v>
      </c>
      <c r="C1520" s="265">
        <v>6</v>
      </c>
      <c r="D1520" s="12" t="s">
        <v>47</v>
      </c>
      <c r="E1520" s="265">
        <v>456494354</v>
      </c>
      <c r="F1520" s="265">
        <v>1376813649</v>
      </c>
      <c r="G1520" s="265">
        <v>115</v>
      </c>
      <c r="H1520" s="265">
        <v>3</v>
      </c>
      <c r="I1520" s="265">
        <v>118</v>
      </c>
      <c r="J1520" s="265">
        <v>844</v>
      </c>
      <c r="K1520" s="265">
        <v>962</v>
      </c>
      <c r="L1520" s="265">
        <v>-22</v>
      </c>
      <c r="M1520" s="265">
        <v>9</v>
      </c>
      <c r="N1520" s="265">
        <v>1826</v>
      </c>
      <c r="O1520" s="265">
        <v>306</v>
      </c>
      <c r="P1520" s="265">
        <v>3094</v>
      </c>
      <c r="Q1520" s="265">
        <v>79429</v>
      </c>
      <c r="R1520" s="12" t="s">
        <v>4597</v>
      </c>
      <c r="S1520" s="12" t="s">
        <v>25</v>
      </c>
      <c r="T1520" s="12" t="s">
        <v>25</v>
      </c>
    </row>
    <row r="1521" spans="1:20" hidden="1" x14ac:dyDescent="0.3">
      <c r="A1521" s="13">
        <v>43957.708333333336</v>
      </c>
      <c r="B1521" s="12" t="s">
        <v>22</v>
      </c>
      <c r="C1521" s="265">
        <v>12</v>
      </c>
      <c r="D1521" s="12" t="s">
        <v>48</v>
      </c>
      <c r="E1521" s="265">
        <v>4189277044</v>
      </c>
      <c r="F1521" s="265">
        <v>1248366722</v>
      </c>
      <c r="G1521" s="265">
        <v>1351</v>
      </c>
      <c r="H1521" s="265">
        <v>91</v>
      </c>
      <c r="I1521" s="265">
        <v>1442</v>
      </c>
      <c r="J1521" s="265">
        <v>2991</v>
      </c>
      <c r="K1521" s="265">
        <v>4433</v>
      </c>
      <c r="L1521" s="265">
        <v>63</v>
      </c>
      <c r="M1521" s="265">
        <v>81</v>
      </c>
      <c r="N1521" s="265">
        <v>2024</v>
      </c>
      <c r="O1521" s="265">
        <v>538</v>
      </c>
      <c r="P1521" s="265">
        <v>6995</v>
      </c>
      <c r="Q1521" s="265">
        <v>160894</v>
      </c>
      <c r="R1521" s="12" t="s">
        <v>4598</v>
      </c>
      <c r="S1521" s="12" t="s">
        <v>25</v>
      </c>
      <c r="T1521" s="12" t="s">
        <v>25</v>
      </c>
    </row>
    <row r="1522" spans="1:20" x14ac:dyDescent="0.3">
      <c r="A1522" s="13">
        <v>43957.708333333336</v>
      </c>
      <c r="B1522" s="12" t="s">
        <v>22</v>
      </c>
      <c r="C1522" s="265">
        <v>7</v>
      </c>
      <c r="D1522" s="12" t="s">
        <v>49</v>
      </c>
      <c r="E1522" s="265">
        <v>4441149315</v>
      </c>
      <c r="F1522" s="265">
        <v>89326992</v>
      </c>
      <c r="G1522" s="265">
        <v>548</v>
      </c>
      <c r="H1522" s="265">
        <v>59</v>
      </c>
      <c r="I1522" s="265">
        <v>607</v>
      </c>
      <c r="J1522" s="265">
        <v>2699</v>
      </c>
      <c r="K1522" s="265">
        <v>3306</v>
      </c>
      <c r="L1522" s="265">
        <v>-121</v>
      </c>
      <c r="M1522" s="265">
        <v>76</v>
      </c>
      <c r="N1522" s="265">
        <v>4002</v>
      </c>
      <c r="O1522" s="265">
        <v>1243</v>
      </c>
      <c r="P1522" s="265">
        <v>8551</v>
      </c>
      <c r="Q1522" s="265">
        <v>59693</v>
      </c>
      <c r="R1522" s="12" t="s">
        <v>4599</v>
      </c>
      <c r="S1522" s="12" t="s">
        <v>25</v>
      </c>
      <c r="T1522" s="12" t="s">
        <v>25</v>
      </c>
    </row>
    <row r="1523" spans="1:20" hidden="1" x14ac:dyDescent="0.3">
      <c r="A1523" s="13">
        <v>43957.708333333336</v>
      </c>
      <c r="B1523" s="12" t="s">
        <v>22</v>
      </c>
      <c r="C1523" s="265">
        <v>3</v>
      </c>
      <c r="D1523" s="12" t="s">
        <v>50</v>
      </c>
      <c r="E1523" s="265">
        <v>4546679409</v>
      </c>
      <c r="F1523" s="265">
        <v>9190347404</v>
      </c>
      <c r="G1523" s="265">
        <v>6079</v>
      </c>
      <c r="H1523" s="265">
        <v>480</v>
      </c>
      <c r="I1523" s="265">
        <v>6559</v>
      </c>
      <c r="J1523" s="265">
        <v>25194</v>
      </c>
      <c r="K1523" s="265">
        <v>31753</v>
      </c>
      <c r="L1523" s="265">
        <v>-5339</v>
      </c>
      <c r="M1523" s="265">
        <v>764</v>
      </c>
      <c r="N1523" s="265">
        <v>33005</v>
      </c>
      <c r="O1523" s="265">
        <v>14611</v>
      </c>
      <c r="P1523" s="265">
        <v>79369</v>
      </c>
      <c r="Q1523" s="265">
        <v>439806</v>
      </c>
      <c r="R1523" s="12" t="s">
        <v>4600</v>
      </c>
      <c r="S1523" s="12" t="s">
        <v>4601</v>
      </c>
      <c r="T1523" s="12" t="s">
        <v>4602</v>
      </c>
    </row>
    <row r="1524" spans="1:20" hidden="1" x14ac:dyDescent="0.3">
      <c r="A1524" s="13">
        <v>43957.708333333336</v>
      </c>
      <c r="B1524" s="12" t="s">
        <v>22</v>
      </c>
      <c r="C1524" s="265">
        <v>11</v>
      </c>
      <c r="D1524" s="12" t="s">
        <v>51</v>
      </c>
      <c r="E1524" s="265">
        <v>4361675973</v>
      </c>
      <c r="F1524" s="265">
        <v>135188753</v>
      </c>
      <c r="G1524" s="265">
        <v>353</v>
      </c>
      <c r="H1524" s="265">
        <v>42</v>
      </c>
      <c r="I1524" s="265">
        <v>395</v>
      </c>
      <c r="J1524" s="265">
        <v>2841</v>
      </c>
      <c r="K1524" s="265">
        <v>3236</v>
      </c>
      <c r="L1524" s="265">
        <v>17</v>
      </c>
      <c r="M1524" s="265">
        <v>29</v>
      </c>
      <c r="N1524" s="265">
        <v>2242</v>
      </c>
      <c r="O1524" s="265">
        <v>943</v>
      </c>
      <c r="P1524" s="265">
        <v>6421</v>
      </c>
      <c r="Q1524" s="265">
        <v>69037</v>
      </c>
      <c r="R1524" s="12" t="s">
        <v>4603</v>
      </c>
      <c r="S1524" s="12" t="s">
        <v>25</v>
      </c>
      <c r="T1524" s="12" t="s">
        <v>25</v>
      </c>
    </row>
    <row r="1525" spans="1:20" hidden="1" x14ac:dyDescent="0.3">
      <c r="A1525" s="13">
        <v>43957.708333333336</v>
      </c>
      <c r="B1525" s="12" t="s">
        <v>22</v>
      </c>
      <c r="C1525" s="265">
        <v>14</v>
      </c>
      <c r="D1525" s="12" t="s">
        <v>52</v>
      </c>
      <c r="E1525" s="265">
        <v>4155774754</v>
      </c>
      <c r="F1525" s="265">
        <v>1465916051</v>
      </c>
      <c r="G1525" s="265">
        <v>9</v>
      </c>
      <c r="H1525" s="265">
        <v>0</v>
      </c>
      <c r="I1525" s="265">
        <v>9</v>
      </c>
      <c r="J1525" s="265">
        <v>170</v>
      </c>
      <c r="K1525" s="265">
        <v>179</v>
      </c>
      <c r="L1525" s="265">
        <v>2</v>
      </c>
      <c r="M1525" s="265">
        <v>3</v>
      </c>
      <c r="N1525" s="265">
        <v>103</v>
      </c>
      <c r="O1525" s="265">
        <v>22</v>
      </c>
      <c r="P1525" s="265">
        <v>304</v>
      </c>
      <c r="Q1525" s="265">
        <v>7896</v>
      </c>
      <c r="R1525" s="12" t="s">
        <v>4604</v>
      </c>
      <c r="S1525" s="12" t="s">
        <v>25</v>
      </c>
      <c r="T1525" s="12" t="s">
        <v>25</v>
      </c>
    </row>
    <row r="1526" spans="1:20" hidden="1" x14ac:dyDescent="0.3">
      <c r="A1526" s="13">
        <v>43957.708333333336</v>
      </c>
      <c r="B1526" s="12" t="s">
        <v>22</v>
      </c>
      <c r="C1526" s="265">
        <v>1</v>
      </c>
      <c r="D1526" s="12" t="s">
        <v>53</v>
      </c>
      <c r="E1526" s="265">
        <v>450732745</v>
      </c>
      <c r="F1526" s="265">
        <v>7680687483</v>
      </c>
      <c r="G1526" s="265">
        <v>2147</v>
      </c>
      <c r="H1526" s="265">
        <v>150</v>
      </c>
      <c r="I1526" s="265">
        <v>2297</v>
      </c>
      <c r="J1526" s="265">
        <v>12561</v>
      </c>
      <c r="K1526" s="265">
        <v>14858</v>
      </c>
      <c r="L1526" s="265">
        <v>-465</v>
      </c>
      <c r="M1526" s="265">
        <v>165</v>
      </c>
      <c r="N1526" s="265">
        <v>9834</v>
      </c>
      <c r="O1526" s="265">
        <v>3247</v>
      </c>
      <c r="P1526" s="265">
        <v>27939</v>
      </c>
      <c r="Q1526" s="265">
        <v>188057</v>
      </c>
      <c r="R1526" s="12" t="s">
        <v>4605</v>
      </c>
      <c r="S1526" s="12" t="s">
        <v>25</v>
      </c>
      <c r="T1526" s="12" t="s">
        <v>25</v>
      </c>
    </row>
    <row r="1527" spans="1:20" hidden="1" x14ac:dyDescent="0.3">
      <c r="A1527" s="13">
        <v>43957.708333333336</v>
      </c>
      <c r="B1527" s="12" t="s">
        <v>22</v>
      </c>
      <c r="C1527" s="265">
        <v>16</v>
      </c>
      <c r="D1527" s="12" t="s">
        <v>54</v>
      </c>
      <c r="E1527" s="265">
        <v>4112559576</v>
      </c>
      <c r="F1527" s="265">
        <v>1686736689</v>
      </c>
      <c r="G1527" s="265">
        <v>365</v>
      </c>
      <c r="H1527" s="265">
        <v>36</v>
      </c>
      <c r="I1527" s="265">
        <v>401</v>
      </c>
      <c r="J1527" s="265">
        <v>2502</v>
      </c>
      <c r="K1527" s="265">
        <v>2903</v>
      </c>
      <c r="L1527" s="265">
        <v>-36</v>
      </c>
      <c r="M1527" s="265">
        <v>26</v>
      </c>
      <c r="N1527" s="265">
        <v>855</v>
      </c>
      <c r="O1527" s="265">
        <v>438</v>
      </c>
      <c r="P1527" s="265">
        <v>4196</v>
      </c>
      <c r="Q1527" s="265">
        <v>70944</v>
      </c>
      <c r="R1527" s="12" t="s">
        <v>4606</v>
      </c>
      <c r="S1527" s="12" t="s">
        <v>25</v>
      </c>
      <c r="T1527" s="12" t="s">
        <v>25</v>
      </c>
    </row>
    <row r="1528" spans="1:20" hidden="1" x14ac:dyDescent="0.3">
      <c r="A1528" s="13">
        <v>43957.708333333336</v>
      </c>
      <c r="B1528" s="12" t="s">
        <v>22</v>
      </c>
      <c r="C1528" s="265">
        <v>20</v>
      </c>
      <c r="D1528" s="12" t="s">
        <v>55</v>
      </c>
      <c r="E1528" s="265">
        <v>3921531192</v>
      </c>
      <c r="F1528" s="265">
        <v>9110616306</v>
      </c>
      <c r="G1528" s="265">
        <v>91</v>
      </c>
      <c r="H1528" s="265">
        <v>11</v>
      </c>
      <c r="I1528" s="265">
        <v>102</v>
      </c>
      <c r="J1528" s="265">
        <v>521</v>
      </c>
      <c r="K1528" s="265">
        <v>623</v>
      </c>
      <c r="L1528" s="265">
        <v>-19</v>
      </c>
      <c r="M1528" s="265">
        <v>1</v>
      </c>
      <c r="N1528" s="265">
        <v>577</v>
      </c>
      <c r="O1528" s="265">
        <v>119</v>
      </c>
      <c r="P1528" s="265">
        <v>1319</v>
      </c>
      <c r="Q1528" s="265">
        <v>29966</v>
      </c>
      <c r="R1528" s="12" t="s">
        <v>4607</v>
      </c>
      <c r="S1528" s="12" t="s">
        <v>25</v>
      </c>
      <c r="T1528" s="12" t="s">
        <v>25</v>
      </c>
    </row>
    <row r="1529" spans="1:20" hidden="1" x14ac:dyDescent="0.3">
      <c r="A1529" s="13">
        <v>43957.708333333336</v>
      </c>
      <c r="B1529" s="12" t="s">
        <v>22</v>
      </c>
      <c r="C1529" s="265">
        <v>19</v>
      </c>
      <c r="D1529" s="12" t="s">
        <v>56</v>
      </c>
      <c r="E1529" s="265">
        <v>3811569725</v>
      </c>
      <c r="F1529" s="265">
        <v>133623567</v>
      </c>
      <c r="G1529" s="265">
        <v>359</v>
      </c>
      <c r="H1529" s="265">
        <v>25</v>
      </c>
      <c r="I1529" s="265">
        <v>384</v>
      </c>
      <c r="J1529" s="265">
        <v>1817</v>
      </c>
      <c r="K1529" s="265">
        <v>2201</v>
      </c>
      <c r="L1529" s="265">
        <v>-1</v>
      </c>
      <c r="M1529" s="265">
        <v>14</v>
      </c>
      <c r="N1529" s="265">
        <v>830</v>
      </c>
      <c r="O1529" s="265">
        <v>250</v>
      </c>
      <c r="P1529" s="265">
        <v>3281</v>
      </c>
      <c r="Q1529" s="265">
        <v>92999</v>
      </c>
      <c r="R1529" s="12" t="s">
        <v>4608</v>
      </c>
      <c r="S1529" s="12" t="s">
        <v>25</v>
      </c>
      <c r="T1529" s="12" t="s">
        <v>25</v>
      </c>
    </row>
    <row r="1530" spans="1:20" hidden="1" x14ac:dyDescent="0.3">
      <c r="A1530" s="13">
        <v>43957.708333333336</v>
      </c>
      <c r="B1530" s="12" t="s">
        <v>22</v>
      </c>
      <c r="C1530" s="265">
        <v>9</v>
      </c>
      <c r="D1530" s="12" t="s">
        <v>57</v>
      </c>
      <c r="E1530" s="265">
        <v>4376923077</v>
      </c>
      <c r="F1530" s="265">
        <v>1125588885</v>
      </c>
      <c r="G1530" s="265">
        <v>462</v>
      </c>
      <c r="H1530" s="265">
        <v>92</v>
      </c>
      <c r="I1530" s="265">
        <v>554</v>
      </c>
      <c r="J1530" s="265">
        <v>4534</v>
      </c>
      <c r="K1530" s="265">
        <v>5088</v>
      </c>
      <c r="L1530" s="265">
        <v>-102</v>
      </c>
      <c r="M1530" s="265">
        <v>26</v>
      </c>
      <c r="N1530" s="265">
        <v>3670</v>
      </c>
      <c r="O1530" s="265">
        <v>899</v>
      </c>
      <c r="P1530" s="265">
        <v>9657</v>
      </c>
      <c r="Q1530" s="265">
        <v>161553</v>
      </c>
      <c r="R1530" s="12" t="s">
        <v>4609</v>
      </c>
      <c r="S1530" s="12" t="s">
        <v>25</v>
      </c>
      <c r="T1530" s="12" t="s">
        <v>25</v>
      </c>
    </row>
    <row r="1531" spans="1:20" hidden="1" x14ac:dyDescent="0.3">
      <c r="A1531" s="13">
        <v>43957.708333333336</v>
      </c>
      <c r="B1531" s="12" t="s">
        <v>22</v>
      </c>
      <c r="C1531" s="265">
        <v>22</v>
      </c>
      <c r="D1531" s="12" t="s">
        <v>58</v>
      </c>
      <c r="E1531" s="265">
        <v>4606893511</v>
      </c>
      <c r="F1531" s="265">
        <v>1112123097</v>
      </c>
      <c r="G1531" s="265">
        <v>116</v>
      </c>
      <c r="H1531" s="265">
        <v>13</v>
      </c>
      <c r="I1531" s="265">
        <v>129</v>
      </c>
      <c r="J1531" s="265">
        <v>853</v>
      </c>
      <c r="K1531" s="265">
        <v>982</v>
      </c>
      <c r="L1531" s="265">
        <v>-59</v>
      </c>
      <c r="M1531" s="265">
        <v>19</v>
      </c>
      <c r="N1531" s="265">
        <v>2861</v>
      </c>
      <c r="O1531" s="265">
        <v>437</v>
      </c>
      <c r="P1531" s="265">
        <v>4280</v>
      </c>
      <c r="Q1531" s="265">
        <v>44719</v>
      </c>
      <c r="R1531" s="12" t="s">
        <v>4610</v>
      </c>
      <c r="S1531" s="12" t="s">
        <v>25</v>
      </c>
      <c r="T1531" s="12" t="s">
        <v>25</v>
      </c>
    </row>
    <row r="1532" spans="1:20" hidden="1" x14ac:dyDescent="0.3">
      <c r="A1532" s="13">
        <v>43957.708333333336</v>
      </c>
      <c r="B1532" s="12" t="s">
        <v>22</v>
      </c>
      <c r="C1532" s="265">
        <v>10</v>
      </c>
      <c r="D1532" s="12" t="s">
        <v>59</v>
      </c>
      <c r="E1532" s="265">
        <v>4310675841</v>
      </c>
      <c r="F1532" s="265">
        <v>1238824698</v>
      </c>
      <c r="G1532" s="265">
        <v>55</v>
      </c>
      <c r="H1532" s="265">
        <v>9</v>
      </c>
      <c r="I1532" s="265">
        <v>64</v>
      </c>
      <c r="J1532" s="265">
        <v>107</v>
      </c>
      <c r="K1532" s="265">
        <v>171</v>
      </c>
      <c r="L1532" s="265">
        <v>-5</v>
      </c>
      <c r="M1532" s="265">
        <v>4</v>
      </c>
      <c r="N1532" s="265">
        <v>1163</v>
      </c>
      <c r="O1532" s="265">
        <v>70</v>
      </c>
      <c r="P1532" s="265">
        <v>1404</v>
      </c>
      <c r="Q1532" s="265">
        <v>41328</v>
      </c>
      <c r="R1532" s="12" t="s">
        <v>4611</v>
      </c>
      <c r="S1532" s="12" t="s">
        <v>25</v>
      </c>
      <c r="T1532" s="12" t="s">
        <v>25</v>
      </c>
    </row>
    <row r="1533" spans="1:20" hidden="1" x14ac:dyDescent="0.3">
      <c r="A1533" s="13">
        <v>43957.708333333336</v>
      </c>
      <c r="B1533" s="12" t="s">
        <v>22</v>
      </c>
      <c r="C1533" s="265">
        <v>2</v>
      </c>
      <c r="D1533" s="12" t="s">
        <v>60</v>
      </c>
      <c r="E1533" s="265">
        <v>4573750286</v>
      </c>
      <c r="F1533" s="265">
        <v>7320149366</v>
      </c>
      <c r="G1533" s="265">
        <v>50</v>
      </c>
      <c r="H1533" s="265">
        <v>3</v>
      </c>
      <c r="I1533" s="265">
        <v>53</v>
      </c>
      <c r="J1533" s="265">
        <v>74</v>
      </c>
      <c r="K1533" s="265">
        <v>127</v>
      </c>
      <c r="L1533" s="265">
        <v>17</v>
      </c>
      <c r="M1533" s="265">
        <v>3</v>
      </c>
      <c r="N1533" s="265">
        <v>880</v>
      </c>
      <c r="O1533" s="265">
        <v>139</v>
      </c>
      <c r="P1533" s="265">
        <v>1146</v>
      </c>
      <c r="Q1533" s="265">
        <v>8640</v>
      </c>
      <c r="R1533" s="12" t="s">
        <v>4612</v>
      </c>
      <c r="S1533" s="12" t="s">
        <v>25</v>
      </c>
      <c r="T1533" s="12" t="s">
        <v>25</v>
      </c>
    </row>
    <row r="1534" spans="1:20" hidden="1" x14ac:dyDescent="0.3">
      <c r="A1534" s="13">
        <v>43957.708333333336</v>
      </c>
      <c r="B1534" s="12" t="s">
        <v>22</v>
      </c>
      <c r="C1534" s="265">
        <v>5</v>
      </c>
      <c r="D1534" s="12" t="s">
        <v>61</v>
      </c>
      <c r="E1534" s="265">
        <v>4543490485</v>
      </c>
      <c r="F1534" s="265">
        <v>1233845213</v>
      </c>
      <c r="G1534" s="265">
        <v>902</v>
      </c>
      <c r="H1534" s="265">
        <v>90</v>
      </c>
      <c r="I1534" s="265">
        <v>992</v>
      </c>
      <c r="J1534" s="265">
        <v>5797</v>
      </c>
      <c r="K1534" s="265">
        <v>6789</v>
      </c>
      <c r="L1534" s="265">
        <v>-327</v>
      </c>
      <c r="M1534" s="265">
        <v>77</v>
      </c>
      <c r="N1534" s="265">
        <v>10122</v>
      </c>
      <c r="O1534" s="265">
        <v>1568</v>
      </c>
      <c r="P1534" s="265">
        <v>18479</v>
      </c>
      <c r="Q1534" s="265">
        <v>399806</v>
      </c>
      <c r="R1534" s="12" t="s">
        <v>4613</v>
      </c>
      <c r="S1534" s="12" t="s">
        <v>25</v>
      </c>
      <c r="T1534" s="12" t="s">
        <v>25</v>
      </c>
    </row>
    <row r="1535" spans="1:20" hidden="1" x14ac:dyDescent="0.3">
      <c r="A1535" s="13">
        <v>43958.708333333336</v>
      </c>
      <c r="B1535" s="12" t="s">
        <v>22</v>
      </c>
      <c r="C1535" s="265">
        <v>13</v>
      </c>
      <c r="D1535" s="12" t="s">
        <v>42</v>
      </c>
      <c r="E1535" s="265">
        <v>4235122196</v>
      </c>
      <c r="F1535" s="265">
        <v>1339843823</v>
      </c>
      <c r="G1535" s="265">
        <v>263</v>
      </c>
      <c r="H1535" s="265">
        <v>12</v>
      </c>
      <c r="I1535" s="265">
        <v>275</v>
      </c>
      <c r="J1535" s="265">
        <v>1495</v>
      </c>
      <c r="K1535" s="265">
        <v>1770</v>
      </c>
      <c r="L1535" s="265">
        <v>-21</v>
      </c>
      <c r="M1535" s="265">
        <v>25</v>
      </c>
      <c r="N1535" s="265">
        <v>954</v>
      </c>
      <c r="O1535" s="265">
        <v>348</v>
      </c>
      <c r="P1535" s="265">
        <v>3072</v>
      </c>
      <c r="Q1535" s="265">
        <v>45021</v>
      </c>
      <c r="R1535" s="12" t="s">
        <v>4614</v>
      </c>
      <c r="S1535" s="12" t="s">
        <v>25</v>
      </c>
      <c r="T1535" s="12" t="s">
        <v>25</v>
      </c>
    </row>
    <row r="1536" spans="1:20" hidden="1" x14ac:dyDescent="0.3">
      <c r="A1536" s="13">
        <v>43958.708333333336</v>
      </c>
      <c r="B1536" s="12" t="s">
        <v>22</v>
      </c>
      <c r="C1536" s="265">
        <v>17</v>
      </c>
      <c r="D1536" s="12" t="s">
        <v>43</v>
      </c>
      <c r="E1536" s="265">
        <v>4063947052</v>
      </c>
      <c r="F1536" s="265">
        <v>1580514834</v>
      </c>
      <c r="G1536" s="265">
        <v>48</v>
      </c>
      <c r="H1536" s="265">
        <v>2</v>
      </c>
      <c r="I1536" s="265">
        <v>50</v>
      </c>
      <c r="J1536" s="265">
        <v>105</v>
      </c>
      <c r="K1536" s="265">
        <v>155</v>
      </c>
      <c r="L1536" s="265">
        <v>-17</v>
      </c>
      <c r="M1536" s="265">
        <v>-16</v>
      </c>
      <c r="N1536" s="265">
        <v>202</v>
      </c>
      <c r="O1536" s="265">
        <v>26</v>
      </c>
      <c r="P1536" s="265">
        <v>383</v>
      </c>
      <c r="Q1536" s="265">
        <v>16272</v>
      </c>
      <c r="R1536" s="12" t="s">
        <v>4615</v>
      </c>
      <c r="S1536" s="12" t="s">
        <v>4616</v>
      </c>
      <c r="T1536" s="12" t="s">
        <v>4617</v>
      </c>
    </row>
    <row r="1537" spans="1:20" hidden="1" x14ac:dyDescent="0.3">
      <c r="A1537" s="13">
        <v>43958.708333333336</v>
      </c>
      <c r="B1537" s="12" t="s">
        <v>22</v>
      </c>
      <c r="C1537" s="265">
        <v>21</v>
      </c>
      <c r="D1537" s="12" t="s">
        <v>44</v>
      </c>
      <c r="E1537" s="265">
        <v>4649933453</v>
      </c>
      <c r="F1537" s="265">
        <v>1135662422</v>
      </c>
      <c r="G1537" s="265">
        <v>87</v>
      </c>
      <c r="H1537" s="265">
        <v>11</v>
      </c>
      <c r="I1537" s="265">
        <v>98</v>
      </c>
      <c r="J1537" s="265">
        <v>453</v>
      </c>
      <c r="K1537" s="265">
        <v>551</v>
      </c>
      <c r="L1537" s="265">
        <v>-28</v>
      </c>
      <c r="M1537" s="265">
        <v>9</v>
      </c>
      <c r="N1537" s="265">
        <v>1715</v>
      </c>
      <c r="O1537" s="265">
        <v>286</v>
      </c>
      <c r="P1537" s="265">
        <v>2552</v>
      </c>
      <c r="Q1537" s="265">
        <v>47091</v>
      </c>
      <c r="R1537" s="12" t="s">
        <v>4618</v>
      </c>
      <c r="S1537" s="12" t="s">
        <v>25</v>
      </c>
      <c r="T1537" s="12" t="s">
        <v>25</v>
      </c>
    </row>
    <row r="1538" spans="1:20" hidden="1" x14ac:dyDescent="0.3">
      <c r="A1538" s="13">
        <v>43958.708333333336</v>
      </c>
      <c r="B1538" s="12" t="s">
        <v>22</v>
      </c>
      <c r="C1538" s="265">
        <v>18</v>
      </c>
      <c r="D1538" s="12" t="s">
        <v>45</v>
      </c>
      <c r="E1538" s="265">
        <v>3890597598</v>
      </c>
      <c r="F1538" s="265">
        <v>1659440194</v>
      </c>
      <c r="G1538" s="265">
        <v>81</v>
      </c>
      <c r="H1538" s="265">
        <v>2</v>
      </c>
      <c r="I1538" s="265">
        <v>83</v>
      </c>
      <c r="J1538" s="265">
        <v>550</v>
      </c>
      <c r="K1538" s="265">
        <v>633</v>
      </c>
      <c r="L1538" s="265">
        <v>-11</v>
      </c>
      <c r="M1538" s="265">
        <v>3</v>
      </c>
      <c r="N1538" s="265">
        <v>403</v>
      </c>
      <c r="O1538" s="265">
        <v>89</v>
      </c>
      <c r="P1538" s="265">
        <v>1125</v>
      </c>
      <c r="Q1538" s="265">
        <v>42854</v>
      </c>
      <c r="R1538" s="12" t="s">
        <v>4619</v>
      </c>
      <c r="S1538" s="12" t="s">
        <v>25</v>
      </c>
      <c r="T1538" s="12" t="s">
        <v>25</v>
      </c>
    </row>
    <row r="1539" spans="1:20" hidden="1" x14ac:dyDescent="0.3">
      <c r="A1539" s="13">
        <v>43958.708333333336</v>
      </c>
      <c r="B1539" s="12" t="s">
        <v>22</v>
      </c>
      <c r="C1539" s="265">
        <v>15</v>
      </c>
      <c r="D1539" s="12" t="s">
        <v>46</v>
      </c>
      <c r="E1539" s="265">
        <v>4083956555</v>
      </c>
      <c r="F1539" s="265">
        <v>1425084984</v>
      </c>
      <c r="G1539" s="265">
        <v>415</v>
      </c>
      <c r="H1539" s="265">
        <v>27</v>
      </c>
      <c r="I1539" s="265">
        <v>442</v>
      </c>
      <c r="J1539" s="265">
        <v>1697</v>
      </c>
      <c r="K1539" s="265">
        <v>2139</v>
      </c>
      <c r="L1539" s="265">
        <v>-201</v>
      </c>
      <c r="M1539" s="265">
        <v>9</v>
      </c>
      <c r="N1539" s="265">
        <v>2023</v>
      </c>
      <c r="O1539" s="265">
        <v>379</v>
      </c>
      <c r="P1539" s="265">
        <v>4541</v>
      </c>
      <c r="Q1539" s="265">
        <v>101025</v>
      </c>
      <c r="R1539" s="12" t="s">
        <v>4620</v>
      </c>
      <c r="S1539" s="12" t="s">
        <v>25</v>
      </c>
      <c r="T1539" s="12" t="s">
        <v>25</v>
      </c>
    </row>
    <row r="1540" spans="1:20" hidden="1" x14ac:dyDescent="0.3">
      <c r="A1540" s="13">
        <v>43958.708333333336</v>
      </c>
      <c r="B1540" s="12" t="s">
        <v>22</v>
      </c>
      <c r="C1540" s="265">
        <v>8</v>
      </c>
      <c r="D1540" s="12" t="s">
        <v>95</v>
      </c>
      <c r="E1540" s="265">
        <v>4449436681</v>
      </c>
      <c r="F1540" s="265">
        <v>113417208</v>
      </c>
      <c r="G1540" s="265">
        <v>1726</v>
      </c>
      <c r="H1540" s="265">
        <v>173</v>
      </c>
      <c r="I1540" s="265">
        <v>1899</v>
      </c>
      <c r="J1540" s="265">
        <v>6112</v>
      </c>
      <c r="K1540" s="265">
        <v>8011</v>
      </c>
      <c r="L1540" s="265">
        <v>-380</v>
      </c>
      <c r="M1540" s="265">
        <v>108</v>
      </c>
      <c r="N1540" s="265">
        <v>14710</v>
      </c>
      <c r="O1540" s="265">
        <v>3766</v>
      </c>
      <c r="P1540" s="265">
        <v>26487</v>
      </c>
      <c r="Q1540" s="265">
        <v>217039</v>
      </c>
      <c r="R1540" s="12" t="s">
        <v>4621</v>
      </c>
      <c r="S1540" s="12" t="s">
        <v>25</v>
      </c>
      <c r="T1540" s="12" t="s">
        <v>25</v>
      </c>
    </row>
    <row r="1541" spans="1:20" hidden="1" x14ac:dyDescent="0.3">
      <c r="A1541" s="13">
        <v>43958.708333333336</v>
      </c>
      <c r="B1541" s="12" t="s">
        <v>22</v>
      </c>
      <c r="C1541" s="265">
        <v>6</v>
      </c>
      <c r="D1541" s="12" t="s">
        <v>47</v>
      </c>
      <c r="E1541" s="265">
        <v>456494354</v>
      </c>
      <c r="F1541" s="265">
        <v>1376813649</v>
      </c>
      <c r="G1541" s="265">
        <v>109</v>
      </c>
      <c r="H1541" s="265">
        <v>2</v>
      </c>
      <c r="I1541" s="265">
        <v>111</v>
      </c>
      <c r="J1541" s="265">
        <v>816</v>
      </c>
      <c r="K1541" s="265">
        <v>927</v>
      </c>
      <c r="L1541" s="265">
        <v>-35</v>
      </c>
      <c r="M1541" s="265">
        <v>13</v>
      </c>
      <c r="N1541" s="265">
        <v>1872</v>
      </c>
      <c r="O1541" s="265">
        <v>308</v>
      </c>
      <c r="P1541" s="265">
        <v>3107</v>
      </c>
      <c r="Q1541" s="265">
        <v>82012</v>
      </c>
      <c r="R1541" s="12" t="s">
        <v>4622</v>
      </c>
      <c r="S1541" s="12" t="s">
        <v>25</v>
      </c>
      <c r="T1541" s="12" t="s">
        <v>25</v>
      </c>
    </row>
    <row r="1542" spans="1:20" hidden="1" x14ac:dyDescent="0.3">
      <c r="A1542" s="13">
        <v>43958.708333333336</v>
      </c>
      <c r="B1542" s="12" t="s">
        <v>22</v>
      </c>
      <c r="C1542" s="265">
        <v>12</v>
      </c>
      <c r="D1542" s="12" t="s">
        <v>48</v>
      </c>
      <c r="E1542" s="265">
        <v>4189277044</v>
      </c>
      <c r="F1542" s="265">
        <v>1248366722</v>
      </c>
      <c r="G1542" s="265">
        <v>1291</v>
      </c>
      <c r="H1542" s="265">
        <v>89</v>
      </c>
      <c r="I1542" s="265">
        <v>1380</v>
      </c>
      <c r="J1542" s="265">
        <v>2968</v>
      </c>
      <c r="K1542" s="265">
        <v>4348</v>
      </c>
      <c r="L1542" s="265">
        <v>-85</v>
      </c>
      <c r="M1542" s="265">
        <v>39</v>
      </c>
      <c r="N1542" s="265">
        <v>2143</v>
      </c>
      <c r="O1542" s="265">
        <v>543</v>
      </c>
      <c r="P1542" s="265">
        <v>7034</v>
      </c>
      <c r="Q1542" s="265">
        <v>165340</v>
      </c>
      <c r="R1542" s="12" t="s">
        <v>4623</v>
      </c>
      <c r="S1542" s="12" t="s">
        <v>25</v>
      </c>
      <c r="T1542" s="12" t="s">
        <v>25</v>
      </c>
    </row>
    <row r="1543" spans="1:20" x14ac:dyDescent="0.3">
      <c r="A1543" s="13">
        <v>43958.708333333336</v>
      </c>
      <c r="B1543" s="12" t="s">
        <v>22</v>
      </c>
      <c r="C1543" s="265">
        <v>7</v>
      </c>
      <c r="D1543" s="12" t="s">
        <v>49</v>
      </c>
      <c r="E1543" s="265">
        <v>4441149315</v>
      </c>
      <c r="F1543" s="265">
        <v>89326992</v>
      </c>
      <c r="G1543" s="265">
        <v>525</v>
      </c>
      <c r="H1543" s="265">
        <v>57</v>
      </c>
      <c r="I1543" s="265">
        <v>582</v>
      </c>
      <c r="J1543" s="265">
        <v>2666</v>
      </c>
      <c r="K1543" s="265">
        <v>3248</v>
      </c>
      <c r="L1543" s="265">
        <v>-58</v>
      </c>
      <c r="M1543" s="265">
        <v>94</v>
      </c>
      <c r="N1543" s="265">
        <v>4143</v>
      </c>
      <c r="O1543" s="265">
        <v>1254</v>
      </c>
      <c r="P1543" s="265">
        <v>8645</v>
      </c>
      <c r="Q1543" s="265">
        <v>61446</v>
      </c>
      <c r="R1543" s="12" t="s">
        <v>4624</v>
      </c>
      <c r="S1543" s="12" t="s">
        <v>25</v>
      </c>
      <c r="T1543" s="12" t="s">
        <v>25</v>
      </c>
    </row>
    <row r="1544" spans="1:20" hidden="1" x14ac:dyDescent="0.3">
      <c r="A1544" s="13">
        <v>43958.708333333336</v>
      </c>
      <c r="B1544" s="12" t="s">
        <v>22</v>
      </c>
      <c r="C1544" s="265">
        <v>3</v>
      </c>
      <c r="D1544" s="12" t="s">
        <v>50</v>
      </c>
      <c r="E1544" s="265">
        <v>4546679409</v>
      </c>
      <c r="F1544" s="265">
        <v>9190347404</v>
      </c>
      <c r="G1544" s="265">
        <v>5848</v>
      </c>
      <c r="H1544" s="265">
        <v>480</v>
      </c>
      <c r="I1544" s="265">
        <v>6328</v>
      </c>
      <c r="J1544" s="265">
        <v>25687</v>
      </c>
      <c r="K1544" s="265">
        <v>32015</v>
      </c>
      <c r="L1544" s="265">
        <v>262</v>
      </c>
      <c r="M1544" s="265">
        <v>720</v>
      </c>
      <c r="N1544" s="265">
        <v>33329</v>
      </c>
      <c r="O1544" s="265">
        <v>14745</v>
      </c>
      <c r="P1544" s="265">
        <v>80089</v>
      </c>
      <c r="Q1544" s="265">
        <v>455294</v>
      </c>
      <c r="R1544" s="12" t="s">
        <v>4600</v>
      </c>
      <c r="S1544" s="12" t="s">
        <v>25</v>
      </c>
      <c r="T1544" s="12" t="s">
        <v>25</v>
      </c>
    </row>
    <row r="1545" spans="1:20" hidden="1" x14ac:dyDescent="0.3">
      <c r="A1545" s="13">
        <v>43958.708333333336</v>
      </c>
      <c r="B1545" s="12" t="s">
        <v>22</v>
      </c>
      <c r="C1545" s="265">
        <v>11</v>
      </c>
      <c r="D1545" s="12" t="s">
        <v>51</v>
      </c>
      <c r="E1545" s="265">
        <v>4361675973</v>
      </c>
      <c r="F1545" s="265">
        <v>135188753</v>
      </c>
      <c r="G1545" s="265">
        <v>328</v>
      </c>
      <c r="H1545" s="265">
        <v>41</v>
      </c>
      <c r="I1545" s="265">
        <v>369</v>
      </c>
      <c r="J1545" s="265">
        <v>2878</v>
      </c>
      <c r="K1545" s="265">
        <v>3247</v>
      </c>
      <c r="L1545" s="265">
        <v>11</v>
      </c>
      <c r="M1545" s="265">
        <v>31</v>
      </c>
      <c r="N1545" s="265">
        <v>2257</v>
      </c>
      <c r="O1545" s="265">
        <v>948</v>
      </c>
      <c r="P1545" s="265">
        <v>6452</v>
      </c>
      <c r="Q1545" s="265">
        <v>71017</v>
      </c>
      <c r="R1545" s="12" t="s">
        <v>4625</v>
      </c>
      <c r="S1545" s="12" t="s">
        <v>25</v>
      </c>
      <c r="T1545" s="12" t="s">
        <v>25</v>
      </c>
    </row>
    <row r="1546" spans="1:20" hidden="1" x14ac:dyDescent="0.3">
      <c r="A1546" s="13">
        <v>43958.708333333336</v>
      </c>
      <c r="B1546" s="12" t="s">
        <v>22</v>
      </c>
      <c r="C1546" s="265">
        <v>14</v>
      </c>
      <c r="D1546" s="12" t="s">
        <v>52</v>
      </c>
      <c r="E1546" s="265">
        <v>4155774754</v>
      </c>
      <c r="F1546" s="265">
        <v>1465916051</v>
      </c>
      <c r="G1546" s="265">
        <v>8</v>
      </c>
      <c r="H1546" s="265">
        <v>0</v>
      </c>
      <c r="I1546" s="265">
        <v>8</v>
      </c>
      <c r="J1546" s="265">
        <v>162</v>
      </c>
      <c r="K1546" s="265">
        <v>170</v>
      </c>
      <c r="L1546" s="265">
        <v>-9</v>
      </c>
      <c r="M1546" s="265">
        <v>1</v>
      </c>
      <c r="N1546" s="265">
        <v>113</v>
      </c>
      <c r="O1546" s="265">
        <v>22</v>
      </c>
      <c r="P1546" s="265">
        <v>305</v>
      </c>
      <c r="Q1546" s="265">
        <v>8237</v>
      </c>
      <c r="R1546" s="12" t="s">
        <v>2320</v>
      </c>
      <c r="S1546" s="12" t="s">
        <v>25</v>
      </c>
      <c r="T1546" s="12" t="s">
        <v>25</v>
      </c>
    </row>
    <row r="1547" spans="1:20" hidden="1" x14ac:dyDescent="0.3">
      <c r="A1547" s="13">
        <v>43958.708333333336</v>
      </c>
      <c r="B1547" s="12" t="s">
        <v>22</v>
      </c>
      <c r="C1547" s="265">
        <v>1</v>
      </c>
      <c r="D1547" s="12" t="s">
        <v>53</v>
      </c>
      <c r="E1547" s="265">
        <v>450732745</v>
      </c>
      <c r="F1547" s="265">
        <v>7680687483</v>
      </c>
      <c r="G1547" s="265">
        <v>2147</v>
      </c>
      <c r="H1547" s="265">
        <v>150</v>
      </c>
      <c r="I1547" s="265">
        <v>2297</v>
      </c>
      <c r="J1547" s="265">
        <v>12172</v>
      </c>
      <c r="K1547" s="265">
        <v>14469</v>
      </c>
      <c r="L1547" s="265">
        <v>-389</v>
      </c>
      <c r="M1547" s="265">
        <v>196</v>
      </c>
      <c r="N1547" s="265">
        <v>10384</v>
      </c>
      <c r="O1547" s="265">
        <v>3282</v>
      </c>
      <c r="P1547" s="265">
        <v>28135</v>
      </c>
      <c r="Q1547" s="265">
        <v>194584</v>
      </c>
      <c r="R1547" s="12" t="s">
        <v>4626</v>
      </c>
      <c r="S1547" s="12" t="s">
        <v>25</v>
      </c>
      <c r="T1547" s="12" t="s">
        <v>25</v>
      </c>
    </row>
    <row r="1548" spans="1:20" hidden="1" x14ac:dyDescent="0.3">
      <c r="A1548" s="13">
        <v>43958.708333333336</v>
      </c>
      <c r="B1548" s="12" t="s">
        <v>22</v>
      </c>
      <c r="C1548" s="265">
        <v>16</v>
      </c>
      <c r="D1548" s="12" t="s">
        <v>54</v>
      </c>
      <c r="E1548" s="265">
        <v>4112559576</v>
      </c>
      <c r="F1548" s="265">
        <v>1686736689</v>
      </c>
      <c r="G1548" s="265">
        <v>355</v>
      </c>
      <c r="H1548" s="265">
        <v>35</v>
      </c>
      <c r="I1548" s="265">
        <v>390</v>
      </c>
      <c r="J1548" s="265">
        <v>2410</v>
      </c>
      <c r="K1548" s="265">
        <v>2800</v>
      </c>
      <c r="L1548" s="265">
        <v>-103</v>
      </c>
      <c r="M1548" s="265">
        <v>49</v>
      </c>
      <c r="N1548" s="265">
        <v>1004</v>
      </c>
      <c r="O1548" s="265">
        <v>441</v>
      </c>
      <c r="P1548" s="265">
        <v>4245</v>
      </c>
      <c r="Q1548" s="265">
        <v>72796</v>
      </c>
      <c r="R1548" s="12" t="s">
        <v>4627</v>
      </c>
      <c r="S1548" s="12" t="s">
        <v>25</v>
      </c>
      <c r="T1548" s="12" t="s">
        <v>25</v>
      </c>
    </row>
    <row r="1549" spans="1:20" hidden="1" x14ac:dyDescent="0.3">
      <c r="A1549" s="13">
        <v>43958.708333333336</v>
      </c>
      <c r="B1549" s="12" t="s">
        <v>22</v>
      </c>
      <c r="C1549" s="265">
        <v>20</v>
      </c>
      <c r="D1549" s="12" t="s">
        <v>55</v>
      </c>
      <c r="E1549" s="265">
        <v>3921531192</v>
      </c>
      <c r="F1549" s="265">
        <v>9110616306</v>
      </c>
      <c r="G1549" s="265">
        <v>90</v>
      </c>
      <c r="H1549" s="265">
        <v>9</v>
      </c>
      <c r="I1549" s="265">
        <v>99</v>
      </c>
      <c r="J1549" s="265">
        <v>484</v>
      </c>
      <c r="K1549" s="265">
        <v>583</v>
      </c>
      <c r="L1549" s="265">
        <v>-40</v>
      </c>
      <c r="M1549" s="265">
        <v>5</v>
      </c>
      <c r="N1549" s="265">
        <v>622</v>
      </c>
      <c r="O1549" s="265">
        <v>119</v>
      </c>
      <c r="P1549" s="265">
        <v>1324</v>
      </c>
      <c r="Q1549" s="265">
        <v>31064</v>
      </c>
      <c r="R1549" s="12" t="s">
        <v>4628</v>
      </c>
      <c r="S1549" s="12" t="s">
        <v>25</v>
      </c>
      <c r="T1549" s="12" t="s">
        <v>25</v>
      </c>
    </row>
    <row r="1550" spans="1:20" hidden="1" x14ac:dyDescent="0.3">
      <c r="A1550" s="13">
        <v>43958.708333333336</v>
      </c>
      <c r="B1550" s="12" t="s">
        <v>22</v>
      </c>
      <c r="C1550" s="265">
        <v>19</v>
      </c>
      <c r="D1550" s="12" t="s">
        <v>56</v>
      </c>
      <c r="E1550" s="265">
        <v>3811569725</v>
      </c>
      <c r="F1550" s="265">
        <v>133623567</v>
      </c>
      <c r="G1550" s="265">
        <v>349</v>
      </c>
      <c r="H1550" s="265">
        <v>21</v>
      </c>
      <c r="I1550" s="265">
        <v>370</v>
      </c>
      <c r="J1550" s="265">
        <v>1757</v>
      </c>
      <c r="K1550" s="265">
        <v>2127</v>
      </c>
      <c r="L1550" s="265">
        <v>-74</v>
      </c>
      <c r="M1550" s="265">
        <v>7</v>
      </c>
      <c r="N1550" s="265">
        <v>910</v>
      </c>
      <c r="O1550" s="265">
        <v>251</v>
      </c>
      <c r="P1550" s="265">
        <v>3288</v>
      </c>
      <c r="Q1550" s="265">
        <v>95695</v>
      </c>
      <c r="R1550" s="12" t="s">
        <v>4629</v>
      </c>
      <c r="S1550" s="12" t="s">
        <v>25</v>
      </c>
      <c r="T1550" s="12" t="s">
        <v>25</v>
      </c>
    </row>
    <row r="1551" spans="1:20" hidden="1" x14ac:dyDescent="0.3">
      <c r="A1551" s="13">
        <v>43958.708333333336</v>
      </c>
      <c r="B1551" s="12" t="s">
        <v>22</v>
      </c>
      <c r="C1551" s="265">
        <v>9</v>
      </c>
      <c r="D1551" s="12" t="s">
        <v>57</v>
      </c>
      <c r="E1551" s="265">
        <v>4376923077</v>
      </c>
      <c r="F1551" s="265">
        <v>1125588885</v>
      </c>
      <c r="G1551" s="265">
        <v>437</v>
      </c>
      <c r="H1551" s="265">
        <v>91</v>
      </c>
      <c r="I1551" s="265">
        <v>528</v>
      </c>
      <c r="J1551" s="265">
        <v>4188</v>
      </c>
      <c r="K1551" s="265">
        <v>4716</v>
      </c>
      <c r="L1551" s="265">
        <v>-372</v>
      </c>
      <c r="M1551" s="265">
        <v>26</v>
      </c>
      <c r="N1551" s="265">
        <v>4052</v>
      </c>
      <c r="O1551" s="265">
        <v>915</v>
      </c>
      <c r="P1551" s="265">
        <v>9683</v>
      </c>
      <c r="Q1551" s="265">
        <v>166062</v>
      </c>
      <c r="R1551" s="12" t="s">
        <v>4630</v>
      </c>
      <c r="S1551" s="12" t="s">
        <v>25</v>
      </c>
      <c r="T1551" s="12" t="s">
        <v>25</v>
      </c>
    </row>
    <row r="1552" spans="1:20" hidden="1" x14ac:dyDescent="0.3">
      <c r="A1552" s="13">
        <v>43958.708333333336</v>
      </c>
      <c r="B1552" s="12" t="s">
        <v>22</v>
      </c>
      <c r="C1552" s="265">
        <v>22</v>
      </c>
      <c r="D1552" s="12" t="s">
        <v>58</v>
      </c>
      <c r="E1552" s="265">
        <v>4606893511</v>
      </c>
      <c r="F1552" s="265">
        <v>1112123097</v>
      </c>
      <c r="G1552" s="265">
        <v>99</v>
      </c>
      <c r="H1552" s="265">
        <v>11</v>
      </c>
      <c r="I1552" s="265">
        <v>110</v>
      </c>
      <c r="J1552" s="265">
        <v>800</v>
      </c>
      <c r="K1552" s="265">
        <v>910</v>
      </c>
      <c r="L1552" s="265">
        <v>-72</v>
      </c>
      <c r="M1552" s="265">
        <v>3</v>
      </c>
      <c r="N1552" s="265">
        <v>2935</v>
      </c>
      <c r="O1552" s="265">
        <v>438</v>
      </c>
      <c r="P1552" s="265">
        <v>4283</v>
      </c>
      <c r="Q1552" s="265">
        <v>46500</v>
      </c>
      <c r="R1552" s="12" t="s">
        <v>4631</v>
      </c>
      <c r="S1552" s="12" t="s">
        <v>25</v>
      </c>
      <c r="T1552" s="12" t="s">
        <v>25</v>
      </c>
    </row>
    <row r="1553" spans="1:20" hidden="1" x14ac:dyDescent="0.3">
      <c r="A1553" s="13">
        <v>43958.708333333336</v>
      </c>
      <c r="B1553" s="12" t="s">
        <v>22</v>
      </c>
      <c r="C1553" s="265">
        <v>10</v>
      </c>
      <c r="D1553" s="12" t="s">
        <v>59</v>
      </c>
      <c r="E1553" s="265">
        <v>4310675841</v>
      </c>
      <c r="F1553" s="265">
        <v>1238824698</v>
      </c>
      <c r="G1553" s="265">
        <v>47</v>
      </c>
      <c r="H1553" s="265">
        <v>9</v>
      </c>
      <c r="I1553" s="265">
        <v>56</v>
      </c>
      <c r="J1553" s="265">
        <v>85</v>
      </c>
      <c r="K1553" s="265">
        <v>141</v>
      </c>
      <c r="L1553" s="265">
        <v>-30</v>
      </c>
      <c r="M1553" s="265">
        <v>1</v>
      </c>
      <c r="N1553" s="265">
        <v>1194</v>
      </c>
      <c r="O1553" s="265">
        <v>70</v>
      </c>
      <c r="P1553" s="265">
        <v>1405</v>
      </c>
      <c r="Q1553" s="265">
        <v>42788</v>
      </c>
      <c r="R1553" s="12" t="s">
        <v>4632</v>
      </c>
      <c r="S1553" s="12" t="s">
        <v>25</v>
      </c>
      <c r="T1553" s="12" t="s">
        <v>25</v>
      </c>
    </row>
    <row r="1554" spans="1:20" hidden="1" x14ac:dyDescent="0.3">
      <c r="A1554" s="13">
        <v>43958.708333333336</v>
      </c>
      <c r="B1554" s="12" t="s">
        <v>22</v>
      </c>
      <c r="C1554" s="265">
        <v>2</v>
      </c>
      <c r="D1554" s="12" t="s">
        <v>60</v>
      </c>
      <c r="E1554" s="265">
        <v>4573750286</v>
      </c>
      <c r="F1554" s="265">
        <v>7320149366</v>
      </c>
      <c r="G1554" s="265">
        <v>49</v>
      </c>
      <c r="H1554" s="265">
        <v>2</v>
      </c>
      <c r="I1554" s="265">
        <v>51</v>
      </c>
      <c r="J1554" s="265">
        <v>79</v>
      </c>
      <c r="K1554" s="265">
        <v>130</v>
      </c>
      <c r="L1554" s="265">
        <v>3</v>
      </c>
      <c r="M1554" s="265">
        <v>4</v>
      </c>
      <c r="N1554" s="265">
        <v>881</v>
      </c>
      <c r="O1554" s="265">
        <v>139</v>
      </c>
      <c r="P1554" s="265">
        <v>1150</v>
      </c>
      <c r="Q1554" s="265">
        <v>8939</v>
      </c>
      <c r="R1554" s="12" t="s">
        <v>4633</v>
      </c>
      <c r="S1554" s="12" t="s">
        <v>25</v>
      </c>
      <c r="T1554" s="12" t="s">
        <v>25</v>
      </c>
    </row>
    <row r="1555" spans="1:20" hidden="1" x14ac:dyDescent="0.3">
      <c r="A1555" s="13">
        <v>43958.708333333336</v>
      </c>
      <c r="B1555" s="12" t="s">
        <v>22</v>
      </c>
      <c r="C1555" s="265">
        <v>5</v>
      </c>
      <c r="D1555" s="12" t="s">
        <v>61</v>
      </c>
      <c r="E1555" s="265">
        <v>4543490485</v>
      </c>
      <c r="F1555" s="265">
        <v>1233845213</v>
      </c>
      <c r="G1555" s="265">
        <v>872</v>
      </c>
      <c r="H1555" s="265">
        <v>87</v>
      </c>
      <c r="I1555" s="265">
        <v>959</v>
      </c>
      <c r="J1555" s="265">
        <v>5575</v>
      </c>
      <c r="K1555" s="265">
        <v>6534</v>
      </c>
      <c r="L1555" s="265">
        <v>-255</v>
      </c>
      <c r="M1555" s="265">
        <v>74</v>
      </c>
      <c r="N1555" s="265">
        <v>10430</v>
      </c>
      <c r="O1555" s="265">
        <v>1589</v>
      </c>
      <c r="P1555" s="265">
        <v>18553</v>
      </c>
      <c r="Q1555" s="265">
        <v>410212</v>
      </c>
      <c r="R1555" s="12" t="s">
        <v>4634</v>
      </c>
      <c r="S1555" s="12" t="s">
        <v>25</v>
      </c>
      <c r="T1555" s="12" t="s">
        <v>25</v>
      </c>
    </row>
    <row r="1556" spans="1:20" hidden="1" x14ac:dyDescent="0.3">
      <c r="A1556" s="13">
        <v>43959.708333333336</v>
      </c>
      <c r="B1556" s="12" t="s">
        <v>22</v>
      </c>
      <c r="C1556" s="265">
        <v>13</v>
      </c>
      <c r="D1556" s="12" t="s">
        <v>42</v>
      </c>
      <c r="E1556" s="265">
        <v>4235122196</v>
      </c>
      <c r="F1556" s="265">
        <v>1339843823</v>
      </c>
      <c r="G1556" s="265">
        <v>250</v>
      </c>
      <c r="H1556" s="265">
        <v>10</v>
      </c>
      <c r="I1556" s="265">
        <v>260</v>
      </c>
      <c r="J1556" s="265">
        <v>1453</v>
      </c>
      <c r="K1556" s="265">
        <v>1713</v>
      </c>
      <c r="L1556" s="265">
        <v>-57</v>
      </c>
      <c r="M1556" s="265">
        <v>6</v>
      </c>
      <c r="N1556" s="265">
        <v>1014</v>
      </c>
      <c r="O1556" s="265">
        <v>351</v>
      </c>
      <c r="P1556" s="265">
        <v>3078</v>
      </c>
      <c r="Q1556" s="265">
        <v>46103</v>
      </c>
      <c r="R1556" s="12" t="s">
        <v>4635</v>
      </c>
      <c r="S1556" s="12" t="s">
        <v>25</v>
      </c>
      <c r="T1556" s="12" t="s">
        <v>25</v>
      </c>
    </row>
    <row r="1557" spans="1:20" hidden="1" x14ac:dyDescent="0.3">
      <c r="A1557" s="13">
        <v>43959.708333333336</v>
      </c>
      <c r="B1557" s="12" t="s">
        <v>22</v>
      </c>
      <c r="C1557" s="265">
        <v>17</v>
      </c>
      <c r="D1557" s="12" t="s">
        <v>43</v>
      </c>
      <c r="E1557" s="265">
        <v>4063947052</v>
      </c>
      <c r="F1557" s="265">
        <v>1580514834</v>
      </c>
      <c r="G1557" s="265">
        <v>48</v>
      </c>
      <c r="H1557" s="265">
        <v>2</v>
      </c>
      <c r="I1557" s="265">
        <v>50</v>
      </c>
      <c r="J1557" s="265">
        <v>102</v>
      </c>
      <c r="K1557" s="265">
        <v>152</v>
      </c>
      <c r="L1557" s="265">
        <v>-3</v>
      </c>
      <c r="M1557" s="265">
        <v>-1</v>
      </c>
      <c r="N1557" s="265">
        <v>204</v>
      </c>
      <c r="O1557" s="265">
        <v>26</v>
      </c>
      <c r="P1557" s="265">
        <v>382</v>
      </c>
      <c r="Q1557" s="265">
        <v>16777</v>
      </c>
      <c r="R1557" s="12" t="s">
        <v>4636</v>
      </c>
      <c r="S1557" s="12" t="s">
        <v>4637</v>
      </c>
      <c r="T1557" s="12" t="s">
        <v>4638</v>
      </c>
    </row>
    <row r="1558" spans="1:20" hidden="1" x14ac:dyDescent="0.3">
      <c r="A1558" s="13">
        <v>43959.708333333336</v>
      </c>
      <c r="B1558" s="12" t="s">
        <v>22</v>
      </c>
      <c r="C1558" s="265">
        <v>21</v>
      </c>
      <c r="D1558" s="12" t="s">
        <v>44</v>
      </c>
      <c r="E1558" s="265">
        <v>4649933453</v>
      </c>
      <c r="F1558" s="265">
        <v>1135662422</v>
      </c>
      <c r="G1558" s="265">
        <v>78</v>
      </c>
      <c r="H1558" s="265">
        <v>9</v>
      </c>
      <c r="I1558" s="265">
        <v>87</v>
      </c>
      <c r="J1558" s="265">
        <v>415</v>
      </c>
      <c r="K1558" s="265">
        <v>502</v>
      </c>
      <c r="L1558" s="265">
        <v>-49</v>
      </c>
      <c r="M1558" s="265">
        <v>6</v>
      </c>
      <c r="N1558" s="265">
        <v>1767</v>
      </c>
      <c r="O1558" s="265">
        <v>289</v>
      </c>
      <c r="P1558" s="265">
        <v>2558</v>
      </c>
      <c r="Q1558" s="265">
        <v>47908</v>
      </c>
      <c r="R1558" s="12" t="s">
        <v>4639</v>
      </c>
      <c r="S1558" s="12" t="s">
        <v>25</v>
      </c>
      <c r="T1558" s="12" t="s">
        <v>25</v>
      </c>
    </row>
    <row r="1559" spans="1:20" hidden="1" x14ac:dyDescent="0.3">
      <c r="A1559" s="13">
        <v>43959.708333333336</v>
      </c>
      <c r="B1559" s="12" t="s">
        <v>22</v>
      </c>
      <c r="C1559" s="265">
        <v>18</v>
      </c>
      <c r="D1559" s="12" t="s">
        <v>45</v>
      </c>
      <c r="E1559" s="265">
        <v>3890597598</v>
      </c>
      <c r="F1559" s="265">
        <v>1659440194</v>
      </c>
      <c r="G1559" s="265">
        <v>73</v>
      </c>
      <c r="H1559" s="265">
        <v>2</v>
      </c>
      <c r="I1559" s="265">
        <v>75</v>
      </c>
      <c r="J1559" s="265">
        <v>544</v>
      </c>
      <c r="K1559" s="265">
        <v>619</v>
      </c>
      <c r="L1559" s="265">
        <v>-14</v>
      </c>
      <c r="M1559" s="265">
        <v>1</v>
      </c>
      <c r="N1559" s="265">
        <v>417</v>
      </c>
      <c r="O1559" s="265">
        <v>90</v>
      </c>
      <c r="P1559" s="265">
        <v>1126</v>
      </c>
      <c r="Q1559" s="265">
        <v>43980</v>
      </c>
      <c r="R1559" s="12" t="s">
        <v>4640</v>
      </c>
      <c r="S1559" s="12" t="s">
        <v>25</v>
      </c>
      <c r="T1559" s="12" t="s">
        <v>25</v>
      </c>
    </row>
    <row r="1560" spans="1:20" hidden="1" x14ac:dyDescent="0.3">
      <c r="A1560" s="13">
        <v>43959.708333333336</v>
      </c>
      <c r="B1560" s="12" t="s">
        <v>22</v>
      </c>
      <c r="C1560" s="265">
        <v>15</v>
      </c>
      <c r="D1560" s="12" t="s">
        <v>46</v>
      </c>
      <c r="E1560" s="265">
        <v>4083956555</v>
      </c>
      <c r="F1560" s="265">
        <v>1425084984</v>
      </c>
      <c r="G1560" s="265">
        <v>418</v>
      </c>
      <c r="H1560" s="265">
        <v>28</v>
      </c>
      <c r="I1560" s="265">
        <v>446</v>
      </c>
      <c r="J1560" s="265">
        <v>1566</v>
      </c>
      <c r="K1560" s="265">
        <v>2012</v>
      </c>
      <c r="L1560" s="265">
        <v>-127</v>
      </c>
      <c r="M1560" s="265">
        <v>21</v>
      </c>
      <c r="N1560" s="265">
        <v>2164</v>
      </c>
      <c r="O1560" s="265">
        <v>386</v>
      </c>
      <c r="P1560" s="265">
        <v>4562</v>
      </c>
      <c r="Q1560" s="265">
        <v>105399</v>
      </c>
      <c r="R1560" s="12" t="s">
        <v>4641</v>
      </c>
      <c r="S1560" s="12" t="s">
        <v>25</v>
      </c>
      <c r="T1560" s="12" t="s">
        <v>25</v>
      </c>
    </row>
    <row r="1561" spans="1:20" hidden="1" x14ac:dyDescent="0.3">
      <c r="A1561" s="13">
        <v>43959.708333333336</v>
      </c>
      <c r="B1561" s="12" t="s">
        <v>22</v>
      </c>
      <c r="C1561" s="265">
        <v>8</v>
      </c>
      <c r="D1561" s="12" t="s">
        <v>95</v>
      </c>
      <c r="E1561" s="265">
        <v>4449436681</v>
      </c>
      <c r="F1561" s="265">
        <v>113417208</v>
      </c>
      <c r="G1561" s="265">
        <v>1680</v>
      </c>
      <c r="H1561" s="265">
        <v>163</v>
      </c>
      <c r="I1561" s="265">
        <v>1843</v>
      </c>
      <c r="J1561" s="265">
        <v>5887</v>
      </c>
      <c r="K1561" s="265">
        <v>7730</v>
      </c>
      <c r="L1561" s="265">
        <v>-281</v>
      </c>
      <c r="M1561" s="265">
        <v>111</v>
      </c>
      <c r="N1561" s="265">
        <v>15071</v>
      </c>
      <c r="O1561" s="265">
        <v>3797</v>
      </c>
      <c r="P1561" s="265">
        <v>26598</v>
      </c>
      <c r="Q1561" s="265">
        <v>221866</v>
      </c>
      <c r="R1561" s="12" t="s">
        <v>4642</v>
      </c>
      <c r="S1561" s="12" t="s">
        <v>25</v>
      </c>
      <c r="T1561" s="12" t="s">
        <v>25</v>
      </c>
    </row>
    <row r="1562" spans="1:20" hidden="1" x14ac:dyDescent="0.3">
      <c r="A1562" s="13">
        <v>43959.708333333336</v>
      </c>
      <c r="B1562" s="12" t="s">
        <v>22</v>
      </c>
      <c r="C1562" s="265">
        <v>6</v>
      </c>
      <c r="D1562" s="12" t="s">
        <v>47</v>
      </c>
      <c r="E1562" s="265">
        <v>456494354</v>
      </c>
      <c r="F1562" s="265">
        <v>1376813649</v>
      </c>
      <c r="G1562" s="265">
        <v>105</v>
      </c>
      <c r="H1562" s="265">
        <v>2</v>
      </c>
      <c r="I1562" s="265">
        <v>107</v>
      </c>
      <c r="J1562" s="265">
        <v>804</v>
      </c>
      <c r="K1562" s="265">
        <v>911</v>
      </c>
      <c r="L1562" s="265">
        <v>-16</v>
      </c>
      <c r="M1562" s="265">
        <v>9</v>
      </c>
      <c r="N1562" s="265">
        <v>1897</v>
      </c>
      <c r="O1562" s="265">
        <v>308</v>
      </c>
      <c r="P1562" s="265">
        <v>3116</v>
      </c>
      <c r="Q1562" s="265">
        <v>82902</v>
      </c>
      <c r="R1562" s="12" t="s">
        <v>4643</v>
      </c>
      <c r="S1562" s="12" t="s">
        <v>25</v>
      </c>
      <c r="T1562" s="12" t="s">
        <v>25</v>
      </c>
    </row>
    <row r="1563" spans="1:20" hidden="1" x14ac:dyDescent="0.3">
      <c r="A1563" s="13">
        <v>43959.708333333336</v>
      </c>
      <c r="B1563" s="12" t="s">
        <v>22</v>
      </c>
      <c r="C1563" s="265">
        <v>12</v>
      </c>
      <c r="D1563" s="12" t="s">
        <v>48</v>
      </c>
      <c r="E1563" s="265">
        <v>4189277044</v>
      </c>
      <c r="F1563" s="265">
        <v>1248366722</v>
      </c>
      <c r="G1563" s="265">
        <v>1278</v>
      </c>
      <c r="H1563" s="265">
        <v>84</v>
      </c>
      <c r="I1563" s="265">
        <v>1362</v>
      </c>
      <c r="J1563" s="265">
        <v>2966</v>
      </c>
      <c r="K1563" s="265">
        <v>4328</v>
      </c>
      <c r="L1563" s="265">
        <v>-20</v>
      </c>
      <c r="M1563" s="265">
        <v>52</v>
      </c>
      <c r="N1563" s="265">
        <v>2209</v>
      </c>
      <c r="O1563" s="265">
        <v>549</v>
      </c>
      <c r="P1563" s="265">
        <v>7086</v>
      </c>
      <c r="Q1563" s="265">
        <v>169499</v>
      </c>
      <c r="R1563" s="12" t="s">
        <v>4644</v>
      </c>
      <c r="S1563" s="12" t="s">
        <v>25</v>
      </c>
      <c r="T1563" s="12" t="s">
        <v>25</v>
      </c>
    </row>
    <row r="1564" spans="1:20" x14ac:dyDescent="0.3">
      <c r="A1564" s="13">
        <v>43959.708333333336</v>
      </c>
      <c r="B1564" s="12" t="s">
        <v>22</v>
      </c>
      <c r="C1564" s="265">
        <v>7</v>
      </c>
      <c r="D1564" s="12" t="s">
        <v>49</v>
      </c>
      <c r="E1564" s="265">
        <v>4441149315</v>
      </c>
      <c r="F1564" s="265">
        <v>89326992</v>
      </c>
      <c r="G1564" s="265">
        <v>517</v>
      </c>
      <c r="H1564" s="265">
        <v>46</v>
      </c>
      <c r="I1564" s="265">
        <v>563</v>
      </c>
      <c r="J1564" s="265">
        <v>2613</v>
      </c>
      <c r="K1564" s="265">
        <v>3176</v>
      </c>
      <c r="L1564" s="265">
        <v>-72</v>
      </c>
      <c r="M1564" s="265">
        <v>78</v>
      </c>
      <c r="N1564" s="265">
        <v>4282</v>
      </c>
      <c r="O1564" s="265">
        <v>1265</v>
      </c>
      <c r="P1564" s="265">
        <v>8723</v>
      </c>
      <c r="Q1564" s="265">
        <v>63531</v>
      </c>
      <c r="R1564" s="12" t="s">
        <v>4470</v>
      </c>
      <c r="S1564" s="12" t="s">
        <v>25</v>
      </c>
      <c r="T1564" s="12" t="s">
        <v>25</v>
      </c>
    </row>
    <row r="1565" spans="1:20" hidden="1" x14ac:dyDescent="0.3">
      <c r="A1565" s="13">
        <v>43959.708333333336</v>
      </c>
      <c r="B1565" s="12" t="s">
        <v>22</v>
      </c>
      <c r="C1565" s="265">
        <v>3</v>
      </c>
      <c r="D1565" s="12" t="s">
        <v>50</v>
      </c>
      <c r="E1565" s="265">
        <v>4546679409</v>
      </c>
      <c r="F1565" s="265">
        <v>9190347404</v>
      </c>
      <c r="G1565" s="265">
        <v>5702</v>
      </c>
      <c r="H1565" s="265">
        <v>400</v>
      </c>
      <c r="I1565" s="265">
        <v>6102</v>
      </c>
      <c r="J1565" s="265">
        <v>25881</v>
      </c>
      <c r="K1565" s="265">
        <v>31983</v>
      </c>
      <c r="L1565" s="265">
        <v>-32</v>
      </c>
      <c r="M1565" s="265">
        <v>634</v>
      </c>
      <c r="N1565" s="265">
        <v>33901</v>
      </c>
      <c r="O1565" s="265">
        <v>14839</v>
      </c>
      <c r="P1565" s="265">
        <v>80723</v>
      </c>
      <c r="Q1565" s="265">
        <v>466287</v>
      </c>
      <c r="R1565" s="12" t="s">
        <v>4645</v>
      </c>
      <c r="S1565" s="12" t="s">
        <v>25</v>
      </c>
      <c r="T1565" s="12" t="s">
        <v>25</v>
      </c>
    </row>
    <row r="1566" spans="1:20" hidden="1" x14ac:dyDescent="0.3">
      <c r="A1566" s="13">
        <v>43959.708333333336</v>
      </c>
      <c r="B1566" s="12" t="s">
        <v>22</v>
      </c>
      <c r="C1566" s="265">
        <v>11</v>
      </c>
      <c r="D1566" s="12" t="s">
        <v>51</v>
      </c>
      <c r="E1566" s="265">
        <v>4361675973</v>
      </c>
      <c r="F1566" s="265">
        <v>135188753</v>
      </c>
      <c r="G1566" s="265">
        <v>303</v>
      </c>
      <c r="H1566" s="265">
        <v>38</v>
      </c>
      <c r="I1566" s="265">
        <v>341</v>
      </c>
      <c r="J1566" s="265">
        <v>2897</v>
      </c>
      <c r="K1566" s="265">
        <v>3238</v>
      </c>
      <c r="L1566" s="265">
        <v>-9</v>
      </c>
      <c r="M1566" s="265">
        <v>18</v>
      </c>
      <c r="N1566" s="265">
        <v>2278</v>
      </c>
      <c r="O1566" s="265">
        <v>954</v>
      </c>
      <c r="P1566" s="265">
        <v>6470</v>
      </c>
      <c r="Q1566" s="265">
        <v>72504</v>
      </c>
      <c r="R1566" s="12" t="s">
        <v>4646</v>
      </c>
      <c r="S1566" s="12" t="s">
        <v>25</v>
      </c>
      <c r="T1566" s="12" t="s">
        <v>25</v>
      </c>
    </row>
    <row r="1567" spans="1:20" hidden="1" x14ac:dyDescent="0.3">
      <c r="A1567" s="13">
        <v>43959.708333333336</v>
      </c>
      <c r="B1567" s="12" t="s">
        <v>22</v>
      </c>
      <c r="C1567" s="265">
        <v>14</v>
      </c>
      <c r="D1567" s="12" t="s">
        <v>52</v>
      </c>
      <c r="E1567" s="265">
        <v>4155774754</v>
      </c>
      <c r="F1567" s="265">
        <v>1465916051</v>
      </c>
      <c r="G1567" s="265">
        <v>6</v>
      </c>
      <c r="H1567" s="265">
        <v>0</v>
      </c>
      <c r="I1567" s="265">
        <v>6</v>
      </c>
      <c r="J1567" s="265">
        <v>178</v>
      </c>
      <c r="K1567" s="265">
        <v>184</v>
      </c>
      <c r="L1567" s="265">
        <v>14</v>
      </c>
      <c r="M1567" s="265">
        <v>22</v>
      </c>
      <c r="N1567" s="265">
        <v>121</v>
      </c>
      <c r="O1567" s="265">
        <v>22</v>
      </c>
      <c r="P1567" s="265">
        <v>327</v>
      </c>
      <c r="Q1567" s="265">
        <v>8502</v>
      </c>
      <c r="R1567" s="12" t="s">
        <v>4647</v>
      </c>
      <c r="S1567" s="12" t="s">
        <v>25</v>
      </c>
      <c r="T1567" s="12" t="s">
        <v>25</v>
      </c>
    </row>
    <row r="1568" spans="1:20" hidden="1" x14ac:dyDescent="0.3">
      <c r="A1568" s="13">
        <v>43959.708333333336</v>
      </c>
      <c r="B1568" s="12" t="s">
        <v>22</v>
      </c>
      <c r="C1568" s="265">
        <v>1</v>
      </c>
      <c r="D1568" s="12" t="s">
        <v>53</v>
      </c>
      <c r="E1568" s="265">
        <v>450732745</v>
      </c>
      <c r="F1568" s="265">
        <v>7680687483</v>
      </c>
      <c r="G1568" s="265">
        <v>2013</v>
      </c>
      <c r="H1568" s="265">
        <v>140</v>
      </c>
      <c r="I1568" s="265">
        <v>2153</v>
      </c>
      <c r="J1568" s="265">
        <v>11954</v>
      </c>
      <c r="K1568" s="265">
        <v>14107</v>
      </c>
      <c r="L1568" s="265">
        <v>-362</v>
      </c>
      <c r="M1568" s="265">
        <v>233</v>
      </c>
      <c r="N1568" s="265">
        <v>10956</v>
      </c>
      <c r="O1568" s="265">
        <v>3305</v>
      </c>
      <c r="P1568" s="265">
        <v>28368</v>
      </c>
      <c r="Q1568" s="265">
        <v>201183</v>
      </c>
      <c r="R1568" s="12" t="s">
        <v>4648</v>
      </c>
      <c r="S1568" s="12" t="s">
        <v>25</v>
      </c>
      <c r="T1568" s="12" t="s">
        <v>25</v>
      </c>
    </row>
    <row r="1569" spans="1:20" hidden="1" x14ac:dyDescent="0.3">
      <c r="A1569" s="13">
        <v>43959.708333333336</v>
      </c>
      <c r="B1569" s="12" t="s">
        <v>22</v>
      </c>
      <c r="C1569" s="265">
        <v>16</v>
      </c>
      <c r="D1569" s="12" t="s">
        <v>54</v>
      </c>
      <c r="E1569" s="265">
        <v>4112559576</v>
      </c>
      <c r="F1569" s="265">
        <v>1686736689</v>
      </c>
      <c r="G1569" s="265">
        <v>349</v>
      </c>
      <c r="H1569" s="265">
        <v>33</v>
      </c>
      <c r="I1569" s="265">
        <v>382</v>
      </c>
      <c r="J1569" s="265">
        <v>2351</v>
      </c>
      <c r="K1569" s="265">
        <v>2733</v>
      </c>
      <c r="L1569" s="265">
        <v>-67</v>
      </c>
      <c r="M1569" s="265">
        <v>11</v>
      </c>
      <c r="N1569" s="265">
        <v>1080</v>
      </c>
      <c r="O1569" s="265">
        <v>443</v>
      </c>
      <c r="P1569" s="265">
        <v>4256</v>
      </c>
      <c r="Q1569" s="265">
        <v>74724</v>
      </c>
      <c r="R1569" s="12" t="s">
        <v>4649</v>
      </c>
      <c r="S1569" s="12" t="s">
        <v>25</v>
      </c>
      <c r="T1569" s="12" t="s">
        <v>25</v>
      </c>
    </row>
    <row r="1570" spans="1:20" hidden="1" x14ac:dyDescent="0.3">
      <c r="A1570" s="13">
        <v>43959.708333333336</v>
      </c>
      <c r="B1570" s="12" t="s">
        <v>22</v>
      </c>
      <c r="C1570" s="265">
        <v>20</v>
      </c>
      <c r="D1570" s="12" t="s">
        <v>55</v>
      </c>
      <c r="E1570" s="265">
        <v>3921531192</v>
      </c>
      <c r="F1570" s="265">
        <v>9110616306</v>
      </c>
      <c r="G1570" s="265">
        <v>90</v>
      </c>
      <c r="H1570" s="265">
        <v>10</v>
      </c>
      <c r="I1570" s="265">
        <v>100</v>
      </c>
      <c r="J1570" s="265">
        <v>453</v>
      </c>
      <c r="K1570" s="265">
        <v>553</v>
      </c>
      <c r="L1570" s="265">
        <v>-30</v>
      </c>
      <c r="M1570" s="265">
        <v>6</v>
      </c>
      <c r="N1570" s="265">
        <v>658</v>
      </c>
      <c r="O1570" s="265">
        <v>119</v>
      </c>
      <c r="P1570" s="265">
        <v>1330</v>
      </c>
      <c r="Q1570" s="265">
        <v>32219</v>
      </c>
      <c r="R1570" s="12" t="s">
        <v>4650</v>
      </c>
      <c r="S1570" s="12" t="s">
        <v>25</v>
      </c>
      <c r="T1570" s="12" t="s">
        <v>25</v>
      </c>
    </row>
    <row r="1571" spans="1:20" hidden="1" x14ac:dyDescent="0.3">
      <c r="A1571" s="13">
        <v>43959.708333333336</v>
      </c>
      <c r="B1571" s="12" t="s">
        <v>22</v>
      </c>
      <c r="C1571" s="265">
        <v>19</v>
      </c>
      <c r="D1571" s="12" t="s">
        <v>56</v>
      </c>
      <c r="E1571" s="265">
        <v>3811569725</v>
      </c>
      <c r="F1571" s="265">
        <v>133623567</v>
      </c>
      <c r="G1571" s="265">
        <v>310</v>
      </c>
      <c r="H1571" s="265">
        <v>19</v>
      </c>
      <c r="I1571" s="265">
        <v>329</v>
      </c>
      <c r="J1571" s="265">
        <v>1798</v>
      </c>
      <c r="K1571" s="265">
        <v>2127</v>
      </c>
      <c r="L1571" s="265">
        <v>0</v>
      </c>
      <c r="M1571" s="265">
        <v>13</v>
      </c>
      <c r="N1571" s="265">
        <v>921</v>
      </c>
      <c r="O1571" s="265">
        <v>253</v>
      </c>
      <c r="P1571" s="265">
        <v>3301</v>
      </c>
      <c r="Q1571" s="265">
        <v>98711</v>
      </c>
      <c r="R1571" s="12" t="s">
        <v>4651</v>
      </c>
      <c r="S1571" s="12" t="s">
        <v>25</v>
      </c>
      <c r="T1571" s="12" t="s">
        <v>25</v>
      </c>
    </row>
    <row r="1572" spans="1:20" hidden="1" x14ac:dyDescent="0.3">
      <c r="A1572" s="13">
        <v>43959.708333333336</v>
      </c>
      <c r="B1572" s="12" t="s">
        <v>22</v>
      </c>
      <c r="C1572" s="265">
        <v>9</v>
      </c>
      <c r="D1572" s="12" t="s">
        <v>57</v>
      </c>
      <c r="E1572" s="265">
        <v>4376923077</v>
      </c>
      <c r="F1572" s="265">
        <v>1125588885</v>
      </c>
      <c r="G1572" s="265">
        <v>399</v>
      </c>
      <c r="H1572" s="265">
        <v>84</v>
      </c>
      <c r="I1572" s="265">
        <v>483</v>
      </c>
      <c r="J1572" s="265">
        <v>4109</v>
      </c>
      <c r="K1572" s="265">
        <v>4592</v>
      </c>
      <c r="L1572" s="265">
        <v>-124</v>
      </c>
      <c r="M1572" s="265">
        <v>38</v>
      </c>
      <c r="N1572" s="265">
        <v>4199</v>
      </c>
      <c r="O1572" s="265">
        <v>930</v>
      </c>
      <c r="P1572" s="265">
        <v>9721</v>
      </c>
      <c r="Q1572" s="265">
        <v>170296</v>
      </c>
      <c r="R1572" s="12" t="s">
        <v>4652</v>
      </c>
      <c r="S1572" s="12" t="s">
        <v>25</v>
      </c>
      <c r="T1572" s="12" t="s">
        <v>25</v>
      </c>
    </row>
    <row r="1573" spans="1:20" hidden="1" x14ac:dyDescent="0.3">
      <c r="A1573" s="13">
        <v>43959.708333333336</v>
      </c>
      <c r="B1573" s="12" t="s">
        <v>22</v>
      </c>
      <c r="C1573" s="265">
        <v>22</v>
      </c>
      <c r="D1573" s="12" t="s">
        <v>58</v>
      </c>
      <c r="E1573" s="265">
        <v>4606893511</v>
      </c>
      <c r="F1573" s="265">
        <v>1112123097</v>
      </c>
      <c r="G1573" s="265">
        <v>94</v>
      </c>
      <c r="H1573" s="265">
        <v>11</v>
      </c>
      <c r="I1573" s="265">
        <v>105</v>
      </c>
      <c r="J1573" s="265">
        <v>767</v>
      </c>
      <c r="K1573" s="265">
        <v>872</v>
      </c>
      <c r="L1573" s="265">
        <v>-38</v>
      </c>
      <c r="M1573" s="265">
        <v>2</v>
      </c>
      <c r="N1573" s="265">
        <v>2975</v>
      </c>
      <c r="O1573" s="265">
        <v>438</v>
      </c>
      <c r="P1573" s="265">
        <v>4285</v>
      </c>
      <c r="Q1573" s="265">
        <v>48220</v>
      </c>
      <c r="R1573" s="12" t="s">
        <v>4653</v>
      </c>
      <c r="S1573" s="12" t="s">
        <v>25</v>
      </c>
      <c r="T1573" s="12" t="s">
        <v>25</v>
      </c>
    </row>
    <row r="1574" spans="1:20" hidden="1" x14ac:dyDescent="0.3">
      <c r="A1574" s="13">
        <v>43959.708333333336</v>
      </c>
      <c r="B1574" s="12" t="s">
        <v>22</v>
      </c>
      <c r="C1574" s="265">
        <v>10</v>
      </c>
      <c r="D1574" s="12" t="s">
        <v>59</v>
      </c>
      <c r="E1574" s="265">
        <v>4310675841</v>
      </c>
      <c r="F1574" s="265">
        <v>1238824698</v>
      </c>
      <c r="G1574" s="265">
        <v>47</v>
      </c>
      <c r="H1574" s="265">
        <v>6</v>
      </c>
      <c r="I1574" s="265">
        <v>53</v>
      </c>
      <c r="J1574" s="265">
        <v>66</v>
      </c>
      <c r="K1574" s="265">
        <v>119</v>
      </c>
      <c r="L1574" s="265">
        <v>-22</v>
      </c>
      <c r="M1574" s="265">
        <v>1</v>
      </c>
      <c r="N1574" s="265">
        <v>1216</v>
      </c>
      <c r="O1574" s="265">
        <v>71</v>
      </c>
      <c r="P1574" s="265">
        <v>1406</v>
      </c>
      <c r="Q1574" s="265">
        <v>44223</v>
      </c>
      <c r="R1574" s="12" t="s">
        <v>4654</v>
      </c>
      <c r="S1574" s="12" t="s">
        <v>25</v>
      </c>
      <c r="T1574" s="12" t="s">
        <v>25</v>
      </c>
    </row>
    <row r="1575" spans="1:20" hidden="1" x14ac:dyDescent="0.3">
      <c r="A1575" s="13">
        <v>43959.708333333336</v>
      </c>
      <c r="B1575" s="12" t="s">
        <v>22</v>
      </c>
      <c r="C1575" s="265">
        <v>2</v>
      </c>
      <c r="D1575" s="12" t="s">
        <v>60</v>
      </c>
      <c r="E1575" s="265">
        <v>4573750286</v>
      </c>
      <c r="F1575" s="265">
        <v>7320149366</v>
      </c>
      <c r="G1575" s="265">
        <v>45</v>
      </c>
      <c r="H1575" s="265">
        <v>2</v>
      </c>
      <c r="I1575" s="265">
        <v>47</v>
      </c>
      <c r="J1575" s="265">
        <v>76</v>
      </c>
      <c r="K1575" s="265">
        <v>123</v>
      </c>
      <c r="L1575" s="265">
        <v>-7</v>
      </c>
      <c r="M1575" s="265">
        <v>1</v>
      </c>
      <c r="N1575" s="265">
        <v>889</v>
      </c>
      <c r="O1575" s="265">
        <v>139</v>
      </c>
      <c r="P1575" s="265">
        <v>1151</v>
      </c>
      <c r="Q1575" s="265">
        <v>9280</v>
      </c>
      <c r="R1575" s="12" t="s">
        <v>4655</v>
      </c>
      <c r="S1575" s="12" t="s">
        <v>25</v>
      </c>
      <c r="T1575" s="12" t="s">
        <v>25</v>
      </c>
    </row>
    <row r="1576" spans="1:20" hidden="1" x14ac:dyDescent="0.3">
      <c r="A1576" s="13">
        <v>43959.708333333336</v>
      </c>
      <c r="B1576" s="12" t="s">
        <v>22</v>
      </c>
      <c r="C1576" s="265">
        <v>5</v>
      </c>
      <c r="D1576" s="12" t="s">
        <v>61</v>
      </c>
      <c r="E1576" s="265">
        <v>4543490485</v>
      </c>
      <c r="F1576" s="265">
        <v>1233845213</v>
      </c>
      <c r="G1576" s="265">
        <v>831</v>
      </c>
      <c r="H1576" s="265">
        <v>79</v>
      </c>
      <c r="I1576" s="265">
        <v>910</v>
      </c>
      <c r="J1576" s="265">
        <v>5277</v>
      </c>
      <c r="K1576" s="265">
        <v>6187</v>
      </c>
      <c r="L1576" s="265">
        <v>-347</v>
      </c>
      <c r="M1576" s="265">
        <v>65</v>
      </c>
      <c r="N1576" s="265">
        <v>10804</v>
      </c>
      <c r="O1576" s="265">
        <v>1627</v>
      </c>
      <c r="P1576" s="265">
        <v>18618</v>
      </c>
      <c r="Q1576" s="265">
        <v>420949</v>
      </c>
      <c r="R1576" s="12" t="s">
        <v>4656</v>
      </c>
      <c r="S1576" s="12" t="s">
        <v>25</v>
      </c>
      <c r="T1576" s="12" t="s">
        <v>25</v>
      </c>
    </row>
    <row r="1577" spans="1:20" hidden="1" x14ac:dyDescent="0.3">
      <c r="A1577" s="13">
        <v>43960.708333333336</v>
      </c>
      <c r="B1577" s="12" t="s">
        <v>22</v>
      </c>
      <c r="C1577" s="265">
        <v>13</v>
      </c>
      <c r="D1577" s="12" t="s">
        <v>42</v>
      </c>
      <c r="E1577" s="265">
        <v>4235122196</v>
      </c>
      <c r="F1577" s="265">
        <v>1339843823</v>
      </c>
      <c r="G1577" s="265">
        <v>246</v>
      </c>
      <c r="H1577" s="265">
        <v>10</v>
      </c>
      <c r="I1577" s="265">
        <v>256</v>
      </c>
      <c r="J1577" s="265">
        <v>1420</v>
      </c>
      <c r="K1577" s="265">
        <v>1676</v>
      </c>
      <c r="L1577" s="265">
        <v>-37</v>
      </c>
      <c r="M1577" s="265">
        <v>8</v>
      </c>
      <c r="N1577" s="265">
        <v>1055</v>
      </c>
      <c r="O1577" s="265">
        <v>355</v>
      </c>
      <c r="P1577" s="265">
        <v>3086</v>
      </c>
      <c r="Q1577" s="265">
        <v>47190</v>
      </c>
      <c r="R1577" s="12" t="s">
        <v>4657</v>
      </c>
      <c r="S1577" s="12" t="s">
        <v>25</v>
      </c>
      <c r="T1577" s="12" t="s">
        <v>25</v>
      </c>
    </row>
    <row r="1578" spans="1:20" hidden="1" x14ac:dyDescent="0.3">
      <c r="A1578" s="13">
        <v>43960.708333333336</v>
      </c>
      <c r="B1578" s="12" t="s">
        <v>22</v>
      </c>
      <c r="C1578" s="265">
        <v>17</v>
      </c>
      <c r="D1578" s="12" t="s">
        <v>43</v>
      </c>
      <c r="E1578" s="265">
        <v>4063947052</v>
      </c>
      <c r="F1578" s="265">
        <v>1580514834</v>
      </c>
      <c r="G1578" s="265">
        <v>45</v>
      </c>
      <c r="H1578" s="265">
        <v>1</v>
      </c>
      <c r="I1578" s="265">
        <v>46</v>
      </c>
      <c r="J1578" s="265">
        <v>99</v>
      </c>
      <c r="K1578" s="265">
        <v>145</v>
      </c>
      <c r="L1578" s="265">
        <v>-7</v>
      </c>
      <c r="M1578" s="265">
        <v>0</v>
      </c>
      <c r="N1578" s="265">
        <v>210</v>
      </c>
      <c r="O1578" s="265">
        <v>27</v>
      </c>
      <c r="P1578" s="265">
        <v>382</v>
      </c>
      <c r="Q1578" s="265">
        <v>17433</v>
      </c>
      <c r="R1578" s="12" t="s">
        <v>4658</v>
      </c>
      <c r="S1578" s="12" t="s">
        <v>25</v>
      </c>
      <c r="T1578" s="12" t="s">
        <v>25</v>
      </c>
    </row>
    <row r="1579" spans="1:20" hidden="1" x14ac:dyDescent="0.3">
      <c r="A1579" s="13">
        <v>43960.708333333336</v>
      </c>
      <c r="B1579" s="12" t="s">
        <v>22</v>
      </c>
      <c r="C1579" s="265">
        <v>21</v>
      </c>
      <c r="D1579" s="12" t="s">
        <v>44</v>
      </c>
      <c r="E1579" s="265">
        <v>4649933453</v>
      </c>
      <c r="F1579" s="265">
        <v>1135662422</v>
      </c>
      <c r="G1579" s="265">
        <v>55</v>
      </c>
      <c r="H1579" s="265">
        <v>9</v>
      </c>
      <c r="I1579" s="265">
        <v>64</v>
      </c>
      <c r="J1579" s="265">
        <v>409</v>
      </c>
      <c r="K1579" s="265">
        <v>473</v>
      </c>
      <c r="L1579" s="265">
        <v>-29</v>
      </c>
      <c r="M1579" s="265">
        <v>9</v>
      </c>
      <c r="N1579" s="265">
        <v>1804</v>
      </c>
      <c r="O1579" s="265">
        <v>290</v>
      </c>
      <c r="P1579" s="265">
        <v>2567</v>
      </c>
      <c r="Q1579" s="265">
        <v>48858</v>
      </c>
      <c r="R1579" s="12" t="s">
        <v>4659</v>
      </c>
      <c r="S1579" s="12" t="s">
        <v>25</v>
      </c>
      <c r="T1579" s="12" t="s">
        <v>25</v>
      </c>
    </row>
    <row r="1580" spans="1:20" hidden="1" x14ac:dyDescent="0.3">
      <c r="A1580" s="13">
        <v>43960.708333333336</v>
      </c>
      <c r="B1580" s="12" t="s">
        <v>22</v>
      </c>
      <c r="C1580" s="265">
        <v>18</v>
      </c>
      <c r="D1580" s="12" t="s">
        <v>45</v>
      </c>
      <c r="E1580" s="265">
        <v>3890597598</v>
      </c>
      <c r="F1580" s="265">
        <v>1659440194</v>
      </c>
      <c r="G1580" s="265">
        <v>68</v>
      </c>
      <c r="H1580" s="265">
        <v>2</v>
      </c>
      <c r="I1580" s="265">
        <v>70</v>
      </c>
      <c r="J1580" s="265">
        <v>542</v>
      </c>
      <c r="K1580" s="265">
        <v>612</v>
      </c>
      <c r="L1580" s="265">
        <v>-7</v>
      </c>
      <c r="M1580" s="265">
        <v>3</v>
      </c>
      <c r="N1580" s="265">
        <v>427</v>
      </c>
      <c r="O1580" s="265">
        <v>90</v>
      </c>
      <c r="P1580" s="265">
        <v>1129</v>
      </c>
      <c r="Q1580" s="265">
        <v>45071</v>
      </c>
      <c r="R1580" s="12" t="s">
        <v>4660</v>
      </c>
      <c r="S1580" s="12" t="s">
        <v>25</v>
      </c>
      <c r="T1580" s="12" t="s">
        <v>25</v>
      </c>
    </row>
    <row r="1581" spans="1:20" hidden="1" x14ac:dyDescent="0.3">
      <c r="A1581" s="13">
        <v>43960.708333333336</v>
      </c>
      <c r="B1581" s="12" t="s">
        <v>22</v>
      </c>
      <c r="C1581" s="265">
        <v>15</v>
      </c>
      <c r="D1581" s="12" t="s">
        <v>46</v>
      </c>
      <c r="E1581" s="265">
        <v>4083956555</v>
      </c>
      <c r="F1581" s="265">
        <v>1425084984</v>
      </c>
      <c r="G1581" s="265">
        <v>415</v>
      </c>
      <c r="H1581" s="265">
        <v>26</v>
      </c>
      <c r="I1581" s="265">
        <v>441</v>
      </c>
      <c r="J1581" s="265">
        <v>1524</v>
      </c>
      <c r="K1581" s="265">
        <v>1965</v>
      </c>
      <c r="L1581" s="265">
        <v>-47</v>
      </c>
      <c r="M1581" s="265">
        <v>14</v>
      </c>
      <c r="N1581" s="265">
        <v>2223</v>
      </c>
      <c r="O1581" s="265">
        <v>388</v>
      </c>
      <c r="P1581" s="265">
        <v>4576</v>
      </c>
      <c r="Q1581" s="265">
        <v>110811</v>
      </c>
      <c r="R1581" s="12" t="s">
        <v>4661</v>
      </c>
      <c r="S1581" s="12" t="s">
        <v>25</v>
      </c>
      <c r="T1581" s="12" t="s">
        <v>25</v>
      </c>
    </row>
    <row r="1582" spans="1:20" hidden="1" x14ac:dyDescent="0.3">
      <c r="A1582" s="13">
        <v>43960.708333333336</v>
      </c>
      <c r="B1582" s="12" t="s">
        <v>22</v>
      </c>
      <c r="C1582" s="265">
        <v>8</v>
      </c>
      <c r="D1582" s="12" t="s">
        <v>95</v>
      </c>
      <c r="E1582" s="265">
        <v>4449436681</v>
      </c>
      <c r="F1582" s="265">
        <v>113417208</v>
      </c>
      <c r="G1582" s="265">
        <v>1604</v>
      </c>
      <c r="H1582" s="265">
        <v>155</v>
      </c>
      <c r="I1582" s="265">
        <v>1759</v>
      </c>
      <c r="J1582" s="265">
        <v>5642</v>
      </c>
      <c r="K1582" s="265">
        <v>7401</v>
      </c>
      <c r="L1582" s="265">
        <v>-329</v>
      </c>
      <c r="M1582" s="265">
        <v>121</v>
      </c>
      <c r="N1582" s="265">
        <v>15491</v>
      </c>
      <c r="O1582" s="265">
        <v>3827</v>
      </c>
      <c r="P1582" s="265">
        <v>26719</v>
      </c>
      <c r="Q1582" s="265">
        <v>227366</v>
      </c>
      <c r="R1582" s="12" t="s">
        <v>4662</v>
      </c>
      <c r="S1582" s="12" t="s">
        <v>25</v>
      </c>
      <c r="T1582" s="12" t="s">
        <v>25</v>
      </c>
    </row>
    <row r="1583" spans="1:20" hidden="1" x14ac:dyDescent="0.3">
      <c r="A1583" s="13">
        <v>43960.708333333336</v>
      </c>
      <c r="B1583" s="12" t="s">
        <v>22</v>
      </c>
      <c r="C1583" s="265">
        <v>6</v>
      </c>
      <c r="D1583" s="12" t="s">
        <v>47</v>
      </c>
      <c r="E1583" s="265">
        <v>456494354</v>
      </c>
      <c r="F1583" s="265">
        <v>1376813649</v>
      </c>
      <c r="G1583" s="265">
        <v>101</v>
      </c>
      <c r="H1583" s="265">
        <v>3</v>
      </c>
      <c r="I1583" s="265">
        <v>104</v>
      </c>
      <c r="J1583" s="265">
        <v>765</v>
      </c>
      <c r="K1583" s="265">
        <v>869</v>
      </c>
      <c r="L1583" s="265">
        <v>-42</v>
      </c>
      <c r="M1583" s="265">
        <v>8</v>
      </c>
      <c r="N1583" s="265">
        <v>1947</v>
      </c>
      <c r="O1583" s="265">
        <v>308</v>
      </c>
      <c r="P1583" s="265">
        <v>3124</v>
      </c>
      <c r="Q1583" s="265">
        <v>88384</v>
      </c>
      <c r="R1583" s="12" t="s">
        <v>4663</v>
      </c>
      <c r="S1583" s="12" t="s">
        <v>25</v>
      </c>
      <c r="T1583" s="12" t="s">
        <v>25</v>
      </c>
    </row>
    <row r="1584" spans="1:20" hidden="1" x14ac:dyDescent="0.3">
      <c r="A1584" s="13">
        <v>43960.708333333336</v>
      </c>
      <c r="B1584" s="12" t="s">
        <v>22</v>
      </c>
      <c r="C1584" s="265">
        <v>12</v>
      </c>
      <c r="D1584" s="12" t="s">
        <v>48</v>
      </c>
      <c r="E1584" s="265">
        <v>4189277044</v>
      </c>
      <c r="F1584" s="265">
        <v>1248366722</v>
      </c>
      <c r="G1584" s="265">
        <v>1277</v>
      </c>
      <c r="H1584" s="265">
        <v>82</v>
      </c>
      <c r="I1584" s="265">
        <v>1359</v>
      </c>
      <c r="J1584" s="265">
        <v>2986</v>
      </c>
      <c r="K1584" s="265">
        <v>4345</v>
      </c>
      <c r="L1584" s="265">
        <v>17</v>
      </c>
      <c r="M1584" s="265">
        <v>47</v>
      </c>
      <c r="N1584" s="265">
        <v>2235</v>
      </c>
      <c r="O1584" s="265">
        <v>553</v>
      </c>
      <c r="P1584" s="265">
        <v>7133</v>
      </c>
      <c r="Q1584" s="265">
        <v>174448</v>
      </c>
      <c r="R1584" s="12" t="s">
        <v>4664</v>
      </c>
      <c r="S1584" s="12" t="s">
        <v>25</v>
      </c>
      <c r="T1584" s="12" t="s">
        <v>25</v>
      </c>
    </row>
    <row r="1585" spans="1:20" x14ac:dyDescent="0.3">
      <c r="A1585" s="13">
        <v>43960.708333333336</v>
      </c>
      <c r="B1585" s="12" t="s">
        <v>22</v>
      </c>
      <c r="C1585" s="265">
        <v>7</v>
      </c>
      <c r="D1585" s="12" t="s">
        <v>49</v>
      </c>
      <c r="E1585" s="265">
        <v>4441149315</v>
      </c>
      <c r="F1585" s="265">
        <v>89326992</v>
      </c>
      <c r="G1585" s="265">
        <v>501</v>
      </c>
      <c r="H1585" s="265">
        <v>42</v>
      </c>
      <c r="I1585" s="265">
        <v>543</v>
      </c>
      <c r="J1585" s="265">
        <v>2439</v>
      </c>
      <c r="K1585" s="265">
        <v>2982</v>
      </c>
      <c r="L1585" s="265">
        <v>-194</v>
      </c>
      <c r="M1585" s="265">
        <v>15</v>
      </c>
      <c r="N1585" s="265">
        <v>4480</v>
      </c>
      <c r="O1585" s="265">
        <v>1276</v>
      </c>
      <c r="P1585" s="265">
        <v>8738</v>
      </c>
      <c r="Q1585" s="265">
        <v>64926</v>
      </c>
      <c r="R1585" s="12" t="s">
        <v>4665</v>
      </c>
      <c r="S1585" s="12" t="s">
        <v>25</v>
      </c>
      <c r="T1585" s="12" t="s">
        <v>25</v>
      </c>
    </row>
    <row r="1586" spans="1:20" hidden="1" x14ac:dyDescent="0.3">
      <c r="A1586" s="13">
        <v>43960.708333333336</v>
      </c>
      <c r="B1586" s="12" t="s">
        <v>22</v>
      </c>
      <c r="C1586" s="265">
        <v>3</v>
      </c>
      <c r="D1586" s="12" t="s">
        <v>50</v>
      </c>
      <c r="E1586" s="265">
        <v>4546679409</v>
      </c>
      <c r="F1586" s="265">
        <v>9190347404</v>
      </c>
      <c r="G1586" s="265">
        <v>5535</v>
      </c>
      <c r="H1586" s="265">
        <v>330</v>
      </c>
      <c r="I1586" s="265">
        <v>5865</v>
      </c>
      <c r="J1586" s="265">
        <v>24397</v>
      </c>
      <c r="K1586" s="265">
        <v>30262</v>
      </c>
      <c r="L1586" s="265">
        <v>-1721</v>
      </c>
      <c r="M1586" s="265">
        <v>502</v>
      </c>
      <c r="N1586" s="265">
        <v>36039</v>
      </c>
      <c r="O1586" s="265">
        <v>14924</v>
      </c>
      <c r="P1586" s="265">
        <v>81225</v>
      </c>
      <c r="Q1586" s="265">
        <v>477765</v>
      </c>
      <c r="R1586" s="12" t="s">
        <v>4666</v>
      </c>
      <c r="S1586" s="12" t="s">
        <v>25</v>
      </c>
      <c r="T1586" s="12" t="s">
        <v>25</v>
      </c>
    </row>
    <row r="1587" spans="1:20" hidden="1" x14ac:dyDescent="0.3">
      <c r="A1587" s="13">
        <v>43960.708333333336</v>
      </c>
      <c r="B1587" s="12" t="s">
        <v>22</v>
      </c>
      <c r="C1587" s="265">
        <v>11</v>
      </c>
      <c r="D1587" s="12" t="s">
        <v>51</v>
      </c>
      <c r="E1587" s="265">
        <v>4361675973</v>
      </c>
      <c r="F1587" s="265">
        <v>135188753</v>
      </c>
      <c r="G1587" s="265">
        <v>285</v>
      </c>
      <c r="H1587" s="265">
        <v>32</v>
      </c>
      <c r="I1587" s="265">
        <v>317</v>
      </c>
      <c r="J1587" s="265">
        <v>2913</v>
      </c>
      <c r="K1587" s="265">
        <v>3230</v>
      </c>
      <c r="L1587" s="265">
        <v>-8</v>
      </c>
      <c r="M1587" s="265">
        <v>23</v>
      </c>
      <c r="N1587" s="265">
        <v>2305</v>
      </c>
      <c r="O1587" s="265">
        <v>958</v>
      </c>
      <c r="P1587" s="265">
        <v>6493</v>
      </c>
      <c r="Q1587" s="265">
        <v>73965</v>
      </c>
      <c r="R1587" s="12" t="s">
        <v>4667</v>
      </c>
      <c r="S1587" s="12" t="s">
        <v>25</v>
      </c>
      <c r="T1587" s="12" t="s">
        <v>25</v>
      </c>
    </row>
    <row r="1588" spans="1:20" hidden="1" x14ac:dyDescent="0.3">
      <c r="A1588" s="13">
        <v>43960.708333333336</v>
      </c>
      <c r="B1588" s="12" t="s">
        <v>22</v>
      </c>
      <c r="C1588" s="265">
        <v>14</v>
      </c>
      <c r="D1588" s="12" t="s">
        <v>52</v>
      </c>
      <c r="E1588" s="265">
        <v>4155774754</v>
      </c>
      <c r="F1588" s="265">
        <v>1465916051</v>
      </c>
      <c r="G1588" s="265">
        <v>8</v>
      </c>
      <c r="H1588" s="265">
        <v>0</v>
      </c>
      <c r="I1588" s="265">
        <v>8</v>
      </c>
      <c r="J1588" s="265">
        <v>197</v>
      </c>
      <c r="K1588" s="265">
        <v>205</v>
      </c>
      <c r="L1588" s="265">
        <v>21</v>
      </c>
      <c r="M1588" s="265">
        <v>20</v>
      </c>
      <c r="N1588" s="265">
        <v>120</v>
      </c>
      <c r="O1588" s="265">
        <v>22</v>
      </c>
      <c r="P1588" s="265">
        <v>347</v>
      </c>
      <c r="Q1588" s="265">
        <v>8691</v>
      </c>
      <c r="R1588" s="12" t="s">
        <v>4668</v>
      </c>
      <c r="S1588" s="12" t="s">
        <v>25</v>
      </c>
      <c r="T1588" s="12" t="s">
        <v>25</v>
      </c>
    </row>
    <row r="1589" spans="1:20" hidden="1" x14ac:dyDescent="0.3">
      <c r="A1589" s="13">
        <v>43960.708333333336</v>
      </c>
      <c r="B1589" s="12" t="s">
        <v>22</v>
      </c>
      <c r="C1589" s="265">
        <v>1</v>
      </c>
      <c r="D1589" s="12" t="s">
        <v>53</v>
      </c>
      <c r="E1589" s="265">
        <v>450732745</v>
      </c>
      <c r="F1589" s="265">
        <v>7680687483</v>
      </c>
      <c r="G1589" s="265">
        <v>2010</v>
      </c>
      <c r="H1589" s="265">
        <v>143</v>
      </c>
      <c r="I1589" s="265">
        <v>2153</v>
      </c>
      <c r="J1589" s="265">
        <v>11781</v>
      </c>
      <c r="K1589" s="265">
        <v>13934</v>
      </c>
      <c r="L1589" s="265">
        <v>-173</v>
      </c>
      <c r="M1589" s="265">
        <v>181</v>
      </c>
      <c r="N1589" s="265">
        <v>11284</v>
      </c>
      <c r="O1589" s="265">
        <v>3331</v>
      </c>
      <c r="P1589" s="265">
        <v>28549</v>
      </c>
      <c r="Q1589" s="265">
        <v>205800</v>
      </c>
      <c r="R1589" s="12" t="s">
        <v>4669</v>
      </c>
      <c r="S1589" s="12" t="s">
        <v>25</v>
      </c>
      <c r="T1589" s="12" t="s">
        <v>25</v>
      </c>
    </row>
    <row r="1590" spans="1:20" hidden="1" x14ac:dyDescent="0.3">
      <c r="A1590" s="13">
        <v>43960.708333333336</v>
      </c>
      <c r="B1590" s="12" t="s">
        <v>22</v>
      </c>
      <c r="C1590" s="265">
        <v>16</v>
      </c>
      <c r="D1590" s="12" t="s">
        <v>54</v>
      </c>
      <c r="E1590" s="265">
        <v>4112559576</v>
      </c>
      <c r="F1590" s="265">
        <v>1686736689</v>
      </c>
      <c r="G1590" s="265">
        <v>344</v>
      </c>
      <c r="H1590" s="265">
        <v>33</v>
      </c>
      <c r="I1590" s="265">
        <v>377</v>
      </c>
      <c r="J1590" s="265">
        <v>2352</v>
      </c>
      <c r="K1590" s="265">
        <v>2729</v>
      </c>
      <c r="L1590" s="265">
        <v>-4</v>
      </c>
      <c r="M1590" s="265">
        <v>30</v>
      </c>
      <c r="N1590" s="265">
        <v>1114</v>
      </c>
      <c r="O1590" s="265">
        <v>443</v>
      </c>
      <c r="P1590" s="265">
        <v>4286</v>
      </c>
      <c r="Q1590" s="265">
        <v>76643</v>
      </c>
      <c r="R1590" s="12" t="s">
        <v>4670</v>
      </c>
      <c r="S1590" s="12" t="s">
        <v>25</v>
      </c>
      <c r="T1590" s="12" t="s">
        <v>25</v>
      </c>
    </row>
    <row r="1591" spans="1:20" hidden="1" x14ac:dyDescent="0.3">
      <c r="A1591" s="13">
        <v>43960.708333333336</v>
      </c>
      <c r="B1591" s="12" t="s">
        <v>22</v>
      </c>
      <c r="C1591" s="265">
        <v>20</v>
      </c>
      <c r="D1591" s="12" t="s">
        <v>55</v>
      </c>
      <c r="E1591" s="265">
        <v>3921531192</v>
      </c>
      <c r="F1591" s="265">
        <v>9110616306</v>
      </c>
      <c r="G1591" s="265">
        <v>87</v>
      </c>
      <c r="H1591" s="265">
        <v>11</v>
      </c>
      <c r="I1591" s="265">
        <v>98</v>
      </c>
      <c r="J1591" s="265">
        <v>452</v>
      </c>
      <c r="K1591" s="265">
        <v>550</v>
      </c>
      <c r="L1591" s="265">
        <v>-3</v>
      </c>
      <c r="M1591" s="265">
        <v>4</v>
      </c>
      <c r="N1591" s="265">
        <v>665</v>
      </c>
      <c r="O1591" s="265">
        <v>119</v>
      </c>
      <c r="P1591" s="265">
        <v>1334</v>
      </c>
      <c r="Q1591" s="265">
        <v>33330</v>
      </c>
      <c r="R1591" s="12" t="s">
        <v>4671</v>
      </c>
      <c r="S1591" s="12" t="s">
        <v>25</v>
      </c>
      <c r="T1591" s="12" t="s">
        <v>25</v>
      </c>
    </row>
    <row r="1592" spans="1:20" hidden="1" x14ac:dyDescent="0.3">
      <c r="A1592" s="13">
        <v>43960.708333333336</v>
      </c>
      <c r="B1592" s="12" t="s">
        <v>22</v>
      </c>
      <c r="C1592" s="265">
        <v>19</v>
      </c>
      <c r="D1592" s="12" t="s">
        <v>56</v>
      </c>
      <c r="E1592" s="265">
        <v>3811569725</v>
      </c>
      <c r="F1592" s="265">
        <v>133623567</v>
      </c>
      <c r="G1592" s="265">
        <v>277</v>
      </c>
      <c r="H1592" s="265">
        <v>17</v>
      </c>
      <c r="I1592" s="265">
        <v>294</v>
      </c>
      <c r="J1592" s="265">
        <v>1786</v>
      </c>
      <c r="K1592" s="265">
        <v>2080</v>
      </c>
      <c r="L1592" s="265">
        <v>-47</v>
      </c>
      <c r="M1592" s="265">
        <v>12</v>
      </c>
      <c r="N1592" s="265">
        <v>977</v>
      </c>
      <c r="O1592" s="265">
        <v>256</v>
      </c>
      <c r="P1592" s="265">
        <v>3313</v>
      </c>
      <c r="Q1592" s="265">
        <v>101548</v>
      </c>
      <c r="R1592" s="12" t="s">
        <v>4672</v>
      </c>
      <c r="S1592" s="12" t="s">
        <v>25</v>
      </c>
      <c r="T1592" s="12" t="s">
        <v>25</v>
      </c>
    </row>
    <row r="1593" spans="1:20" hidden="1" x14ac:dyDescent="0.3">
      <c r="A1593" s="13">
        <v>43960.708333333336</v>
      </c>
      <c r="B1593" s="12" t="s">
        <v>22</v>
      </c>
      <c r="C1593" s="265">
        <v>9</v>
      </c>
      <c r="D1593" s="12" t="s">
        <v>57</v>
      </c>
      <c r="E1593" s="265">
        <v>4376923077</v>
      </c>
      <c r="F1593" s="265">
        <v>1125588885</v>
      </c>
      <c r="G1593" s="265">
        <v>364</v>
      </c>
      <c r="H1593" s="265">
        <v>79</v>
      </c>
      <c r="I1593" s="265">
        <v>443</v>
      </c>
      <c r="J1593" s="265">
        <v>4005</v>
      </c>
      <c r="K1593" s="265">
        <v>4448</v>
      </c>
      <c r="L1593" s="265">
        <v>-144</v>
      </c>
      <c r="M1593" s="265">
        <v>24</v>
      </c>
      <c r="N1593" s="265">
        <v>4360</v>
      </c>
      <c r="O1593" s="265">
        <v>937</v>
      </c>
      <c r="P1593" s="265">
        <v>9745</v>
      </c>
      <c r="Q1593" s="265">
        <v>174596</v>
      </c>
      <c r="R1593" s="12" t="s">
        <v>4673</v>
      </c>
      <c r="S1593" s="12" t="s">
        <v>25</v>
      </c>
      <c r="T1593" s="12" t="s">
        <v>25</v>
      </c>
    </row>
    <row r="1594" spans="1:20" hidden="1" x14ac:dyDescent="0.3">
      <c r="A1594" s="13">
        <v>43960.708333333336</v>
      </c>
      <c r="B1594" s="12" t="s">
        <v>22</v>
      </c>
      <c r="C1594" s="265">
        <v>22</v>
      </c>
      <c r="D1594" s="12" t="s">
        <v>58</v>
      </c>
      <c r="E1594" s="265">
        <v>4606893511</v>
      </c>
      <c r="F1594" s="265">
        <v>1112123097</v>
      </c>
      <c r="G1594" s="265">
        <v>87</v>
      </c>
      <c r="H1594" s="265">
        <v>10</v>
      </c>
      <c r="I1594" s="265">
        <v>97</v>
      </c>
      <c r="J1594" s="265">
        <v>733</v>
      </c>
      <c r="K1594" s="265">
        <v>830</v>
      </c>
      <c r="L1594" s="265">
        <v>-42</v>
      </c>
      <c r="M1594" s="265">
        <v>7</v>
      </c>
      <c r="N1594" s="265">
        <v>3024</v>
      </c>
      <c r="O1594" s="265">
        <v>438</v>
      </c>
      <c r="P1594" s="265">
        <v>4292</v>
      </c>
      <c r="Q1594" s="265">
        <v>50278</v>
      </c>
      <c r="R1594" s="12" t="s">
        <v>4674</v>
      </c>
      <c r="S1594" s="12" t="s">
        <v>25</v>
      </c>
      <c r="T1594" s="12" t="s">
        <v>25</v>
      </c>
    </row>
    <row r="1595" spans="1:20" hidden="1" x14ac:dyDescent="0.3">
      <c r="A1595" s="13">
        <v>43960.708333333336</v>
      </c>
      <c r="B1595" s="12" t="s">
        <v>22</v>
      </c>
      <c r="C1595" s="265">
        <v>10</v>
      </c>
      <c r="D1595" s="12" t="s">
        <v>59</v>
      </c>
      <c r="E1595" s="265">
        <v>4310675841</v>
      </c>
      <c r="F1595" s="265">
        <v>1238824698</v>
      </c>
      <c r="G1595" s="265">
        <v>45</v>
      </c>
      <c r="H1595" s="265">
        <v>6</v>
      </c>
      <c r="I1595" s="265">
        <v>51</v>
      </c>
      <c r="J1595" s="265">
        <v>60</v>
      </c>
      <c r="K1595" s="265">
        <v>111</v>
      </c>
      <c r="L1595" s="265">
        <v>-8</v>
      </c>
      <c r="M1595" s="265">
        <v>1</v>
      </c>
      <c r="N1595" s="265">
        <v>1225</v>
      </c>
      <c r="O1595" s="265">
        <v>71</v>
      </c>
      <c r="P1595" s="265">
        <v>1407</v>
      </c>
      <c r="Q1595" s="265">
        <v>45574</v>
      </c>
      <c r="R1595" s="12" t="s">
        <v>4675</v>
      </c>
      <c r="S1595" s="12" t="s">
        <v>25</v>
      </c>
      <c r="T1595" s="12" t="s">
        <v>25</v>
      </c>
    </row>
    <row r="1596" spans="1:20" hidden="1" x14ac:dyDescent="0.3">
      <c r="A1596" s="13">
        <v>43960.708333333336</v>
      </c>
      <c r="B1596" s="12" t="s">
        <v>22</v>
      </c>
      <c r="C1596" s="265">
        <v>2</v>
      </c>
      <c r="D1596" s="12" t="s">
        <v>60</v>
      </c>
      <c r="E1596" s="265">
        <v>4573750286</v>
      </c>
      <c r="F1596" s="265">
        <v>7320149366</v>
      </c>
      <c r="G1596" s="265">
        <v>45</v>
      </c>
      <c r="H1596" s="265">
        <v>3</v>
      </c>
      <c r="I1596" s="265">
        <v>48</v>
      </c>
      <c r="J1596" s="265">
        <v>70</v>
      </c>
      <c r="K1596" s="265">
        <v>118</v>
      </c>
      <c r="L1596" s="265">
        <v>-5</v>
      </c>
      <c r="M1596" s="265">
        <v>1</v>
      </c>
      <c r="N1596" s="265">
        <v>895</v>
      </c>
      <c r="O1596" s="265">
        <v>139</v>
      </c>
      <c r="P1596" s="265">
        <v>1152</v>
      </c>
      <c r="Q1596" s="265">
        <v>9443</v>
      </c>
      <c r="R1596" s="12" t="s">
        <v>4676</v>
      </c>
      <c r="S1596" s="12" t="s">
        <v>25</v>
      </c>
      <c r="T1596" s="12" t="s">
        <v>25</v>
      </c>
    </row>
    <row r="1597" spans="1:20" hidden="1" x14ac:dyDescent="0.3">
      <c r="A1597" s="13">
        <v>43960.708333333336</v>
      </c>
      <c r="B1597" s="12" t="s">
        <v>22</v>
      </c>
      <c r="C1597" s="267">
        <v>5</v>
      </c>
      <c r="D1597" s="12" t="s">
        <v>61</v>
      </c>
      <c r="E1597" s="267">
        <v>4543490485</v>
      </c>
      <c r="F1597" s="267">
        <v>1233845213</v>
      </c>
      <c r="G1597" s="267">
        <v>435</v>
      </c>
      <c r="H1597" s="267">
        <v>40</v>
      </c>
      <c r="I1597" s="267">
        <v>475</v>
      </c>
      <c r="J1597" s="267">
        <v>5402</v>
      </c>
      <c r="K1597" s="267">
        <v>5877</v>
      </c>
      <c r="L1597" s="267">
        <v>-310</v>
      </c>
      <c r="M1597" s="267">
        <v>53</v>
      </c>
      <c r="N1597" s="267">
        <v>11151</v>
      </c>
      <c r="O1597" s="267">
        <v>1643</v>
      </c>
      <c r="P1597" s="267">
        <v>18671</v>
      </c>
      <c r="Q1597" s="267">
        <v>432114</v>
      </c>
      <c r="R1597" s="12" t="s">
        <v>4677</v>
      </c>
      <c r="S1597" s="12" t="s">
        <v>25</v>
      </c>
      <c r="T1597" s="12" t="s">
        <v>25</v>
      </c>
    </row>
    <row r="1598" spans="1:20" hidden="1" x14ac:dyDescent="0.3">
      <c r="A1598" s="13">
        <v>43961.708333333336</v>
      </c>
      <c r="B1598" s="12" t="s">
        <v>22</v>
      </c>
      <c r="C1598" s="267">
        <v>13</v>
      </c>
      <c r="D1598" s="12" t="s">
        <v>42</v>
      </c>
      <c r="E1598" s="267">
        <v>4235122196</v>
      </c>
      <c r="F1598" s="267">
        <v>1339843823</v>
      </c>
      <c r="G1598" s="267">
        <v>233</v>
      </c>
      <c r="H1598" s="267">
        <v>10</v>
      </c>
      <c r="I1598" s="267">
        <v>243</v>
      </c>
      <c r="J1598" s="267">
        <v>1428</v>
      </c>
      <c r="K1598" s="267">
        <v>1671</v>
      </c>
      <c r="L1598" s="267">
        <v>-5</v>
      </c>
      <c r="M1598" s="267">
        <v>17</v>
      </c>
      <c r="N1598" s="267">
        <v>1073</v>
      </c>
      <c r="O1598" s="267">
        <v>359</v>
      </c>
      <c r="P1598" s="267">
        <v>3103</v>
      </c>
      <c r="Q1598" s="267">
        <v>48110</v>
      </c>
      <c r="R1598" s="12" t="s">
        <v>4691</v>
      </c>
      <c r="S1598" s="12" t="s">
        <v>25</v>
      </c>
      <c r="T1598" s="12" t="s">
        <v>25</v>
      </c>
    </row>
    <row r="1599" spans="1:20" hidden="1" x14ac:dyDescent="0.3">
      <c r="A1599" s="13">
        <v>43961.708333333336</v>
      </c>
      <c r="B1599" s="12" t="s">
        <v>22</v>
      </c>
      <c r="C1599" s="267">
        <v>17</v>
      </c>
      <c r="D1599" s="12" t="s">
        <v>43</v>
      </c>
      <c r="E1599" s="267">
        <v>4063947052</v>
      </c>
      <c r="F1599" s="267">
        <v>1580514834</v>
      </c>
      <c r="G1599" s="267">
        <v>45</v>
      </c>
      <c r="H1599" s="267">
        <v>1</v>
      </c>
      <c r="I1599" s="267">
        <v>46</v>
      </c>
      <c r="J1599" s="267">
        <v>97</v>
      </c>
      <c r="K1599" s="267">
        <v>143</v>
      </c>
      <c r="L1599" s="267">
        <v>-2</v>
      </c>
      <c r="M1599" s="267">
        <v>3</v>
      </c>
      <c r="N1599" s="267">
        <v>215</v>
      </c>
      <c r="O1599" s="267">
        <v>27</v>
      </c>
      <c r="P1599" s="267">
        <v>385</v>
      </c>
      <c r="Q1599" s="267">
        <v>17916</v>
      </c>
      <c r="R1599" s="12" t="s">
        <v>4692</v>
      </c>
      <c r="S1599" s="12" t="s">
        <v>25</v>
      </c>
      <c r="T1599" s="12" t="s">
        <v>25</v>
      </c>
    </row>
    <row r="1600" spans="1:20" hidden="1" x14ac:dyDescent="0.3">
      <c r="A1600" s="13">
        <v>43961.708333333336</v>
      </c>
      <c r="B1600" s="12" t="s">
        <v>22</v>
      </c>
      <c r="C1600" s="267">
        <v>21</v>
      </c>
      <c r="D1600" s="12" t="s">
        <v>44</v>
      </c>
      <c r="E1600" s="267">
        <v>4649933453</v>
      </c>
      <c r="F1600" s="267">
        <v>1135662422</v>
      </c>
      <c r="G1600" s="267">
        <v>61</v>
      </c>
      <c r="H1600" s="267">
        <v>8</v>
      </c>
      <c r="I1600" s="267">
        <v>69</v>
      </c>
      <c r="J1600" s="267">
        <v>390</v>
      </c>
      <c r="K1600" s="267">
        <v>459</v>
      </c>
      <c r="L1600" s="267">
        <v>-14</v>
      </c>
      <c r="M1600" s="267">
        <v>2</v>
      </c>
      <c r="N1600" s="267">
        <v>1820</v>
      </c>
      <c r="O1600" s="267">
        <v>290</v>
      </c>
      <c r="P1600" s="267">
        <v>2569</v>
      </c>
      <c r="Q1600" s="267">
        <v>49571</v>
      </c>
      <c r="R1600" s="12" t="s">
        <v>4693</v>
      </c>
      <c r="S1600" s="12" t="s">
        <v>25</v>
      </c>
      <c r="T1600" s="12" t="s">
        <v>25</v>
      </c>
    </row>
    <row r="1601" spans="1:20" hidden="1" x14ac:dyDescent="0.3">
      <c r="A1601" s="13">
        <v>43961.708333333336</v>
      </c>
      <c r="B1601" s="12" t="s">
        <v>22</v>
      </c>
      <c r="C1601" s="267">
        <v>18</v>
      </c>
      <c r="D1601" s="12" t="s">
        <v>45</v>
      </c>
      <c r="E1601" s="267">
        <v>3890597598</v>
      </c>
      <c r="F1601" s="267">
        <v>1659440194</v>
      </c>
      <c r="G1601" s="267">
        <v>66</v>
      </c>
      <c r="H1601" s="267">
        <v>2</v>
      </c>
      <c r="I1601" s="267">
        <v>68</v>
      </c>
      <c r="J1601" s="267">
        <v>528</v>
      </c>
      <c r="K1601" s="267">
        <v>596</v>
      </c>
      <c r="L1601" s="267">
        <v>-16</v>
      </c>
      <c r="M1601" s="267">
        <v>3</v>
      </c>
      <c r="N1601" s="267">
        <v>445</v>
      </c>
      <c r="O1601" s="267">
        <v>91</v>
      </c>
      <c r="P1601" s="267">
        <v>1132</v>
      </c>
      <c r="Q1601" s="267">
        <v>46111</v>
      </c>
      <c r="R1601" s="12" t="s">
        <v>4694</v>
      </c>
      <c r="S1601" s="12" t="s">
        <v>25</v>
      </c>
      <c r="T1601" s="12" t="s">
        <v>25</v>
      </c>
    </row>
    <row r="1602" spans="1:20" hidden="1" x14ac:dyDescent="0.3">
      <c r="A1602" s="13">
        <v>43961.708333333336</v>
      </c>
      <c r="B1602" s="12" t="s">
        <v>22</v>
      </c>
      <c r="C1602" s="267">
        <v>15</v>
      </c>
      <c r="D1602" s="12" t="s">
        <v>46</v>
      </c>
      <c r="E1602" s="267">
        <v>4083956555</v>
      </c>
      <c r="F1602" s="267">
        <v>1425084984</v>
      </c>
      <c r="G1602" s="267">
        <v>435</v>
      </c>
      <c r="H1602" s="267">
        <v>20</v>
      </c>
      <c r="I1602" s="267">
        <v>455</v>
      </c>
      <c r="J1602" s="267">
        <v>1460</v>
      </c>
      <c r="K1602" s="267">
        <v>1915</v>
      </c>
      <c r="L1602" s="267">
        <v>-50</v>
      </c>
      <c r="M1602" s="267">
        <v>12</v>
      </c>
      <c r="N1602" s="267">
        <v>2282</v>
      </c>
      <c r="O1602" s="267">
        <v>391</v>
      </c>
      <c r="P1602" s="267">
        <v>4588</v>
      </c>
      <c r="Q1602" s="267">
        <v>114819</v>
      </c>
      <c r="R1602" s="12" t="s">
        <v>4695</v>
      </c>
      <c r="S1602" s="12" t="s">
        <v>25</v>
      </c>
      <c r="T1602" s="12" t="s">
        <v>25</v>
      </c>
    </row>
    <row r="1603" spans="1:20" hidden="1" x14ac:dyDescent="0.3">
      <c r="A1603" s="13">
        <v>43961.708333333336</v>
      </c>
      <c r="B1603" s="12" t="s">
        <v>22</v>
      </c>
      <c r="C1603" s="267">
        <v>8</v>
      </c>
      <c r="D1603" s="12" t="s">
        <v>95</v>
      </c>
      <c r="E1603" s="267">
        <v>4449436681</v>
      </c>
      <c r="F1603" s="267">
        <v>113417208</v>
      </c>
      <c r="G1603" s="267">
        <v>1562</v>
      </c>
      <c r="H1603" s="267">
        <v>150</v>
      </c>
      <c r="I1603" s="267">
        <v>1712</v>
      </c>
      <c r="J1603" s="267">
        <v>5479</v>
      </c>
      <c r="K1603" s="267">
        <v>7191</v>
      </c>
      <c r="L1603" s="267">
        <v>-210</v>
      </c>
      <c r="M1603" s="267">
        <v>77</v>
      </c>
      <c r="N1603" s="267">
        <v>15760</v>
      </c>
      <c r="O1603" s="267">
        <v>3845</v>
      </c>
      <c r="P1603" s="267">
        <v>26796</v>
      </c>
      <c r="Q1603" s="267">
        <v>231637</v>
      </c>
      <c r="R1603" s="12" t="s">
        <v>4696</v>
      </c>
      <c r="S1603" s="12" t="s">
        <v>25</v>
      </c>
      <c r="T1603" s="12" t="s">
        <v>25</v>
      </c>
    </row>
    <row r="1604" spans="1:20" hidden="1" x14ac:dyDescent="0.3">
      <c r="A1604" s="13">
        <v>43961.708333333336</v>
      </c>
      <c r="B1604" s="12" t="s">
        <v>22</v>
      </c>
      <c r="C1604" s="267">
        <v>6</v>
      </c>
      <c r="D1604" s="12" t="s">
        <v>47</v>
      </c>
      <c r="E1604" s="267">
        <v>456494354</v>
      </c>
      <c r="F1604" s="267">
        <v>1376813649</v>
      </c>
      <c r="G1604" s="267">
        <v>98</v>
      </c>
      <c r="H1604" s="267">
        <v>3</v>
      </c>
      <c r="I1604" s="267">
        <v>101</v>
      </c>
      <c r="J1604" s="267">
        <v>750</v>
      </c>
      <c r="K1604" s="267">
        <v>851</v>
      </c>
      <c r="L1604" s="267">
        <v>-18</v>
      </c>
      <c r="M1604" s="267">
        <v>6</v>
      </c>
      <c r="N1604" s="267">
        <v>1969</v>
      </c>
      <c r="O1604" s="267">
        <v>310</v>
      </c>
      <c r="P1604" s="267">
        <v>3130</v>
      </c>
      <c r="Q1604" s="267">
        <v>89449</v>
      </c>
      <c r="R1604" s="12" t="s">
        <v>4697</v>
      </c>
      <c r="S1604" s="12" t="s">
        <v>25</v>
      </c>
      <c r="T1604" s="12" t="s">
        <v>25</v>
      </c>
    </row>
    <row r="1605" spans="1:20" hidden="1" x14ac:dyDescent="0.3">
      <c r="A1605" s="13">
        <v>43961.708333333336</v>
      </c>
      <c r="B1605" s="12" t="s">
        <v>22</v>
      </c>
      <c r="C1605" s="267">
        <v>12</v>
      </c>
      <c r="D1605" s="12" t="s">
        <v>48</v>
      </c>
      <c r="E1605" s="267">
        <v>4189277044</v>
      </c>
      <c r="F1605" s="267">
        <v>1248366722</v>
      </c>
      <c r="G1605" s="267">
        <v>1265</v>
      </c>
      <c r="H1605" s="267">
        <v>84</v>
      </c>
      <c r="I1605" s="267">
        <v>1349</v>
      </c>
      <c r="J1605" s="267">
        <v>2937</v>
      </c>
      <c r="K1605" s="267">
        <v>4286</v>
      </c>
      <c r="L1605" s="267">
        <v>-59</v>
      </c>
      <c r="M1605" s="267">
        <v>32</v>
      </c>
      <c r="N1605" s="267">
        <v>2322</v>
      </c>
      <c r="O1605" s="267">
        <v>557</v>
      </c>
      <c r="P1605" s="267">
        <v>7165</v>
      </c>
      <c r="Q1605" s="267">
        <v>178569</v>
      </c>
      <c r="R1605" s="12" t="s">
        <v>4698</v>
      </c>
      <c r="S1605" s="12" t="s">
        <v>25</v>
      </c>
      <c r="T1605" s="12" t="s">
        <v>25</v>
      </c>
    </row>
    <row r="1606" spans="1:20" x14ac:dyDescent="0.3">
      <c r="A1606" s="13">
        <v>43961.708333333336</v>
      </c>
      <c r="B1606" s="12" t="s">
        <v>22</v>
      </c>
      <c r="C1606" s="267">
        <v>7</v>
      </c>
      <c r="D1606" s="12" t="s">
        <v>49</v>
      </c>
      <c r="E1606" s="267">
        <v>4441149315</v>
      </c>
      <c r="F1606" s="267">
        <v>89326992</v>
      </c>
      <c r="G1606" s="267">
        <v>481</v>
      </c>
      <c r="H1606" s="267">
        <v>41</v>
      </c>
      <c r="I1606" s="267">
        <v>522</v>
      </c>
      <c r="J1606" s="267">
        <v>2378</v>
      </c>
      <c r="K1606" s="267">
        <v>2900</v>
      </c>
      <c r="L1606" s="267">
        <v>-82</v>
      </c>
      <c r="M1606" s="267">
        <v>50</v>
      </c>
      <c r="N1606" s="267">
        <v>4607</v>
      </c>
      <c r="O1606" s="267">
        <v>1281</v>
      </c>
      <c r="P1606" s="267">
        <v>8788</v>
      </c>
      <c r="Q1606" s="267">
        <v>67322</v>
      </c>
      <c r="R1606" s="12" t="s">
        <v>4699</v>
      </c>
      <c r="S1606" s="12" t="s">
        <v>25</v>
      </c>
      <c r="T1606" s="12" t="s">
        <v>25</v>
      </c>
    </row>
    <row r="1607" spans="1:20" hidden="1" x14ac:dyDescent="0.3">
      <c r="A1607" s="13">
        <v>43961.708333333336</v>
      </c>
      <c r="B1607" s="12" t="s">
        <v>22</v>
      </c>
      <c r="C1607" s="267">
        <v>3</v>
      </c>
      <c r="D1607" s="12" t="s">
        <v>50</v>
      </c>
      <c r="E1607" s="267">
        <v>4546679409</v>
      </c>
      <c r="F1607" s="267">
        <v>9190347404</v>
      </c>
      <c r="G1607" s="267">
        <v>5428</v>
      </c>
      <c r="H1607" s="267">
        <v>348</v>
      </c>
      <c r="I1607" s="267">
        <v>5776</v>
      </c>
      <c r="J1607" s="267">
        <v>24414</v>
      </c>
      <c r="K1607" s="267">
        <v>30190</v>
      </c>
      <c r="L1607" s="267">
        <v>-72</v>
      </c>
      <c r="M1607" s="267">
        <v>282</v>
      </c>
      <c r="N1607" s="267">
        <v>36331</v>
      </c>
      <c r="O1607" s="267">
        <v>14986</v>
      </c>
      <c r="P1607" s="267">
        <v>81507</v>
      </c>
      <c r="Q1607" s="267">
        <v>485134</v>
      </c>
      <c r="R1607" s="12" t="s">
        <v>4700</v>
      </c>
      <c r="S1607" s="12" t="s">
        <v>25</v>
      </c>
      <c r="T1607" s="12" t="s">
        <v>25</v>
      </c>
    </row>
    <row r="1608" spans="1:20" hidden="1" x14ac:dyDescent="0.3">
      <c r="A1608" s="13">
        <v>43961.708333333336</v>
      </c>
      <c r="B1608" s="12" t="s">
        <v>22</v>
      </c>
      <c r="C1608" s="267">
        <v>11</v>
      </c>
      <c r="D1608" s="12" t="s">
        <v>51</v>
      </c>
      <c r="E1608" s="267">
        <v>4361675973</v>
      </c>
      <c r="F1608" s="267">
        <v>135188753</v>
      </c>
      <c r="G1608" s="267">
        <v>284</v>
      </c>
      <c r="H1608" s="267">
        <v>30</v>
      </c>
      <c r="I1608" s="267">
        <v>314</v>
      </c>
      <c r="J1608" s="267">
        <v>2937</v>
      </c>
      <c r="K1608" s="267">
        <v>3251</v>
      </c>
      <c r="L1608" s="267">
        <v>21</v>
      </c>
      <c r="M1608" s="267">
        <v>40</v>
      </c>
      <c r="N1608" s="267">
        <v>2322</v>
      </c>
      <c r="O1608" s="267">
        <v>960</v>
      </c>
      <c r="P1608" s="267">
        <v>6533</v>
      </c>
      <c r="Q1608" s="267">
        <v>76367</v>
      </c>
      <c r="R1608" s="12" t="s">
        <v>4701</v>
      </c>
      <c r="S1608" s="12" t="s">
        <v>25</v>
      </c>
      <c r="T1608" s="12" t="s">
        <v>25</v>
      </c>
    </row>
    <row r="1609" spans="1:20" hidden="1" x14ac:dyDescent="0.3">
      <c r="A1609" s="13">
        <v>43961.708333333336</v>
      </c>
      <c r="B1609" s="12" t="s">
        <v>22</v>
      </c>
      <c r="C1609" s="267">
        <v>14</v>
      </c>
      <c r="D1609" s="12" t="s">
        <v>52</v>
      </c>
      <c r="E1609" s="267">
        <v>4155774754</v>
      </c>
      <c r="F1609" s="267">
        <v>1465916051</v>
      </c>
      <c r="G1609" s="267">
        <v>9</v>
      </c>
      <c r="H1609" s="267">
        <v>0</v>
      </c>
      <c r="I1609" s="267">
        <v>9</v>
      </c>
      <c r="J1609" s="267">
        <v>209</v>
      </c>
      <c r="K1609" s="267">
        <v>218</v>
      </c>
      <c r="L1609" s="267">
        <v>13</v>
      </c>
      <c r="M1609" s="267">
        <v>23</v>
      </c>
      <c r="N1609" s="267">
        <v>130</v>
      </c>
      <c r="O1609" s="267">
        <v>22</v>
      </c>
      <c r="P1609" s="267">
        <v>370</v>
      </c>
      <c r="Q1609" s="267">
        <v>9164</v>
      </c>
      <c r="R1609" s="12" t="s">
        <v>4702</v>
      </c>
      <c r="S1609" s="12" t="s">
        <v>25</v>
      </c>
      <c r="T1609" s="12" t="s">
        <v>25</v>
      </c>
    </row>
    <row r="1610" spans="1:20" hidden="1" x14ac:dyDescent="0.3">
      <c r="A1610" s="13">
        <v>43961.708333333336</v>
      </c>
      <c r="B1610" s="12" t="s">
        <v>22</v>
      </c>
      <c r="C1610" s="267">
        <v>1</v>
      </c>
      <c r="D1610" s="12" t="s">
        <v>53</v>
      </c>
      <c r="E1610" s="267">
        <v>450732745</v>
      </c>
      <c r="F1610" s="267">
        <v>7680687483</v>
      </c>
      <c r="G1610" s="267">
        <v>2024</v>
      </c>
      <c r="H1610" s="267">
        <v>137</v>
      </c>
      <c r="I1610" s="267">
        <v>2161</v>
      </c>
      <c r="J1610" s="267">
        <v>11489</v>
      </c>
      <c r="K1610" s="267">
        <v>13650</v>
      </c>
      <c r="L1610" s="267">
        <v>-284</v>
      </c>
      <c r="M1610" s="267">
        <v>116</v>
      </c>
      <c r="N1610" s="267">
        <v>11648</v>
      </c>
      <c r="O1610" s="267">
        <v>3367</v>
      </c>
      <c r="P1610" s="267">
        <v>28665</v>
      </c>
      <c r="Q1610" s="267">
        <v>210370</v>
      </c>
      <c r="R1610" s="12" t="s">
        <v>4703</v>
      </c>
      <c r="S1610" s="12" t="s">
        <v>25</v>
      </c>
      <c r="T1610" s="12" t="s">
        <v>25</v>
      </c>
    </row>
    <row r="1611" spans="1:20" hidden="1" x14ac:dyDescent="0.3">
      <c r="A1611" s="13">
        <v>43961.708333333336</v>
      </c>
      <c r="B1611" s="12" t="s">
        <v>22</v>
      </c>
      <c r="C1611" s="267">
        <v>16</v>
      </c>
      <c r="D1611" s="12" t="s">
        <v>54</v>
      </c>
      <c r="E1611" s="267">
        <v>4112559576</v>
      </c>
      <c r="F1611" s="267">
        <v>1686736689</v>
      </c>
      <c r="G1611" s="267">
        <v>343</v>
      </c>
      <c r="H1611" s="267">
        <v>34</v>
      </c>
      <c r="I1611" s="267">
        <v>377</v>
      </c>
      <c r="J1611" s="267">
        <v>2292</v>
      </c>
      <c r="K1611" s="267">
        <v>2669</v>
      </c>
      <c r="L1611" s="267">
        <v>-60</v>
      </c>
      <c r="M1611" s="267">
        <v>27</v>
      </c>
      <c r="N1611" s="267">
        <v>1196</v>
      </c>
      <c r="O1611" s="267">
        <v>448</v>
      </c>
      <c r="P1611" s="267">
        <v>4313</v>
      </c>
      <c r="Q1611" s="267">
        <v>78399</v>
      </c>
      <c r="R1611" s="12" t="s">
        <v>4704</v>
      </c>
      <c r="S1611" s="12" t="s">
        <v>25</v>
      </c>
      <c r="T1611" s="12" t="s">
        <v>25</v>
      </c>
    </row>
    <row r="1612" spans="1:20" hidden="1" x14ac:dyDescent="0.3">
      <c r="A1612" s="13">
        <v>43961.708333333336</v>
      </c>
      <c r="B1612" s="12" t="s">
        <v>22</v>
      </c>
      <c r="C1612" s="267">
        <v>20</v>
      </c>
      <c r="D1612" s="12" t="s">
        <v>55</v>
      </c>
      <c r="E1612" s="267">
        <v>3921531192</v>
      </c>
      <c r="F1612" s="267">
        <v>9110616306</v>
      </c>
      <c r="G1612" s="267">
        <v>83</v>
      </c>
      <c r="H1612" s="267">
        <v>10</v>
      </c>
      <c r="I1612" s="267">
        <v>93</v>
      </c>
      <c r="J1612" s="267">
        <v>422</v>
      </c>
      <c r="K1612" s="267">
        <v>515</v>
      </c>
      <c r="L1612" s="267">
        <v>-35</v>
      </c>
      <c r="M1612" s="267">
        <v>6</v>
      </c>
      <c r="N1612" s="267">
        <v>705</v>
      </c>
      <c r="O1612" s="267">
        <v>120</v>
      </c>
      <c r="P1612" s="267">
        <v>1340</v>
      </c>
      <c r="Q1612" s="267">
        <v>34046</v>
      </c>
      <c r="R1612" s="12" t="s">
        <v>4705</v>
      </c>
      <c r="S1612" s="12" t="s">
        <v>25</v>
      </c>
      <c r="T1612" s="12" t="s">
        <v>25</v>
      </c>
    </row>
    <row r="1613" spans="1:20" hidden="1" x14ac:dyDescent="0.3">
      <c r="A1613" s="13">
        <v>43961.708333333336</v>
      </c>
      <c r="B1613" s="12" t="s">
        <v>22</v>
      </c>
      <c r="C1613" s="267">
        <v>19</v>
      </c>
      <c r="D1613" s="12" t="s">
        <v>56</v>
      </c>
      <c r="E1613" s="267">
        <v>3811569725</v>
      </c>
      <c r="F1613" s="267">
        <v>133623567</v>
      </c>
      <c r="G1613" s="267">
        <v>273</v>
      </c>
      <c r="H1613" s="267">
        <v>16</v>
      </c>
      <c r="I1613" s="267">
        <v>289</v>
      </c>
      <c r="J1613" s="267">
        <v>1780</v>
      </c>
      <c r="K1613" s="267">
        <v>2069</v>
      </c>
      <c r="L1613" s="267">
        <v>-11</v>
      </c>
      <c r="M1613" s="267">
        <v>14</v>
      </c>
      <c r="N1613" s="267">
        <v>1002</v>
      </c>
      <c r="O1613" s="267">
        <v>256</v>
      </c>
      <c r="P1613" s="267">
        <v>3327</v>
      </c>
      <c r="Q1613" s="267">
        <v>102403</v>
      </c>
      <c r="R1613" s="12" t="s">
        <v>4706</v>
      </c>
      <c r="S1613" s="12" t="s">
        <v>25</v>
      </c>
      <c r="T1613" s="12" t="s">
        <v>25</v>
      </c>
    </row>
    <row r="1614" spans="1:20" hidden="1" x14ac:dyDescent="0.3">
      <c r="A1614" s="13">
        <v>43961.708333333336</v>
      </c>
      <c r="B1614" s="12" t="s">
        <v>22</v>
      </c>
      <c r="C1614" s="267">
        <v>9</v>
      </c>
      <c r="D1614" s="12" t="s">
        <v>57</v>
      </c>
      <c r="E1614" s="267">
        <v>4376923077</v>
      </c>
      <c r="F1614" s="267">
        <v>1125588885</v>
      </c>
      <c r="G1614" s="267">
        <v>350</v>
      </c>
      <c r="H1614" s="267">
        <v>78</v>
      </c>
      <c r="I1614" s="267">
        <v>428</v>
      </c>
      <c r="J1614" s="267">
        <v>3719</v>
      </c>
      <c r="K1614" s="267">
        <v>4147</v>
      </c>
      <c r="L1614" s="267">
        <v>-301</v>
      </c>
      <c r="M1614" s="267">
        <v>29</v>
      </c>
      <c r="N1614" s="267">
        <v>4685</v>
      </c>
      <c r="O1614" s="267">
        <v>942</v>
      </c>
      <c r="P1614" s="267">
        <v>9774</v>
      </c>
      <c r="Q1614" s="267">
        <v>178208</v>
      </c>
      <c r="R1614" s="12" t="s">
        <v>4707</v>
      </c>
      <c r="S1614" s="12" t="s">
        <v>25</v>
      </c>
      <c r="T1614" s="12" t="s">
        <v>25</v>
      </c>
    </row>
    <row r="1615" spans="1:20" hidden="1" x14ac:dyDescent="0.3">
      <c r="A1615" s="13">
        <v>43961.708333333336</v>
      </c>
      <c r="B1615" s="12" t="s">
        <v>22</v>
      </c>
      <c r="C1615" s="267">
        <v>22</v>
      </c>
      <c r="D1615" s="12" t="s">
        <v>58</v>
      </c>
      <c r="E1615" s="267">
        <v>4606893511</v>
      </c>
      <c r="F1615" s="267">
        <v>1112123097</v>
      </c>
      <c r="G1615" s="267">
        <v>82</v>
      </c>
      <c r="H1615" s="267">
        <v>10</v>
      </c>
      <c r="I1615" s="267">
        <v>92</v>
      </c>
      <c r="J1615" s="267">
        <v>694</v>
      </c>
      <c r="K1615" s="267">
        <v>786</v>
      </c>
      <c r="L1615" s="267">
        <v>-44</v>
      </c>
      <c r="M1615" s="267">
        <v>3</v>
      </c>
      <c r="N1615" s="267">
        <v>3068</v>
      </c>
      <c r="O1615" s="267">
        <v>441</v>
      </c>
      <c r="P1615" s="267">
        <v>4295</v>
      </c>
      <c r="Q1615" s="267">
        <v>52039</v>
      </c>
      <c r="R1615" s="12" t="s">
        <v>4708</v>
      </c>
      <c r="S1615" s="12" t="s">
        <v>25</v>
      </c>
      <c r="T1615" s="12" t="s">
        <v>25</v>
      </c>
    </row>
    <row r="1616" spans="1:20" hidden="1" x14ac:dyDescent="0.3">
      <c r="A1616" s="13">
        <v>43961.708333333336</v>
      </c>
      <c r="B1616" s="12" t="s">
        <v>22</v>
      </c>
      <c r="C1616" s="267">
        <v>10</v>
      </c>
      <c r="D1616" s="12" t="s">
        <v>59</v>
      </c>
      <c r="E1616" s="267">
        <v>4310675841</v>
      </c>
      <c r="F1616" s="267">
        <v>1238824698</v>
      </c>
      <c r="G1616" s="267">
        <v>42</v>
      </c>
      <c r="H1616" s="267">
        <v>6</v>
      </c>
      <c r="I1616" s="267">
        <v>48</v>
      </c>
      <c r="J1616" s="267">
        <v>65</v>
      </c>
      <c r="K1616" s="267">
        <v>113</v>
      </c>
      <c r="L1616" s="267">
        <v>2</v>
      </c>
      <c r="M1616" s="267">
        <v>4</v>
      </c>
      <c r="N1616" s="267">
        <v>1227</v>
      </c>
      <c r="O1616" s="267">
        <v>71</v>
      </c>
      <c r="P1616" s="267">
        <v>1411</v>
      </c>
      <c r="Q1616" s="267">
        <v>46923</v>
      </c>
      <c r="R1616" s="12" t="s">
        <v>4709</v>
      </c>
      <c r="S1616" s="12" t="s">
        <v>25</v>
      </c>
      <c r="T1616" s="12" t="s">
        <v>25</v>
      </c>
    </row>
    <row r="1617" spans="1:20" hidden="1" x14ac:dyDescent="0.3">
      <c r="A1617" s="13">
        <v>43961.708333333336</v>
      </c>
      <c r="B1617" s="12" t="s">
        <v>22</v>
      </c>
      <c r="C1617" s="267">
        <v>2</v>
      </c>
      <c r="D1617" s="12" t="s">
        <v>60</v>
      </c>
      <c r="E1617" s="267">
        <v>4573750286</v>
      </c>
      <c r="F1617" s="267">
        <v>7320149366</v>
      </c>
      <c r="G1617" s="267">
        <v>46</v>
      </c>
      <c r="H1617" s="267">
        <v>2</v>
      </c>
      <c r="I1617" s="267">
        <v>48</v>
      </c>
      <c r="J1617" s="267">
        <v>65</v>
      </c>
      <c r="K1617" s="267">
        <v>113</v>
      </c>
      <c r="L1617" s="267">
        <v>-5</v>
      </c>
      <c r="M1617" s="267">
        <v>5</v>
      </c>
      <c r="N1617" s="267">
        <v>905</v>
      </c>
      <c r="O1617" s="267">
        <v>139</v>
      </c>
      <c r="P1617" s="267">
        <v>1157</v>
      </c>
      <c r="Q1617" s="267">
        <v>9833</v>
      </c>
      <c r="R1617" s="12" t="s">
        <v>4710</v>
      </c>
      <c r="S1617" s="12" t="s">
        <v>25</v>
      </c>
      <c r="T1617" s="12" t="s">
        <v>25</v>
      </c>
    </row>
    <row r="1618" spans="1:20" hidden="1" x14ac:dyDescent="0.3">
      <c r="A1618" s="13">
        <v>43961.708333333336</v>
      </c>
      <c r="B1618" s="12" t="s">
        <v>22</v>
      </c>
      <c r="C1618" s="268">
        <v>5</v>
      </c>
      <c r="D1618" s="12" t="s">
        <v>61</v>
      </c>
      <c r="E1618" s="268">
        <v>4543490485</v>
      </c>
      <c r="F1618" s="268">
        <v>1233845213</v>
      </c>
      <c r="G1618" s="268">
        <v>408</v>
      </c>
      <c r="H1618" s="268">
        <v>37</v>
      </c>
      <c r="I1618" s="268">
        <v>445</v>
      </c>
      <c r="J1618" s="268">
        <v>5146</v>
      </c>
      <c r="K1618" s="268">
        <v>5591</v>
      </c>
      <c r="L1618" s="268">
        <v>-286</v>
      </c>
      <c r="M1618" s="268">
        <v>51</v>
      </c>
      <c r="N1618" s="268">
        <v>11474</v>
      </c>
      <c r="O1618" s="268">
        <v>1657</v>
      </c>
      <c r="P1618" s="268">
        <v>18722</v>
      </c>
      <c r="Q1618" s="268">
        <v>439522</v>
      </c>
      <c r="R1618" s="12" t="s">
        <v>4711</v>
      </c>
      <c r="S1618" s="12" t="s">
        <v>25</v>
      </c>
      <c r="T1618" s="12" t="s">
        <v>25</v>
      </c>
    </row>
    <row r="1619" spans="1:20" hidden="1" x14ac:dyDescent="0.3">
      <c r="A1619" s="13">
        <v>43962.708333333336</v>
      </c>
      <c r="B1619" s="12" t="s">
        <v>22</v>
      </c>
      <c r="C1619" s="268">
        <v>13</v>
      </c>
      <c r="D1619" s="12" t="s">
        <v>42</v>
      </c>
      <c r="E1619" s="268">
        <v>4235122196</v>
      </c>
      <c r="F1619" s="268">
        <v>1339843823</v>
      </c>
      <c r="G1619" s="268">
        <v>231</v>
      </c>
      <c r="H1619" s="268">
        <v>9</v>
      </c>
      <c r="I1619" s="268">
        <v>240</v>
      </c>
      <c r="J1619" s="268">
        <v>1369</v>
      </c>
      <c r="K1619" s="268">
        <v>1609</v>
      </c>
      <c r="L1619" s="268">
        <v>-62</v>
      </c>
      <c r="M1619" s="268">
        <v>4</v>
      </c>
      <c r="N1619" s="268">
        <v>1132</v>
      </c>
      <c r="O1619" s="268">
        <v>366</v>
      </c>
      <c r="P1619" s="268">
        <v>3107</v>
      </c>
      <c r="Q1619" s="268">
        <v>48903</v>
      </c>
      <c r="R1619" s="12" t="s">
        <v>4715</v>
      </c>
      <c r="S1619" s="12" t="s">
        <v>25</v>
      </c>
      <c r="T1619" s="12" t="s">
        <v>25</v>
      </c>
    </row>
    <row r="1620" spans="1:20" hidden="1" x14ac:dyDescent="0.3">
      <c r="A1620" s="13">
        <v>43962.708333333336</v>
      </c>
      <c r="B1620" s="12" t="s">
        <v>22</v>
      </c>
      <c r="C1620" s="268">
        <v>17</v>
      </c>
      <c r="D1620" s="12" t="s">
        <v>43</v>
      </c>
      <c r="E1620" s="268">
        <v>4063947052</v>
      </c>
      <c r="F1620" s="268">
        <v>1580514834</v>
      </c>
      <c r="G1620" s="268">
        <v>46</v>
      </c>
      <c r="H1620" s="268">
        <v>1</v>
      </c>
      <c r="I1620" s="268">
        <v>47</v>
      </c>
      <c r="J1620" s="268">
        <v>95</v>
      </c>
      <c r="K1620" s="268">
        <v>142</v>
      </c>
      <c r="L1620" s="268">
        <v>-1</v>
      </c>
      <c r="M1620" s="268">
        <v>1</v>
      </c>
      <c r="N1620" s="268">
        <v>217</v>
      </c>
      <c r="O1620" s="268">
        <v>27</v>
      </c>
      <c r="P1620" s="268">
        <v>386</v>
      </c>
      <c r="Q1620" s="268">
        <v>18266</v>
      </c>
      <c r="R1620" s="12" t="s">
        <v>4716</v>
      </c>
      <c r="S1620" s="12" t="s">
        <v>25</v>
      </c>
      <c r="T1620" s="12" t="s">
        <v>25</v>
      </c>
    </row>
    <row r="1621" spans="1:20" hidden="1" x14ac:dyDescent="0.3">
      <c r="A1621" s="13">
        <v>43962.708333333336</v>
      </c>
      <c r="B1621" s="12" t="s">
        <v>22</v>
      </c>
      <c r="C1621" s="268">
        <v>21</v>
      </c>
      <c r="D1621" s="12" t="s">
        <v>44</v>
      </c>
      <c r="E1621" s="268">
        <v>4649933453</v>
      </c>
      <c r="F1621" s="268">
        <v>1135662422</v>
      </c>
      <c r="G1621" s="268">
        <v>63</v>
      </c>
      <c r="H1621" s="268">
        <v>7</v>
      </c>
      <c r="I1621" s="268">
        <v>70</v>
      </c>
      <c r="J1621" s="268">
        <v>377</v>
      </c>
      <c r="K1621" s="268">
        <v>447</v>
      </c>
      <c r="L1621" s="268">
        <v>-12</v>
      </c>
      <c r="M1621" s="268">
        <v>3</v>
      </c>
      <c r="N1621" s="268">
        <v>1835</v>
      </c>
      <c r="O1621" s="268">
        <v>290</v>
      </c>
      <c r="P1621" s="268">
        <v>2572</v>
      </c>
      <c r="Q1621" s="268">
        <v>50019</v>
      </c>
      <c r="R1621" s="12" t="s">
        <v>4717</v>
      </c>
      <c r="S1621" s="12" t="s">
        <v>25</v>
      </c>
      <c r="T1621" s="12" t="s">
        <v>25</v>
      </c>
    </row>
    <row r="1622" spans="1:20" hidden="1" x14ac:dyDescent="0.3">
      <c r="A1622" s="13">
        <v>43962.708333333336</v>
      </c>
      <c r="B1622" s="12" t="s">
        <v>22</v>
      </c>
      <c r="C1622" s="268">
        <v>18</v>
      </c>
      <c r="D1622" s="12" t="s">
        <v>45</v>
      </c>
      <c r="E1622" s="268">
        <v>3890597598</v>
      </c>
      <c r="F1622" s="268">
        <v>1659440194</v>
      </c>
      <c r="G1622" s="268">
        <v>64</v>
      </c>
      <c r="H1622" s="268">
        <v>1</v>
      </c>
      <c r="I1622" s="268">
        <v>65</v>
      </c>
      <c r="J1622" s="268">
        <v>503</v>
      </c>
      <c r="K1622" s="268">
        <v>568</v>
      </c>
      <c r="L1622" s="268">
        <v>-28</v>
      </c>
      <c r="M1622" s="268">
        <v>2</v>
      </c>
      <c r="N1622" s="268">
        <v>473</v>
      </c>
      <c r="O1622" s="268">
        <v>93</v>
      </c>
      <c r="P1622" s="268">
        <v>1134</v>
      </c>
      <c r="Q1622" s="268">
        <v>47265</v>
      </c>
      <c r="R1622" s="12" t="s">
        <v>4718</v>
      </c>
      <c r="S1622" s="12" t="s">
        <v>25</v>
      </c>
      <c r="T1622" s="12" t="s">
        <v>25</v>
      </c>
    </row>
    <row r="1623" spans="1:20" hidden="1" x14ac:dyDescent="0.3">
      <c r="A1623" s="13">
        <v>43962.708333333336</v>
      </c>
      <c r="B1623" s="12" t="s">
        <v>22</v>
      </c>
      <c r="C1623" s="268">
        <v>15</v>
      </c>
      <c r="D1623" s="12" t="s">
        <v>46</v>
      </c>
      <c r="E1623" s="268">
        <v>4083956555</v>
      </c>
      <c r="F1623" s="268">
        <v>1425084984</v>
      </c>
      <c r="G1623" s="268">
        <v>436</v>
      </c>
      <c r="H1623" s="268">
        <v>23</v>
      </c>
      <c r="I1623" s="268">
        <v>459</v>
      </c>
      <c r="J1623" s="268">
        <v>1450</v>
      </c>
      <c r="K1623" s="268">
        <v>1909</v>
      </c>
      <c r="L1623" s="268">
        <v>-6</v>
      </c>
      <c r="M1623" s="268">
        <v>14</v>
      </c>
      <c r="N1623" s="268">
        <v>2301</v>
      </c>
      <c r="O1623" s="268">
        <v>392</v>
      </c>
      <c r="P1623" s="268">
        <v>4602</v>
      </c>
      <c r="Q1623" s="268">
        <v>119042</v>
      </c>
      <c r="R1623" s="12" t="s">
        <v>4719</v>
      </c>
      <c r="S1623" s="12" t="s">
        <v>25</v>
      </c>
      <c r="T1623" s="12" t="s">
        <v>25</v>
      </c>
    </row>
    <row r="1624" spans="1:20" hidden="1" x14ac:dyDescent="0.3">
      <c r="A1624" s="13">
        <v>43962.708333333336</v>
      </c>
      <c r="B1624" s="12" t="s">
        <v>22</v>
      </c>
      <c r="C1624" s="268">
        <v>8</v>
      </c>
      <c r="D1624" s="12" t="s">
        <v>95</v>
      </c>
      <c r="E1624" s="268">
        <v>4449436681</v>
      </c>
      <c r="F1624" s="268">
        <v>113417208</v>
      </c>
      <c r="G1624" s="268">
        <v>1537</v>
      </c>
      <c r="H1624" s="268">
        <v>141</v>
      </c>
      <c r="I1624" s="268">
        <v>1678</v>
      </c>
      <c r="J1624" s="268">
        <v>5362</v>
      </c>
      <c r="K1624" s="268">
        <v>7040</v>
      </c>
      <c r="L1624" s="268">
        <v>-151</v>
      </c>
      <c r="M1624" s="268">
        <v>80</v>
      </c>
      <c r="N1624" s="268">
        <v>15969</v>
      </c>
      <c r="O1624" s="268">
        <v>3867</v>
      </c>
      <c r="P1624" s="268">
        <v>26876</v>
      </c>
      <c r="Q1624" s="268">
        <v>234619</v>
      </c>
      <c r="R1624" s="12" t="s">
        <v>4720</v>
      </c>
      <c r="S1624" s="12" t="s">
        <v>25</v>
      </c>
      <c r="T1624" s="12" t="s">
        <v>25</v>
      </c>
    </row>
    <row r="1625" spans="1:20" hidden="1" x14ac:dyDescent="0.3">
      <c r="A1625" s="13">
        <v>43962.708333333336</v>
      </c>
      <c r="B1625" s="12" t="s">
        <v>22</v>
      </c>
      <c r="C1625" s="268">
        <v>6</v>
      </c>
      <c r="D1625" s="12" t="s">
        <v>47</v>
      </c>
      <c r="E1625" s="268">
        <v>456494354</v>
      </c>
      <c r="F1625" s="268">
        <v>1376813649</v>
      </c>
      <c r="G1625" s="268">
        <v>96</v>
      </c>
      <c r="H1625" s="268">
        <v>3</v>
      </c>
      <c r="I1625" s="268">
        <v>99</v>
      </c>
      <c r="J1625" s="268">
        <v>731</v>
      </c>
      <c r="K1625" s="268">
        <v>830</v>
      </c>
      <c r="L1625" s="268">
        <v>-21</v>
      </c>
      <c r="M1625" s="268">
        <v>8</v>
      </c>
      <c r="N1625" s="268">
        <v>1996</v>
      </c>
      <c r="O1625" s="268">
        <v>312</v>
      </c>
      <c r="P1625" s="268">
        <v>3138</v>
      </c>
      <c r="Q1625" s="268">
        <v>90860</v>
      </c>
      <c r="R1625" s="12" t="s">
        <v>4721</v>
      </c>
      <c r="S1625" s="12" t="s">
        <v>25</v>
      </c>
      <c r="T1625" s="12" t="s">
        <v>25</v>
      </c>
    </row>
    <row r="1626" spans="1:20" hidden="1" x14ac:dyDescent="0.3">
      <c r="A1626" s="13">
        <v>43962.708333333336</v>
      </c>
      <c r="B1626" s="12" t="s">
        <v>22</v>
      </c>
      <c r="C1626" s="268">
        <v>12</v>
      </c>
      <c r="D1626" s="12" t="s">
        <v>48</v>
      </c>
      <c r="E1626" s="268">
        <v>4189277044</v>
      </c>
      <c r="F1626" s="268">
        <v>1248366722</v>
      </c>
      <c r="G1626" s="268">
        <v>1266</v>
      </c>
      <c r="H1626" s="268">
        <v>83</v>
      </c>
      <c r="I1626" s="268">
        <v>1349</v>
      </c>
      <c r="J1626" s="268">
        <v>2945</v>
      </c>
      <c r="K1626" s="268">
        <v>4294</v>
      </c>
      <c r="L1626" s="268">
        <v>8</v>
      </c>
      <c r="M1626" s="268">
        <v>25</v>
      </c>
      <c r="N1626" s="268">
        <v>2334</v>
      </c>
      <c r="O1626" s="268">
        <v>562</v>
      </c>
      <c r="P1626" s="268">
        <v>7190</v>
      </c>
      <c r="Q1626" s="268">
        <v>181398</v>
      </c>
      <c r="R1626" s="12" t="s">
        <v>4722</v>
      </c>
      <c r="S1626" s="12" t="s">
        <v>25</v>
      </c>
      <c r="T1626" s="12" t="s">
        <v>25</v>
      </c>
    </row>
    <row r="1627" spans="1:20" x14ac:dyDescent="0.3">
      <c r="A1627" s="13">
        <v>43962.708333333336</v>
      </c>
      <c r="B1627" s="12" t="s">
        <v>22</v>
      </c>
      <c r="C1627" s="268">
        <v>7</v>
      </c>
      <c r="D1627" s="12" t="s">
        <v>49</v>
      </c>
      <c r="E1627" s="268">
        <v>4441149315</v>
      </c>
      <c r="F1627" s="268">
        <v>89326992</v>
      </c>
      <c r="G1627" s="268">
        <v>484</v>
      </c>
      <c r="H1627" s="268">
        <v>38</v>
      </c>
      <c r="I1627" s="268">
        <v>522</v>
      </c>
      <c r="J1627" s="268">
        <v>2322</v>
      </c>
      <c r="K1627" s="268">
        <v>2844</v>
      </c>
      <c r="L1627" s="268">
        <v>-56</v>
      </c>
      <c r="M1627" s="268">
        <v>44</v>
      </c>
      <c r="N1627" s="268">
        <v>4695</v>
      </c>
      <c r="O1627" s="268">
        <v>1293</v>
      </c>
      <c r="P1627" s="268">
        <v>8832</v>
      </c>
      <c r="Q1627" s="268">
        <v>68814</v>
      </c>
      <c r="R1627" s="12" t="s">
        <v>4723</v>
      </c>
      <c r="S1627" s="12" t="s">
        <v>25</v>
      </c>
      <c r="T1627" s="12" t="s">
        <v>25</v>
      </c>
    </row>
    <row r="1628" spans="1:20" hidden="1" x14ac:dyDescent="0.3">
      <c r="A1628" s="13">
        <v>43962.708333333336</v>
      </c>
      <c r="B1628" s="12" t="s">
        <v>22</v>
      </c>
      <c r="C1628" s="268">
        <v>3</v>
      </c>
      <c r="D1628" s="12" t="s">
        <v>50</v>
      </c>
      <c r="E1628" s="268">
        <v>4546679409</v>
      </c>
      <c r="F1628" s="268">
        <v>9190347404</v>
      </c>
      <c r="G1628" s="268">
        <v>5397</v>
      </c>
      <c r="H1628" s="268">
        <v>341</v>
      </c>
      <c r="I1628" s="268">
        <v>5738</v>
      </c>
      <c r="J1628" s="268">
        <v>24673</v>
      </c>
      <c r="K1628" s="268">
        <v>30411</v>
      </c>
      <c r="L1628" s="268">
        <v>221</v>
      </c>
      <c r="M1628" s="268">
        <v>364</v>
      </c>
      <c r="N1628" s="268">
        <v>36406</v>
      </c>
      <c r="O1628" s="268">
        <v>15054</v>
      </c>
      <c r="P1628" s="268">
        <v>81871</v>
      </c>
      <c r="Q1628" s="268">
        <v>492642</v>
      </c>
      <c r="R1628" s="12" t="s">
        <v>4724</v>
      </c>
      <c r="S1628" s="12" t="s">
        <v>25</v>
      </c>
      <c r="T1628" s="12" t="s">
        <v>25</v>
      </c>
    </row>
    <row r="1629" spans="1:20" hidden="1" x14ac:dyDescent="0.3">
      <c r="A1629" s="13">
        <v>43962.708333333336</v>
      </c>
      <c r="B1629" s="12" t="s">
        <v>22</v>
      </c>
      <c r="C1629" s="268">
        <v>11</v>
      </c>
      <c r="D1629" s="12" t="s">
        <v>51</v>
      </c>
      <c r="E1629" s="268">
        <v>4361675973</v>
      </c>
      <c r="F1629" s="268">
        <v>135188753</v>
      </c>
      <c r="G1629" s="268">
        <v>277</v>
      </c>
      <c r="H1629" s="268">
        <v>28</v>
      </c>
      <c r="I1629" s="268">
        <v>305</v>
      </c>
      <c r="J1629" s="268">
        <v>2922</v>
      </c>
      <c r="K1629" s="268">
        <v>3227</v>
      </c>
      <c r="L1629" s="268">
        <v>-24</v>
      </c>
      <c r="M1629" s="268">
        <v>10</v>
      </c>
      <c r="N1629" s="268">
        <v>2352</v>
      </c>
      <c r="O1629" s="268">
        <v>964</v>
      </c>
      <c r="P1629" s="268">
        <v>6543</v>
      </c>
      <c r="Q1629" s="268">
        <v>77830</v>
      </c>
      <c r="R1629" s="12" t="s">
        <v>4725</v>
      </c>
      <c r="S1629" s="12" t="s">
        <v>25</v>
      </c>
      <c r="T1629" s="12" t="s">
        <v>25</v>
      </c>
    </row>
    <row r="1630" spans="1:20" hidden="1" x14ac:dyDescent="0.3">
      <c r="A1630" s="13">
        <v>43962.708333333336</v>
      </c>
      <c r="B1630" s="12" t="s">
        <v>22</v>
      </c>
      <c r="C1630" s="268">
        <v>14</v>
      </c>
      <c r="D1630" s="12" t="s">
        <v>52</v>
      </c>
      <c r="E1630" s="268">
        <v>4155774754</v>
      </c>
      <c r="F1630" s="268">
        <v>1465916051</v>
      </c>
      <c r="G1630" s="268">
        <v>11</v>
      </c>
      <c r="H1630" s="268">
        <v>0</v>
      </c>
      <c r="I1630" s="268">
        <v>11</v>
      </c>
      <c r="J1630" s="268">
        <v>218</v>
      </c>
      <c r="K1630" s="268">
        <v>229</v>
      </c>
      <c r="L1630" s="268">
        <v>11</v>
      </c>
      <c r="M1630" s="268">
        <v>13</v>
      </c>
      <c r="N1630" s="268">
        <v>132</v>
      </c>
      <c r="O1630" s="268">
        <v>22</v>
      </c>
      <c r="P1630" s="268">
        <v>383</v>
      </c>
      <c r="Q1630" s="268">
        <v>9390</v>
      </c>
      <c r="R1630" s="12" t="s">
        <v>4726</v>
      </c>
      <c r="S1630" s="12" t="s">
        <v>25</v>
      </c>
      <c r="T1630" s="12" t="s">
        <v>25</v>
      </c>
    </row>
    <row r="1631" spans="1:20" hidden="1" x14ac:dyDescent="0.3">
      <c r="A1631" s="13">
        <v>43962.708333333336</v>
      </c>
      <c r="B1631" s="12" t="s">
        <v>22</v>
      </c>
      <c r="C1631" s="268">
        <v>1</v>
      </c>
      <c r="D1631" s="12" t="s">
        <v>53</v>
      </c>
      <c r="E1631" s="268">
        <v>450732745</v>
      </c>
      <c r="F1631" s="268">
        <v>7680687483</v>
      </c>
      <c r="G1631" s="268">
        <v>2021</v>
      </c>
      <c r="H1631" s="268">
        <v>135</v>
      </c>
      <c r="I1631" s="268">
        <v>2156</v>
      </c>
      <c r="J1631" s="268">
        <v>11182</v>
      </c>
      <c r="K1631" s="268">
        <v>13338</v>
      </c>
      <c r="L1631" s="268">
        <v>-312</v>
      </c>
      <c r="M1631" s="268">
        <v>111</v>
      </c>
      <c r="N1631" s="268">
        <v>12038</v>
      </c>
      <c r="O1631" s="268">
        <v>3400</v>
      </c>
      <c r="P1631" s="268">
        <v>28776</v>
      </c>
      <c r="Q1631" s="268">
        <v>213783</v>
      </c>
      <c r="R1631" s="12" t="s">
        <v>4727</v>
      </c>
      <c r="S1631" s="12" t="s">
        <v>25</v>
      </c>
      <c r="T1631" s="12" t="s">
        <v>25</v>
      </c>
    </row>
    <row r="1632" spans="1:20" hidden="1" x14ac:dyDescent="0.3">
      <c r="A1632" s="13">
        <v>43962.708333333336</v>
      </c>
      <c r="B1632" s="12" t="s">
        <v>22</v>
      </c>
      <c r="C1632" s="268">
        <v>16</v>
      </c>
      <c r="D1632" s="12" t="s">
        <v>54</v>
      </c>
      <c r="E1632" s="268">
        <v>4112559576</v>
      </c>
      <c r="F1632" s="268">
        <v>1686736689</v>
      </c>
      <c r="G1632" s="268">
        <v>340</v>
      </c>
      <c r="H1632" s="268">
        <v>32</v>
      </c>
      <c r="I1632" s="268">
        <v>372</v>
      </c>
      <c r="J1632" s="268">
        <v>2172</v>
      </c>
      <c r="K1632" s="268">
        <v>2544</v>
      </c>
      <c r="L1632" s="268">
        <v>-125</v>
      </c>
      <c r="M1632" s="268">
        <v>14</v>
      </c>
      <c r="N1632" s="268">
        <v>1332</v>
      </c>
      <c r="O1632" s="268">
        <v>451</v>
      </c>
      <c r="P1632" s="268">
        <v>4327</v>
      </c>
      <c r="Q1632" s="268">
        <v>79737</v>
      </c>
      <c r="R1632" s="12" t="s">
        <v>4728</v>
      </c>
      <c r="S1632" s="12" t="s">
        <v>25</v>
      </c>
      <c r="T1632" s="12" t="s">
        <v>25</v>
      </c>
    </row>
    <row r="1633" spans="1:20" hidden="1" x14ac:dyDescent="0.3">
      <c r="A1633" s="13">
        <v>43962.708333333336</v>
      </c>
      <c r="B1633" s="12" t="s">
        <v>22</v>
      </c>
      <c r="C1633" s="268">
        <v>20</v>
      </c>
      <c r="D1633" s="12" t="s">
        <v>55</v>
      </c>
      <c r="E1633" s="268">
        <v>3921531192</v>
      </c>
      <c r="F1633" s="268">
        <v>9110616306</v>
      </c>
      <c r="G1633" s="268">
        <v>84</v>
      </c>
      <c r="H1633" s="268">
        <v>10</v>
      </c>
      <c r="I1633" s="268">
        <v>94</v>
      </c>
      <c r="J1633" s="268">
        <v>417</v>
      </c>
      <c r="K1633" s="268">
        <v>511</v>
      </c>
      <c r="L1633" s="268">
        <v>-4</v>
      </c>
      <c r="M1633" s="268">
        <v>3</v>
      </c>
      <c r="N1633" s="268">
        <v>712</v>
      </c>
      <c r="O1633" s="268">
        <v>120</v>
      </c>
      <c r="P1633" s="268">
        <v>1343</v>
      </c>
      <c r="Q1633" s="268">
        <v>34641</v>
      </c>
      <c r="R1633" s="12" t="s">
        <v>4729</v>
      </c>
      <c r="S1633" s="12" t="s">
        <v>25</v>
      </c>
      <c r="T1633" s="12" t="s">
        <v>25</v>
      </c>
    </row>
    <row r="1634" spans="1:20" hidden="1" x14ac:dyDescent="0.3">
      <c r="A1634" s="13">
        <v>43962.708333333336</v>
      </c>
      <c r="B1634" s="12" t="s">
        <v>22</v>
      </c>
      <c r="C1634" s="268">
        <v>19</v>
      </c>
      <c r="D1634" s="12" t="s">
        <v>56</v>
      </c>
      <c r="E1634" s="268">
        <v>3811569725</v>
      </c>
      <c r="F1634" s="268">
        <v>133623567</v>
      </c>
      <c r="G1634" s="268">
        <v>271</v>
      </c>
      <c r="H1634" s="268">
        <v>16</v>
      </c>
      <c r="I1634" s="268">
        <v>287</v>
      </c>
      <c r="J1634" s="268">
        <v>1775</v>
      </c>
      <c r="K1634" s="268">
        <v>2062</v>
      </c>
      <c r="L1634" s="268">
        <v>-7</v>
      </c>
      <c r="M1634" s="268">
        <v>12</v>
      </c>
      <c r="N1634" s="268">
        <v>1020</v>
      </c>
      <c r="O1634" s="268">
        <v>257</v>
      </c>
      <c r="P1634" s="268">
        <v>3339</v>
      </c>
      <c r="Q1634" s="268">
        <v>103134</v>
      </c>
      <c r="R1634" s="12" t="s">
        <v>4730</v>
      </c>
      <c r="S1634" s="12" t="s">
        <v>25</v>
      </c>
      <c r="T1634" s="12" t="s">
        <v>25</v>
      </c>
    </row>
    <row r="1635" spans="1:20" hidden="1" x14ac:dyDescent="0.3">
      <c r="A1635" s="13">
        <v>43962.708333333336</v>
      </c>
      <c r="B1635" s="12" t="s">
        <v>22</v>
      </c>
      <c r="C1635" s="268">
        <v>9</v>
      </c>
      <c r="D1635" s="12" t="s">
        <v>57</v>
      </c>
      <c r="E1635" s="268">
        <v>4376923077</v>
      </c>
      <c r="F1635" s="268">
        <v>1125588885</v>
      </c>
      <c r="G1635" s="268">
        <v>347</v>
      </c>
      <c r="H1635" s="268">
        <v>77</v>
      </c>
      <c r="I1635" s="268">
        <v>424</v>
      </c>
      <c r="J1635" s="268">
        <v>3649</v>
      </c>
      <c r="K1635" s="268">
        <v>4073</v>
      </c>
      <c r="L1635" s="268">
        <v>-74</v>
      </c>
      <c r="M1635" s="268">
        <v>13</v>
      </c>
      <c r="N1635" s="268">
        <v>4764</v>
      </c>
      <c r="O1635" s="268">
        <v>950</v>
      </c>
      <c r="P1635" s="268">
        <v>9787</v>
      </c>
      <c r="Q1635" s="268">
        <v>179469</v>
      </c>
      <c r="R1635" s="12" t="s">
        <v>4731</v>
      </c>
      <c r="S1635" s="12" t="s">
        <v>25</v>
      </c>
      <c r="T1635" s="12" t="s">
        <v>25</v>
      </c>
    </row>
    <row r="1636" spans="1:20" hidden="1" x14ac:dyDescent="0.3">
      <c r="A1636" s="13">
        <v>43962.708333333336</v>
      </c>
      <c r="B1636" s="12" t="s">
        <v>22</v>
      </c>
      <c r="C1636" s="268">
        <v>22</v>
      </c>
      <c r="D1636" s="12" t="s">
        <v>58</v>
      </c>
      <c r="E1636" s="268">
        <v>4606893511</v>
      </c>
      <c r="F1636" s="268">
        <v>1112123097</v>
      </c>
      <c r="G1636" s="268">
        <v>84</v>
      </c>
      <c r="H1636" s="268">
        <v>11</v>
      </c>
      <c r="I1636" s="268">
        <v>95</v>
      </c>
      <c r="J1636" s="268">
        <v>640</v>
      </c>
      <c r="K1636" s="268">
        <v>735</v>
      </c>
      <c r="L1636" s="268">
        <v>-51</v>
      </c>
      <c r="M1636" s="268">
        <v>2</v>
      </c>
      <c r="N1636" s="268">
        <v>3119</v>
      </c>
      <c r="O1636" s="268">
        <v>443</v>
      </c>
      <c r="P1636" s="268">
        <v>4297</v>
      </c>
      <c r="Q1636" s="268">
        <v>53398</v>
      </c>
      <c r="R1636" s="12" t="s">
        <v>4732</v>
      </c>
      <c r="S1636" s="12" t="s">
        <v>25</v>
      </c>
      <c r="T1636" s="12" t="s">
        <v>25</v>
      </c>
    </row>
    <row r="1637" spans="1:20" hidden="1" x14ac:dyDescent="0.3">
      <c r="A1637" s="13">
        <v>43962.708333333336</v>
      </c>
      <c r="B1637" s="12" t="s">
        <v>22</v>
      </c>
      <c r="C1637" s="268">
        <v>10</v>
      </c>
      <c r="D1637" s="12" t="s">
        <v>59</v>
      </c>
      <c r="E1637" s="268">
        <v>4310675841</v>
      </c>
      <c r="F1637" s="268">
        <v>1238824698</v>
      </c>
      <c r="G1637" s="268">
        <v>40</v>
      </c>
      <c r="H1637" s="268">
        <v>4</v>
      </c>
      <c r="I1637" s="268">
        <v>44</v>
      </c>
      <c r="J1637" s="268">
        <v>64</v>
      </c>
      <c r="K1637" s="268">
        <v>108</v>
      </c>
      <c r="L1637" s="268">
        <v>-5</v>
      </c>
      <c r="M1637" s="268">
        <v>1</v>
      </c>
      <c r="N1637" s="268">
        <v>1233</v>
      </c>
      <c r="O1637" s="268">
        <v>71</v>
      </c>
      <c r="P1637" s="268">
        <v>1412</v>
      </c>
      <c r="Q1637" s="268">
        <v>47474</v>
      </c>
      <c r="R1637" s="12" t="s">
        <v>4733</v>
      </c>
      <c r="S1637" s="12" t="s">
        <v>25</v>
      </c>
      <c r="T1637" s="12" t="s">
        <v>25</v>
      </c>
    </row>
    <row r="1638" spans="1:20" hidden="1" x14ac:dyDescent="0.3">
      <c r="A1638" s="13">
        <v>43962.708333333336</v>
      </c>
      <c r="B1638" s="12" t="s">
        <v>22</v>
      </c>
      <c r="C1638" s="268">
        <v>2</v>
      </c>
      <c r="D1638" s="12" t="s">
        <v>60</v>
      </c>
      <c r="E1638" s="268">
        <v>4573750286</v>
      </c>
      <c r="F1638" s="268">
        <v>7320149366</v>
      </c>
      <c r="G1638" s="268">
        <v>44</v>
      </c>
      <c r="H1638" s="268">
        <v>1</v>
      </c>
      <c r="I1638" s="268">
        <v>45</v>
      </c>
      <c r="J1638" s="268">
        <v>62</v>
      </c>
      <c r="K1638" s="268">
        <v>107</v>
      </c>
      <c r="L1638" s="268">
        <v>-6</v>
      </c>
      <c r="M1638" s="268">
        <v>1</v>
      </c>
      <c r="N1638" s="268">
        <v>912</v>
      </c>
      <c r="O1638" s="268">
        <v>139</v>
      </c>
      <c r="P1638" s="268">
        <v>1158</v>
      </c>
      <c r="Q1638" s="268">
        <v>10063</v>
      </c>
      <c r="R1638" s="12" t="s">
        <v>4734</v>
      </c>
      <c r="S1638" s="12" t="s">
        <v>25</v>
      </c>
      <c r="T1638" s="12" t="s">
        <v>25</v>
      </c>
    </row>
    <row r="1639" spans="1:20" hidden="1" x14ac:dyDescent="0.3">
      <c r="A1639" s="13">
        <v>43962.708333333336</v>
      </c>
      <c r="B1639" s="12" t="s">
        <v>22</v>
      </c>
      <c r="C1639" s="284">
        <v>5</v>
      </c>
      <c r="D1639" s="12" t="s">
        <v>61</v>
      </c>
      <c r="E1639" s="284">
        <v>4543490485</v>
      </c>
      <c r="F1639" s="284">
        <v>1233845213</v>
      </c>
      <c r="G1639" s="284">
        <v>400</v>
      </c>
      <c r="H1639" s="284">
        <v>38</v>
      </c>
      <c r="I1639" s="284">
        <v>438</v>
      </c>
      <c r="J1639" s="284">
        <v>5022</v>
      </c>
      <c r="K1639" s="284">
        <v>5460</v>
      </c>
      <c r="L1639" s="284">
        <v>-131</v>
      </c>
      <c r="M1639" s="284">
        <v>19</v>
      </c>
      <c r="N1639" s="284">
        <v>11615</v>
      </c>
      <c r="O1639" s="284">
        <v>1666</v>
      </c>
      <c r="P1639" s="284">
        <v>18741</v>
      </c>
      <c r="Q1639" s="284">
        <v>445905</v>
      </c>
      <c r="R1639" s="12" t="s">
        <v>4735</v>
      </c>
      <c r="S1639" s="12" t="s">
        <v>25</v>
      </c>
      <c r="T1639" s="12" t="s">
        <v>25</v>
      </c>
    </row>
    <row r="1640" spans="1:20" hidden="1" x14ac:dyDescent="0.3">
      <c r="A1640" s="13">
        <v>43963.708333333336</v>
      </c>
      <c r="B1640" s="12" t="s">
        <v>22</v>
      </c>
      <c r="C1640" s="284">
        <v>13</v>
      </c>
      <c r="D1640" s="12" t="s">
        <v>42</v>
      </c>
      <c r="E1640" s="284">
        <v>4235122196</v>
      </c>
      <c r="F1640" s="284">
        <v>1339843823</v>
      </c>
      <c r="G1640" s="284">
        <v>222</v>
      </c>
      <c r="H1640" s="284">
        <v>8</v>
      </c>
      <c r="I1640" s="284">
        <v>230</v>
      </c>
      <c r="J1640" s="284">
        <v>1318</v>
      </c>
      <c r="K1640" s="284">
        <v>1548</v>
      </c>
      <c r="L1640" s="284">
        <v>-61</v>
      </c>
      <c r="M1640" s="284">
        <v>8</v>
      </c>
      <c r="N1640" s="284">
        <v>1197</v>
      </c>
      <c r="O1640" s="284">
        <v>370</v>
      </c>
      <c r="P1640" s="284">
        <v>3115</v>
      </c>
      <c r="Q1640" s="284">
        <v>50295</v>
      </c>
      <c r="R1640" s="12" t="s">
        <v>4746</v>
      </c>
      <c r="S1640" s="12" t="s">
        <v>25</v>
      </c>
      <c r="T1640" s="12" t="s">
        <v>25</v>
      </c>
    </row>
    <row r="1641" spans="1:20" hidden="1" x14ac:dyDescent="0.3">
      <c r="A1641" s="13">
        <v>43963.708333333336</v>
      </c>
      <c r="B1641" s="12" t="s">
        <v>22</v>
      </c>
      <c r="C1641" s="284">
        <v>17</v>
      </c>
      <c r="D1641" s="12" t="s">
        <v>43</v>
      </c>
      <c r="E1641" s="284">
        <v>4063947052</v>
      </c>
      <c r="F1641" s="284">
        <v>1580514834</v>
      </c>
      <c r="G1641" s="284">
        <v>47</v>
      </c>
      <c r="H1641" s="284">
        <v>1</v>
      </c>
      <c r="I1641" s="284">
        <v>48</v>
      </c>
      <c r="J1641" s="284">
        <v>92</v>
      </c>
      <c r="K1641" s="284">
        <v>140</v>
      </c>
      <c r="L1641" s="284">
        <v>-2</v>
      </c>
      <c r="M1641" s="284">
        <v>1</v>
      </c>
      <c r="N1641" s="284">
        <v>220</v>
      </c>
      <c r="O1641" s="284">
        <v>27</v>
      </c>
      <c r="P1641" s="284">
        <v>387</v>
      </c>
      <c r="Q1641" s="284">
        <v>19100</v>
      </c>
      <c r="R1641" s="12" t="s">
        <v>4747</v>
      </c>
      <c r="S1641" s="12" t="s">
        <v>25</v>
      </c>
      <c r="T1641" s="12" t="s">
        <v>25</v>
      </c>
    </row>
    <row r="1642" spans="1:20" hidden="1" x14ac:dyDescent="0.3">
      <c r="A1642" s="13">
        <v>43963.708333333336</v>
      </c>
      <c r="B1642" s="12" t="s">
        <v>22</v>
      </c>
      <c r="C1642" s="284">
        <v>21</v>
      </c>
      <c r="D1642" s="12" t="s">
        <v>44</v>
      </c>
      <c r="E1642" s="284">
        <v>4649933453</v>
      </c>
      <c r="F1642" s="284">
        <v>1135662422</v>
      </c>
      <c r="G1642" s="284">
        <v>56</v>
      </c>
      <c r="H1642" s="284">
        <v>7</v>
      </c>
      <c r="I1642" s="284">
        <v>63</v>
      </c>
      <c r="J1642" s="284">
        <v>374</v>
      </c>
      <c r="K1642" s="284">
        <v>437</v>
      </c>
      <c r="L1642" s="284">
        <v>-10</v>
      </c>
      <c r="M1642" s="284">
        <v>0</v>
      </c>
      <c r="N1642" s="284">
        <v>1845</v>
      </c>
      <c r="O1642" s="284">
        <v>290</v>
      </c>
      <c r="P1642" s="284">
        <v>2572</v>
      </c>
      <c r="Q1642" s="284">
        <v>50381</v>
      </c>
      <c r="R1642" s="12" t="s">
        <v>4748</v>
      </c>
      <c r="S1642" s="12" t="s">
        <v>25</v>
      </c>
      <c r="T1642" s="12" t="s">
        <v>25</v>
      </c>
    </row>
    <row r="1643" spans="1:20" hidden="1" x14ac:dyDescent="0.3">
      <c r="A1643" s="13">
        <v>43963.708333333336</v>
      </c>
      <c r="B1643" s="12" t="s">
        <v>22</v>
      </c>
      <c r="C1643" s="284">
        <v>18</v>
      </c>
      <c r="D1643" s="12" t="s">
        <v>45</v>
      </c>
      <c r="E1643" s="284">
        <v>3890597598</v>
      </c>
      <c r="F1643" s="284">
        <v>1659440194</v>
      </c>
      <c r="G1643" s="284">
        <v>65</v>
      </c>
      <c r="H1643" s="284">
        <v>1</v>
      </c>
      <c r="I1643" s="284">
        <v>66</v>
      </c>
      <c r="J1643" s="284">
        <v>502</v>
      </c>
      <c r="K1643" s="284">
        <v>568</v>
      </c>
      <c r="L1643" s="284">
        <v>0</v>
      </c>
      <c r="M1643" s="284">
        <v>4</v>
      </c>
      <c r="N1643" s="284">
        <v>477</v>
      </c>
      <c r="O1643" s="284">
        <v>93</v>
      </c>
      <c r="P1643" s="284">
        <v>1138</v>
      </c>
      <c r="Q1643" s="284">
        <v>48420</v>
      </c>
      <c r="R1643" s="12" t="s">
        <v>4749</v>
      </c>
      <c r="S1643" s="12" t="s">
        <v>25</v>
      </c>
      <c r="T1643" s="12" t="s">
        <v>25</v>
      </c>
    </row>
    <row r="1644" spans="1:20" hidden="1" x14ac:dyDescent="0.3">
      <c r="A1644" s="13">
        <v>43963.708333333336</v>
      </c>
      <c r="B1644" s="12" t="s">
        <v>22</v>
      </c>
      <c r="C1644" s="284">
        <v>15</v>
      </c>
      <c r="D1644" s="12" t="s">
        <v>46</v>
      </c>
      <c r="E1644" s="284">
        <v>4083956555</v>
      </c>
      <c r="F1644" s="284">
        <v>1425084984</v>
      </c>
      <c r="G1644" s="284">
        <v>414</v>
      </c>
      <c r="H1644" s="284">
        <v>20</v>
      </c>
      <c r="I1644" s="284">
        <v>434</v>
      </c>
      <c r="J1644" s="284">
        <v>1443</v>
      </c>
      <c r="K1644" s="284">
        <v>1877</v>
      </c>
      <c r="L1644" s="284">
        <v>-32</v>
      </c>
      <c r="M1644" s="284">
        <v>13</v>
      </c>
      <c r="N1644" s="284">
        <v>2345</v>
      </c>
      <c r="O1644" s="284">
        <v>393</v>
      </c>
      <c r="P1644" s="284">
        <v>4615</v>
      </c>
      <c r="Q1644" s="284">
        <v>121253</v>
      </c>
      <c r="R1644" s="12" t="s">
        <v>4750</v>
      </c>
      <c r="S1644" s="12" t="s">
        <v>25</v>
      </c>
      <c r="T1644" s="12" t="s">
        <v>25</v>
      </c>
    </row>
    <row r="1645" spans="1:20" hidden="1" x14ac:dyDescent="0.3">
      <c r="A1645" s="13">
        <v>43963.708333333336</v>
      </c>
      <c r="B1645" s="12" t="s">
        <v>22</v>
      </c>
      <c r="C1645" s="284">
        <v>8</v>
      </c>
      <c r="D1645" s="12" t="s">
        <v>95</v>
      </c>
      <c r="E1645" s="284">
        <v>4449436681</v>
      </c>
      <c r="F1645" s="284">
        <v>113417208</v>
      </c>
      <c r="G1645" s="284">
        <v>1384</v>
      </c>
      <c r="H1645" s="284">
        <v>136</v>
      </c>
      <c r="I1645" s="284">
        <v>1520</v>
      </c>
      <c r="J1645" s="284">
        <v>5281</v>
      </c>
      <c r="K1645" s="284">
        <v>6801</v>
      </c>
      <c r="L1645" s="284">
        <v>-239</v>
      </c>
      <c r="M1645" s="284">
        <v>53</v>
      </c>
      <c r="N1645" s="284">
        <v>16243</v>
      </c>
      <c r="O1645" s="284">
        <v>3885</v>
      </c>
      <c r="P1645" s="284">
        <v>26929</v>
      </c>
      <c r="Q1645" s="284">
        <v>239178</v>
      </c>
      <c r="R1645" s="12" t="s">
        <v>4751</v>
      </c>
      <c r="S1645" s="12" t="s">
        <v>25</v>
      </c>
      <c r="T1645" s="12" t="s">
        <v>25</v>
      </c>
    </row>
    <row r="1646" spans="1:20" hidden="1" x14ac:dyDescent="0.3">
      <c r="A1646" s="13">
        <v>43963.708333333336</v>
      </c>
      <c r="B1646" s="12" t="s">
        <v>22</v>
      </c>
      <c r="C1646" s="284">
        <v>6</v>
      </c>
      <c r="D1646" s="12" t="s">
        <v>47</v>
      </c>
      <c r="E1646" s="284">
        <v>456494354</v>
      </c>
      <c r="F1646" s="284">
        <v>1376813649</v>
      </c>
      <c r="G1646" s="284">
        <v>96</v>
      </c>
      <c r="H1646" s="284">
        <v>2</v>
      </c>
      <c r="I1646" s="284">
        <v>98</v>
      </c>
      <c r="J1646" s="284">
        <v>703</v>
      </c>
      <c r="K1646" s="284">
        <v>801</v>
      </c>
      <c r="L1646" s="284">
        <v>-29</v>
      </c>
      <c r="M1646" s="284">
        <v>10</v>
      </c>
      <c r="N1646" s="284">
        <v>2034</v>
      </c>
      <c r="O1646" s="284">
        <v>313</v>
      </c>
      <c r="P1646" s="284">
        <v>3148</v>
      </c>
      <c r="Q1646" s="284">
        <v>93051</v>
      </c>
      <c r="R1646" s="12" t="s">
        <v>4752</v>
      </c>
      <c r="S1646" s="12" t="s">
        <v>25</v>
      </c>
      <c r="T1646" s="12" t="s">
        <v>25</v>
      </c>
    </row>
    <row r="1647" spans="1:20" hidden="1" x14ac:dyDescent="0.3">
      <c r="A1647" s="13">
        <v>43963.708333333336</v>
      </c>
      <c r="B1647" s="12" t="s">
        <v>22</v>
      </c>
      <c r="C1647" s="284">
        <v>12</v>
      </c>
      <c r="D1647" s="12" t="s">
        <v>48</v>
      </c>
      <c r="E1647" s="284">
        <v>4189277044</v>
      </c>
      <c r="F1647" s="284">
        <v>1248366722</v>
      </c>
      <c r="G1647" s="284">
        <v>1258</v>
      </c>
      <c r="H1647" s="284">
        <v>84</v>
      </c>
      <c r="I1647" s="284">
        <v>1342</v>
      </c>
      <c r="J1647" s="284">
        <v>2931</v>
      </c>
      <c r="K1647" s="284">
        <v>4273</v>
      </c>
      <c r="L1647" s="284">
        <v>-21</v>
      </c>
      <c r="M1647" s="284">
        <v>22</v>
      </c>
      <c r="N1647" s="284">
        <v>2373</v>
      </c>
      <c r="O1647" s="284">
        <v>566</v>
      </c>
      <c r="P1647" s="284">
        <v>7212</v>
      </c>
      <c r="Q1647" s="284">
        <v>185085</v>
      </c>
      <c r="R1647" s="12" t="s">
        <v>4753</v>
      </c>
      <c r="S1647" s="12" t="s">
        <v>25</v>
      </c>
      <c r="T1647" s="12" t="s">
        <v>25</v>
      </c>
    </row>
    <row r="1648" spans="1:20" x14ac:dyDescent="0.3">
      <c r="A1648" s="13">
        <v>43963.708333333336</v>
      </c>
      <c r="B1648" s="12" t="s">
        <v>22</v>
      </c>
      <c r="C1648" s="284">
        <v>7</v>
      </c>
      <c r="D1648" s="12" t="s">
        <v>49</v>
      </c>
      <c r="E1648" s="284">
        <v>4441149315</v>
      </c>
      <c r="F1648" s="284">
        <v>89326992</v>
      </c>
      <c r="G1648" s="284">
        <v>447</v>
      </c>
      <c r="H1648" s="284">
        <v>35</v>
      </c>
      <c r="I1648" s="284">
        <v>482</v>
      </c>
      <c r="J1648" s="284">
        <v>2297</v>
      </c>
      <c r="K1648" s="284">
        <v>2779</v>
      </c>
      <c r="L1648" s="284">
        <v>-65</v>
      </c>
      <c r="M1648" s="284">
        <v>31</v>
      </c>
      <c r="N1648" s="284">
        <v>4783</v>
      </c>
      <c r="O1648" s="284">
        <v>1301</v>
      </c>
      <c r="P1648" s="284">
        <v>8863</v>
      </c>
      <c r="Q1648" s="284">
        <v>70159</v>
      </c>
      <c r="R1648" s="12" t="s">
        <v>4754</v>
      </c>
      <c r="S1648" s="12" t="s">
        <v>25</v>
      </c>
      <c r="T1648" s="12" t="s">
        <v>25</v>
      </c>
    </row>
    <row r="1649" spans="1:20" hidden="1" x14ac:dyDescent="0.3">
      <c r="A1649" s="13">
        <v>43963.708333333336</v>
      </c>
      <c r="B1649" s="12" t="s">
        <v>22</v>
      </c>
      <c r="C1649" s="284">
        <v>3</v>
      </c>
      <c r="D1649" s="12" t="s">
        <v>50</v>
      </c>
      <c r="E1649" s="284">
        <v>4546679409</v>
      </c>
      <c r="F1649" s="284">
        <v>9190347404</v>
      </c>
      <c r="G1649" s="284">
        <v>5222</v>
      </c>
      <c r="H1649" s="284">
        <v>322</v>
      </c>
      <c r="I1649" s="284">
        <v>5544</v>
      </c>
      <c r="J1649" s="284">
        <v>25131</v>
      </c>
      <c r="K1649" s="284">
        <v>30675</v>
      </c>
      <c r="L1649" s="284">
        <v>264</v>
      </c>
      <c r="M1649" s="284">
        <v>1033</v>
      </c>
      <c r="N1649" s="284">
        <v>37113</v>
      </c>
      <c r="O1649" s="284">
        <v>15116</v>
      </c>
      <c r="P1649" s="284">
        <v>82904</v>
      </c>
      <c r="Q1649" s="284">
        <v>513244</v>
      </c>
      <c r="R1649" s="12" t="s">
        <v>4755</v>
      </c>
      <c r="S1649" s="12" t="s">
        <v>4756</v>
      </c>
      <c r="T1649" s="12" t="s">
        <v>4757</v>
      </c>
    </row>
    <row r="1650" spans="1:20" hidden="1" x14ac:dyDescent="0.3">
      <c r="A1650" s="13">
        <v>43963.708333333336</v>
      </c>
      <c r="B1650" s="12" t="s">
        <v>22</v>
      </c>
      <c r="C1650" s="284">
        <v>11</v>
      </c>
      <c r="D1650" s="12" t="s">
        <v>51</v>
      </c>
      <c r="E1650" s="284">
        <v>4361675973</v>
      </c>
      <c r="F1650" s="284">
        <v>135188753</v>
      </c>
      <c r="G1650" s="284">
        <v>230</v>
      </c>
      <c r="H1650" s="284">
        <v>24</v>
      </c>
      <c r="I1650" s="284">
        <v>254</v>
      </c>
      <c r="J1650" s="284">
        <v>2954</v>
      </c>
      <c r="K1650" s="284">
        <v>3208</v>
      </c>
      <c r="L1650" s="284">
        <v>-19</v>
      </c>
      <c r="M1650" s="284">
        <v>25</v>
      </c>
      <c r="N1650" s="284">
        <v>2391</v>
      </c>
      <c r="O1650" s="284">
        <v>969</v>
      </c>
      <c r="P1650" s="284">
        <v>6568</v>
      </c>
      <c r="Q1650" s="284">
        <v>79414</v>
      </c>
      <c r="R1650" s="12" t="s">
        <v>4758</v>
      </c>
      <c r="S1650" s="12" t="s">
        <v>25</v>
      </c>
      <c r="T1650" s="12" t="s">
        <v>25</v>
      </c>
    </row>
    <row r="1651" spans="1:20" hidden="1" x14ac:dyDescent="0.3">
      <c r="A1651" s="13">
        <v>43963.708333333336</v>
      </c>
      <c r="B1651" s="12" t="s">
        <v>22</v>
      </c>
      <c r="C1651" s="284">
        <v>14</v>
      </c>
      <c r="D1651" s="12" t="s">
        <v>52</v>
      </c>
      <c r="E1651" s="284">
        <v>4155774754</v>
      </c>
      <c r="F1651" s="284">
        <v>1465916051</v>
      </c>
      <c r="G1651" s="284">
        <v>13</v>
      </c>
      <c r="H1651" s="284">
        <v>1</v>
      </c>
      <c r="I1651" s="284">
        <v>14</v>
      </c>
      <c r="J1651" s="284">
        <v>212</v>
      </c>
      <c r="K1651" s="284">
        <v>226</v>
      </c>
      <c r="L1651" s="284">
        <v>-3</v>
      </c>
      <c r="M1651" s="284">
        <v>3</v>
      </c>
      <c r="N1651" s="284">
        <v>138</v>
      </c>
      <c r="O1651" s="284">
        <v>22</v>
      </c>
      <c r="P1651" s="284">
        <v>386</v>
      </c>
      <c r="Q1651" s="284">
        <v>9981</v>
      </c>
      <c r="R1651" s="12" t="s">
        <v>4759</v>
      </c>
      <c r="S1651" s="12" t="s">
        <v>25</v>
      </c>
      <c r="T1651" s="12" t="s">
        <v>25</v>
      </c>
    </row>
    <row r="1652" spans="1:20" hidden="1" x14ac:dyDescent="0.3">
      <c r="A1652" s="13">
        <v>43963.708333333336</v>
      </c>
      <c r="B1652" s="12" t="s">
        <v>22</v>
      </c>
      <c r="C1652" s="284">
        <v>1</v>
      </c>
      <c r="D1652" s="12" t="s">
        <v>53</v>
      </c>
      <c r="E1652" s="284">
        <v>450732745</v>
      </c>
      <c r="F1652" s="284">
        <v>7680687483</v>
      </c>
      <c r="G1652" s="284">
        <v>1900</v>
      </c>
      <c r="H1652" s="284">
        <v>136</v>
      </c>
      <c r="I1652" s="284">
        <v>2036</v>
      </c>
      <c r="J1652" s="284">
        <v>11148</v>
      </c>
      <c r="K1652" s="284">
        <v>13184</v>
      </c>
      <c r="L1652" s="284">
        <v>-154</v>
      </c>
      <c r="M1652" s="284">
        <v>113</v>
      </c>
      <c r="N1652" s="284">
        <v>12277</v>
      </c>
      <c r="O1652" s="284">
        <v>3428</v>
      </c>
      <c r="P1652" s="284">
        <v>28889</v>
      </c>
      <c r="Q1652" s="284">
        <v>218071</v>
      </c>
      <c r="R1652" s="12" t="s">
        <v>4760</v>
      </c>
      <c r="S1652" s="12" t="s">
        <v>25</v>
      </c>
      <c r="T1652" s="12" t="s">
        <v>25</v>
      </c>
    </row>
    <row r="1653" spans="1:20" hidden="1" x14ac:dyDescent="0.3">
      <c r="A1653" s="13">
        <v>43963.708333333336</v>
      </c>
      <c r="B1653" s="12" t="s">
        <v>22</v>
      </c>
      <c r="C1653" s="284">
        <v>16</v>
      </c>
      <c r="D1653" s="12" t="s">
        <v>54</v>
      </c>
      <c r="E1653" s="284">
        <v>4112559576</v>
      </c>
      <c r="F1653" s="284">
        <v>1686736689</v>
      </c>
      <c r="G1653" s="284">
        <v>334</v>
      </c>
      <c r="H1653" s="284">
        <v>31</v>
      </c>
      <c r="I1653" s="284">
        <v>365</v>
      </c>
      <c r="J1653" s="284">
        <v>2056</v>
      </c>
      <c r="K1653" s="284">
        <v>2421</v>
      </c>
      <c r="L1653" s="284">
        <v>-123</v>
      </c>
      <c r="M1653" s="284">
        <v>10</v>
      </c>
      <c r="N1653" s="284">
        <v>1460</v>
      </c>
      <c r="O1653" s="284">
        <v>456</v>
      </c>
      <c r="P1653" s="284">
        <v>4337</v>
      </c>
      <c r="Q1653" s="284">
        <v>81492</v>
      </c>
      <c r="R1653" s="12" t="s">
        <v>4761</v>
      </c>
      <c r="S1653" s="12" t="s">
        <v>25</v>
      </c>
      <c r="T1653" s="12" t="s">
        <v>25</v>
      </c>
    </row>
    <row r="1654" spans="1:20" hidden="1" x14ac:dyDescent="0.3">
      <c r="A1654" s="13">
        <v>43963.708333333336</v>
      </c>
      <c r="B1654" s="12" t="s">
        <v>22</v>
      </c>
      <c r="C1654" s="284">
        <v>20</v>
      </c>
      <c r="D1654" s="12" t="s">
        <v>55</v>
      </c>
      <c r="E1654" s="284">
        <v>3921531192</v>
      </c>
      <c r="F1654" s="284">
        <v>9110616306</v>
      </c>
      <c r="G1654" s="284">
        <v>77</v>
      </c>
      <c r="H1654" s="284">
        <v>11</v>
      </c>
      <c r="I1654" s="284">
        <v>88</v>
      </c>
      <c r="J1654" s="284">
        <v>418</v>
      </c>
      <c r="K1654" s="284">
        <v>506</v>
      </c>
      <c r="L1654" s="284">
        <v>-5</v>
      </c>
      <c r="M1654" s="284">
        <v>1</v>
      </c>
      <c r="N1654" s="284">
        <v>718</v>
      </c>
      <c r="O1654" s="284">
        <v>120</v>
      </c>
      <c r="P1654" s="284">
        <v>1344</v>
      </c>
      <c r="Q1654" s="284">
        <v>35476</v>
      </c>
      <c r="R1654" s="12" t="s">
        <v>4762</v>
      </c>
      <c r="S1654" s="12" t="s">
        <v>25</v>
      </c>
      <c r="T1654" s="12" t="s">
        <v>25</v>
      </c>
    </row>
    <row r="1655" spans="1:20" hidden="1" x14ac:dyDescent="0.3">
      <c r="A1655" s="13">
        <v>43963.708333333336</v>
      </c>
      <c r="B1655" s="12" t="s">
        <v>22</v>
      </c>
      <c r="C1655" s="284">
        <v>19</v>
      </c>
      <c r="D1655" s="12" t="s">
        <v>56</v>
      </c>
      <c r="E1655" s="284">
        <v>3811569725</v>
      </c>
      <c r="F1655" s="284">
        <v>133623567</v>
      </c>
      <c r="G1655" s="284">
        <v>234</v>
      </c>
      <c r="H1655" s="284">
        <v>15</v>
      </c>
      <c r="I1655" s="284">
        <v>249</v>
      </c>
      <c r="J1655" s="284">
        <v>1662</v>
      </c>
      <c r="K1655" s="284">
        <v>1911</v>
      </c>
      <c r="L1655" s="284">
        <v>-151</v>
      </c>
      <c r="M1655" s="284">
        <v>4</v>
      </c>
      <c r="N1655" s="284">
        <v>1171</v>
      </c>
      <c r="O1655" s="284">
        <v>261</v>
      </c>
      <c r="P1655" s="284">
        <v>3343</v>
      </c>
      <c r="Q1655" s="284">
        <v>105017</v>
      </c>
      <c r="R1655" s="12" t="s">
        <v>4763</v>
      </c>
      <c r="S1655" s="12" t="s">
        <v>25</v>
      </c>
      <c r="T1655" s="12" t="s">
        <v>25</v>
      </c>
    </row>
    <row r="1656" spans="1:20" hidden="1" x14ac:dyDescent="0.3">
      <c r="A1656" s="13">
        <v>43963.708333333336</v>
      </c>
      <c r="B1656" s="12" t="s">
        <v>22</v>
      </c>
      <c r="C1656" s="284">
        <v>9</v>
      </c>
      <c r="D1656" s="12" t="s">
        <v>57</v>
      </c>
      <c r="E1656" s="284">
        <v>4376923077</v>
      </c>
      <c r="F1656" s="284">
        <v>1125588885</v>
      </c>
      <c r="G1656" s="284">
        <v>307</v>
      </c>
      <c r="H1656" s="284">
        <v>72</v>
      </c>
      <c r="I1656" s="284">
        <v>379</v>
      </c>
      <c r="J1656" s="284">
        <v>3462</v>
      </c>
      <c r="K1656" s="284">
        <v>3841</v>
      </c>
      <c r="L1656" s="284">
        <v>-232</v>
      </c>
      <c r="M1656" s="284">
        <v>15</v>
      </c>
      <c r="N1656" s="284">
        <v>5002</v>
      </c>
      <c r="O1656" s="284">
        <v>959</v>
      </c>
      <c r="P1656" s="284">
        <v>9802</v>
      </c>
      <c r="Q1656" s="284">
        <v>184851</v>
      </c>
      <c r="R1656" s="12" t="s">
        <v>4764</v>
      </c>
      <c r="S1656" s="12" t="s">
        <v>25</v>
      </c>
      <c r="T1656" s="12" t="s">
        <v>25</v>
      </c>
    </row>
    <row r="1657" spans="1:20" hidden="1" x14ac:dyDescent="0.3">
      <c r="A1657" s="13">
        <v>43963.708333333336</v>
      </c>
      <c r="B1657" s="12" t="s">
        <v>22</v>
      </c>
      <c r="C1657" s="284">
        <v>22</v>
      </c>
      <c r="D1657" s="12" t="s">
        <v>58</v>
      </c>
      <c r="E1657" s="284">
        <v>4606893511</v>
      </c>
      <c r="F1657" s="284">
        <v>1112123097</v>
      </c>
      <c r="G1657" s="284">
        <v>80</v>
      </c>
      <c r="H1657" s="284">
        <v>9</v>
      </c>
      <c r="I1657" s="284">
        <v>89</v>
      </c>
      <c r="J1657" s="284">
        <v>578</v>
      </c>
      <c r="K1657" s="284">
        <v>667</v>
      </c>
      <c r="L1657" s="284">
        <v>-68</v>
      </c>
      <c r="M1657" s="284">
        <v>6</v>
      </c>
      <c r="N1657" s="284">
        <v>3191</v>
      </c>
      <c r="O1657" s="284">
        <v>445</v>
      </c>
      <c r="P1657" s="284">
        <v>4303</v>
      </c>
      <c r="Q1657" s="284">
        <v>55334</v>
      </c>
      <c r="R1657" s="12" t="s">
        <v>4765</v>
      </c>
      <c r="S1657" s="12" t="s">
        <v>25</v>
      </c>
      <c r="T1657" s="12" t="s">
        <v>25</v>
      </c>
    </row>
    <row r="1658" spans="1:20" hidden="1" x14ac:dyDescent="0.3">
      <c r="A1658" s="13">
        <v>43963.708333333336</v>
      </c>
      <c r="B1658" s="12" t="s">
        <v>22</v>
      </c>
      <c r="C1658" s="284">
        <v>10</v>
      </c>
      <c r="D1658" s="12" t="s">
        <v>59</v>
      </c>
      <c r="E1658" s="284">
        <v>4310675841</v>
      </c>
      <c r="F1658" s="284">
        <v>1238824698</v>
      </c>
      <c r="G1658" s="284">
        <v>41</v>
      </c>
      <c r="H1658" s="284">
        <v>4</v>
      </c>
      <c r="I1658" s="284">
        <v>45</v>
      </c>
      <c r="J1658" s="284">
        <v>64</v>
      </c>
      <c r="K1658" s="284">
        <v>109</v>
      </c>
      <c r="L1658" s="284">
        <v>1</v>
      </c>
      <c r="M1658" s="284">
        <v>7</v>
      </c>
      <c r="N1658" s="284">
        <v>1239</v>
      </c>
      <c r="O1658" s="284">
        <v>71</v>
      </c>
      <c r="P1658" s="284">
        <v>1419</v>
      </c>
      <c r="Q1658" s="284">
        <v>49249</v>
      </c>
      <c r="R1658" s="12" t="s">
        <v>4766</v>
      </c>
      <c r="S1658" s="12" t="s">
        <v>25</v>
      </c>
      <c r="T1658" s="12" t="s">
        <v>25</v>
      </c>
    </row>
    <row r="1659" spans="1:20" hidden="1" x14ac:dyDescent="0.3">
      <c r="A1659" s="13">
        <v>43963.708333333336</v>
      </c>
      <c r="B1659" s="12" t="s">
        <v>22</v>
      </c>
      <c r="C1659" s="284">
        <v>2</v>
      </c>
      <c r="D1659" s="12" t="s">
        <v>60</v>
      </c>
      <c r="E1659" s="284">
        <v>4573750286</v>
      </c>
      <c r="F1659" s="284">
        <v>7320149366</v>
      </c>
      <c r="G1659" s="284">
        <v>45</v>
      </c>
      <c r="H1659" s="284">
        <v>0</v>
      </c>
      <c r="I1659" s="284">
        <v>45</v>
      </c>
      <c r="J1659" s="284">
        <v>59</v>
      </c>
      <c r="K1659" s="284">
        <v>104</v>
      </c>
      <c r="L1659" s="284">
        <v>-3</v>
      </c>
      <c r="M1659" s="284">
        <v>2</v>
      </c>
      <c r="N1659" s="284">
        <v>916</v>
      </c>
      <c r="O1659" s="284">
        <v>140</v>
      </c>
      <c r="P1659" s="284">
        <v>1160</v>
      </c>
      <c r="Q1659" s="284">
        <v>10415</v>
      </c>
      <c r="R1659" s="12" t="s">
        <v>4767</v>
      </c>
      <c r="S1659" s="12" t="s">
        <v>25</v>
      </c>
      <c r="T1659" s="12" t="s">
        <v>25</v>
      </c>
    </row>
    <row r="1660" spans="1:20" hidden="1" x14ac:dyDescent="0.3">
      <c r="A1660" s="13">
        <v>43963.708333333336</v>
      </c>
      <c r="B1660" s="12" t="s">
        <v>22</v>
      </c>
      <c r="C1660" s="287">
        <v>5</v>
      </c>
      <c r="D1660" s="12" t="s">
        <v>61</v>
      </c>
      <c r="E1660" s="287">
        <v>4543490485</v>
      </c>
      <c r="F1660" s="287">
        <v>1233845213</v>
      </c>
      <c r="G1660" s="287">
        <v>393</v>
      </c>
      <c r="H1660" s="287">
        <v>33</v>
      </c>
      <c r="I1660" s="287">
        <v>426</v>
      </c>
      <c r="J1660" s="287">
        <v>4764</v>
      </c>
      <c r="K1660" s="287">
        <v>5190</v>
      </c>
      <c r="L1660" s="287">
        <v>-270</v>
      </c>
      <c r="M1660" s="287">
        <v>41</v>
      </c>
      <c r="N1660" s="287">
        <v>11906</v>
      </c>
      <c r="O1660" s="287">
        <v>1686</v>
      </c>
      <c r="P1660" s="287">
        <v>18782</v>
      </c>
      <c r="Q1660" s="287">
        <v>454189</v>
      </c>
      <c r="R1660" s="12" t="s">
        <v>4768</v>
      </c>
      <c r="S1660" s="12" t="s">
        <v>25</v>
      </c>
      <c r="T1660" s="12" t="s">
        <v>25</v>
      </c>
    </row>
    <row r="1661" spans="1:20" hidden="1" x14ac:dyDescent="0.3">
      <c r="A1661" s="13">
        <v>43964.708333333336</v>
      </c>
      <c r="B1661" s="12" t="s">
        <v>22</v>
      </c>
      <c r="C1661" s="287">
        <v>13</v>
      </c>
      <c r="D1661" s="12" t="s">
        <v>42</v>
      </c>
      <c r="E1661" s="287">
        <v>4235122196</v>
      </c>
      <c r="F1661" s="287">
        <v>1339843823</v>
      </c>
      <c r="G1661" s="287">
        <v>214</v>
      </c>
      <c r="H1661" s="287">
        <v>7</v>
      </c>
      <c r="I1661" s="287">
        <v>221</v>
      </c>
      <c r="J1661" s="287">
        <v>1268</v>
      </c>
      <c r="K1661" s="287">
        <v>1489</v>
      </c>
      <c r="L1661" s="287">
        <v>-59</v>
      </c>
      <c r="M1661" s="287">
        <v>12</v>
      </c>
      <c r="N1661" s="287">
        <v>1263</v>
      </c>
      <c r="O1661" s="287">
        <v>375</v>
      </c>
      <c r="P1661" s="287">
        <v>3127</v>
      </c>
      <c r="Q1661" s="287">
        <v>51361</v>
      </c>
      <c r="R1661" s="12" t="s">
        <v>4777</v>
      </c>
      <c r="S1661" s="12" t="s">
        <v>25</v>
      </c>
      <c r="T1661" s="12" t="s">
        <v>25</v>
      </c>
    </row>
    <row r="1662" spans="1:20" hidden="1" x14ac:dyDescent="0.3">
      <c r="A1662" s="13">
        <v>43964.708333333336</v>
      </c>
      <c r="B1662" s="12" t="s">
        <v>22</v>
      </c>
      <c r="C1662" s="287">
        <v>17</v>
      </c>
      <c r="D1662" s="12" t="s">
        <v>43</v>
      </c>
      <c r="E1662" s="287">
        <v>4063947052</v>
      </c>
      <c r="F1662" s="287">
        <v>1580514834</v>
      </c>
      <c r="G1662" s="287">
        <v>42</v>
      </c>
      <c r="H1662" s="287">
        <v>1</v>
      </c>
      <c r="I1662" s="287">
        <v>43</v>
      </c>
      <c r="J1662" s="287">
        <v>88</v>
      </c>
      <c r="K1662" s="287">
        <v>131</v>
      </c>
      <c r="L1662" s="287">
        <v>-9</v>
      </c>
      <c r="M1662" s="287">
        <v>2</v>
      </c>
      <c r="N1662" s="287">
        <v>231</v>
      </c>
      <c r="O1662" s="287">
        <v>27</v>
      </c>
      <c r="P1662" s="287">
        <v>389</v>
      </c>
      <c r="Q1662" s="287">
        <v>19678</v>
      </c>
      <c r="R1662" s="12" t="s">
        <v>4778</v>
      </c>
      <c r="S1662" s="12" t="s">
        <v>25</v>
      </c>
      <c r="T1662" s="12" t="s">
        <v>25</v>
      </c>
    </row>
    <row r="1663" spans="1:20" hidden="1" x14ac:dyDescent="0.3">
      <c r="A1663" s="13">
        <v>43964.708333333336</v>
      </c>
      <c r="B1663" s="12" t="s">
        <v>22</v>
      </c>
      <c r="C1663" s="287">
        <v>21</v>
      </c>
      <c r="D1663" s="12" t="s">
        <v>44</v>
      </c>
      <c r="E1663" s="287">
        <v>4649933453</v>
      </c>
      <c r="F1663" s="287">
        <v>1135662422</v>
      </c>
      <c r="G1663" s="287">
        <v>56</v>
      </c>
      <c r="H1663" s="287">
        <v>7</v>
      </c>
      <c r="I1663" s="287">
        <v>63</v>
      </c>
      <c r="J1663" s="287">
        <v>350</v>
      </c>
      <c r="K1663" s="287">
        <v>413</v>
      </c>
      <c r="L1663" s="287">
        <v>-24</v>
      </c>
      <c r="M1663" s="287">
        <v>3</v>
      </c>
      <c r="N1663" s="287">
        <v>1872</v>
      </c>
      <c r="O1663" s="287">
        <v>290</v>
      </c>
      <c r="P1663" s="287">
        <v>2575</v>
      </c>
      <c r="Q1663" s="287">
        <v>51181</v>
      </c>
      <c r="R1663" s="12" t="s">
        <v>4779</v>
      </c>
      <c r="S1663" s="12" t="s">
        <v>25</v>
      </c>
      <c r="T1663" s="12" t="s">
        <v>25</v>
      </c>
    </row>
    <row r="1664" spans="1:20" hidden="1" x14ac:dyDescent="0.3">
      <c r="A1664" s="13">
        <v>43964.708333333336</v>
      </c>
      <c r="B1664" s="12" t="s">
        <v>22</v>
      </c>
      <c r="C1664" s="287">
        <v>18</v>
      </c>
      <c r="D1664" s="12" t="s">
        <v>45</v>
      </c>
      <c r="E1664" s="287">
        <v>3890597598</v>
      </c>
      <c r="F1664" s="287">
        <v>1659440194</v>
      </c>
      <c r="G1664" s="287">
        <v>64</v>
      </c>
      <c r="H1664" s="287">
        <v>1</v>
      </c>
      <c r="I1664" s="287">
        <v>65</v>
      </c>
      <c r="J1664" s="287">
        <v>486</v>
      </c>
      <c r="K1664" s="287">
        <v>551</v>
      </c>
      <c r="L1664" s="287">
        <v>-17</v>
      </c>
      <c r="M1664" s="287">
        <v>2</v>
      </c>
      <c r="N1664" s="287">
        <v>496</v>
      </c>
      <c r="O1664" s="287">
        <v>93</v>
      </c>
      <c r="P1664" s="287">
        <v>1140</v>
      </c>
      <c r="Q1664" s="287">
        <v>49787</v>
      </c>
      <c r="R1664" s="12" t="s">
        <v>4780</v>
      </c>
      <c r="S1664" s="12" t="s">
        <v>25</v>
      </c>
      <c r="T1664" s="12" t="s">
        <v>25</v>
      </c>
    </row>
    <row r="1665" spans="1:20" hidden="1" x14ac:dyDescent="0.3">
      <c r="A1665" s="13">
        <v>43964.708333333336</v>
      </c>
      <c r="B1665" s="12" t="s">
        <v>22</v>
      </c>
      <c r="C1665" s="287">
        <v>15</v>
      </c>
      <c r="D1665" s="12" t="s">
        <v>46</v>
      </c>
      <c r="E1665" s="287">
        <v>4083956555</v>
      </c>
      <c r="F1665" s="287">
        <v>1425084984</v>
      </c>
      <c r="G1665" s="287">
        <v>402</v>
      </c>
      <c r="H1665" s="287">
        <v>19</v>
      </c>
      <c r="I1665" s="287">
        <v>421</v>
      </c>
      <c r="J1665" s="287">
        <v>1394</v>
      </c>
      <c r="K1665" s="287">
        <v>1815</v>
      </c>
      <c r="L1665" s="287">
        <v>-62</v>
      </c>
      <c r="M1665" s="287">
        <v>15</v>
      </c>
      <c r="N1665" s="287">
        <v>2421</v>
      </c>
      <c r="O1665" s="287">
        <v>394</v>
      </c>
      <c r="P1665" s="287">
        <v>4630</v>
      </c>
      <c r="Q1665" s="287">
        <v>124370</v>
      </c>
      <c r="R1665" s="12" t="s">
        <v>4781</v>
      </c>
      <c r="S1665" s="12" t="s">
        <v>25</v>
      </c>
      <c r="T1665" s="12" t="s">
        <v>25</v>
      </c>
    </row>
    <row r="1666" spans="1:20" hidden="1" x14ac:dyDescent="0.3">
      <c r="A1666" s="13">
        <v>43964.708333333336</v>
      </c>
      <c r="B1666" s="12" t="s">
        <v>22</v>
      </c>
      <c r="C1666" s="287">
        <v>8</v>
      </c>
      <c r="D1666" s="12" t="s">
        <v>95</v>
      </c>
      <c r="E1666" s="287">
        <v>4449436681</v>
      </c>
      <c r="F1666" s="287">
        <v>113417208</v>
      </c>
      <c r="G1666" s="287">
        <v>1165</v>
      </c>
      <c r="H1666" s="287">
        <v>123</v>
      </c>
      <c r="I1666" s="287">
        <v>1288</v>
      </c>
      <c r="J1666" s="287">
        <v>5214</v>
      </c>
      <c r="K1666" s="287">
        <v>6502</v>
      </c>
      <c r="L1666" s="287">
        <v>-299</v>
      </c>
      <c r="M1666" s="287">
        <v>50</v>
      </c>
      <c r="N1666" s="287">
        <v>16572</v>
      </c>
      <c r="O1666" s="287">
        <v>3905</v>
      </c>
      <c r="P1666" s="287">
        <v>26979</v>
      </c>
      <c r="Q1666" s="287">
        <v>243883</v>
      </c>
      <c r="R1666" s="12" t="s">
        <v>4782</v>
      </c>
      <c r="S1666" s="12" t="s">
        <v>25</v>
      </c>
      <c r="T1666" s="12" t="s">
        <v>25</v>
      </c>
    </row>
    <row r="1667" spans="1:20" hidden="1" x14ac:dyDescent="0.3">
      <c r="A1667" s="13">
        <v>43964.708333333336</v>
      </c>
      <c r="B1667" s="12" t="s">
        <v>22</v>
      </c>
      <c r="C1667" s="287">
        <v>6</v>
      </c>
      <c r="D1667" s="12" t="s">
        <v>47</v>
      </c>
      <c r="E1667" s="287">
        <v>456494354</v>
      </c>
      <c r="F1667" s="287">
        <v>1376813649</v>
      </c>
      <c r="G1667" s="287">
        <v>92</v>
      </c>
      <c r="H1667" s="287">
        <v>2</v>
      </c>
      <c r="I1667" s="287">
        <v>94</v>
      </c>
      <c r="J1667" s="287">
        <v>685</v>
      </c>
      <c r="K1667" s="287">
        <v>779</v>
      </c>
      <c r="L1667" s="287">
        <v>-22</v>
      </c>
      <c r="M1667" s="287">
        <v>8</v>
      </c>
      <c r="N1667" s="287">
        <v>2061</v>
      </c>
      <c r="O1667" s="287">
        <v>316</v>
      </c>
      <c r="P1667" s="287">
        <v>3156</v>
      </c>
      <c r="Q1667" s="287">
        <v>94600</v>
      </c>
      <c r="R1667" s="12" t="s">
        <v>4783</v>
      </c>
      <c r="S1667" s="12" t="s">
        <v>25</v>
      </c>
      <c r="T1667" s="12" t="s">
        <v>25</v>
      </c>
    </row>
    <row r="1668" spans="1:20" hidden="1" x14ac:dyDescent="0.3">
      <c r="A1668" s="13">
        <v>43964.708333333336</v>
      </c>
      <c r="B1668" s="12" t="s">
        <v>22</v>
      </c>
      <c r="C1668" s="287">
        <v>12</v>
      </c>
      <c r="D1668" s="12" t="s">
        <v>48</v>
      </c>
      <c r="E1668" s="287">
        <v>4189277044</v>
      </c>
      <c r="F1668" s="287">
        <v>1248366722</v>
      </c>
      <c r="G1668" s="287">
        <v>1224</v>
      </c>
      <c r="H1668" s="287">
        <v>83</v>
      </c>
      <c r="I1668" s="287">
        <v>1307</v>
      </c>
      <c r="J1668" s="287">
        <v>2928</v>
      </c>
      <c r="K1668" s="287">
        <v>4235</v>
      </c>
      <c r="L1668" s="287">
        <v>-38</v>
      </c>
      <c r="M1668" s="287">
        <v>38</v>
      </c>
      <c r="N1668" s="287">
        <v>2438</v>
      </c>
      <c r="O1668" s="287">
        <v>577</v>
      </c>
      <c r="P1668" s="287">
        <v>7250</v>
      </c>
      <c r="Q1668" s="287">
        <v>188632</v>
      </c>
      <c r="R1668" s="12" t="s">
        <v>4784</v>
      </c>
      <c r="S1668" s="12" t="s">
        <v>25</v>
      </c>
      <c r="T1668" s="12" t="s">
        <v>25</v>
      </c>
    </row>
    <row r="1669" spans="1:20" x14ac:dyDescent="0.3">
      <c r="A1669" s="13">
        <v>43964.708333333336</v>
      </c>
      <c r="B1669" s="12" t="s">
        <v>22</v>
      </c>
      <c r="C1669" s="287">
        <v>7</v>
      </c>
      <c r="D1669" s="12" t="s">
        <v>49</v>
      </c>
      <c r="E1669" s="287">
        <v>4441149315</v>
      </c>
      <c r="F1669" s="287">
        <v>89326992</v>
      </c>
      <c r="G1669" s="287">
        <v>430</v>
      </c>
      <c r="H1669" s="287">
        <v>35</v>
      </c>
      <c r="I1669" s="287">
        <v>465</v>
      </c>
      <c r="J1669" s="287">
        <v>2253</v>
      </c>
      <c r="K1669" s="287">
        <v>2718</v>
      </c>
      <c r="L1669" s="287">
        <v>-61</v>
      </c>
      <c r="M1669" s="287">
        <v>67</v>
      </c>
      <c r="N1669" s="287">
        <v>4898</v>
      </c>
      <c r="O1669" s="287">
        <v>1314</v>
      </c>
      <c r="P1669" s="287">
        <v>8930</v>
      </c>
      <c r="Q1669" s="287">
        <v>72174</v>
      </c>
      <c r="R1669" s="12" t="s">
        <v>4785</v>
      </c>
      <c r="S1669" s="12" t="s">
        <v>25</v>
      </c>
      <c r="T1669" s="12" t="s">
        <v>25</v>
      </c>
    </row>
    <row r="1670" spans="1:20" hidden="1" x14ac:dyDescent="0.3">
      <c r="A1670" s="13">
        <v>43964.708333333336</v>
      </c>
      <c r="B1670" s="12" t="s">
        <v>22</v>
      </c>
      <c r="C1670" s="287">
        <v>3</v>
      </c>
      <c r="D1670" s="12" t="s">
        <v>50</v>
      </c>
      <c r="E1670" s="287">
        <v>4546679409</v>
      </c>
      <c r="F1670" s="287">
        <v>9190347404</v>
      </c>
      <c r="G1670" s="287">
        <v>5007</v>
      </c>
      <c r="H1670" s="287">
        <v>307</v>
      </c>
      <c r="I1670" s="287">
        <v>5314</v>
      </c>
      <c r="J1670" s="287">
        <v>24718</v>
      </c>
      <c r="K1670" s="287">
        <v>30032</v>
      </c>
      <c r="L1670" s="287">
        <v>-643</v>
      </c>
      <c r="M1670" s="287">
        <v>394</v>
      </c>
      <c r="N1670" s="287">
        <v>38081</v>
      </c>
      <c r="O1670" s="287">
        <v>15185</v>
      </c>
      <c r="P1670" s="287">
        <v>83298</v>
      </c>
      <c r="Q1670" s="287">
        <v>524163</v>
      </c>
      <c r="R1670" s="12" t="s">
        <v>4786</v>
      </c>
      <c r="S1670" s="12" t="s">
        <v>25</v>
      </c>
      <c r="T1670" s="12" t="s">
        <v>25</v>
      </c>
    </row>
    <row r="1671" spans="1:20" hidden="1" x14ac:dyDescent="0.3">
      <c r="A1671" s="13">
        <v>43964.708333333336</v>
      </c>
      <c r="B1671" s="12" t="s">
        <v>22</v>
      </c>
      <c r="C1671" s="287">
        <v>11</v>
      </c>
      <c r="D1671" s="12" t="s">
        <v>51</v>
      </c>
      <c r="E1671" s="287">
        <v>4361675973</v>
      </c>
      <c r="F1671" s="287">
        <v>135188753</v>
      </c>
      <c r="G1671" s="287">
        <v>211</v>
      </c>
      <c r="H1671" s="287">
        <v>20</v>
      </c>
      <c r="I1671" s="287">
        <v>231</v>
      </c>
      <c r="J1671" s="287">
        <v>2782</v>
      </c>
      <c r="K1671" s="287">
        <v>3013</v>
      </c>
      <c r="L1671" s="287">
        <v>-195</v>
      </c>
      <c r="M1671" s="287">
        <v>20</v>
      </c>
      <c r="N1671" s="287">
        <v>2604</v>
      </c>
      <c r="O1671" s="287">
        <v>971</v>
      </c>
      <c r="P1671" s="287">
        <v>6588</v>
      </c>
      <c r="Q1671" s="287">
        <v>80850</v>
      </c>
      <c r="R1671" s="12" t="s">
        <v>4787</v>
      </c>
      <c r="S1671" s="12" t="s">
        <v>25</v>
      </c>
      <c r="T1671" s="12" t="s">
        <v>25</v>
      </c>
    </row>
    <row r="1672" spans="1:20" hidden="1" x14ac:dyDescent="0.3">
      <c r="A1672" s="13">
        <v>43964.708333333336</v>
      </c>
      <c r="B1672" s="12" t="s">
        <v>22</v>
      </c>
      <c r="C1672" s="287">
        <v>14</v>
      </c>
      <c r="D1672" s="12" t="s">
        <v>52</v>
      </c>
      <c r="E1672" s="287">
        <v>4155774754</v>
      </c>
      <c r="F1672" s="287">
        <v>1465916051</v>
      </c>
      <c r="G1672" s="287">
        <v>9</v>
      </c>
      <c r="H1672" s="287">
        <v>1</v>
      </c>
      <c r="I1672" s="287">
        <v>10</v>
      </c>
      <c r="J1672" s="287">
        <v>221</v>
      </c>
      <c r="K1672" s="287">
        <v>231</v>
      </c>
      <c r="L1672" s="287">
        <v>5</v>
      </c>
      <c r="M1672" s="287">
        <v>15</v>
      </c>
      <c r="N1672" s="287">
        <v>148</v>
      </c>
      <c r="O1672" s="287">
        <v>22</v>
      </c>
      <c r="P1672" s="287">
        <v>401</v>
      </c>
      <c r="Q1672" s="287">
        <v>10062</v>
      </c>
      <c r="R1672" s="12" t="s">
        <v>4788</v>
      </c>
      <c r="S1672" s="12" t="s">
        <v>25</v>
      </c>
      <c r="T1672" s="12" t="s">
        <v>25</v>
      </c>
    </row>
    <row r="1673" spans="1:20" hidden="1" x14ac:dyDescent="0.3">
      <c r="A1673" s="13">
        <v>43964.708333333336</v>
      </c>
      <c r="B1673" s="12" t="s">
        <v>22</v>
      </c>
      <c r="C1673" s="287">
        <v>1</v>
      </c>
      <c r="D1673" s="12" t="s">
        <v>53</v>
      </c>
      <c r="E1673" s="287">
        <v>450732745</v>
      </c>
      <c r="F1673" s="287">
        <v>7680687483</v>
      </c>
      <c r="G1673" s="287">
        <v>1858</v>
      </c>
      <c r="H1673" s="287">
        <v>122</v>
      </c>
      <c r="I1673" s="287">
        <v>1980</v>
      </c>
      <c r="J1673" s="287">
        <v>10511</v>
      </c>
      <c r="K1673" s="287">
        <v>12491</v>
      </c>
      <c r="L1673" s="287">
        <v>-693</v>
      </c>
      <c r="M1673" s="287">
        <v>169</v>
      </c>
      <c r="N1673" s="287">
        <v>13107</v>
      </c>
      <c r="O1673" s="287">
        <v>3460</v>
      </c>
      <c r="P1673" s="287">
        <v>29058</v>
      </c>
      <c r="Q1673" s="287">
        <v>224788</v>
      </c>
      <c r="R1673" s="12" t="s">
        <v>4789</v>
      </c>
      <c r="S1673" s="12" t="s">
        <v>25</v>
      </c>
      <c r="T1673" s="12" t="s">
        <v>25</v>
      </c>
    </row>
    <row r="1674" spans="1:20" hidden="1" x14ac:dyDescent="0.3">
      <c r="A1674" s="13">
        <v>43964.708333333336</v>
      </c>
      <c r="B1674" s="12" t="s">
        <v>22</v>
      </c>
      <c r="C1674" s="287">
        <v>16</v>
      </c>
      <c r="D1674" s="12" t="s">
        <v>54</v>
      </c>
      <c r="E1674" s="287">
        <v>4112559576</v>
      </c>
      <c r="F1674" s="287">
        <v>1686736689</v>
      </c>
      <c r="G1674" s="287">
        <v>310</v>
      </c>
      <c r="H1674" s="287">
        <v>27</v>
      </c>
      <c r="I1674" s="287">
        <v>337</v>
      </c>
      <c r="J1674" s="287">
        <v>1985</v>
      </c>
      <c r="K1674" s="287">
        <v>2322</v>
      </c>
      <c r="L1674" s="287">
        <v>-99</v>
      </c>
      <c r="M1674" s="287">
        <v>11</v>
      </c>
      <c r="N1674" s="287">
        <v>1566</v>
      </c>
      <c r="O1674" s="287">
        <v>460</v>
      </c>
      <c r="P1674" s="287">
        <v>4348</v>
      </c>
      <c r="Q1674" s="287">
        <v>83713</v>
      </c>
      <c r="R1674" s="12" t="s">
        <v>4790</v>
      </c>
      <c r="S1674" s="12" t="s">
        <v>25</v>
      </c>
      <c r="T1674" s="12" t="s">
        <v>25</v>
      </c>
    </row>
    <row r="1675" spans="1:20" hidden="1" x14ac:dyDescent="0.3">
      <c r="A1675" s="13">
        <v>43964.708333333336</v>
      </c>
      <c r="B1675" s="12" t="s">
        <v>22</v>
      </c>
      <c r="C1675" s="287">
        <v>20</v>
      </c>
      <c r="D1675" s="12" t="s">
        <v>55</v>
      </c>
      <c r="E1675" s="287">
        <v>3921531192</v>
      </c>
      <c r="F1675" s="287">
        <v>9110616306</v>
      </c>
      <c r="G1675" s="287">
        <v>78</v>
      </c>
      <c r="H1675" s="287">
        <v>10</v>
      </c>
      <c r="I1675" s="287">
        <v>88</v>
      </c>
      <c r="J1675" s="287">
        <v>403</v>
      </c>
      <c r="K1675" s="287">
        <v>491</v>
      </c>
      <c r="L1675" s="287">
        <v>-15</v>
      </c>
      <c r="M1675" s="287">
        <v>1</v>
      </c>
      <c r="N1675" s="287">
        <v>734</v>
      </c>
      <c r="O1675" s="287">
        <v>120</v>
      </c>
      <c r="P1675" s="287">
        <v>1345</v>
      </c>
      <c r="Q1675" s="287">
        <v>36710</v>
      </c>
      <c r="R1675" s="12" t="s">
        <v>4791</v>
      </c>
      <c r="S1675" s="12" t="s">
        <v>25</v>
      </c>
      <c r="T1675" s="12" t="s">
        <v>25</v>
      </c>
    </row>
    <row r="1676" spans="1:20" hidden="1" x14ac:dyDescent="0.3">
      <c r="A1676" s="13">
        <v>43964.708333333336</v>
      </c>
      <c r="B1676" s="12" t="s">
        <v>22</v>
      </c>
      <c r="C1676" s="287">
        <v>19</v>
      </c>
      <c r="D1676" s="12" t="s">
        <v>56</v>
      </c>
      <c r="E1676" s="287">
        <v>3811569725</v>
      </c>
      <c r="F1676" s="287">
        <v>133623567</v>
      </c>
      <c r="G1676" s="287">
        <v>212</v>
      </c>
      <c r="H1676" s="287">
        <v>13</v>
      </c>
      <c r="I1676" s="287">
        <v>225</v>
      </c>
      <c r="J1676" s="287">
        <v>1664</v>
      </c>
      <c r="K1676" s="287">
        <v>1889</v>
      </c>
      <c r="L1676" s="287">
        <v>-22</v>
      </c>
      <c r="M1676" s="287">
        <v>11</v>
      </c>
      <c r="N1676" s="287">
        <v>1203</v>
      </c>
      <c r="O1676" s="287">
        <v>262</v>
      </c>
      <c r="P1676" s="287">
        <v>3354</v>
      </c>
      <c r="Q1676" s="287">
        <v>107991</v>
      </c>
      <c r="R1676" s="12" t="s">
        <v>4792</v>
      </c>
      <c r="S1676" s="12" t="s">
        <v>25</v>
      </c>
      <c r="T1676" s="12" t="s">
        <v>25</v>
      </c>
    </row>
    <row r="1677" spans="1:20" hidden="1" x14ac:dyDescent="0.3">
      <c r="A1677" s="13">
        <v>43964.708333333336</v>
      </c>
      <c r="B1677" s="12" t="s">
        <v>22</v>
      </c>
      <c r="C1677" s="287">
        <v>9</v>
      </c>
      <c r="D1677" s="12" t="s">
        <v>57</v>
      </c>
      <c r="E1677" s="287">
        <v>4376923077</v>
      </c>
      <c r="F1677" s="287">
        <v>1125588885</v>
      </c>
      <c r="G1677" s="287">
        <v>284</v>
      </c>
      <c r="H1677" s="287">
        <v>72</v>
      </c>
      <c r="I1677" s="287">
        <v>356</v>
      </c>
      <c r="J1677" s="287">
        <v>3207</v>
      </c>
      <c r="K1677" s="287">
        <v>3563</v>
      </c>
      <c r="L1677" s="287">
        <v>-278</v>
      </c>
      <c r="M1677" s="287">
        <v>27</v>
      </c>
      <c r="N1677" s="287">
        <v>5302</v>
      </c>
      <c r="O1677" s="287">
        <v>964</v>
      </c>
      <c r="P1677" s="287">
        <v>9829</v>
      </c>
      <c r="Q1677" s="287">
        <v>189026</v>
      </c>
      <c r="R1677" s="12" t="s">
        <v>4793</v>
      </c>
      <c r="S1677" s="12" t="s">
        <v>25</v>
      </c>
      <c r="T1677" s="12" t="s">
        <v>25</v>
      </c>
    </row>
    <row r="1678" spans="1:20" hidden="1" x14ac:dyDescent="0.3">
      <c r="A1678" s="13">
        <v>43964.708333333336</v>
      </c>
      <c r="B1678" s="12" t="s">
        <v>22</v>
      </c>
      <c r="C1678" s="287">
        <v>22</v>
      </c>
      <c r="D1678" s="12" t="s">
        <v>58</v>
      </c>
      <c r="E1678" s="287">
        <v>4606893511</v>
      </c>
      <c r="F1678" s="287">
        <v>1112123097</v>
      </c>
      <c r="G1678" s="287">
        <v>76</v>
      </c>
      <c r="H1678" s="287">
        <v>9</v>
      </c>
      <c r="I1678" s="287">
        <v>85</v>
      </c>
      <c r="J1678" s="287">
        <v>488</v>
      </c>
      <c r="K1678" s="287">
        <v>573</v>
      </c>
      <c r="L1678" s="287">
        <v>-94</v>
      </c>
      <c r="M1678" s="287">
        <v>9</v>
      </c>
      <c r="N1678" s="287">
        <v>3293</v>
      </c>
      <c r="O1678" s="287">
        <v>446</v>
      </c>
      <c r="P1678" s="287">
        <v>4312</v>
      </c>
      <c r="Q1678" s="287">
        <v>57997</v>
      </c>
      <c r="R1678" s="12" t="s">
        <v>4794</v>
      </c>
      <c r="S1678" s="12" t="s">
        <v>25</v>
      </c>
      <c r="T1678" s="12" t="s">
        <v>25</v>
      </c>
    </row>
    <row r="1679" spans="1:20" hidden="1" x14ac:dyDescent="0.3">
      <c r="A1679" s="13">
        <v>43964.708333333336</v>
      </c>
      <c r="B1679" s="12" t="s">
        <v>22</v>
      </c>
      <c r="C1679" s="287">
        <v>10</v>
      </c>
      <c r="D1679" s="12" t="s">
        <v>59</v>
      </c>
      <c r="E1679" s="287">
        <v>4310675841</v>
      </c>
      <c r="F1679" s="287">
        <v>1238824698</v>
      </c>
      <c r="G1679" s="287">
        <v>36</v>
      </c>
      <c r="H1679" s="287">
        <v>4</v>
      </c>
      <c r="I1679" s="287">
        <v>40</v>
      </c>
      <c r="J1679" s="287">
        <v>66</v>
      </c>
      <c r="K1679" s="287">
        <v>106</v>
      </c>
      <c r="L1679" s="287">
        <v>-3</v>
      </c>
      <c r="M1679" s="287">
        <v>0</v>
      </c>
      <c r="N1679" s="287">
        <v>1241</v>
      </c>
      <c r="O1679" s="287">
        <v>72</v>
      </c>
      <c r="P1679" s="287">
        <v>1419</v>
      </c>
      <c r="Q1679" s="287">
        <v>50731</v>
      </c>
      <c r="R1679" s="12" t="s">
        <v>4795</v>
      </c>
      <c r="S1679" s="12" t="s">
        <v>25</v>
      </c>
      <c r="T1679" s="12" t="s">
        <v>25</v>
      </c>
    </row>
    <row r="1680" spans="1:20" hidden="1" x14ac:dyDescent="0.3">
      <c r="A1680" s="13">
        <v>43964.708333333336</v>
      </c>
      <c r="B1680" s="12" t="s">
        <v>22</v>
      </c>
      <c r="C1680" s="287">
        <v>2</v>
      </c>
      <c r="D1680" s="12" t="s">
        <v>60</v>
      </c>
      <c r="E1680" s="287">
        <v>4573750286</v>
      </c>
      <c r="F1680" s="287">
        <v>7320149366</v>
      </c>
      <c r="G1680" s="287">
        <v>38</v>
      </c>
      <c r="H1680" s="287">
        <v>0</v>
      </c>
      <c r="I1680" s="287">
        <v>38</v>
      </c>
      <c r="J1680" s="287">
        <v>55</v>
      </c>
      <c r="K1680" s="287">
        <v>93</v>
      </c>
      <c r="L1680" s="287">
        <v>-11</v>
      </c>
      <c r="M1680" s="287">
        <v>3</v>
      </c>
      <c r="N1680" s="287">
        <v>929</v>
      </c>
      <c r="O1680" s="287">
        <v>141</v>
      </c>
      <c r="P1680" s="287">
        <v>1163</v>
      </c>
      <c r="Q1680" s="287">
        <v>10777</v>
      </c>
      <c r="R1680" s="12" t="s">
        <v>4796</v>
      </c>
      <c r="S1680" s="12" t="s">
        <v>25</v>
      </c>
      <c r="T1680" s="12" t="s">
        <v>25</v>
      </c>
    </row>
    <row r="1681" spans="1:20" hidden="1" x14ac:dyDescent="0.3">
      <c r="A1681" s="13">
        <v>43964.708333333336</v>
      </c>
      <c r="B1681" s="12" t="s">
        <v>22</v>
      </c>
      <c r="C1681" s="290">
        <v>5</v>
      </c>
      <c r="D1681" s="12" t="s">
        <v>61</v>
      </c>
      <c r="E1681" s="290">
        <v>4543490485</v>
      </c>
      <c r="F1681" s="290">
        <v>1233845213</v>
      </c>
      <c r="G1681" s="290">
        <v>364</v>
      </c>
      <c r="H1681" s="290">
        <v>30</v>
      </c>
      <c r="I1681" s="290">
        <v>394</v>
      </c>
      <c r="J1681" s="290">
        <v>4626</v>
      </c>
      <c r="K1681" s="290">
        <v>5020</v>
      </c>
      <c r="L1681" s="290">
        <v>-170</v>
      </c>
      <c r="M1681" s="290">
        <v>31</v>
      </c>
      <c r="N1681" s="290">
        <v>12081</v>
      </c>
      <c r="O1681" s="290">
        <v>1712</v>
      </c>
      <c r="P1681" s="290">
        <v>18813</v>
      </c>
      <c r="Q1681" s="290">
        <v>463154</v>
      </c>
      <c r="R1681" s="12" t="s">
        <v>4797</v>
      </c>
      <c r="S1681" s="12" t="s">
        <v>25</v>
      </c>
      <c r="T1681" s="12" t="s">
        <v>25</v>
      </c>
    </row>
    <row r="1682" spans="1:20" hidden="1" x14ac:dyDescent="0.3">
      <c r="A1682" s="13">
        <v>43965.708333333336</v>
      </c>
      <c r="B1682" s="12" t="s">
        <v>22</v>
      </c>
      <c r="C1682" s="290">
        <v>13</v>
      </c>
      <c r="D1682" s="12" t="s">
        <v>42</v>
      </c>
      <c r="E1682" s="290">
        <v>4235122196</v>
      </c>
      <c r="F1682" s="290">
        <v>1339843823</v>
      </c>
      <c r="G1682" s="290">
        <v>215</v>
      </c>
      <c r="H1682" s="290">
        <v>6</v>
      </c>
      <c r="I1682" s="290">
        <v>221</v>
      </c>
      <c r="J1682" s="290">
        <v>1261</v>
      </c>
      <c r="K1682" s="290">
        <v>1482</v>
      </c>
      <c r="L1682" s="290">
        <v>-7</v>
      </c>
      <c r="M1682" s="290">
        <v>9</v>
      </c>
      <c r="N1682" s="290">
        <v>1275</v>
      </c>
      <c r="O1682" s="290">
        <v>379</v>
      </c>
      <c r="P1682" s="290">
        <v>3136</v>
      </c>
      <c r="Q1682" s="290">
        <v>52860</v>
      </c>
      <c r="R1682" s="12" t="s">
        <v>4837</v>
      </c>
      <c r="S1682" s="12" t="s">
        <v>25</v>
      </c>
      <c r="T1682" s="12" t="s">
        <v>25</v>
      </c>
    </row>
    <row r="1683" spans="1:20" hidden="1" x14ac:dyDescent="0.3">
      <c r="A1683" s="13">
        <v>43965.708333333336</v>
      </c>
      <c r="B1683" s="12" t="s">
        <v>22</v>
      </c>
      <c r="C1683" s="290">
        <v>17</v>
      </c>
      <c r="D1683" s="12" t="s">
        <v>43</v>
      </c>
      <c r="E1683" s="290">
        <v>4063947052</v>
      </c>
      <c r="F1683" s="290">
        <v>1580514834</v>
      </c>
      <c r="G1683" s="290">
        <v>34</v>
      </c>
      <c r="H1683" s="290">
        <v>1</v>
      </c>
      <c r="I1683" s="290">
        <v>35</v>
      </c>
      <c r="J1683" s="290">
        <v>92</v>
      </c>
      <c r="K1683" s="290">
        <v>127</v>
      </c>
      <c r="L1683" s="290">
        <v>-4</v>
      </c>
      <c r="M1683" s="290">
        <v>0</v>
      </c>
      <c r="N1683" s="290">
        <v>235</v>
      </c>
      <c r="O1683" s="290">
        <v>27</v>
      </c>
      <c r="P1683" s="290">
        <v>389</v>
      </c>
      <c r="Q1683" s="290">
        <v>20285</v>
      </c>
      <c r="R1683" s="12" t="s">
        <v>4838</v>
      </c>
      <c r="S1683" s="12" t="s">
        <v>25</v>
      </c>
      <c r="T1683" s="12" t="s">
        <v>25</v>
      </c>
    </row>
    <row r="1684" spans="1:20" hidden="1" x14ac:dyDescent="0.3">
      <c r="A1684" s="13">
        <v>43965.708333333336</v>
      </c>
      <c r="B1684" s="12" t="s">
        <v>22</v>
      </c>
      <c r="C1684" s="290">
        <v>21</v>
      </c>
      <c r="D1684" s="12" t="s">
        <v>44</v>
      </c>
      <c r="E1684" s="290">
        <v>4649933453</v>
      </c>
      <c r="F1684" s="290">
        <v>1135662422</v>
      </c>
      <c r="G1684" s="290">
        <v>54</v>
      </c>
      <c r="H1684" s="290">
        <v>7</v>
      </c>
      <c r="I1684" s="290">
        <v>61</v>
      </c>
      <c r="J1684" s="290">
        <v>319</v>
      </c>
      <c r="K1684" s="290">
        <v>380</v>
      </c>
      <c r="L1684" s="290">
        <v>-33</v>
      </c>
      <c r="M1684" s="290">
        <v>3</v>
      </c>
      <c r="N1684" s="290">
        <v>1908</v>
      </c>
      <c r="O1684" s="290">
        <v>290</v>
      </c>
      <c r="P1684" s="290">
        <v>2578</v>
      </c>
      <c r="Q1684" s="290">
        <v>52015</v>
      </c>
      <c r="R1684" s="12" t="s">
        <v>4839</v>
      </c>
      <c r="S1684" s="12" t="s">
        <v>25</v>
      </c>
      <c r="T1684" s="12" t="s">
        <v>25</v>
      </c>
    </row>
    <row r="1685" spans="1:20" hidden="1" x14ac:dyDescent="0.3">
      <c r="A1685" s="13">
        <v>43965.708333333336</v>
      </c>
      <c r="B1685" s="12" t="s">
        <v>22</v>
      </c>
      <c r="C1685" s="290">
        <v>18</v>
      </c>
      <c r="D1685" s="12" t="s">
        <v>45</v>
      </c>
      <c r="E1685" s="290">
        <v>3890597598</v>
      </c>
      <c r="F1685" s="290">
        <v>1659440194</v>
      </c>
      <c r="G1685" s="290">
        <v>59</v>
      </c>
      <c r="H1685" s="290">
        <v>2</v>
      </c>
      <c r="I1685" s="290">
        <v>61</v>
      </c>
      <c r="J1685" s="290">
        <v>463</v>
      </c>
      <c r="K1685" s="290">
        <v>524</v>
      </c>
      <c r="L1685" s="290">
        <v>-27</v>
      </c>
      <c r="M1685" s="290">
        <v>3</v>
      </c>
      <c r="N1685" s="290">
        <v>524</v>
      </c>
      <c r="O1685" s="290">
        <v>95</v>
      </c>
      <c r="P1685" s="290">
        <v>1143</v>
      </c>
      <c r="Q1685" s="290">
        <v>51050</v>
      </c>
      <c r="R1685" s="12" t="s">
        <v>4840</v>
      </c>
      <c r="S1685" s="12" t="s">
        <v>25</v>
      </c>
      <c r="T1685" s="12" t="s">
        <v>25</v>
      </c>
    </row>
    <row r="1686" spans="1:20" hidden="1" x14ac:dyDescent="0.3">
      <c r="A1686" s="13">
        <v>43965.708333333336</v>
      </c>
      <c r="B1686" s="12" t="s">
        <v>22</v>
      </c>
      <c r="C1686" s="290">
        <v>15</v>
      </c>
      <c r="D1686" s="12" t="s">
        <v>46</v>
      </c>
      <c r="E1686" s="290">
        <v>4083956555</v>
      </c>
      <c r="F1686" s="290">
        <v>1425084984</v>
      </c>
      <c r="G1686" s="290">
        <v>387</v>
      </c>
      <c r="H1686" s="290">
        <v>19</v>
      </c>
      <c r="I1686" s="290">
        <v>406</v>
      </c>
      <c r="J1686" s="290">
        <v>1359</v>
      </c>
      <c r="K1686" s="290">
        <v>1765</v>
      </c>
      <c r="L1686" s="290">
        <v>-50</v>
      </c>
      <c r="M1686" s="290">
        <v>9</v>
      </c>
      <c r="N1686" s="290">
        <v>2480</v>
      </c>
      <c r="O1686" s="290">
        <v>394</v>
      </c>
      <c r="P1686" s="290">
        <v>4639</v>
      </c>
      <c r="Q1686" s="290">
        <v>127938</v>
      </c>
      <c r="R1686" s="12" t="s">
        <v>4841</v>
      </c>
      <c r="S1686" s="12" t="s">
        <v>25</v>
      </c>
      <c r="T1686" s="12" t="s">
        <v>25</v>
      </c>
    </row>
    <row r="1687" spans="1:20" hidden="1" x14ac:dyDescent="0.3">
      <c r="A1687" s="13">
        <v>43965.708333333336</v>
      </c>
      <c r="B1687" s="12" t="s">
        <v>22</v>
      </c>
      <c r="C1687" s="290">
        <v>8</v>
      </c>
      <c r="D1687" s="12" t="s">
        <v>95</v>
      </c>
      <c r="E1687" s="290">
        <v>4449436681</v>
      </c>
      <c r="F1687" s="290">
        <v>113417208</v>
      </c>
      <c r="G1687" s="290">
        <v>861</v>
      </c>
      <c r="H1687" s="290">
        <v>122</v>
      </c>
      <c r="I1687" s="290">
        <v>983</v>
      </c>
      <c r="J1687" s="290">
        <v>5318</v>
      </c>
      <c r="K1687" s="290">
        <v>6301</v>
      </c>
      <c r="L1687" s="290">
        <v>-201</v>
      </c>
      <c r="M1687" s="290">
        <v>77</v>
      </c>
      <c r="N1687" s="290">
        <v>16825</v>
      </c>
      <c r="O1687" s="290">
        <v>3930</v>
      </c>
      <c r="P1687" s="290">
        <v>27056</v>
      </c>
      <c r="Q1687" s="290">
        <v>248591</v>
      </c>
      <c r="R1687" s="12" t="s">
        <v>4842</v>
      </c>
      <c r="S1687" s="12" t="s">
        <v>25</v>
      </c>
      <c r="T1687" s="12" t="s">
        <v>25</v>
      </c>
    </row>
    <row r="1688" spans="1:20" hidden="1" x14ac:dyDescent="0.3">
      <c r="A1688" s="13">
        <v>43965.708333333336</v>
      </c>
      <c r="B1688" s="12" t="s">
        <v>22</v>
      </c>
      <c r="C1688" s="290">
        <v>6</v>
      </c>
      <c r="D1688" s="12" t="s">
        <v>47</v>
      </c>
      <c r="E1688" s="290">
        <v>456494354</v>
      </c>
      <c r="F1688" s="290">
        <v>1376813649</v>
      </c>
      <c r="G1688" s="290">
        <v>149</v>
      </c>
      <c r="H1688" s="290">
        <v>2</v>
      </c>
      <c r="I1688" s="290">
        <v>151</v>
      </c>
      <c r="J1688" s="290">
        <v>619</v>
      </c>
      <c r="K1688" s="290">
        <v>770</v>
      </c>
      <c r="L1688" s="290">
        <v>-9</v>
      </c>
      <c r="M1688" s="290">
        <v>5</v>
      </c>
      <c r="N1688" s="290">
        <v>2074</v>
      </c>
      <c r="O1688" s="290">
        <v>317</v>
      </c>
      <c r="P1688" s="290">
        <v>3161</v>
      </c>
      <c r="Q1688" s="290">
        <v>97000</v>
      </c>
      <c r="R1688" s="12" t="s">
        <v>4843</v>
      </c>
      <c r="S1688" s="12" t="s">
        <v>25</v>
      </c>
      <c r="T1688" s="12" t="s">
        <v>25</v>
      </c>
    </row>
    <row r="1689" spans="1:20" hidden="1" x14ac:dyDescent="0.3">
      <c r="A1689" s="13">
        <v>43965.708333333336</v>
      </c>
      <c r="B1689" s="12" t="s">
        <v>22</v>
      </c>
      <c r="C1689" s="290">
        <v>12</v>
      </c>
      <c r="D1689" s="12" t="s">
        <v>48</v>
      </c>
      <c r="E1689" s="290">
        <v>4189277044</v>
      </c>
      <c r="F1689" s="290">
        <v>1248366722</v>
      </c>
      <c r="G1689" s="290">
        <v>1178</v>
      </c>
      <c r="H1689" s="290">
        <v>79</v>
      </c>
      <c r="I1689" s="290">
        <v>1257</v>
      </c>
      <c r="J1689" s="290">
        <v>2839</v>
      </c>
      <c r="K1689" s="290">
        <v>4096</v>
      </c>
      <c r="L1689" s="290">
        <v>-139</v>
      </c>
      <c r="M1689" s="290">
        <v>41</v>
      </c>
      <c r="N1689" s="290">
        <v>2600</v>
      </c>
      <c r="O1689" s="290">
        <v>595</v>
      </c>
      <c r="P1689" s="290">
        <v>7291</v>
      </c>
      <c r="Q1689" s="290">
        <v>192917</v>
      </c>
      <c r="R1689" s="12" t="s">
        <v>4844</v>
      </c>
      <c r="S1689" s="12" t="s">
        <v>25</v>
      </c>
      <c r="T1689" s="12" t="s">
        <v>25</v>
      </c>
    </row>
    <row r="1690" spans="1:20" x14ac:dyDescent="0.3">
      <c r="A1690" s="13">
        <v>43965.708333333336</v>
      </c>
      <c r="B1690" s="12" t="s">
        <v>22</v>
      </c>
      <c r="C1690" s="290">
        <v>7</v>
      </c>
      <c r="D1690" s="12" t="s">
        <v>49</v>
      </c>
      <c r="E1690" s="290">
        <v>4441149315</v>
      </c>
      <c r="F1690" s="290">
        <v>89326992</v>
      </c>
      <c r="G1690" s="290">
        <v>408</v>
      </c>
      <c r="H1690" s="290">
        <v>35</v>
      </c>
      <c r="I1690" s="290">
        <v>443</v>
      </c>
      <c r="J1690" s="290">
        <v>2217</v>
      </c>
      <c r="K1690" s="290">
        <v>2660</v>
      </c>
      <c r="L1690" s="290">
        <v>-58</v>
      </c>
      <c r="M1690" s="290">
        <v>65</v>
      </c>
      <c r="N1690" s="290">
        <v>5006</v>
      </c>
      <c r="O1690" s="290">
        <v>1329</v>
      </c>
      <c r="P1690" s="290">
        <v>8995</v>
      </c>
      <c r="Q1690" s="290">
        <v>74248</v>
      </c>
      <c r="R1690" s="12" t="s">
        <v>4845</v>
      </c>
      <c r="S1690" s="12" t="s">
        <v>25</v>
      </c>
      <c r="T1690" s="12" t="s">
        <v>25</v>
      </c>
    </row>
    <row r="1691" spans="1:20" hidden="1" x14ac:dyDescent="0.3">
      <c r="A1691" s="13">
        <v>43965.708333333336</v>
      </c>
      <c r="B1691" s="12" t="s">
        <v>22</v>
      </c>
      <c r="C1691" s="290">
        <v>3</v>
      </c>
      <c r="D1691" s="12" t="s">
        <v>50</v>
      </c>
      <c r="E1691" s="290">
        <v>4546679409</v>
      </c>
      <c r="F1691" s="290">
        <v>9190347404</v>
      </c>
      <c r="G1691" s="290">
        <v>4818</v>
      </c>
      <c r="H1691" s="290">
        <v>297</v>
      </c>
      <c r="I1691" s="290">
        <v>5115</v>
      </c>
      <c r="J1691" s="290">
        <v>24841</v>
      </c>
      <c r="K1691" s="290">
        <v>29956</v>
      </c>
      <c r="L1691" s="290">
        <v>-76</v>
      </c>
      <c r="M1691" s="290">
        <v>522</v>
      </c>
      <c r="N1691" s="290">
        <v>38568</v>
      </c>
      <c r="O1691" s="290">
        <v>15296</v>
      </c>
      <c r="P1691" s="290">
        <v>83820</v>
      </c>
      <c r="Q1691" s="290">
        <v>538243</v>
      </c>
      <c r="R1691" s="12" t="s">
        <v>4846</v>
      </c>
      <c r="S1691" s="12" t="s">
        <v>25</v>
      </c>
      <c r="T1691" s="12" t="s">
        <v>25</v>
      </c>
    </row>
    <row r="1692" spans="1:20" hidden="1" x14ac:dyDescent="0.3">
      <c r="A1692" s="13">
        <v>43965.708333333336</v>
      </c>
      <c r="B1692" s="12" t="s">
        <v>22</v>
      </c>
      <c r="C1692" s="290">
        <v>11</v>
      </c>
      <c r="D1692" s="12" t="s">
        <v>51</v>
      </c>
      <c r="E1692" s="290">
        <v>4361675973</v>
      </c>
      <c r="F1692" s="290">
        <v>135188753</v>
      </c>
      <c r="G1692" s="290">
        <v>189</v>
      </c>
      <c r="H1692" s="290">
        <v>18</v>
      </c>
      <c r="I1692" s="290">
        <v>207</v>
      </c>
      <c r="J1692" s="290">
        <v>2697</v>
      </c>
      <c r="K1692" s="290">
        <v>2904</v>
      </c>
      <c r="L1692" s="290">
        <v>-109</v>
      </c>
      <c r="M1692" s="290">
        <v>15</v>
      </c>
      <c r="N1692" s="290">
        <v>2725</v>
      </c>
      <c r="O1692" s="290">
        <v>974</v>
      </c>
      <c r="P1692" s="290">
        <v>6603</v>
      </c>
      <c r="Q1692" s="290">
        <v>82840</v>
      </c>
      <c r="R1692" s="12" t="s">
        <v>4847</v>
      </c>
      <c r="S1692" s="12" t="s">
        <v>25</v>
      </c>
      <c r="T1692" s="12" t="s">
        <v>25</v>
      </c>
    </row>
    <row r="1693" spans="1:20" hidden="1" x14ac:dyDescent="0.3">
      <c r="A1693" s="13">
        <v>43965.708333333336</v>
      </c>
      <c r="B1693" s="12" t="s">
        <v>22</v>
      </c>
      <c r="C1693" s="290">
        <v>14</v>
      </c>
      <c r="D1693" s="12" t="s">
        <v>52</v>
      </c>
      <c r="E1693" s="290">
        <v>4155774754</v>
      </c>
      <c r="F1693" s="290">
        <v>1465916051</v>
      </c>
      <c r="G1693" s="290">
        <v>10</v>
      </c>
      <c r="H1693" s="290">
        <v>1</v>
      </c>
      <c r="I1693" s="290">
        <v>11</v>
      </c>
      <c r="J1693" s="290">
        <v>218</v>
      </c>
      <c r="K1693" s="290">
        <v>229</v>
      </c>
      <c r="L1693" s="290">
        <v>-2</v>
      </c>
      <c r="M1693" s="290">
        <v>2</v>
      </c>
      <c r="N1693" s="290">
        <v>152</v>
      </c>
      <c r="O1693" s="290">
        <v>22</v>
      </c>
      <c r="P1693" s="290">
        <v>403</v>
      </c>
      <c r="Q1693" s="290">
        <v>10227</v>
      </c>
      <c r="R1693" s="12" t="s">
        <v>4848</v>
      </c>
      <c r="S1693" s="12" t="s">
        <v>25</v>
      </c>
      <c r="T1693" s="12" t="s">
        <v>25</v>
      </c>
    </row>
    <row r="1694" spans="1:20" hidden="1" x14ac:dyDescent="0.3">
      <c r="A1694" s="13">
        <v>43965.708333333336</v>
      </c>
      <c r="B1694" s="12" t="s">
        <v>22</v>
      </c>
      <c r="C1694" s="290">
        <v>1</v>
      </c>
      <c r="D1694" s="12" t="s">
        <v>53</v>
      </c>
      <c r="E1694" s="290">
        <v>450732745</v>
      </c>
      <c r="F1694" s="290">
        <v>7680687483</v>
      </c>
      <c r="G1694" s="290">
        <v>1775</v>
      </c>
      <c r="H1694" s="290">
        <v>116</v>
      </c>
      <c r="I1694" s="290">
        <v>1891</v>
      </c>
      <c r="J1694" s="290">
        <v>10000</v>
      </c>
      <c r="K1694" s="290">
        <v>11891</v>
      </c>
      <c r="L1694" s="290">
        <v>-600</v>
      </c>
      <c r="M1694" s="290">
        <v>151</v>
      </c>
      <c r="N1694" s="290">
        <v>13825</v>
      </c>
      <c r="O1694" s="290">
        <v>3493</v>
      </c>
      <c r="P1694" s="290">
        <v>29209</v>
      </c>
      <c r="Q1694" s="290">
        <v>232682</v>
      </c>
      <c r="R1694" s="12" t="s">
        <v>4849</v>
      </c>
      <c r="S1694" s="12" t="s">
        <v>25</v>
      </c>
      <c r="T1694" s="12" t="s">
        <v>25</v>
      </c>
    </row>
    <row r="1695" spans="1:20" hidden="1" x14ac:dyDescent="0.3">
      <c r="A1695" s="13">
        <v>43965.708333333336</v>
      </c>
      <c r="B1695" s="12" t="s">
        <v>22</v>
      </c>
      <c r="C1695" s="290">
        <v>16</v>
      </c>
      <c r="D1695" s="12" t="s">
        <v>54</v>
      </c>
      <c r="E1695" s="290">
        <v>4112559576</v>
      </c>
      <c r="F1695" s="290">
        <v>1686736689</v>
      </c>
      <c r="G1695" s="290">
        <v>296</v>
      </c>
      <c r="H1695" s="290">
        <v>24</v>
      </c>
      <c r="I1695" s="290">
        <v>320</v>
      </c>
      <c r="J1695" s="290">
        <v>1933</v>
      </c>
      <c r="K1695" s="290">
        <v>2253</v>
      </c>
      <c r="L1695" s="290">
        <v>-69</v>
      </c>
      <c r="M1695" s="290">
        <v>9</v>
      </c>
      <c r="N1695" s="290">
        <v>1643</v>
      </c>
      <c r="O1695" s="290">
        <v>461</v>
      </c>
      <c r="P1695" s="290">
        <v>4357</v>
      </c>
      <c r="Q1695" s="290">
        <v>85577</v>
      </c>
      <c r="R1695" s="12" t="s">
        <v>4850</v>
      </c>
      <c r="S1695" s="12" t="s">
        <v>25</v>
      </c>
      <c r="T1695" s="12" t="s">
        <v>25</v>
      </c>
    </row>
    <row r="1696" spans="1:20" hidden="1" x14ac:dyDescent="0.3">
      <c r="A1696" s="13">
        <v>43965.708333333336</v>
      </c>
      <c r="B1696" s="12" t="s">
        <v>22</v>
      </c>
      <c r="C1696" s="290">
        <v>20</v>
      </c>
      <c r="D1696" s="12" t="s">
        <v>55</v>
      </c>
      <c r="E1696" s="290">
        <v>3921531192</v>
      </c>
      <c r="F1696" s="290">
        <v>9110616306</v>
      </c>
      <c r="G1696" s="290">
        <v>76</v>
      </c>
      <c r="H1696" s="290">
        <v>10</v>
      </c>
      <c r="I1696" s="290">
        <v>86</v>
      </c>
      <c r="J1696" s="290">
        <v>379</v>
      </c>
      <c r="K1696" s="290">
        <v>465</v>
      </c>
      <c r="L1696" s="290">
        <v>-26</v>
      </c>
      <c r="M1696" s="290">
        <v>0</v>
      </c>
      <c r="N1696" s="290">
        <v>755</v>
      </c>
      <c r="O1696" s="290">
        <v>125</v>
      </c>
      <c r="P1696" s="290">
        <v>1345</v>
      </c>
      <c r="Q1696" s="290">
        <v>38034</v>
      </c>
      <c r="R1696" s="12" t="s">
        <v>4851</v>
      </c>
      <c r="S1696" s="12" t="s">
        <v>4852</v>
      </c>
      <c r="T1696" s="12" t="s">
        <v>4853</v>
      </c>
    </row>
    <row r="1697" spans="1:20" hidden="1" x14ac:dyDescent="0.3">
      <c r="A1697" s="13">
        <v>43965.708333333336</v>
      </c>
      <c r="B1697" s="12" t="s">
        <v>22</v>
      </c>
      <c r="C1697" s="290">
        <v>19</v>
      </c>
      <c r="D1697" s="12" t="s">
        <v>56</v>
      </c>
      <c r="E1697" s="290">
        <v>3811569725</v>
      </c>
      <c r="F1697" s="290">
        <v>133623567</v>
      </c>
      <c r="G1697" s="290">
        <v>203</v>
      </c>
      <c r="H1697" s="290">
        <v>12</v>
      </c>
      <c r="I1697" s="290">
        <v>215</v>
      </c>
      <c r="J1697" s="290">
        <v>1639</v>
      </c>
      <c r="K1697" s="290">
        <v>1854</v>
      </c>
      <c r="L1697" s="290">
        <v>-35</v>
      </c>
      <c r="M1697" s="290">
        <v>12</v>
      </c>
      <c r="N1697" s="290">
        <v>1249</v>
      </c>
      <c r="O1697" s="290">
        <v>263</v>
      </c>
      <c r="P1697" s="290">
        <v>3366</v>
      </c>
      <c r="Q1697" s="290">
        <v>111137</v>
      </c>
      <c r="R1697" s="12" t="s">
        <v>4854</v>
      </c>
      <c r="S1697" s="12" t="s">
        <v>25</v>
      </c>
      <c r="T1697" s="12" t="s">
        <v>25</v>
      </c>
    </row>
    <row r="1698" spans="1:20" hidden="1" x14ac:dyDescent="0.3">
      <c r="A1698" s="13">
        <v>43965.708333333336</v>
      </c>
      <c r="B1698" s="12" t="s">
        <v>22</v>
      </c>
      <c r="C1698" s="290">
        <v>9</v>
      </c>
      <c r="D1698" s="12" t="s">
        <v>57</v>
      </c>
      <c r="E1698" s="290">
        <v>4376923077</v>
      </c>
      <c r="F1698" s="290">
        <v>1125588885</v>
      </c>
      <c r="G1698" s="290">
        <v>269</v>
      </c>
      <c r="H1698" s="290">
        <v>68</v>
      </c>
      <c r="I1698" s="290">
        <v>337</v>
      </c>
      <c r="J1698" s="290">
        <v>3051</v>
      </c>
      <c r="K1698" s="290">
        <v>3388</v>
      </c>
      <c r="L1698" s="290">
        <v>-175</v>
      </c>
      <c r="M1698" s="290">
        <v>30</v>
      </c>
      <c r="N1698" s="290">
        <v>5498</v>
      </c>
      <c r="O1698" s="290">
        <v>973</v>
      </c>
      <c r="P1698" s="290">
        <v>9859</v>
      </c>
      <c r="Q1698" s="290">
        <v>193182</v>
      </c>
      <c r="R1698" s="12" t="s">
        <v>4855</v>
      </c>
      <c r="S1698" s="12" t="s">
        <v>25</v>
      </c>
      <c r="T1698" s="12" t="s">
        <v>25</v>
      </c>
    </row>
    <row r="1699" spans="1:20" hidden="1" x14ac:dyDescent="0.3">
      <c r="A1699" s="13">
        <v>43965.708333333336</v>
      </c>
      <c r="B1699" s="12" t="s">
        <v>22</v>
      </c>
      <c r="C1699" s="290">
        <v>22</v>
      </c>
      <c r="D1699" s="12" t="s">
        <v>58</v>
      </c>
      <c r="E1699" s="290">
        <v>4606893511</v>
      </c>
      <c r="F1699" s="290">
        <v>1112123097</v>
      </c>
      <c r="G1699" s="290">
        <v>66</v>
      </c>
      <c r="H1699" s="290">
        <v>9</v>
      </c>
      <c r="I1699" s="290">
        <v>75</v>
      </c>
      <c r="J1699" s="290">
        <v>430</v>
      </c>
      <c r="K1699" s="290">
        <v>505</v>
      </c>
      <c r="L1699" s="290">
        <v>-68</v>
      </c>
      <c r="M1699" s="290">
        <v>3</v>
      </c>
      <c r="N1699" s="290">
        <v>3362</v>
      </c>
      <c r="O1699" s="290">
        <v>448</v>
      </c>
      <c r="P1699" s="290">
        <v>4315</v>
      </c>
      <c r="Q1699" s="290">
        <v>60843</v>
      </c>
      <c r="R1699" s="12" t="s">
        <v>4856</v>
      </c>
      <c r="S1699" s="12" t="s">
        <v>25</v>
      </c>
      <c r="T1699" s="12" t="s">
        <v>25</v>
      </c>
    </row>
    <row r="1700" spans="1:20" hidden="1" x14ac:dyDescent="0.3">
      <c r="A1700" s="13">
        <v>43965.708333333336</v>
      </c>
      <c r="B1700" s="12" t="s">
        <v>22</v>
      </c>
      <c r="C1700" s="290">
        <v>10</v>
      </c>
      <c r="D1700" s="12" t="s">
        <v>59</v>
      </c>
      <c r="E1700" s="290">
        <v>4310675841</v>
      </c>
      <c r="F1700" s="290">
        <v>1238824698</v>
      </c>
      <c r="G1700" s="290">
        <v>26</v>
      </c>
      <c r="H1700" s="290">
        <v>1</v>
      </c>
      <c r="I1700" s="290">
        <v>27</v>
      </c>
      <c r="J1700" s="290">
        <v>65</v>
      </c>
      <c r="K1700" s="290">
        <v>92</v>
      </c>
      <c r="L1700" s="290">
        <v>-14</v>
      </c>
      <c r="M1700" s="290">
        <v>1</v>
      </c>
      <c r="N1700" s="290">
        <v>1255</v>
      </c>
      <c r="O1700" s="290">
        <v>73</v>
      </c>
      <c r="P1700" s="290">
        <v>1420</v>
      </c>
      <c r="Q1700" s="290">
        <v>52247</v>
      </c>
      <c r="R1700" s="12" t="s">
        <v>4857</v>
      </c>
      <c r="S1700" s="12" t="s">
        <v>25</v>
      </c>
      <c r="T1700" s="12" t="s">
        <v>25</v>
      </c>
    </row>
    <row r="1701" spans="1:20" hidden="1" x14ac:dyDescent="0.3">
      <c r="A1701" s="13">
        <v>43965.708333333336</v>
      </c>
      <c r="B1701" s="12" t="s">
        <v>22</v>
      </c>
      <c r="C1701" s="290">
        <v>2</v>
      </c>
      <c r="D1701" s="12" t="s">
        <v>60</v>
      </c>
      <c r="E1701" s="290">
        <v>4573750286</v>
      </c>
      <c r="F1701" s="290">
        <v>7320149366</v>
      </c>
      <c r="G1701" s="290">
        <v>38</v>
      </c>
      <c r="H1701" s="290">
        <v>0</v>
      </c>
      <c r="I1701" s="290">
        <v>38</v>
      </c>
      <c r="J1701" s="290">
        <v>42</v>
      </c>
      <c r="K1701" s="290">
        <v>80</v>
      </c>
      <c r="L1701" s="290">
        <v>-13</v>
      </c>
      <c r="M1701" s="290">
        <v>3</v>
      </c>
      <c r="N1701" s="290">
        <v>945</v>
      </c>
      <c r="O1701" s="290">
        <v>141</v>
      </c>
      <c r="P1701" s="290">
        <v>1166</v>
      </c>
      <c r="Q1701" s="290">
        <v>11100</v>
      </c>
      <c r="R1701" s="12" t="s">
        <v>4858</v>
      </c>
      <c r="S1701" s="12" t="s">
        <v>25</v>
      </c>
      <c r="T1701" s="12" t="s">
        <v>25</v>
      </c>
    </row>
    <row r="1702" spans="1:20" hidden="1" x14ac:dyDescent="0.3">
      <c r="A1702" s="13">
        <v>43965.708333333336</v>
      </c>
      <c r="B1702" s="12" t="s">
        <v>22</v>
      </c>
      <c r="C1702" s="302">
        <v>5</v>
      </c>
      <c r="D1702" s="12" t="s">
        <v>61</v>
      </c>
      <c r="E1702" s="302">
        <v>4543490485</v>
      </c>
      <c r="F1702" s="302">
        <v>1233845213</v>
      </c>
      <c r="G1702" s="302">
        <v>342</v>
      </c>
      <c r="H1702" s="302">
        <v>26</v>
      </c>
      <c r="I1702" s="302">
        <v>368</v>
      </c>
      <c r="J1702" s="302">
        <v>4350</v>
      </c>
      <c r="K1702" s="302">
        <v>4718</v>
      </c>
      <c r="L1702" s="302">
        <v>-302</v>
      </c>
      <c r="M1702" s="302">
        <v>32</v>
      </c>
      <c r="N1702" s="302">
        <v>12384</v>
      </c>
      <c r="O1702" s="302">
        <v>1743</v>
      </c>
      <c r="P1702" s="302">
        <v>18845</v>
      </c>
      <c r="Q1702" s="302">
        <v>474488</v>
      </c>
      <c r="R1702" s="12" t="s">
        <v>4859</v>
      </c>
      <c r="S1702" s="12" t="s">
        <v>25</v>
      </c>
      <c r="T1702" s="12" t="s">
        <v>25</v>
      </c>
    </row>
    <row r="1703" spans="1:20" hidden="1" x14ac:dyDescent="0.3">
      <c r="A1703" s="13">
        <v>43966.708333333336</v>
      </c>
      <c r="B1703" s="12" t="s">
        <v>22</v>
      </c>
      <c r="C1703" s="302">
        <v>13</v>
      </c>
      <c r="D1703" s="12" t="s">
        <v>42</v>
      </c>
      <c r="E1703" s="302">
        <v>4235122196</v>
      </c>
      <c r="F1703" s="302">
        <v>1339843823</v>
      </c>
      <c r="G1703" s="302">
        <v>205</v>
      </c>
      <c r="H1703" s="302">
        <v>6</v>
      </c>
      <c r="I1703" s="302">
        <v>211</v>
      </c>
      <c r="J1703" s="302">
        <v>1243</v>
      </c>
      <c r="K1703" s="302">
        <v>1454</v>
      </c>
      <c r="L1703" s="302">
        <v>-28</v>
      </c>
      <c r="M1703" s="302">
        <v>12</v>
      </c>
      <c r="N1703" s="302">
        <v>1313</v>
      </c>
      <c r="O1703" s="302">
        <v>381</v>
      </c>
      <c r="P1703" s="302">
        <v>3148</v>
      </c>
      <c r="Q1703" s="302">
        <v>54028</v>
      </c>
      <c r="R1703" s="12" t="s">
        <v>4867</v>
      </c>
      <c r="S1703" s="12" t="s">
        <v>25</v>
      </c>
      <c r="T1703" s="12" t="s">
        <v>25</v>
      </c>
    </row>
    <row r="1704" spans="1:20" hidden="1" x14ac:dyDescent="0.3">
      <c r="A1704" s="13">
        <v>43966.708333333336</v>
      </c>
      <c r="B1704" s="12" t="s">
        <v>22</v>
      </c>
      <c r="C1704" s="302">
        <v>17</v>
      </c>
      <c r="D1704" s="12" t="s">
        <v>43</v>
      </c>
      <c r="E1704" s="302">
        <v>4063947052</v>
      </c>
      <c r="F1704" s="302">
        <v>1580514834</v>
      </c>
      <c r="G1704" s="302">
        <v>33</v>
      </c>
      <c r="H1704" s="302">
        <v>1</v>
      </c>
      <c r="I1704" s="302">
        <v>34</v>
      </c>
      <c r="J1704" s="302">
        <v>86</v>
      </c>
      <c r="K1704" s="302">
        <v>120</v>
      </c>
      <c r="L1704" s="302">
        <v>-7</v>
      </c>
      <c r="M1704" s="302">
        <v>0</v>
      </c>
      <c r="N1704" s="302">
        <v>242</v>
      </c>
      <c r="O1704" s="302">
        <v>27</v>
      </c>
      <c r="P1704" s="302">
        <v>389</v>
      </c>
      <c r="Q1704" s="302">
        <v>20851</v>
      </c>
      <c r="R1704" s="12" t="s">
        <v>4868</v>
      </c>
      <c r="S1704" s="12" t="s">
        <v>25</v>
      </c>
      <c r="T1704" s="12" t="s">
        <v>25</v>
      </c>
    </row>
    <row r="1705" spans="1:20" hidden="1" x14ac:dyDescent="0.3">
      <c r="A1705" s="13">
        <v>43966.708333333336</v>
      </c>
      <c r="B1705" s="12" t="s">
        <v>22</v>
      </c>
      <c r="C1705" s="302">
        <v>21</v>
      </c>
      <c r="D1705" s="12" t="s">
        <v>44</v>
      </c>
      <c r="E1705" s="302">
        <v>4649933453</v>
      </c>
      <c r="F1705" s="302">
        <v>1135662422</v>
      </c>
      <c r="G1705" s="302">
        <v>50</v>
      </c>
      <c r="H1705" s="302">
        <v>5</v>
      </c>
      <c r="I1705" s="302">
        <v>55</v>
      </c>
      <c r="J1705" s="302">
        <v>304</v>
      </c>
      <c r="K1705" s="302">
        <v>359</v>
      </c>
      <c r="L1705" s="302">
        <v>-21</v>
      </c>
      <c r="M1705" s="302">
        <v>0</v>
      </c>
      <c r="N1705" s="302">
        <v>1929</v>
      </c>
      <c r="O1705" s="302">
        <v>290</v>
      </c>
      <c r="P1705" s="302">
        <v>2578</v>
      </c>
      <c r="Q1705" s="302">
        <v>52939</v>
      </c>
      <c r="R1705" s="12" t="s">
        <v>4869</v>
      </c>
      <c r="S1705" s="12" t="s">
        <v>25</v>
      </c>
      <c r="T1705" s="12" t="s">
        <v>25</v>
      </c>
    </row>
    <row r="1706" spans="1:20" hidden="1" x14ac:dyDescent="0.3">
      <c r="A1706" s="13">
        <v>43966.708333333336</v>
      </c>
      <c r="B1706" s="12" t="s">
        <v>22</v>
      </c>
      <c r="C1706" s="302">
        <v>18</v>
      </c>
      <c r="D1706" s="12" t="s">
        <v>45</v>
      </c>
      <c r="E1706" s="302">
        <v>3890597598</v>
      </c>
      <c r="F1706" s="302">
        <v>1659440194</v>
      </c>
      <c r="G1706" s="302">
        <v>56</v>
      </c>
      <c r="H1706" s="302">
        <v>2</v>
      </c>
      <c r="I1706" s="302">
        <v>58</v>
      </c>
      <c r="J1706" s="302">
        <v>447</v>
      </c>
      <c r="K1706" s="302">
        <v>505</v>
      </c>
      <c r="L1706" s="302">
        <v>-19</v>
      </c>
      <c r="M1706" s="302">
        <v>1</v>
      </c>
      <c r="N1706" s="302">
        <v>544</v>
      </c>
      <c r="O1706" s="302">
        <v>95</v>
      </c>
      <c r="P1706" s="302">
        <v>1144</v>
      </c>
      <c r="Q1706" s="302">
        <v>52701</v>
      </c>
      <c r="R1706" s="12" t="s">
        <v>4870</v>
      </c>
      <c r="S1706" s="12" t="s">
        <v>25</v>
      </c>
      <c r="T1706" s="12" t="s">
        <v>25</v>
      </c>
    </row>
    <row r="1707" spans="1:20" hidden="1" x14ac:dyDescent="0.3">
      <c r="A1707" s="13">
        <v>43966.708333333336</v>
      </c>
      <c r="B1707" s="12" t="s">
        <v>22</v>
      </c>
      <c r="C1707" s="302">
        <v>15</v>
      </c>
      <c r="D1707" s="12" t="s">
        <v>46</v>
      </c>
      <c r="E1707" s="302">
        <v>4083956555</v>
      </c>
      <c r="F1707" s="302">
        <v>1425084984</v>
      </c>
      <c r="G1707" s="302">
        <v>341</v>
      </c>
      <c r="H1707" s="302">
        <v>17</v>
      </c>
      <c r="I1707" s="302">
        <v>358</v>
      </c>
      <c r="J1707" s="302">
        <v>1378</v>
      </c>
      <c r="K1707" s="302">
        <v>1736</v>
      </c>
      <c r="L1707" s="302">
        <v>-29</v>
      </c>
      <c r="M1707" s="302">
        <v>15</v>
      </c>
      <c r="N1707" s="302">
        <v>2522</v>
      </c>
      <c r="O1707" s="302">
        <v>396</v>
      </c>
      <c r="P1707" s="302">
        <v>4654</v>
      </c>
      <c r="Q1707" s="302">
        <v>131544</v>
      </c>
      <c r="R1707" s="12" t="s">
        <v>4871</v>
      </c>
      <c r="S1707" s="12" t="s">
        <v>25</v>
      </c>
      <c r="T1707" s="12" t="s">
        <v>25</v>
      </c>
    </row>
    <row r="1708" spans="1:20" hidden="1" x14ac:dyDescent="0.3">
      <c r="A1708" s="13">
        <v>43966.708333333336</v>
      </c>
      <c r="B1708" s="12" t="s">
        <v>22</v>
      </c>
      <c r="C1708" s="302">
        <v>8</v>
      </c>
      <c r="D1708" s="12" t="s">
        <v>95</v>
      </c>
      <c r="E1708" s="302">
        <v>4449436681</v>
      </c>
      <c r="F1708" s="302">
        <v>113417208</v>
      </c>
      <c r="G1708" s="302">
        <v>763</v>
      </c>
      <c r="H1708" s="302">
        <v>114</v>
      </c>
      <c r="I1708" s="302">
        <v>877</v>
      </c>
      <c r="J1708" s="302">
        <v>5124</v>
      </c>
      <c r="K1708" s="302">
        <v>6001</v>
      </c>
      <c r="L1708" s="302">
        <v>-300</v>
      </c>
      <c r="M1708" s="302">
        <v>54</v>
      </c>
      <c r="N1708" s="302">
        <v>17166</v>
      </c>
      <c r="O1708" s="302">
        <v>3943</v>
      </c>
      <c r="P1708" s="302">
        <v>27110</v>
      </c>
      <c r="Q1708" s="302">
        <v>253497</v>
      </c>
      <c r="R1708" s="12" t="s">
        <v>4872</v>
      </c>
      <c r="S1708" s="12" t="s">
        <v>25</v>
      </c>
      <c r="T1708" s="12" t="s">
        <v>25</v>
      </c>
    </row>
    <row r="1709" spans="1:20" hidden="1" x14ac:dyDescent="0.3">
      <c r="A1709" s="13">
        <v>43966.708333333336</v>
      </c>
      <c r="B1709" s="12" t="s">
        <v>22</v>
      </c>
      <c r="C1709" s="302">
        <v>6</v>
      </c>
      <c r="D1709" s="12" t="s">
        <v>47</v>
      </c>
      <c r="E1709" s="302">
        <v>456494354</v>
      </c>
      <c r="F1709" s="302">
        <v>1376813649</v>
      </c>
      <c r="G1709" s="302">
        <v>80</v>
      </c>
      <c r="H1709" s="302">
        <v>3</v>
      </c>
      <c r="I1709" s="302">
        <v>83</v>
      </c>
      <c r="J1709" s="302">
        <v>658</v>
      </c>
      <c r="K1709" s="302">
        <v>741</v>
      </c>
      <c r="L1709" s="302">
        <v>-29</v>
      </c>
      <c r="M1709" s="302">
        <v>14</v>
      </c>
      <c r="N1709" s="302">
        <v>2116</v>
      </c>
      <c r="O1709" s="302">
        <v>318</v>
      </c>
      <c r="P1709" s="302">
        <v>3175</v>
      </c>
      <c r="Q1709" s="302">
        <v>100400</v>
      </c>
      <c r="R1709" s="12" t="s">
        <v>4873</v>
      </c>
      <c r="S1709" s="12" t="s">
        <v>25</v>
      </c>
      <c r="T1709" s="12" t="s">
        <v>25</v>
      </c>
    </row>
    <row r="1710" spans="1:20" hidden="1" x14ac:dyDescent="0.3">
      <c r="A1710" s="13">
        <v>43966.708333333336</v>
      </c>
      <c r="B1710" s="12" t="s">
        <v>22</v>
      </c>
      <c r="C1710" s="302">
        <v>12</v>
      </c>
      <c r="D1710" s="12" t="s">
        <v>48</v>
      </c>
      <c r="E1710" s="302">
        <v>4189277044</v>
      </c>
      <c r="F1710" s="302">
        <v>1248366722</v>
      </c>
      <c r="G1710" s="302">
        <v>1173</v>
      </c>
      <c r="H1710" s="302">
        <v>79</v>
      </c>
      <c r="I1710" s="302">
        <v>1252</v>
      </c>
      <c r="J1710" s="302">
        <v>2836</v>
      </c>
      <c r="K1710" s="302">
        <v>4088</v>
      </c>
      <c r="L1710" s="302">
        <v>-8</v>
      </c>
      <c r="M1710" s="302">
        <v>73</v>
      </c>
      <c r="N1710" s="302">
        <v>2672</v>
      </c>
      <c r="O1710" s="302">
        <v>604</v>
      </c>
      <c r="P1710" s="302">
        <v>7364</v>
      </c>
      <c r="Q1710" s="302">
        <v>197599</v>
      </c>
      <c r="R1710" s="12" t="s">
        <v>4874</v>
      </c>
      <c r="S1710" s="12" t="s">
        <v>4875</v>
      </c>
      <c r="T1710" s="12" t="s">
        <v>4876</v>
      </c>
    </row>
    <row r="1711" spans="1:20" x14ac:dyDescent="0.3">
      <c r="A1711" s="13">
        <v>43966.708333333336</v>
      </c>
      <c r="B1711" s="12" t="s">
        <v>22</v>
      </c>
      <c r="C1711" s="302">
        <v>7</v>
      </c>
      <c r="D1711" s="12" t="s">
        <v>49</v>
      </c>
      <c r="E1711" s="302">
        <v>4441149315</v>
      </c>
      <c r="F1711" s="302">
        <v>89326992</v>
      </c>
      <c r="G1711" s="302">
        <v>385</v>
      </c>
      <c r="H1711" s="302">
        <v>31</v>
      </c>
      <c r="I1711" s="302">
        <v>416</v>
      </c>
      <c r="J1711" s="302">
        <v>2187</v>
      </c>
      <c r="K1711" s="302">
        <v>2603</v>
      </c>
      <c r="L1711" s="302">
        <v>-57</v>
      </c>
      <c r="M1711" s="302">
        <v>65</v>
      </c>
      <c r="N1711" s="302">
        <v>5121</v>
      </c>
      <c r="O1711" s="302">
        <v>1336</v>
      </c>
      <c r="P1711" s="302">
        <v>9060</v>
      </c>
      <c r="Q1711" s="302">
        <v>76012</v>
      </c>
      <c r="R1711" s="12" t="s">
        <v>4877</v>
      </c>
      <c r="S1711" s="12" t="s">
        <v>25</v>
      </c>
      <c r="T1711" s="12" t="s">
        <v>25</v>
      </c>
    </row>
    <row r="1712" spans="1:20" hidden="1" x14ac:dyDescent="0.3">
      <c r="A1712" s="13">
        <v>43966.708333333336</v>
      </c>
      <c r="B1712" s="12" t="s">
        <v>22</v>
      </c>
      <c r="C1712" s="302">
        <v>3</v>
      </c>
      <c r="D1712" s="12" t="s">
        <v>50</v>
      </c>
      <c r="E1712" s="302">
        <v>4546679409</v>
      </c>
      <c r="F1712" s="302">
        <v>9190347404</v>
      </c>
      <c r="G1712" s="302">
        <v>4705</v>
      </c>
      <c r="H1712" s="302">
        <v>276</v>
      </c>
      <c r="I1712" s="302">
        <v>4981</v>
      </c>
      <c r="J1712" s="302">
        <v>22765</v>
      </c>
      <c r="K1712" s="302">
        <v>27746</v>
      </c>
      <c r="L1712" s="302">
        <v>-2210</v>
      </c>
      <c r="M1712" s="302">
        <v>299</v>
      </c>
      <c r="N1712" s="302">
        <v>40962</v>
      </c>
      <c r="O1712" s="302">
        <v>15411</v>
      </c>
      <c r="P1712" s="302">
        <v>84119</v>
      </c>
      <c r="Q1712" s="302">
        <v>550405</v>
      </c>
      <c r="R1712" s="12" t="s">
        <v>4878</v>
      </c>
      <c r="S1712" s="12" t="s">
        <v>25</v>
      </c>
      <c r="T1712" s="12" t="s">
        <v>25</v>
      </c>
    </row>
    <row r="1713" spans="1:20" hidden="1" x14ac:dyDescent="0.3">
      <c r="A1713" s="13">
        <v>43966.708333333336</v>
      </c>
      <c r="B1713" s="12" t="s">
        <v>22</v>
      </c>
      <c r="C1713" s="302">
        <v>11</v>
      </c>
      <c r="D1713" s="12" t="s">
        <v>51</v>
      </c>
      <c r="E1713" s="302">
        <v>4361675973</v>
      </c>
      <c r="F1713" s="302">
        <v>135188753</v>
      </c>
      <c r="G1713" s="302">
        <v>178</v>
      </c>
      <c r="H1713" s="302">
        <v>18</v>
      </c>
      <c r="I1713" s="302">
        <v>196</v>
      </c>
      <c r="J1713" s="302">
        <v>2599</v>
      </c>
      <c r="K1713" s="302">
        <v>2795</v>
      </c>
      <c r="L1713" s="302">
        <v>-109</v>
      </c>
      <c r="M1713" s="302">
        <v>16</v>
      </c>
      <c r="N1713" s="302">
        <v>2847</v>
      </c>
      <c r="O1713" s="302">
        <v>977</v>
      </c>
      <c r="P1713" s="302">
        <v>6619</v>
      </c>
      <c r="Q1713" s="302">
        <v>84351</v>
      </c>
      <c r="R1713" s="12" t="s">
        <v>4879</v>
      </c>
      <c r="S1713" s="12" t="s">
        <v>25</v>
      </c>
      <c r="T1713" s="12" t="s">
        <v>25</v>
      </c>
    </row>
    <row r="1714" spans="1:20" hidden="1" x14ac:dyDescent="0.3">
      <c r="A1714" s="13">
        <v>43966.708333333336</v>
      </c>
      <c r="B1714" s="12" t="s">
        <v>22</v>
      </c>
      <c r="C1714" s="302">
        <v>14</v>
      </c>
      <c r="D1714" s="12" t="s">
        <v>52</v>
      </c>
      <c r="E1714" s="302">
        <v>4155774754</v>
      </c>
      <c r="F1714" s="302">
        <v>1465916051</v>
      </c>
      <c r="G1714" s="302">
        <v>8</v>
      </c>
      <c r="H1714" s="302">
        <v>2</v>
      </c>
      <c r="I1714" s="302">
        <v>10</v>
      </c>
      <c r="J1714" s="302">
        <v>217</v>
      </c>
      <c r="K1714" s="302">
        <v>227</v>
      </c>
      <c r="L1714" s="302">
        <v>-2</v>
      </c>
      <c r="M1714" s="302">
        <v>4</v>
      </c>
      <c r="N1714" s="302">
        <v>158</v>
      </c>
      <c r="O1714" s="302">
        <v>22</v>
      </c>
      <c r="P1714" s="302">
        <v>407</v>
      </c>
      <c r="Q1714" s="302">
        <v>10468</v>
      </c>
      <c r="R1714" s="12" t="s">
        <v>4880</v>
      </c>
      <c r="S1714" s="12" t="s">
        <v>25</v>
      </c>
      <c r="T1714" s="12" t="s">
        <v>25</v>
      </c>
    </row>
    <row r="1715" spans="1:20" hidden="1" x14ac:dyDescent="0.3">
      <c r="A1715" s="13">
        <v>43966.708333333336</v>
      </c>
      <c r="B1715" s="12" t="s">
        <v>22</v>
      </c>
      <c r="C1715" s="302">
        <v>1</v>
      </c>
      <c r="D1715" s="12" t="s">
        <v>53</v>
      </c>
      <c r="E1715" s="302">
        <v>450732745</v>
      </c>
      <c r="F1715" s="302">
        <v>7680687483</v>
      </c>
      <c r="G1715" s="302">
        <v>1593</v>
      </c>
      <c r="H1715" s="302">
        <v>108</v>
      </c>
      <c r="I1715" s="302">
        <v>1701</v>
      </c>
      <c r="J1715" s="302">
        <v>9412</v>
      </c>
      <c r="K1715" s="302">
        <v>11113</v>
      </c>
      <c r="L1715" s="302">
        <v>-778</v>
      </c>
      <c r="M1715" s="302">
        <v>137</v>
      </c>
      <c r="N1715" s="302">
        <v>14676</v>
      </c>
      <c r="O1715" s="302">
        <v>3557</v>
      </c>
      <c r="P1715" s="302">
        <v>29346</v>
      </c>
      <c r="Q1715" s="302">
        <v>239507</v>
      </c>
      <c r="R1715" s="12" t="s">
        <v>4881</v>
      </c>
      <c r="S1715" s="12" t="s">
        <v>25</v>
      </c>
      <c r="T1715" s="12" t="s">
        <v>25</v>
      </c>
    </row>
    <row r="1716" spans="1:20" hidden="1" x14ac:dyDescent="0.3">
      <c r="A1716" s="13">
        <v>43966.708333333336</v>
      </c>
      <c r="B1716" s="12" t="s">
        <v>22</v>
      </c>
      <c r="C1716" s="302">
        <v>16</v>
      </c>
      <c r="D1716" s="12" t="s">
        <v>54</v>
      </c>
      <c r="E1716" s="302">
        <v>4112559576</v>
      </c>
      <c r="F1716" s="302">
        <v>1686736689</v>
      </c>
      <c r="G1716" s="302">
        <v>285</v>
      </c>
      <c r="H1716" s="302">
        <v>23</v>
      </c>
      <c r="I1716" s="302">
        <v>308</v>
      </c>
      <c r="J1716" s="302">
        <v>1873</v>
      </c>
      <c r="K1716" s="302">
        <v>2181</v>
      </c>
      <c r="L1716" s="302">
        <v>-72</v>
      </c>
      <c r="M1716" s="302">
        <v>9</v>
      </c>
      <c r="N1716" s="302">
        <v>1724</v>
      </c>
      <c r="O1716" s="302">
        <v>461</v>
      </c>
      <c r="P1716" s="302">
        <v>4366</v>
      </c>
      <c r="Q1716" s="302">
        <v>87687</v>
      </c>
      <c r="R1716" s="12" t="s">
        <v>4882</v>
      </c>
      <c r="S1716" s="12" t="s">
        <v>25</v>
      </c>
      <c r="T1716" s="12" t="s">
        <v>25</v>
      </c>
    </row>
    <row r="1717" spans="1:20" hidden="1" x14ac:dyDescent="0.3">
      <c r="A1717" s="13">
        <v>43966.708333333336</v>
      </c>
      <c r="B1717" s="12" t="s">
        <v>22</v>
      </c>
      <c r="C1717" s="302">
        <v>20</v>
      </c>
      <c r="D1717" s="12" t="s">
        <v>55</v>
      </c>
      <c r="E1717" s="302">
        <v>3921531192</v>
      </c>
      <c r="F1717" s="302">
        <v>9110616306</v>
      </c>
      <c r="G1717" s="302">
        <v>75</v>
      </c>
      <c r="H1717" s="302">
        <v>10</v>
      </c>
      <c r="I1717" s="302">
        <v>85</v>
      </c>
      <c r="J1717" s="302">
        <v>376</v>
      </c>
      <c r="K1717" s="302">
        <v>461</v>
      </c>
      <c r="L1717" s="302">
        <v>-4</v>
      </c>
      <c r="M1717" s="302">
        <v>3</v>
      </c>
      <c r="N1717" s="302">
        <v>762</v>
      </c>
      <c r="O1717" s="302">
        <v>125</v>
      </c>
      <c r="P1717" s="302">
        <v>1348</v>
      </c>
      <c r="Q1717" s="302">
        <v>39844</v>
      </c>
      <c r="R1717" s="12" t="s">
        <v>4883</v>
      </c>
      <c r="S1717" s="12" t="s">
        <v>25</v>
      </c>
      <c r="T1717" s="12" t="s">
        <v>25</v>
      </c>
    </row>
    <row r="1718" spans="1:20" hidden="1" x14ac:dyDescent="0.3">
      <c r="A1718" s="13">
        <v>43966.708333333336</v>
      </c>
      <c r="B1718" s="12" t="s">
        <v>22</v>
      </c>
      <c r="C1718" s="302">
        <v>19</v>
      </c>
      <c r="D1718" s="12" t="s">
        <v>56</v>
      </c>
      <c r="E1718" s="302">
        <v>3811569725</v>
      </c>
      <c r="F1718" s="302">
        <v>133623567</v>
      </c>
      <c r="G1718" s="302">
        <v>198</v>
      </c>
      <c r="H1718" s="302">
        <v>11</v>
      </c>
      <c r="I1718" s="302">
        <v>209</v>
      </c>
      <c r="J1718" s="302">
        <v>1551</v>
      </c>
      <c r="K1718" s="302">
        <v>1760</v>
      </c>
      <c r="L1718" s="302">
        <v>-94</v>
      </c>
      <c r="M1718" s="302">
        <v>8</v>
      </c>
      <c r="N1718" s="302">
        <v>1351</v>
      </c>
      <c r="O1718" s="302">
        <v>263</v>
      </c>
      <c r="P1718" s="302">
        <v>3374</v>
      </c>
      <c r="Q1718" s="302">
        <v>112929</v>
      </c>
      <c r="R1718" s="12" t="s">
        <v>4884</v>
      </c>
      <c r="S1718" s="12" t="s">
        <v>25</v>
      </c>
      <c r="T1718" s="12" t="s">
        <v>25</v>
      </c>
    </row>
    <row r="1719" spans="1:20" hidden="1" x14ac:dyDescent="0.3">
      <c r="A1719" s="13">
        <v>43966.708333333336</v>
      </c>
      <c r="B1719" s="12" t="s">
        <v>22</v>
      </c>
      <c r="C1719" s="302">
        <v>9</v>
      </c>
      <c r="D1719" s="12" t="s">
        <v>57</v>
      </c>
      <c r="E1719" s="302">
        <v>4376923077</v>
      </c>
      <c r="F1719" s="302">
        <v>1125588885</v>
      </c>
      <c r="G1719" s="302">
        <v>238</v>
      </c>
      <c r="H1719" s="302">
        <v>67</v>
      </c>
      <c r="I1719" s="302">
        <v>305</v>
      </c>
      <c r="J1719" s="302">
        <v>2863</v>
      </c>
      <c r="K1719" s="302">
        <v>3168</v>
      </c>
      <c r="L1719" s="302">
        <v>-220</v>
      </c>
      <c r="M1719" s="302">
        <v>24</v>
      </c>
      <c r="N1719" s="302">
        <v>5739</v>
      </c>
      <c r="O1719" s="302">
        <v>976</v>
      </c>
      <c r="P1719" s="302">
        <v>9883</v>
      </c>
      <c r="Q1719" s="302">
        <v>197365</v>
      </c>
      <c r="R1719" s="12" t="s">
        <v>4885</v>
      </c>
      <c r="S1719" s="12" t="s">
        <v>25</v>
      </c>
      <c r="T1719" s="12" t="s">
        <v>25</v>
      </c>
    </row>
    <row r="1720" spans="1:20" hidden="1" x14ac:dyDescent="0.3">
      <c r="A1720" s="13">
        <v>43966.708333333336</v>
      </c>
      <c r="B1720" s="12" t="s">
        <v>22</v>
      </c>
      <c r="C1720" s="302">
        <v>22</v>
      </c>
      <c r="D1720" s="12" t="s">
        <v>58</v>
      </c>
      <c r="E1720" s="302">
        <v>4606893511</v>
      </c>
      <c r="F1720" s="302">
        <v>1112123097</v>
      </c>
      <c r="G1720" s="302">
        <v>53</v>
      </c>
      <c r="H1720" s="302">
        <v>9</v>
      </c>
      <c r="I1720" s="302">
        <v>62</v>
      </c>
      <c r="J1720" s="302">
        <v>344</v>
      </c>
      <c r="K1720" s="302">
        <v>406</v>
      </c>
      <c r="L1720" s="302">
        <v>-99</v>
      </c>
      <c r="M1720" s="302">
        <v>3</v>
      </c>
      <c r="N1720" s="302">
        <v>3461</v>
      </c>
      <c r="O1720" s="302">
        <v>451</v>
      </c>
      <c r="P1720" s="302">
        <v>4318</v>
      </c>
      <c r="Q1720" s="302">
        <v>63700</v>
      </c>
      <c r="R1720" s="12" t="s">
        <v>4886</v>
      </c>
      <c r="S1720" s="12" t="s">
        <v>25</v>
      </c>
      <c r="T1720" s="12" t="s">
        <v>25</v>
      </c>
    </row>
    <row r="1721" spans="1:20" hidden="1" x14ac:dyDescent="0.3">
      <c r="A1721" s="13">
        <v>43966.708333333336</v>
      </c>
      <c r="B1721" s="12" t="s">
        <v>22</v>
      </c>
      <c r="C1721" s="302">
        <v>10</v>
      </c>
      <c r="D1721" s="12" t="s">
        <v>59</v>
      </c>
      <c r="E1721" s="302">
        <v>4310675841</v>
      </c>
      <c r="F1721" s="302">
        <v>1238824698</v>
      </c>
      <c r="G1721" s="302">
        <v>25</v>
      </c>
      <c r="H1721" s="302">
        <v>2</v>
      </c>
      <c r="I1721" s="302">
        <v>27</v>
      </c>
      <c r="J1721" s="302">
        <v>63</v>
      </c>
      <c r="K1721" s="302">
        <v>90</v>
      </c>
      <c r="L1721" s="302">
        <v>-2</v>
      </c>
      <c r="M1721" s="302">
        <v>2</v>
      </c>
      <c r="N1721" s="302">
        <v>1259</v>
      </c>
      <c r="O1721" s="302">
        <v>73</v>
      </c>
      <c r="P1721" s="302">
        <v>1422</v>
      </c>
      <c r="Q1721" s="302">
        <v>53801</v>
      </c>
      <c r="R1721" s="12" t="s">
        <v>4887</v>
      </c>
      <c r="S1721" s="12" t="s">
        <v>25</v>
      </c>
      <c r="T1721" s="12" t="s">
        <v>25</v>
      </c>
    </row>
    <row r="1722" spans="1:20" hidden="1" x14ac:dyDescent="0.3">
      <c r="A1722" s="13">
        <v>43966.708333333336</v>
      </c>
      <c r="B1722" s="12" t="s">
        <v>22</v>
      </c>
      <c r="C1722" s="302">
        <v>2</v>
      </c>
      <c r="D1722" s="12" t="s">
        <v>60</v>
      </c>
      <c r="E1722" s="302">
        <v>4573750286</v>
      </c>
      <c r="F1722" s="302">
        <v>7320149366</v>
      </c>
      <c r="G1722" s="302">
        <v>37</v>
      </c>
      <c r="H1722" s="302">
        <v>0</v>
      </c>
      <c r="I1722" s="302">
        <v>37</v>
      </c>
      <c r="J1722" s="302">
        <v>40</v>
      </c>
      <c r="K1722" s="302">
        <v>77</v>
      </c>
      <c r="L1722" s="302">
        <v>-3</v>
      </c>
      <c r="M1722" s="302">
        <v>6</v>
      </c>
      <c r="N1722" s="302">
        <v>953</v>
      </c>
      <c r="O1722" s="302">
        <v>142</v>
      </c>
      <c r="P1722" s="302">
        <v>1172</v>
      </c>
      <c r="Q1722" s="302">
        <v>11413</v>
      </c>
      <c r="R1722" s="12" t="s">
        <v>4888</v>
      </c>
      <c r="S1722" s="12" t="s">
        <v>25</v>
      </c>
      <c r="T1722" s="12" t="s">
        <v>25</v>
      </c>
    </row>
    <row r="1723" spans="1:20" hidden="1" x14ac:dyDescent="0.3">
      <c r="A1723" s="13">
        <v>43966.708333333336</v>
      </c>
      <c r="B1723" s="12" t="s">
        <v>22</v>
      </c>
      <c r="C1723" s="302">
        <v>5</v>
      </c>
      <c r="D1723" s="12" t="s">
        <v>61</v>
      </c>
      <c r="E1723" s="302">
        <v>4543490485</v>
      </c>
      <c r="F1723" s="302">
        <v>1233845213</v>
      </c>
      <c r="G1723" s="302">
        <v>311</v>
      </c>
      <c r="H1723" s="302">
        <v>24</v>
      </c>
      <c r="I1723" s="302">
        <v>335</v>
      </c>
      <c r="J1723" s="302">
        <v>4104</v>
      </c>
      <c r="K1723" s="302">
        <v>4439</v>
      </c>
      <c r="L1723" s="302">
        <v>-279</v>
      </c>
      <c r="M1723" s="302">
        <v>44</v>
      </c>
      <c r="N1723" s="302">
        <v>12688</v>
      </c>
      <c r="O1723" s="302">
        <v>1762</v>
      </c>
      <c r="P1723" s="302">
        <v>18889</v>
      </c>
      <c r="Q1723" s="302">
        <v>484639</v>
      </c>
      <c r="R1723" s="12" t="s">
        <v>4889</v>
      </c>
      <c r="S1723" s="12" t="s">
        <v>25</v>
      </c>
      <c r="T1723" s="12" t="s">
        <v>25</v>
      </c>
    </row>
    <row r="1724" spans="1:20" hidden="1" x14ac:dyDescent="0.3">
      <c r="A1724" s="13">
        <v>43967.708333333336</v>
      </c>
      <c r="B1724" s="12" t="s">
        <v>22</v>
      </c>
      <c r="C1724" s="302">
        <v>13</v>
      </c>
      <c r="D1724" s="12" t="s">
        <v>42</v>
      </c>
      <c r="E1724" s="302">
        <v>4235122196</v>
      </c>
      <c r="F1724" s="302">
        <v>1339843823</v>
      </c>
      <c r="G1724" s="302">
        <v>195</v>
      </c>
      <c r="H1724" s="302">
        <v>7</v>
      </c>
      <c r="I1724" s="302">
        <v>202</v>
      </c>
      <c r="J1724" s="302">
        <v>1221</v>
      </c>
      <c r="K1724" s="302">
        <v>1423</v>
      </c>
      <c r="L1724" s="302">
        <v>-31</v>
      </c>
      <c r="M1724" s="302">
        <v>30</v>
      </c>
      <c r="N1724" s="302">
        <v>1372</v>
      </c>
      <c r="O1724" s="302">
        <v>383</v>
      </c>
      <c r="P1724" s="302">
        <v>3178</v>
      </c>
      <c r="Q1724" s="302">
        <v>55672</v>
      </c>
      <c r="R1724" s="12" t="s">
        <v>4890</v>
      </c>
      <c r="S1724" s="12" t="s">
        <v>25</v>
      </c>
      <c r="T1724" s="12" t="s">
        <v>25</v>
      </c>
    </row>
    <row r="1725" spans="1:20" hidden="1" x14ac:dyDescent="0.3">
      <c r="A1725" s="13">
        <v>43967.708333333336</v>
      </c>
      <c r="B1725" s="12" t="s">
        <v>22</v>
      </c>
      <c r="C1725" s="302">
        <v>17</v>
      </c>
      <c r="D1725" s="12" t="s">
        <v>43</v>
      </c>
      <c r="E1725" s="302">
        <v>4063947052</v>
      </c>
      <c r="F1725" s="302">
        <v>1580514834</v>
      </c>
      <c r="G1725" s="302">
        <v>29</v>
      </c>
      <c r="H1725" s="302">
        <v>1</v>
      </c>
      <c r="I1725" s="302">
        <v>30</v>
      </c>
      <c r="J1725" s="302">
        <v>83</v>
      </c>
      <c r="K1725" s="302">
        <v>113</v>
      </c>
      <c r="L1725" s="302">
        <v>-7</v>
      </c>
      <c r="M1725" s="302">
        <v>1</v>
      </c>
      <c r="N1725" s="302">
        <v>250</v>
      </c>
      <c r="O1725" s="302">
        <v>27</v>
      </c>
      <c r="P1725" s="302">
        <v>390</v>
      </c>
      <c r="Q1725" s="302">
        <v>21496</v>
      </c>
      <c r="R1725" s="12" t="s">
        <v>4891</v>
      </c>
      <c r="S1725" s="12" t="s">
        <v>25</v>
      </c>
      <c r="T1725" s="12" t="s">
        <v>25</v>
      </c>
    </row>
    <row r="1726" spans="1:20" hidden="1" x14ac:dyDescent="0.3">
      <c r="A1726" s="13">
        <v>43967.708333333336</v>
      </c>
      <c r="B1726" s="12" t="s">
        <v>22</v>
      </c>
      <c r="C1726" s="302">
        <v>21</v>
      </c>
      <c r="D1726" s="12" t="s">
        <v>44</v>
      </c>
      <c r="E1726" s="302">
        <v>4649933453</v>
      </c>
      <c r="F1726" s="302">
        <v>1135662422</v>
      </c>
      <c r="G1726" s="302">
        <v>48</v>
      </c>
      <c r="H1726" s="302">
        <v>5</v>
      </c>
      <c r="I1726" s="302">
        <v>53</v>
      </c>
      <c r="J1726" s="302">
        <v>290</v>
      </c>
      <c r="K1726" s="302">
        <v>343</v>
      </c>
      <c r="L1726" s="302">
        <v>-16</v>
      </c>
      <c r="M1726" s="302">
        <v>0</v>
      </c>
      <c r="N1726" s="302">
        <v>1945</v>
      </c>
      <c r="O1726" s="302">
        <v>290</v>
      </c>
      <c r="P1726" s="302">
        <v>2578</v>
      </c>
      <c r="Q1726" s="302">
        <v>53703</v>
      </c>
      <c r="R1726" s="12" t="s">
        <v>4892</v>
      </c>
      <c r="S1726" s="12" t="s">
        <v>25</v>
      </c>
      <c r="T1726" s="12" t="s">
        <v>25</v>
      </c>
    </row>
    <row r="1727" spans="1:20" hidden="1" x14ac:dyDescent="0.3">
      <c r="A1727" s="13">
        <v>43967.708333333336</v>
      </c>
      <c r="B1727" s="12" t="s">
        <v>22</v>
      </c>
      <c r="C1727" s="302">
        <v>18</v>
      </c>
      <c r="D1727" s="12" t="s">
        <v>45</v>
      </c>
      <c r="E1727" s="302">
        <v>3890597598</v>
      </c>
      <c r="F1727" s="302">
        <v>1659440194</v>
      </c>
      <c r="G1727" s="302">
        <v>56</v>
      </c>
      <c r="H1727" s="302">
        <v>2</v>
      </c>
      <c r="I1727" s="302">
        <v>58</v>
      </c>
      <c r="J1727" s="302">
        <v>416</v>
      </c>
      <c r="K1727" s="302">
        <v>474</v>
      </c>
      <c r="L1727" s="302">
        <v>-31</v>
      </c>
      <c r="M1727" s="302">
        <v>7</v>
      </c>
      <c r="N1727" s="302">
        <v>582</v>
      </c>
      <c r="O1727" s="302">
        <v>95</v>
      </c>
      <c r="P1727" s="302">
        <v>1151</v>
      </c>
      <c r="Q1727" s="302">
        <v>54091</v>
      </c>
      <c r="R1727" s="12" t="s">
        <v>4893</v>
      </c>
      <c r="S1727" s="12" t="s">
        <v>25</v>
      </c>
      <c r="T1727" s="12" t="s">
        <v>25</v>
      </c>
    </row>
    <row r="1728" spans="1:20" hidden="1" x14ac:dyDescent="0.3">
      <c r="A1728" s="13">
        <v>43967.708333333336</v>
      </c>
      <c r="B1728" s="12" t="s">
        <v>22</v>
      </c>
      <c r="C1728" s="302">
        <v>15</v>
      </c>
      <c r="D1728" s="12" t="s">
        <v>46</v>
      </c>
      <c r="E1728" s="302">
        <v>4083956555</v>
      </c>
      <c r="F1728" s="302">
        <v>1425084984</v>
      </c>
      <c r="G1728" s="302">
        <v>351</v>
      </c>
      <c r="H1728" s="302">
        <v>16</v>
      </c>
      <c r="I1728" s="302">
        <v>367</v>
      </c>
      <c r="J1728" s="302">
        <v>1343</v>
      </c>
      <c r="K1728" s="302">
        <v>1710</v>
      </c>
      <c r="L1728" s="302">
        <v>-26</v>
      </c>
      <c r="M1728" s="302">
        <v>14</v>
      </c>
      <c r="N1728" s="302">
        <v>2562</v>
      </c>
      <c r="O1728" s="302">
        <v>396</v>
      </c>
      <c r="P1728" s="302">
        <v>4668</v>
      </c>
      <c r="Q1728" s="302">
        <v>136261</v>
      </c>
      <c r="R1728" s="12" t="s">
        <v>4894</v>
      </c>
      <c r="S1728" s="12" t="s">
        <v>25</v>
      </c>
      <c r="T1728" s="12" t="s">
        <v>25</v>
      </c>
    </row>
    <row r="1729" spans="1:20" hidden="1" x14ac:dyDescent="0.3">
      <c r="A1729" s="13">
        <v>43967.708333333336</v>
      </c>
      <c r="B1729" s="12" t="s">
        <v>22</v>
      </c>
      <c r="C1729" s="302">
        <v>8</v>
      </c>
      <c r="D1729" s="12" t="s">
        <v>95</v>
      </c>
      <c r="E1729" s="302">
        <v>4449436681</v>
      </c>
      <c r="F1729" s="302">
        <v>113417208</v>
      </c>
      <c r="G1729" s="302">
        <v>740</v>
      </c>
      <c r="H1729" s="302">
        <v>112</v>
      </c>
      <c r="I1729" s="302">
        <v>852</v>
      </c>
      <c r="J1729" s="302">
        <v>5000</v>
      </c>
      <c r="K1729" s="302">
        <v>5852</v>
      </c>
      <c r="L1729" s="302">
        <v>-149</v>
      </c>
      <c r="M1729" s="302">
        <v>72</v>
      </c>
      <c r="N1729" s="302">
        <v>17370</v>
      </c>
      <c r="O1729" s="302">
        <v>3960</v>
      </c>
      <c r="P1729" s="302">
        <v>27182</v>
      </c>
      <c r="Q1729" s="302">
        <v>258274</v>
      </c>
      <c r="R1729" s="12" t="s">
        <v>4895</v>
      </c>
      <c r="S1729" s="12" t="s">
        <v>25</v>
      </c>
      <c r="T1729" s="12" t="s">
        <v>25</v>
      </c>
    </row>
    <row r="1730" spans="1:20" hidden="1" x14ac:dyDescent="0.3">
      <c r="A1730" s="13">
        <v>43967.708333333336</v>
      </c>
      <c r="B1730" s="12" t="s">
        <v>22</v>
      </c>
      <c r="C1730" s="302">
        <v>6</v>
      </c>
      <c r="D1730" s="12" t="s">
        <v>47</v>
      </c>
      <c r="E1730" s="302">
        <v>456494354</v>
      </c>
      <c r="F1730" s="302">
        <v>1376813649</v>
      </c>
      <c r="G1730" s="302">
        <v>79</v>
      </c>
      <c r="H1730" s="302">
        <v>3</v>
      </c>
      <c r="I1730" s="302">
        <v>82</v>
      </c>
      <c r="J1730" s="302">
        <v>598</v>
      </c>
      <c r="K1730" s="302">
        <v>680</v>
      </c>
      <c r="L1730" s="302">
        <v>-61</v>
      </c>
      <c r="M1730" s="302">
        <v>8</v>
      </c>
      <c r="N1730" s="302">
        <v>2184</v>
      </c>
      <c r="O1730" s="302">
        <v>319</v>
      </c>
      <c r="P1730" s="302">
        <v>3183</v>
      </c>
      <c r="Q1730" s="302">
        <v>101694</v>
      </c>
      <c r="R1730" s="12" t="s">
        <v>4896</v>
      </c>
      <c r="S1730" s="12" t="s">
        <v>25</v>
      </c>
      <c r="T1730" s="12" t="s">
        <v>25</v>
      </c>
    </row>
    <row r="1731" spans="1:20" hidden="1" x14ac:dyDescent="0.3">
      <c r="A1731" s="13">
        <v>43967.708333333336</v>
      </c>
      <c r="B1731" s="12" t="s">
        <v>22</v>
      </c>
      <c r="C1731" s="302">
        <v>12</v>
      </c>
      <c r="D1731" s="12" t="s">
        <v>48</v>
      </c>
      <c r="E1731" s="302">
        <v>4189277044</v>
      </c>
      <c r="F1731" s="302">
        <v>1248366722</v>
      </c>
      <c r="G1731" s="302">
        <v>1156</v>
      </c>
      <c r="H1731" s="302">
        <v>76</v>
      </c>
      <c r="I1731" s="302">
        <v>1232</v>
      </c>
      <c r="J1731" s="302">
        <v>2790</v>
      </c>
      <c r="K1731" s="302">
        <v>4022</v>
      </c>
      <c r="L1731" s="302">
        <v>-66</v>
      </c>
      <c r="M1731" s="302">
        <v>32</v>
      </c>
      <c r="N1731" s="302">
        <v>2758</v>
      </c>
      <c r="O1731" s="302">
        <v>616</v>
      </c>
      <c r="P1731" s="302">
        <v>7396</v>
      </c>
      <c r="Q1731" s="302">
        <v>201938</v>
      </c>
      <c r="R1731" s="12" t="s">
        <v>4897</v>
      </c>
      <c r="S1731" s="12" t="s">
        <v>25</v>
      </c>
      <c r="T1731" s="12" t="s">
        <v>25</v>
      </c>
    </row>
    <row r="1732" spans="1:20" x14ac:dyDescent="0.3">
      <c r="A1732" s="13">
        <v>43967.708333333336</v>
      </c>
      <c r="B1732" s="12" t="s">
        <v>22</v>
      </c>
      <c r="C1732" s="302">
        <v>7</v>
      </c>
      <c r="D1732" s="12" t="s">
        <v>49</v>
      </c>
      <c r="E1732" s="302">
        <v>4441149315</v>
      </c>
      <c r="F1732" s="302">
        <v>89326992</v>
      </c>
      <c r="G1732" s="302">
        <v>369</v>
      </c>
      <c r="H1732" s="302">
        <v>26</v>
      </c>
      <c r="I1732" s="302">
        <v>395</v>
      </c>
      <c r="J1732" s="302">
        <v>2138</v>
      </c>
      <c r="K1732" s="302">
        <v>2533</v>
      </c>
      <c r="L1732" s="302">
        <v>-70</v>
      </c>
      <c r="M1732" s="302">
        <v>51</v>
      </c>
      <c r="N1732" s="302">
        <v>5232</v>
      </c>
      <c r="O1732" s="302">
        <v>1346</v>
      </c>
      <c r="P1732" s="302">
        <v>9111</v>
      </c>
      <c r="Q1732" s="302">
        <v>78068</v>
      </c>
      <c r="R1732" s="12" t="s">
        <v>4898</v>
      </c>
      <c r="S1732" s="12" t="s">
        <v>25</v>
      </c>
      <c r="T1732" s="12" t="s">
        <v>25</v>
      </c>
    </row>
    <row r="1733" spans="1:20" hidden="1" x14ac:dyDescent="0.3">
      <c r="A1733" s="13">
        <v>43967.708333333336</v>
      </c>
      <c r="B1733" s="12" t="s">
        <v>22</v>
      </c>
      <c r="C1733" s="302">
        <v>3</v>
      </c>
      <c r="D1733" s="12" t="s">
        <v>50</v>
      </c>
      <c r="E1733" s="302">
        <v>4546679409</v>
      </c>
      <c r="F1733" s="302">
        <v>9190347404</v>
      </c>
      <c r="G1733" s="302">
        <v>4521</v>
      </c>
      <c r="H1733" s="302">
        <v>268</v>
      </c>
      <c r="I1733" s="302">
        <v>4789</v>
      </c>
      <c r="J1733" s="302">
        <v>22890</v>
      </c>
      <c r="K1733" s="302">
        <v>27679</v>
      </c>
      <c r="L1733" s="302">
        <v>-67</v>
      </c>
      <c r="M1733" s="302">
        <v>399</v>
      </c>
      <c r="N1733" s="302">
        <v>41389</v>
      </c>
      <c r="O1733" s="302">
        <v>15450</v>
      </c>
      <c r="P1733" s="302">
        <v>84518</v>
      </c>
      <c r="Q1733" s="302">
        <v>564550</v>
      </c>
      <c r="R1733" s="12" t="s">
        <v>4899</v>
      </c>
      <c r="S1733" s="12" t="s">
        <v>25</v>
      </c>
      <c r="T1733" s="12" t="s">
        <v>25</v>
      </c>
    </row>
    <row r="1734" spans="1:20" hidden="1" x14ac:dyDescent="0.3">
      <c r="A1734" s="13">
        <v>43967.708333333336</v>
      </c>
      <c r="B1734" s="12" t="s">
        <v>22</v>
      </c>
      <c r="C1734" s="302">
        <v>11</v>
      </c>
      <c r="D1734" s="12" t="s">
        <v>51</v>
      </c>
      <c r="E1734" s="302">
        <v>4361675973</v>
      </c>
      <c r="F1734" s="302">
        <v>135188753</v>
      </c>
      <c r="G1734" s="302">
        <v>154</v>
      </c>
      <c r="H1734" s="302">
        <v>17</v>
      </c>
      <c r="I1734" s="302">
        <v>171</v>
      </c>
      <c r="J1734" s="302">
        <v>2486</v>
      </c>
      <c r="K1734" s="302">
        <v>2657</v>
      </c>
      <c r="L1734" s="302">
        <v>-138</v>
      </c>
      <c r="M1734" s="302">
        <v>23</v>
      </c>
      <c r="N1734" s="302">
        <v>3003</v>
      </c>
      <c r="O1734" s="302">
        <v>982</v>
      </c>
      <c r="P1734" s="302">
        <v>6642</v>
      </c>
      <c r="Q1734" s="302">
        <v>87211</v>
      </c>
      <c r="R1734" s="12" t="s">
        <v>4900</v>
      </c>
      <c r="S1734" s="12" t="s">
        <v>25</v>
      </c>
      <c r="T1734" s="12" t="s">
        <v>25</v>
      </c>
    </row>
    <row r="1735" spans="1:20" hidden="1" x14ac:dyDescent="0.3">
      <c r="A1735" s="13">
        <v>43967.708333333336</v>
      </c>
      <c r="B1735" s="12" t="s">
        <v>22</v>
      </c>
      <c r="C1735" s="302">
        <v>14</v>
      </c>
      <c r="D1735" s="12" t="s">
        <v>52</v>
      </c>
      <c r="E1735" s="302">
        <v>4155774754</v>
      </c>
      <c r="F1735" s="302">
        <v>1465916051</v>
      </c>
      <c r="G1735" s="302">
        <v>8</v>
      </c>
      <c r="H1735" s="302">
        <v>2</v>
      </c>
      <c r="I1735" s="302">
        <v>10</v>
      </c>
      <c r="J1735" s="302">
        <v>205</v>
      </c>
      <c r="K1735" s="302">
        <v>215</v>
      </c>
      <c r="L1735" s="302">
        <v>-12</v>
      </c>
      <c r="M1735" s="302">
        <v>3</v>
      </c>
      <c r="N1735" s="302">
        <v>173</v>
      </c>
      <c r="O1735" s="302">
        <v>22</v>
      </c>
      <c r="P1735" s="302">
        <v>410</v>
      </c>
      <c r="Q1735" s="302">
        <v>10859</v>
      </c>
      <c r="R1735" s="12" t="s">
        <v>4901</v>
      </c>
      <c r="S1735" s="12" t="s">
        <v>25</v>
      </c>
      <c r="T1735" s="12" t="s">
        <v>25</v>
      </c>
    </row>
    <row r="1736" spans="1:20" hidden="1" x14ac:dyDescent="0.3">
      <c r="A1736" s="13">
        <v>43967.708333333336</v>
      </c>
      <c r="B1736" s="12" t="s">
        <v>22</v>
      </c>
      <c r="C1736" s="302">
        <v>1</v>
      </c>
      <c r="D1736" s="12" t="s">
        <v>53</v>
      </c>
      <c r="E1736" s="302">
        <v>450732745</v>
      </c>
      <c r="F1736" s="302">
        <v>7680687483</v>
      </c>
      <c r="G1736" s="302">
        <v>1562</v>
      </c>
      <c r="H1736" s="302">
        <v>100</v>
      </c>
      <c r="I1736" s="302">
        <v>1662</v>
      </c>
      <c r="J1736" s="302">
        <v>9040</v>
      </c>
      <c r="K1736" s="302">
        <v>10702</v>
      </c>
      <c r="L1736" s="302">
        <v>-411</v>
      </c>
      <c r="M1736" s="302">
        <v>137</v>
      </c>
      <c r="N1736" s="302">
        <v>15187</v>
      </c>
      <c r="O1736" s="302">
        <v>3594</v>
      </c>
      <c r="P1736" s="302">
        <v>29483</v>
      </c>
      <c r="Q1736" s="302">
        <v>245075</v>
      </c>
      <c r="R1736" s="12" t="s">
        <v>4902</v>
      </c>
      <c r="S1736" s="12" t="s">
        <v>25</v>
      </c>
      <c r="T1736" s="12" t="s">
        <v>25</v>
      </c>
    </row>
    <row r="1737" spans="1:20" hidden="1" x14ac:dyDescent="0.3">
      <c r="A1737" s="13">
        <v>43967.708333333336</v>
      </c>
      <c r="B1737" s="12" t="s">
        <v>22</v>
      </c>
      <c r="C1737" s="302">
        <v>16</v>
      </c>
      <c r="D1737" s="12" t="s">
        <v>54</v>
      </c>
      <c r="E1737" s="302">
        <v>4112559576</v>
      </c>
      <c r="F1737" s="302">
        <v>1686736689</v>
      </c>
      <c r="G1737" s="302">
        <v>272</v>
      </c>
      <c r="H1737" s="302">
        <v>22</v>
      </c>
      <c r="I1737" s="302">
        <v>294</v>
      </c>
      <c r="J1737" s="302">
        <v>1810</v>
      </c>
      <c r="K1737" s="302">
        <v>2104</v>
      </c>
      <c r="L1737" s="302">
        <v>-77</v>
      </c>
      <c r="M1737" s="302">
        <v>8</v>
      </c>
      <c r="N1737" s="302">
        <v>1807</v>
      </c>
      <c r="O1737" s="302">
        <v>463</v>
      </c>
      <c r="P1737" s="302">
        <v>4374</v>
      </c>
      <c r="Q1737" s="302">
        <v>89611</v>
      </c>
      <c r="R1737" s="12" t="s">
        <v>4903</v>
      </c>
      <c r="S1737" s="12" t="s">
        <v>25</v>
      </c>
      <c r="T1737" s="12" t="s">
        <v>25</v>
      </c>
    </row>
    <row r="1738" spans="1:20" hidden="1" x14ac:dyDescent="0.3">
      <c r="A1738" s="13">
        <v>43967.708333333336</v>
      </c>
      <c r="B1738" s="12" t="s">
        <v>22</v>
      </c>
      <c r="C1738" s="302">
        <v>20</v>
      </c>
      <c r="D1738" s="12" t="s">
        <v>55</v>
      </c>
      <c r="E1738" s="302">
        <v>3921531192</v>
      </c>
      <c r="F1738" s="302">
        <v>9110616306</v>
      </c>
      <c r="G1738" s="302">
        <v>75</v>
      </c>
      <c r="H1738" s="302">
        <v>10</v>
      </c>
      <c r="I1738" s="302">
        <v>85</v>
      </c>
      <c r="J1738" s="302">
        <v>330</v>
      </c>
      <c r="K1738" s="302">
        <v>415</v>
      </c>
      <c r="L1738" s="302">
        <v>-46</v>
      </c>
      <c r="M1738" s="302">
        <v>4</v>
      </c>
      <c r="N1738" s="302">
        <v>812</v>
      </c>
      <c r="O1738" s="302">
        <v>125</v>
      </c>
      <c r="P1738" s="302">
        <v>1352</v>
      </c>
      <c r="Q1738" s="302">
        <v>41257</v>
      </c>
      <c r="R1738" s="12" t="s">
        <v>4904</v>
      </c>
      <c r="S1738" s="12" t="s">
        <v>25</v>
      </c>
      <c r="T1738" s="12" t="s">
        <v>25</v>
      </c>
    </row>
    <row r="1739" spans="1:20" hidden="1" x14ac:dyDescent="0.3">
      <c r="A1739" s="13">
        <v>43967.708333333336</v>
      </c>
      <c r="B1739" s="12" t="s">
        <v>22</v>
      </c>
      <c r="C1739" s="302">
        <v>19</v>
      </c>
      <c r="D1739" s="12" t="s">
        <v>56</v>
      </c>
      <c r="E1739" s="302">
        <v>3811569725</v>
      </c>
      <c r="F1739" s="302">
        <v>133623567</v>
      </c>
      <c r="G1739" s="302">
        <v>159</v>
      </c>
      <c r="H1739" s="302">
        <v>12</v>
      </c>
      <c r="I1739" s="302">
        <v>171</v>
      </c>
      <c r="J1739" s="302">
        <v>1488</v>
      </c>
      <c r="K1739" s="302">
        <v>1659</v>
      </c>
      <c r="L1739" s="302">
        <v>-101</v>
      </c>
      <c r="M1739" s="302">
        <v>8</v>
      </c>
      <c r="N1739" s="302">
        <v>1458</v>
      </c>
      <c r="O1739" s="302">
        <v>265</v>
      </c>
      <c r="P1739" s="302">
        <v>3382</v>
      </c>
      <c r="Q1739" s="302">
        <v>114963</v>
      </c>
      <c r="R1739" s="12" t="s">
        <v>4905</v>
      </c>
      <c r="S1739" s="12" t="s">
        <v>25</v>
      </c>
      <c r="T1739" s="12" t="s">
        <v>25</v>
      </c>
    </row>
    <row r="1740" spans="1:20" hidden="1" x14ac:dyDescent="0.3">
      <c r="A1740" s="13">
        <v>43967.708333333336</v>
      </c>
      <c r="B1740" s="12" t="s">
        <v>22</v>
      </c>
      <c r="C1740" s="302">
        <v>9</v>
      </c>
      <c r="D1740" s="12" t="s">
        <v>57</v>
      </c>
      <c r="E1740" s="302">
        <v>4376923077</v>
      </c>
      <c r="F1740" s="302">
        <v>1125588885</v>
      </c>
      <c r="G1740" s="302">
        <v>234</v>
      </c>
      <c r="H1740" s="302">
        <v>66</v>
      </c>
      <c r="I1740" s="302">
        <v>300</v>
      </c>
      <c r="J1740" s="302">
        <v>2643</v>
      </c>
      <c r="K1740" s="302">
        <v>2943</v>
      </c>
      <c r="L1740" s="302">
        <v>-225</v>
      </c>
      <c r="M1740" s="302">
        <v>30</v>
      </c>
      <c r="N1740" s="302">
        <v>5991</v>
      </c>
      <c r="O1740" s="302">
        <v>979</v>
      </c>
      <c r="P1740" s="302">
        <v>9913</v>
      </c>
      <c r="Q1740" s="302">
        <v>200703</v>
      </c>
      <c r="R1740" s="12" t="s">
        <v>4906</v>
      </c>
      <c r="S1740" s="12" t="s">
        <v>25</v>
      </c>
      <c r="T1740" s="12" t="s">
        <v>25</v>
      </c>
    </row>
    <row r="1741" spans="1:20" hidden="1" x14ac:dyDescent="0.3">
      <c r="A1741" s="13">
        <v>43967.708333333336</v>
      </c>
      <c r="B1741" s="12" t="s">
        <v>22</v>
      </c>
      <c r="C1741" s="302">
        <v>22</v>
      </c>
      <c r="D1741" s="12" t="s">
        <v>58</v>
      </c>
      <c r="E1741" s="302">
        <v>4606893511</v>
      </c>
      <c r="F1741" s="302">
        <v>1112123097</v>
      </c>
      <c r="G1741" s="302">
        <v>44</v>
      </c>
      <c r="H1741" s="302">
        <v>8</v>
      </c>
      <c r="I1741" s="302">
        <v>52</v>
      </c>
      <c r="J1741" s="302">
        <v>293</v>
      </c>
      <c r="K1741" s="302">
        <v>345</v>
      </c>
      <c r="L1741" s="302">
        <v>-61</v>
      </c>
      <c r="M1741" s="302">
        <v>8</v>
      </c>
      <c r="N1741" s="302">
        <v>3528</v>
      </c>
      <c r="O1741" s="302">
        <v>453</v>
      </c>
      <c r="P1741" s="302">
        <v>4326</v>
      </c>
      <c r="Q1741" s="302">
        <v>65383</v>
      </c>
      <c r="R1741" s="12" t="s">
        <v>4907</v>
      </c>
      <c r="S1741" s="12" t="s">
        <v>25</v>
      </c>
      <c r="T1741" s="12" t="s">
        <v>25</v>
      </c>
    </row>
    <row r="1742" spans="1:20" hidden="1" x14ac:dyDescent="0.3">
      <c r="A1742" s="13">
        <v>43967.708333333336</v>
      </c>
      <c r="B1742" s="12" t="s">
        <v>22</v>
      </c>
      <c r="C1742" s="302">
        <v>10</v>
      </c>
      <c r="D1742" s="12" t="s">
        <v>59</v>
      </c>
      <c r="E1742" s="302">
        <v>4310675841</v>
      </c>
      <c r="F1742" s="302">
        <v>1238824698</v>
      </c>
      <c r="G1742" s="302">
        <v>25</v>
      </c>
      <c r="H1742" s="302">
        <v>2</v>
      </c>
      <c r="I1742" s="302">
        <v>27</v>
      </c>
      <c r="J1742" s="302">
        <v>54</v>
      </c>
      <c r="K1742" s="302">
        <v>81</v>
      </c>
      <c r="L1742" s="302">
        <v>-9</v>
      </c>
      <c r="M1742" s="302">
        <v>0</v>
      </c>
      <c r="N1742" s="302">
        <v>1268</v>
      </c>
      <c r="O1742" s="302">
        <v>73</v>
      </c>
      <c r="P1742" s="302">
        <v>1422</v>
      </c>
      <c r="Q1742" s="302">
        <v>55170</v>
      </c>
      <c r="R1742" s="12" t="s">
        <v>4908</v>
      </c>
      <c r="S1742" s="12" t="s">
        <v>25</v>
      </c>
      <c r="T1742" s="12" t="s">
        <v>25</v>
      </c>
    </row>
    <row r="1743" spans="1:20" hidden="1" x14ac:dyDescent="0.3">
      <c r="A1743" s="13">
        <v>43967.708333333336</v>
      </c>
      <c r="B1743" s="12" t="s">
        <v>22</v>
      </c>
      <c r="C1743" s="302">
        <v>2</v>
      </c>
      <c r="D1743" s="12" t="s">
        <v>60</v>
      </c>
      <c r="E1743" s="302">
        <v>4573750286</v>
      </c>
      <c r="F1743" s="302">
        <v>7320149366</v>
      </c>
      <c r="G1743" s="302">
        <v>33</v>
      </c>
      <c r="H1743" s="302">
        <v>0</v>
      </c>
      <c r="I1743" s="302">
        <v>33</v>
      </c>
      <c r="J1743" s="302">
        <v>42</v>
      </c>
      <c r="K1743" s="302">
        <v>75</v>
      </c>
      <c r="L1743" s="302">
        <v>-2</v>
      </c>
      <c r="M1743" s="302">
        <v>1</v>
      </c>
      <c r="N1743" s="302">
        <v>956</v>
      </c>
      <c r="O1743" s="302">
        <v>142</v>
      </c>
      <c r="P1743" s="302">
        <v>1173</v>
      </c>
      <c r="Q1743" s="302">
        <v>11835</v>
      </c>
      <c r="R1743" s="12" t="s">
        <v>4909</v>
      </c>
      <c r="S1743" s="12" t="s">
        <v>25</v>
      </c>
      <c r="T1743" s="12" t="s">
        <v>25</v>
      </c>
    </row>
    <row r="1744" spans="1:20" hidden="1" x14ac:dyDescent="0.3">
      <c r="A1744" s="13">
        <v>43967.708333333336</v>
      </c>
      <c r="B1744" s="12" t="s">
        <v>22</v>
      </c>
      <c r="C1744" s="302">
        <v>5</v>
      </c>
      <c r="D1744" s="12" t="s">
        <v>61</v>
      </c>
      <c r="E1744" s="302">
        <v>4543490485</v>
      </c>
      <c r="F1744" s="302">
        <v>1233845213</v>
      </c>
      <c r="G1744" s="302">
        <v>290</v>
      </c>
      <c r="H1744" s="302">
        <v>20</v>
      </c>
      <c r="I1744" s="302">
        <v>310</v>
      </c>
      <c r="J1744" s="302">
        <v>3852</v>
      </c>
      <c r="K1744" s="302">
        <v>4162</v>
      </c>
      <c r="L1744" s="302">
        <v>-277</v>
      </c>
      <c r="M1744" s="302">
        <v>39</v>
      </c>
      <c r="N1744" s="302">
        <v>12983</v>
      </c>
      <c r="O1744" s="302">
        <v>1783</v>
      </c>
      <c r="P1744" s="302">
        <v>18928</v>
      </c>
      <c r="Q1744" s="302">
        <v>497045</v>
      </c>
      <c r="R1744" s="12" t="s">
        <v>4910</v>
      </c>
      <c r="S1744" s="12" t="s">
        <v>25</v>
      </c>
      <c r="T1744" s="12" t="s">
        <v>25</v>
      </c>
    </row>
    <row r="1745" spans="1:20" hidden="1" x14ac:dyDescent="0.3">
      <c r="A1745" s="13">
        <v>43968.708333333336</v>
      </c>
      <c r="B1745" s="12" t="s">
        <v>22</v>
      </c>
      <c r="C1745" s="302">
        <v>13</v>
      </c>
      <c r="D1745" s="12" t="s">
        <v>42</v>
      </c>
      <c r="E1745" s="302">
        <v>4235122196</v>
      </c>
      <c r="F1745" s="302">
        <v>1339843823</v>
      </c>
      <c r="G1745" s="302">
        <v>193</v>
      </c>
      <c r="H1745" s="302">
        <v>6</v>
      </c>
      <c r="I1745" s="302">
        <v>199</v>
      </c>
      <c r="J1745" s="302">
        <v>1223</v>
      </c>
      <c r="K1745" s="302">
        <v>1422</v>
      </c>
      <c r="L1745" s="302">
        <v>-1</v>
      </c>
      <c r="M1745" s="302">
        <v>8</v>
      </c>
      <c r="N1745" s="302">
        <v>1379</v>
      </c>
      <c r="O1745" s="302">
        <v>385</v>
      </c>
      <c r="P1745" s="302">
        <v>3186</v>
      </c>
      <c r="Q1745" s="302">
        <v>57217</v>
      </c>
      <c r="R1745" s="12" t="s">
        <v>4911</v>
      </c>
      <c r="S1745" s="12" t="s">
        <v>25</v>
      </c>
      <c r="T1745" s="12" t="s">
        <v>25</v>
      </c>
    </row>
    <row r="1746" spans="1:20" hidden="1" x14ac:dyDescent="0.3">
      <c r="A1746" s="13">
        <v>43968.708333333336</v>
      </c>
      <c r="B1746" s="12" t="s">
        <v>22</v>
      </c>
      <c r="C1746" s="302">
        <v>17</v>
      </c>
      <c r="D1746" s="12" t="s">
        <v>43</v>
      </c>
      <c r="E1746" s="302">
        <v>4063947052</v>
      </c>
      <c r="F1746" s="302">
        <v>1580514834</v>
      </c>
      <c r="G1746" s="302">
        <v>29</v>
      </c>
      <c r="H1746" s="302">
        <v>1</v>
      </c>
      <c r="I1746" s="302">
        <v>30</v>
      </c>
      <c r="J1746" s="302">
        <v>74</v>
      </c>
      <c r="K1746" s="302">
        <v>104</v>
      </c>
      <c r="L1746" s="302">
        <v>-9</v>
      </c>
      <c r="M1746" s="302">
        <v>2</v>
      </c>
      <c r="N1746" s="302">
        <v>261</v>
      </c>
      <c r="O1746" s="302">
        <v>27</v>
      </c>
      <c r="P1746" s="302">
        <v>392</v>
      </c>
      <c r="Q1746" s="302">
        <v>22167</v>
      </c>
      <c r="R1746" s="12" t="s">
        <v>4912</v>
      </c>
      <c r="S1746" s="12" t="s">
        <v>25</v>
      </c>
      <c r="T1746" s="12" t="s">
        <v>25</v>
      </c>
    </row>
    <row r="1747" spans="1:20" hidden="1" x14ac:dyDescent="0.3">
      <c r="A1747" s="13">
        <v>43968.708333333336</v>
      </c>
      <c r="B1747" s="12" t="s">
        <v>22</v>
      </c>
      <c r="C1747" s="302">
        <v>21</v>
      </c>
      <c r="D1747" s="12" t="s">
        <v>44</v>
      </c>
      <c r="E1747" s="302">
        <v>4649933453</v>
      </c>
      <c r="F1747" s="302">
        <v>1135662422</v>
      </c>
      <c r="G1747" s="302">
        <v>50</v>
      </c>
      <c r="H1747" s="302">
        <v>5</v>
      </c>
      <c r="I1747" s="302">
        <v>55</v>
      </c>
      <c r="J1747" s="302">
        <v>259</v>
      </c>
      <c r="K1747" s="302">
        <v>314</v>
      </c>
      <c r="L1747" s="302">
        <v>-29</v>
      </c>
      <c r="M1747" s="302">
        <v>3</v>
      </c>
      <c r="N1747" s="302">
        <v>1977</v>
      </c>
      <c r="O1747" s="302">
        <v>290</v>
      </c>
      <c r="P1747" s="302">
        <v>2581</v>
      </c>
      <c r="Q1747" s="302">
        <v>54428</v>
      </c>
      <c r="R1747" s="12" t="s">
        <v>4913</v>
      </c>
      <c r="S1747" s="12" t="s">
        <v>25</v>
      </c>
      <c r="T1747" s="12" t="s">
        <v>25</v>
      </c>
    </row>
    <row r="1748" spans="1:20" hidden="1" x14ac:dyDescent="0.3">
      <c r="A1748" s="13">
        <v>43968.708333333336</v>
      </c>
      <c r="B1748" s="12" t="s">
        <v>22</v>
      </c>
      <c r="C1748" s="302">
        <v>18</v>
      </c>
      <c r="D1748" s="12" t="s">
        <v>45</v>
      </c>
      <c r="E1748" s="302">
        <v>3890597598</v>
      </c>
      <c r="F1748" s="302">
        <v>1659440194</v>
      </c>
      <c r="G1748" s="302">
        <v>56</v>
      </c>
      <c r="H1748" s="302">
        <v>2</v>
      </c>
      <c r="I1748" s="302">
        <v>58</v>
      </c>
      <c r="J1748" s="302">
        <v>364</v>
      </c>
      <c r="K1748" s="302">
        <v>422</v>
      </c>
      <c r="L1748" s="302">
        <v>-52</v>
      </c>
      <c r="M1748" s="302">
        <v>0</v>
      </c>
      <c r="N1748" s="302">
        <v>634</v>
      </c>
      <c r="O1748" s="302">
        <v>95</v>
      </c>
      <c r="P1748" s="302">
        <v>1151</v>
      </c>
      <c r="Q1748" s="302">
        <v>55304</v>
      </c>
      <c r="R1748" s="12" t="s">
        <v>4914</v>
      </c>
      <c r="S1748" s="12" t="s">
        <v>25</v>
      </c>
      <c r="T1748" s="12" t="s">
        <v>25</v>
      </c>
    </row>
    <row r="1749" spans="1:20" hidden="1" x14ac:dyDescent="0.3">
      <c r="A1749" s="13">
        <v>43968.708333333336</v>
      </c>
      <c r="B1749" s="12" t="s">
        <v>22</v>
      </c>
      <c r="C1749" s="302">
        <v>15</v>
      </c>
      <c r="D1749" s="12" t="s">
        <v>46</v>
      </c>
      <c r="E1749" s="302">
        <v>4083956555</v>
      </c>
      <c r="F1749" s="302">
        <v>1425084984</v>
      </c>
      <c r="G1749" s="302">
        <v>342</v>
      </c>
      <c r="H1749" s="302">
        <v>17</v>
      </c>
      <c r="I1749" s="302">
        <v>359</v>
      </c>
      <c r="J1749" s="302">
        <v>1337</v>
      </c>
      <c r="K1749" s="302">
        <v>1696</v>
      </c>
      <c r="L1749" s="302">
        <v>-14</v>
      </c>
      <c r="M1749" s="302">
        <v>16</v>
      </c>
      <c r="N1749" s="302">
        <v>2592</v>
      </c>
      <c r="O1749" s="302">
        <v>396</v>
      </c>
      <c r="P1749" s="302">
        <v>4684</v>
      </c>
      <c r="Q1749" s="302">
        <v>139787</v>
      </c>
      <c r="R1749" s="12" t="s">
        <v>4915</v>
      </c>
      <c r="S1749" s="12" t="s">
        <v>25</v>
      </c>
      <c r="T1749" s="12" t="s">
        <v>25</v>
      </c>
    </row>
    <row r="1750" spans="1:20" hidden="1" x14ac:dyDescent="0.3">
      <c r="A1750" s="13">
        <v>43968.708333333336</v>
      </c>
      <c r="B1750" s="12" t="s">
        <v>22</v>
      </c>
      <c r="C1750" s="302">
        <v>8</v>
      </c>
      <c r="D1750" s="12" t="s">
        <v>95</v>
      </c>
      <c r="E1750" s="302">
        <v>4449436681</v>
      </c>
      <c r="F1750" s="302">
        <v>113417208</v>
      </c>
      <c r="G1750" s="302">
        <v>721</v>
      </c>
      <c r="H1750" s="302">
        <v>111</v>
      </c>
      <c r="I1750" s="302">
        <v>832</v>
      </c>
      <c r="J1750" s="302">
        <v>4824</v>
      </c>
      <c r="K1750" s="302">
        <v>5656</v>
      </c>
      <c r="L1750" s="302">
        <v>-196</v>
      </c>
      <c r="M1750" s="302">
        <v>50</v>
      </c>
      <c r="N1750" s="302">
        <v>17603</v>
      </c>
      <c r="O1750" s="302">
        <v>3973</v>
      </c>
      <c r="P1750" s="302">
        <v>27232</v>
      </c>
      <c r="Q1750" s="302">
        <v>261106</v>
      </c>
      <c r="R1750" s="12" t="s">
        <v>4916</v>
      </c>
      <c r="S1750" s="12" t="s">
        <v>25</v>
      </c>
      <c r="T1750" s="12" t="s">
        <v>25</v>
      </c>
    </row>
    <row r="1751" spans="1:20" hidden="1" x14ac:dyDescent="0.3">
      <c r="A1751" s="13">
        <v>43968.708333333336</v>
      </c>
      <c r="B1751" s="12" t="s">
        <v>22</v>
      </c>
      <c r="C1751" s="302">
        <v>6</v>
      </c>
      <c r="D1751" s="12" t="s">
        <v>47</v>
      </c>
      <c r="E1751" s="302">
        <v>456494354</v>
      </c>
      <c r="F1751" s="302">
        <v>1376813649</v>
      </c>
      <c r="G1751" s="302">
        <v>80</v>
      </c>
      <c r="H1751" s="302">
        <v>3</v>
      </c>
      <c r="I1751" s="302">
        <v>83</v>
      </c>
      <c r="J1751" s="302">
        <v>571</v>
      </c>
      <c r="K1751" s="302">
        <v>654</v>
      </c>
      <c r="L1751" s="302">
        <v>-26</v>
      </c>
      <c r="M1751" s="302">
        <v>8</v>
      </c>
      <c r="N1751" s="302">
        <v>2218</v>
      </c>
      <c r="O1751" s="302">
        <v>319</v>
      </c>
      <c r="P1751" s="302">
        <v>3191</v>
      </c>
      <c r="Q1751" s="302">
        <v>104056</v>
      </c>
      <c r="R1751" s="12" t="s">
        <v>4917</v>
      </c>
      <c r="S1751" s="12" t="s">
        <v>25</v>
      </c>
      <c r="T1751" s="12" t="s">
        <v>25</v>
      </c>
    </row>
    <row r="1752" spans="1:20" hidden="1" x14ac:dyDescent="0.3">
      <c r="A1752" s="13">
        <v>43968.708333333336</v>
      </c>
      <c r="B1752" s="12" t="s">
        <v>22</v>
      </c>
      <c r="C1752" s="302">
        <v>12</v>
      </c>
      <c r="D1752" s="12" t="s">
        <v>48</v>
      </c>
      <c r="E1752" s="302">
        <v>4189277044</v>
      </c>
      <c r="F1752" s="302">
        <v>1248366722</v>
      </c>
      <c r="G1752" s="302">
        <v>1150</v>
      </c>
      <c r="H1752" s="302">
        <v>74</v>
      </c>
      <c r="I1752" s="302">
        <v>1224</v>
      </c>
      <c r="J1752" s="302">
        <v>2686</v>
      </c>
      <c r="K1752" s="302">
        <v>3910</v>
      </c>
      <c r="L1752" s="302">
        <v>-112</v>
      </c>
      <c r="M1752" s="302">
        <v>50</v>
      </c>
      <c r="N1752" s="302">
        <v>2914</v>
      </c>
      <c r="O1752" s="302">
        <v>622</v>
      </c>
      <c r="P1752" s="302">
        <v>7446</v>
      </c>
      <c r="Q1752" s="302">
        <v>206166</v>
      </c>
      <c r="R1752" s="12" t="s">
        <v>4918</v>
      </c>
      <c r="S1752" s="12" t="s">
        <v>25</v>
      </c>
      <c r="T1752" s="12" t="s">
        <v>25</v>
      </c>
    </row>
    <row r="1753" spans="1:20" x14ac:dyDescent="0.3">
      <c r="A1753" s="13">
        <v>43968.708333333336</v>
      </c>
      <c r="B1753" s="12" t="s">
        <v>22</v>
      </c>
      <c r="C1753" s="302">
        <v>7</v>
      </c>
      <c r="D1753" s="12" t="s">
        <v>49</v>
      </c>
      <c r="E1753" s="302">
        <v>4441149315</v>
      </c>
      <c r="F1753" s="302">
        <v>89326992</v>
      </c>
      <c r="G1753" s="302">
        <v>360</v>
      </c>
      <c r="H1753" s="302">
        <v>24</v>
      </c>
      <c r="I1753" s="302">
        <v>384</v>
      </c>
      <c r="J1753" s="302">
        <v>2072</v>
      </c>
      <c r="K1753" s="302">
        <v>2456</v>
      </c>
      <c r="L1753" s="302">
        <v>-77</v>
      </c>
      <c r="M1753" s="302">
        <v>48</v>
      </c>
      <c r="N1753" s="302">
        <v>5348</v>
      </c>
      <c r="O1753" s="302">
        <v>1355</v>
      </c>
      <c r="P1753" s="302">
        <v>9159</v>
      </c>
      <c r="Q1753" s="302">
        <v>80154</v>
      </c>
      <c r="R1753" s="12" t="s">
        <v>4919</v>
      </c>
      <c r="S1753" s="12" t="s">
        <v>25</v>
      </c>
      <c r="T1753" s="12" t="s">
        <v>25</v>
      </c>
    </row>
    <row r="1754" spans="1:20" hidden="1" x14ac:dyDescent="0.3">
      <c r="A1754" s="13">
        <v>43968.708333333336</v>
      </c>
      <c r="B1754" s="12" t="s">
        <v>22</v>
      </c>
      <c r="C1754" s="302">
        <v>3</v>
      </c>
      <c r="D1754" s="12" t="s">
        <v>50</v>
      </c>
      <c r="E1754" s="302">
        <v>4546679409</v>
      </c>
      <c r="F1754" s="302">
        <v>9190347404</v>
      </c>
      <c r="G1754" s="302">
        <v>4480</v>
      </c>
      <c r="H1754" s="302">
        <v>255</v>
      </c>
      <c r="I1754" s="302">
        <v>4735</v>
      </c>
      <c r="J1754" s="302">
        <v>22695</v>
      </c>
      <c r="K1754" s="302">
        <v>27430</v>
      </c>
      <c r="L1754" s="302">
        <v>-249</v>
      </c>
      <c r="M1754" s="302">
        <v>326</v>
      </c>
      <c r="N1754" s="302">
        <v>41895</v>
      </c>
      <c r="O1754" s="302">
        <v>15519</v>
      </c>
      <c r="P1754" s="302">
        <v>84844</v>
      </c>
      <c r="Q1754" s="302">
        <v>576359</v>
      </c>
      <c r="R1754" s="12" t="s">
        <v>4920</v>
      </c>
      <c r="S1754" s="12" t="s">
        <v>25</v>
      </c>
      <c r="T1754" s="12" t="s">
        <v>25</v>
      </c>
    </row>
    <row r="1755" spans="1:20" hidden="1" x14ac:dyDescent="0.3">
      <c r="A1755" s="13">
        <v>43968.708333333336</v>
      </c>
      <c r="B1755" s="12" t="s">
        <v>22</v>
      </c>
      <c r="C1755" s="302">
        <v>11</v>
      </c>
      <c r="D1755" s="12" t="s">
        <v>51</v>
      </c>
      <c r="E1755" s="302">
        <v>4361675973</v>
      </c>
      <c r="F1755" s="302">
        <v>135188753</v>
      </c>
      <c r="G1755" s="302">
        <v>151</v>
      </c>
      <c r="H1755" s="302">
        <v>18</v>
      </c>
      <c r="I1755" s="302">
        <v>169</v>
      </c>
      <c r="J1755" s="302">
        <v>2396</v>
      </c>
      <c r="K1755" s="302">
        <v>2565</v>
      </c>
      <c r="L1755" s="302">
        <v>-92</v>
      </c>
      <c r="M1755" s="302">
        <v>25</v>
      </c>
      <c r="N1755" s="302">
        <v>3118</v>
      </c>
      <c r="O1755" s="302">
        <v>984</v>
      </c>
      <c r="P1755" s="302">
        <v>6667</v>
      </c>
      <c r="Q1755" s="302">
        <v>88656</v>
      </c>
      <c r="R1755" s="12" t="s">
        <v>4921</v>
      </c>
      <c r="S1755" s="12" t="s">
        <v>25</v>
      </c>
      <c r="T1755" s="12" t="s">
        <v>25</v>
      </c>
    </row>
    <row r="1756" spans="1:20" hidden="1" x14ac:dyDescent="0.3">
      <c r="A1756" s="13">
        <v>43968.708333333336</v>
      </c>
      <c r="B1756" s="12" t="s">
        <v>22</v>
      </c>
      <c r="C1756" s="302">
        <v>14</v>
      </c>
      <c r="D1756" s="12" t="s">
        <v>52</v>
      </c>
      <c r="E1756" s="302">
        <v>4155774754</v>
      </c>
      <c r="F1756" s="302">
        <v>1465916051</v>
      </c>
      <c r="G1756" s="302">
        <v>11</v>
      </c>
      <c r="H1756" s="302">
        <v>2</v>
      </c>
      <c r="I1756" s="302">
        <v>13</v>
      </c>
      <c r="J1756" s="302">
        <v>203</v>
      </c>
      <c r="K1756" s="302">
        <v>216</v>
      </c>
      <c r="L1756" s="302">
        <v>1</v>
      </c>
      <c r="M1756" s="302">
        <v>1</v>
      </c>
      <c r="N1756" s="302">
        <v>173</v>
      </c>
      <c r="O1756" s="302">
        <v>22</v>
      </c>
      <c r="P1756" s="302">
        <v>411</v>
      </c>
      <c r="Q1756" s="302">
        <v>11085</v>
      </c>
      <c r="R1756" s="12" t="s">
        <v>3584</v>
      </c>
      <c r="S1756" s="12" t="s">
        <v>25</v>
      </c>
      <c r="T1756" s="12" t="s">
        <v>25</v>
      </c>
    </row>
    <row r="1757" spans="1:20" hidden="1" x14ac:dyDescent="0.3">
      <c r="A1757" s="13">
        <v>43968.708333333336</v>
      </c>
      <c r="B1757" s="12" t="s">
        <v>22</v>
      </c>
      <c r="C1757" s="302">
        <v>1</v>
      </c>
      <c r="D1757" s="12" t="s">
        <v>53</v>
      </c>
      <c r="E1757" s="302">
        <v>450732745</v>
      </c>
      <c r="F1757" s="302">
        <v>7680687483</v>
      </c>
      <c r="G1757" s="302">
        <v>1620</v>
      </c>
      <c r="H1757" s="302">
        <v>101</v>
      </c>
      <c r="I1757" s="302">
        <v>1721</v>
      </c>
      <c r="J1757" s="302">
        <v>8518</v>
      </c>
      <c r="K1757" s="302">
        <v>10239</v>
      </c>
      <c r="L1757" s="302">
        <v>-463</v>
      </c>
      <c r="M1757" s="302">
        <v>64</v>
      </c>
      <c r="N1757" s="302">
        <v>15696</v>
      </c>
      <c r="O1757" s="302">
        <v>3612</v>
      </c>
      <c r="P1757" s="302">
        <v>29547</v>
      </c>
      <c r="Q1757" s="302">
        <v>249371</v>
      </c>
      <c r="R1757" s="12" t="s">
        <v>4922</v>
      </c>
      <c r="S1757" s="12" t="s">
        <v>25</v>
      </c>
      <c r="T1757" s="12" t="s">
        <v>25</v>
      </c>
    </row>
    <row r="1758" spans="1:20" hidden="1" x14ac:dyDescent="0.3">
      <c r="A1758" s="13">
        <v>43968.708333333336</v>
      </c>
      <c r="B1758" s="12" t="s">
        <v>22</v>
      </c>
      <c r="C1758" s="302">
        <v>16</v>
      </c>
      <c r="D1758" s="12" t="s">
        <v>54</v>
      </c>
      <c r="E1758" s="302">
        <v>4112559576</v>
      </c>
      <c r="F1758" s="302">
        <v>1686736689</v>
      </c>
      <c r="G1758" s="302">
        <v>263</v>
      </c>
      <c r="H1758" s="302">
        <v>21</v>
      </c>
      <c r="I1758" s="302">
        <v>284</v>
      </c>
      <c r="J1758" s="302">
        <v>1733</v>
      </c>
      <c r="K1758" s="302">
        <v>2017</v>
      </c>
      <c r="L1758" s="302">
        <v>-87</v>
      </c>
      <c r="M1758" s="302">
        <v>5</v>
      </c>
      <c r="N1758" s="302">
        <v>1892</v>
      </c>
      <c r="O1758" s="302">
        <v>470</v>
      </c>
      <c r="P1758" s="302">
        <v>4379</v>
      </c>
      <c r="Q1758" s="302">
        <v>91035</v>
      </c>
      <c r="R1758" s="12" t="s">
        <v>4923</v>
      </c>
      <c r="S1758" s="12" t="s">
        <v>25</v>
      </c>
      <c r="T1758" s="12" t="s">
        <v>25</v>
      </c>
    </row>
    <row r="1759" spans="1:20" hidden="1" x14ac:dyDescent="0.3">
      <c r="A1759" s="13">
        <v>43968.708333333336</v>
      </c>
      <c r="B1759" s="12" t="s">
        <v>22</v>
      </c>
      <c r="C1759" s="302">
        <v>20</v>
      </c>
      <c r="D1759" s="12" t="s">
        <v>55</v>
      </c>
      <c r="E1759" s="302">
        <v>3921531192</v>
      </c>
      <c r="F1759" s="302">
        <v>9110616306</v>
      </c>
      <c r="G1759" s="302">
        <v>76</v>
      </c>
      <c r="H1759" s="302">
        <v>10</v>
      </c>
      <c r="I1759" s="302">
        <v>86</v>
      </c>
      <c r="J1759" s="302">
        <v>319</v>
      </c>
      <c r="K1759" s="302">
        <v>405</v>
      </c>
      <c r="L1759" s="302">
        <v>-10</v>
      </c>
      <c r="M1759" s="302">
        <v>1</v>
      </c>
      <c r="N1759" s="302">
        <v>823</v>
      </c>
      <c r="O1759" s="302">
        <v>125</v>
      </c>
      <c r="P1759" s="302">
        <v>1353</v>
      </c>
      <c r="Q1759" s="302">
        <v>42249</v>
      </c>
      <c r="R1759" s="12" t="s">
        <v>4924</v>
      </c>
      <c r="S1759" s="12" t="s">
        <v>25</v>
      </c>
      <c r="T1759" s="12" t="s">
        <v>25</v>
      </c>
    </row>
    <row r="1760" spans="1:20" hidden="1" x14ac:dyDescent="0.3">
      <c r="A1760" s="13">
        <v>43968.708333333336</v>
      </c>
      <c r="B1760" s="12" t="s">
        <v>22</v>
      </c>
      <c r="C1760" s="302">
        <v>19</v>
      </c>
      <c r="D1760" s="12" t="s">
        <v>56</v>
      </c>
      <c r="E1760" s="302">
        <v>3811569725</v>
      </c>
      <c r="F1760" s="302">
        <v>133623567</v>
      </c>
      <c r="G1760" s="302">
        <v>145</v>
      </c>
      <c r="H1760" s="302">
        <v>13</v>
      </c>
      <c r="I1760" s="302">
        <v>158</v>
      </c>
      <c r="J1760" s="302">
        <v>1397</v>
      </c>
      <c r="K1760" s="302">
        <v>1555</v>
      </c>
      <c r="L1760" s="302">
        <v>-104</v>
      </c>
      <c r="M1760" s="302">
        <v>6</v>
      </c>
      <c r="N1760" s="302">
        <v>1566</v>
      </c>
      <c r="O1760" s="302">
        <v>267</v>
      </c>
      <c r="P1760" s="302">
        <v>3388</v>
      </c>
      <c r="Q1760" s="302">
        <v>117426</v>
      </c>
      <c r="R1760" s="12" t="s">
        <v>4925</v>
      </c>
      <c r="S1760" s="12" t="s">
        <v>25</v>
      </c>
      <c r="T1760" s="12" t="s">
        <v>25</v>
      </c>
    </row>
    <row r="1761" spans="1:20" hidden="1" x14ac:dyDescent="0.3">
      <c r="A1761" s="13">
        <v>43968.708333333336</v>
      </c>
      <c r="B1761" s="12" t="s">
        <v>22</v>
      </c>
      <c r="C1761" s="302">
        <v>9</v>
      </c>
      <c r="D1761" s="12" t="s">
        <v>57</v>
      </c>
      <c r="E1761" s="302">
        <v>4376923077</v>
      </c>
      <c r="F1761" s="302">
        <v>1125588885</v>
      </c>
      <c r="G1761" s="302">
        <v>214</v>
      </c>
      <c r="H1761" s="302">
        <v>67</v>
      </c>
      <c r="I1761" s="302">
        <v>281</v>
      </c>
      <c r="J1761" s="302">
        <v>2521</v>
      </c>
      <c r="K1761" s="302">
        <v>2802</v>
      </c>
      <c r="L1761" s="302">
        <v>-141</v>
      </c>
      <c r="M1761" s="302">
        <v>35</v>
      </c>
      <c r="N1761" s="302">
        <v>6162</v>
      </c>
      <c r="O1761" s="302">
        <v>984</v>
      </c>
      <c r="P1761" s="302">
        <v>9948</v>
      </c>
      <c r="Q1761" s="302">
        <v>204022</v>
      </c>
      <c r="R1761" s="12" t="s">
        <v>4926</v>
      </c>
      <c r="S1761" s="12" t="s">
        <v>25</v>
      </c>
      <c r="T1761" s="12" t="s">
        <v>25</v>
      </c>
    </row>
    <row r="1762" spans="1:20" hidden="1" x14ac:dyDescent="0.3">
      <c r="A1762" s="13">
        <v>43968.708333333336</v>
      </c>
      <c r="B1762" s="12" t="s">
        <v>22</v>
      </c>
      <c r="C1762" s="302">
        <v>22</v>
      </c>
      <c r="D1762" s="12" t="s">
        <v>58</v>
      </c>
      <c r="E1762" s="302">
        <v>4606893511</v>
      </c>
      <c r="F1762" s="302">
        <v>1112123097</v>
      </c>
      <c r="G1762" s="302">
        <v>41</v>
      </c>
      <c r="H1762" s="302">
        <v>8</v>
      </c>
      <c r="I1762" s="302">
        <v>49</v>
      </c>
      <c r="J1762" s="302">
        <v>252</v>
      </c>
      <c r="K1762" s="302">
        <v>301</v>
      </c>
      <c r="L1762" s="302">
        <v>-44</v>
      </c>
      <c r="M1762" s="302">
        <v>12</v>
      </c>
      <c r="N1762" s="302">
        <v>3584</v>
      </c>
      <c r="O1762" s="302">
        <v>453</v>
      </c>
      <c r="P1762" s="302">
        <v>4338</v>
      </c>
      <c r="Q1762" s="302">
        <v>69659</v>
      </c>
      <c r="R1762" s="12" t="s">
        <v>4927</v>
      </c>
      <c r="S1762" s="12" t="s">
        <v>25</v>
      </c>
      <c r="T1762" s="12" t="s">
        <v>25</v>
      </c>
    </row>
    <row r="1763" spans="1:20" hidden="1" x14ac:dyDescent="0.3">
      <c r="A1763" s="13">
        <v>43968.708333333336</v>
      </c>
      <c r="B1763" s="12" t="s">
        <v>22</v>
      </c>
      <c r="C1763" s="302">
        <v>10</v>
      </c>
      <c r="D1763" s="12" t="s">
        <v>59</v>
      </c>
      <c r="E1763" s="302">
        <v>4310675841</v>
      </c>
      <c r="F1763" s="302">
        <v>1238824698</v>
      </c>
      <c r="G1763" s="302">
        <v>25</v>
      </c>
      <c r="H1763" s="302">
        <v>2</v>
      </c>
      <c r="I1763" s="302">
        <v>27</v>
      </c>
      <c r="J1763" s="302">
        <v>51</v>
      </c>
      <c r="K1763" s="302">
        <v>78</v>
      </c>
      <c r="L1763" s="302">
        <v>-3</v>
      </c>
      <c r="M1763" s="302">
        <v>2</v>
      </c>
      <c r="N1763" s="302">
        <v>1273</v>
      </c>
      <c r="O1763" s="302">
        <v>73</v>
      </c>
      <c r="P1763" s="302">
        <v>1424</v>
      </c>
      <c r="Q1763" s="302">
        <v>55956</v>
      </c>
      <c r="R1763" s="12" t="s">
        <v>4928</v>
      </c>
      <c r="S1763" s="12" t="s">
        <v>25</v>
      </c>
      <c r="T1763" s="12" t="s">
        <v>25</v>
      </c>
    </row>
    <row r="1764" spans="1:20" hidden="1" x14ac:dyDescent="0.3">
      <c r="A1764" s="13">
        <v>43968.708333333336</v>
      </c>
      <c r="B1764" s="12" t="s">
        <v>22</v>
      </c>
      <c r="C1764" s="302">
        <v>2</v>
      </c>
      <c r="D1764" s="12" t="s">
        <v>60</v>
      </c>
      <c r="E1764" s="302">
        <v>4573750286</v>
      </c>
      <c r="F1764" s="302">
        <v>7320149366</v>
      </c>
      <c r="G1764" s="302">
        <v>31</v>
      </c>
      <c r="H1764" s="302">
        <v>0</v>
      </c>
      <c r="I1764" s="302">
        <v>31</v>
      </c>
      <c r="J1764" s="302">
        <v>37</v>
      </c>
      <c r="K1764" s="302">
        <v>68</v>
      </c>
      <c r="L1764" s="302">
        <v>-7</v>
      </c>
      <c r="M1764" s="302">
        <v>0</v>
      </c>
      <c r="N1764" s="302">
        <v>962</v>
      </c>
      <c r="O1764" s="302">
        <v>143</v>
      </c>
      <c r="P1764" s="302">
        <v>1173</v>
      </c>
      <c r="Q1764" s="302">
        <v>12169</v>
      </c>
      <c r="R1764" s="12" t="s">
        <v>4929</v>
      </c>
      <c r="S1764" s="12" t="s">
        <v>25</v>
      </c>
      <c r="T1764" s="12" t="s">
        <v>25</v>
      </c>
    </row>
    <row r="1765" spans="1:20" hidden="1" x14ac:dyDescent="0.3">
      <c r="A1765" s="13">
        <v>43968.708333333336</v>
      </c>
      <c r="B1765" s="12" t="s">
        <v>22</v>
      </c>
      <c r="C1765" s="302">
        <v>5</v>
      </c>
      <c r="D1765" s="12" t="s">
        <v>61</v>
      </c>
      <c r="E1765" s="302">
        <v>4543490485</v>
      </c>
      <c r="F1765" s="302">
        <v>1233845213</v>
      </c>
      <c r="G1765" s="302">
        <v>273</v>
      </c>
      <c r="H1765" s="302">
        <v>22</v>
      </c>
      <c r="I1765" s="302">
        <v>295</v>
      </c>
      <c r="J1765" s="302">
        <v>3746</v>
      </c>
      <c r="K1765" s="302">
        <v>4041</v>
      </c>
      <c r="L1765" s="302">
        <v>-121</v>
      </c>
      <c r="M1765" s="302">
        <v>13</v>
      </c>
      <c r="N1765" s="302">
        <v>13106</v>
      </c>
      <c r="O1765" s="302">
        <v>1794</v>
      </c>
      <c r="P1765" s="302">
        <v>18941</v>
      </c>
      <c r="Q1765" s="302">
        <v>506588</v>
      </c>
      <c r="R1765" s="12" t="s">
        <v>4930</v>
      </c>
      <c r="S1765" s="12" t="s">
        <v>25</v>
      </c>
      <c r="T1765" s="12" t="s">
        <v>25</v>
      </c>
    </row>
    <row r="1766" spans="1:20" hidden="1" x14ac:dyDescent="0.3">
      <c r="A1766" s="13">
        <v>43969.708333333336</v>
      </c>
      <c r="B1766" s="12" t="s">
        <v>22</v>
      </c>
      <c r="C1766" s="302">
        <v>13</v>
      </c>
      <c r="D1766" s="12" t="s">
        <v>42</v>
      </c>
      <c r="E1766" s="302">
        <v>4235122196</v>
      </c>
      <c r="F1766" s="302">
        <v>1339843823</v>
      </c>
      <c r="G1766" s="302">
        <v>191</v>
      </c>
      <c r="H1766" s="302">
        <v>6</v>
      </c>
      <c r="I1766" s="302">
        <v>197</v>
      </c>
      <c r="J1766" s="302">
        <v>1216</v>
      </c>
      <c r="K1766" s="302">
        <v>1413</v>
      </c>
      <c r="L1766" s="302">
        <v>-9</v>
      </c>
      <c r="M1766" s="302">
        <v>7</v>
      </c>
      <c r="N1766" s="302">
        <v>1392</v>
      </c>
      <c r="O1766" s="302">
        <v>388</v>
      </c>
      <c r="P1766" s="302">
        <v>3193</v>
      </c>
      <c r="Q1766" s="302">
        <v>57897</v>
      </c>
      <c r="R1766" s="12" t="s">
        <v>4931</v>
      </c>
      <c r="S1766" s="12" t="s">
        <v>25</v>
      </c>
      <c r="T1766" s="12" t="s">
        <v>25</v>
      </c>
    </row>
    <row r="1767" spans="1:20" hidden="1" x14ac:dyDescent="0.3">
      <c r="A1767" s="13">
        <v>43969.708333333336</v>
      </c>
      <c r="B1767" s="12" t="s">
        <v>22</v>
      </c>
      <c r="C1767" s="302">
        <v>17</v>
      </c>
      <c r="D1767" s="12" t="s">
        <v>43</v>
      </c>
      <c r="E1767" s="302">
        <v>4063947052</v>
      </c>
      <c r="F1767" s="302">
        <v>1580514834</v>
      </c>
      <c r="G1767" s="302">
        <v>29</v>
      </c>
      <c r="H1767" s="302">
        <v>1</v>
      </c>
      <c r="I1767" s="302">
        <v>30</v>
      </c>
      <c r="J1767" s="302">
        <v>63</v>
      </c>
      <c r="K1767" s="302">
        <v>93</v>
      </c>
      <c r="L1767" s="302">
        <v>-11</v>
      </c>
      <c r="M1767" s="302">
        <v>0</v>
      </c>
      <c r="N1767" s="302">
        <v>272</v>
      </c>
      <c r="O1767" s="302">
        <v>27</v>
      </c>
      <c r="P1767" s="302">
        <v>392</v>
      </c>
      <c r="Q1767" s="302">
        <v>22581</v>
      </c>
      <c r="R1767" s="12" t="s">
        <v>4932</v>
      </c>
      <c r="S1767" s="12" t="s">
        <v>25</v>
      </c>
      <c r="T1767" s="12" t="s">
        <v>25</v>
      </c>
    </row>
    <row r="1768" spans="1:20" hidden="1" x14ac:dyDescent="0.3">
      <c r="A1768" s="13">
        <v>43969.708333333336</v>
      </c>
      <c r="B1768" s="12" t="s">
        <v>22</v>
      </c>
      <c r="C1768" s="302">
        <v>21</v>
      </c>
      <c r="D1768" s="12" t="s">
        <v>44</v>
      </c>
      <c r="E1768" s="302">
        <v>4649933453</v>
      </c>
      <c r="F1768" s="302">
        <v>1135662422</v>
      </c>
      <c r="G1768" s="302">
        <v>52</v>
      </c>
      <c r="H1768" s="302">
        <v>6</v>
      </c>
      <c r="I1768" s="302">
        <v>58</v>
      </c>
      <c r="J1768" s="302">
        <v>249</v>
      </c>
      <c r="K1768" s="302">
        <v>307</v>
      </c>
      <c r="L1768" s="302">
        <v>-7</v>
      </c>
      <c r="M1768" s="302">
        <v>1</v>
      </c>
      <c r="N1768" s="302">
        <v>1984</v>
      </c>
      <c r="O1768" s="302">
        <v>291</v>
      </c>
      <c r="P1768" s="302">
        <v>2582</v>
      </c>
      <c r="Q1768" s="302">
        <v>54861</v>
      </c>
      <c r="R1768" s="12" t="s">
        <v>4933</v>
      </c>
      <c r="S1768" s="12" t="s">
        <v>25</v>
      </c>
      <c r="T1768" s="12" t="s">
        <v>25</v>
      </c>
    </row>
    <row r="1769" spans="1:20" hidden="1" x14ac:dyDescent="0.3">
      <c r="A1769" s="13">
        <v>43969.708333333336</v>
      </c>
      <c r="B1769" s="12" t="s">
        <v>22</v>
      </c>
      <c r="C1769" s="302">
        <v>18</v>
      </c>
      <c r="D1769" s="12" t="s">
        <v>45</v>
      </c>
      <c r="E1769" s="302">
        <v>3890597598</v>
      </c>
      <c r="F1769" s="302">
        <v>1659440194</v>
      </c>
      <c r="G1769" s="302">
        <v>53</v>
      </c>
      <c r="H1769" s="302">
        <v>2</v>
      </c>
      <c r="I1769" s="302">
        <v>55</v>
      </c>
      <c r="J1769" s="302">
        <v>346</v>
      </c>
      <c r="K1769" s="302">
        <v>401</v>
      </c>
      <c r="L1769" s="302">
        <v>-21</v>
      </c>
      <c r="M1769" s="302">
        <v>0</v>
      </c>
      <c r="N1769" s="302">
        <v>655</v>
      </c>
      <c r="O1769" s="302">
        <v>95</v>
      </c>
      <c r="P1769" s="302">
        <v>1151</v>
      </c>
      <c r="Q1769" s="302">
        <v>56167</v>
      </c>
      <c r="R1769" s="12" t="s">
        <v>4934</v>
      </c>
      <c r="S1769" s="12" t="s">
        <v>25</v>
      </c>
      <c r="T1769" s="12" t="s">
        <v>25</v>
      </c>
    </row>
    <row r="1770" spans="1:20" hidden="1" x14ac:dyDescent="0.3">
      <c r="A1770" s="13">
        <v>43969.708333333336</v>
      </c>
      <c r="B1770" s="12" t="s">
        <v>22</v>
      </c>
      <c r="C1770" s="302">
        <v>15</v>
      </c>
      <c r="D1770" s="12" t="s">
        <v>46</v>
      </c>
      <c r="E1770" s="302">
        <v>4083956555</v>
      </c>
      <c r="F1770" s="302">
        <v>1425084984</v>
      </c>
      <c r="G1770" s="302">
        <v>342</v>
      </c>
      <c r="H1770" s="302">
        <v>17</v>
      </c>
      <c r="I1770" s="302">
        <v>359</v>
      </c>
      <c r="J1770" s="302">
        <v>1314</v>
      </c>
      <c r="K1770" s="302">
        <v>1673</v>
      </c>
      <c r="L1770" s="302">
        <v>-23</v>
      </c>
      <c r="M1770" s="302">
        <v>11</v>
      </c>
      <c r="N1770" s="302">
        <v>2623</v>
      </c>
      <c r="O1770" s="302">
        <v>399</v>
      </c>
      <c r="P1770" s="302">
        <v>4695</v>
      </c>
      <c r="Q1770" s="302">
        <v>143478</v>
      </c>
      <c r="R1770" s="12" t="s">
        <v>4935</v>
      </c>
      <c r="S1770" s="12" t="s">
        <v>25</v>
      </c>
      <c r="T1770" s="12" t="s">
        <v>25</v>
      </c>
    </row>
    <row r="1771" spans="1:20" hidden="1" x14ac:dyDescent="0.3">
      <c r="A1771" s="13">
        <v>43969.708333333336</v>
      </c>
      <c r="B1771" s="12" t="s">
        <v>22</v>
      </c>
      <c r="C1771" s="302">
        <v>8</v>
      </c>
      <c r="D1771" s="12" t="s">
        <v>95</v>
      </c>
      <c r="E1771" s="302">
        <v>4449436681</v>
      </c>
      <c r="F1771" s="302">
        <v>113417208</v>
      </c>
      <c r="G1771" s="302">
        <v>708</v>
      </c>
      <c r="H1771" s="302">
        <v>105</v>
      </c>
      <c r="I1771" s="302">
        <v>813</v>
      </c>
      <c r="J1771" s="302">
        <v>4712</v>
      </c>
      <c r="K1771" s="302">
        <v>5525</v>
      </c>
      <c r="L1771" s="302">
        <v>-131</v>
      </c>
      <c r="M1771" s="302">
        <v>35</v>
      </c>
      <c r="N1771" s="302">
        <v>17756</v>
      </c>
      <c r="O1771" s="302">
        <v>3986</v>
      </c>
      <c r="P1771" s="302">
        <v>27267</v>
      </c>
      <c r="Q1771" s="302">
        <v>263888</v>
      </c>
      <c r="R1771" s="12" t="s">
        <v>4936</v>
      </c>
      <c r="S1771" s="12" t="s">
        <v>25</v>
      </c>
      <c r="T1771" s="12" t="s">
        <v>25</v>
      </c>
    </row>
    <row r="1772" spans="1:20" hidden="1" x14ac:dyDescent="0.3">
      <c r="A1772" s="13">
        <v>43969.708333333336</v>
      </c>
      <c r="B1772" s="12" t="s">
        <v>22</v>
      </c>
      <c r="C1772" s="302">
        <v>6</v>
      </c>
      <c r="D1772" s="12" t="s">
        <v>47</v>
      </c>
      <c r="E1772" s="302">
        <v>456494354</v>
      </c>
      <c r="F1772" s="302">
        <v>1376813649</v>
      </c>
      <c r="G1772" s="302">
        <v>81</v>
      </c>
      <c r="H1772" s="302">
        <v>3</v>
      </c>
      <c r="I1772" s="302">
        <v>84</v>
      </c>
      <c r="J1772" s="302">
        <v>537</v>
      </c>
      <c r="K1772" s="302">
        <v>621</v>
      </c>
      <c r="L1772" s="302">
        <v>-33</v>
      </c>
      <c r="M1772" s="302">
        <v>7</v>
      </c>
      <c r="N1772" s="302">
        <v>2257</v>
      </c>
      <c r="O1772" s="302">
        <v>320</v>
      </c>
      <c r="P1772" s="302">
        <v>3198</v>
      </c>
      <c r="Q1772" s="302">
        <v>104874</v>
      </c>
      <c r="R1772" s="12" t="s">
        <v>4937</v>
      </c>
      <c r="S1772" s="12" t="s">
        <v>25</v>
      </c>
      <c r="T1772" s="12" t="s">
        <v>25</v>
      </c>
    </row>
    <row r="1773" spans="1:20" hidden="1" x14ac:dyDescent="0.3">
      <c r="A1773" s="13">
        <v>43969.708333333336</v>
      </c>
      <c r="B1773" s="12" t="s">
        <v>22</v>
      </c>
      <c r="C1773" s="302">
        <v>12</v>
      </c>
      <c r="D1773" s="12" t="s">
        <v>48</v>
      </c>
      <c r="E1773" s="302">
        <v>4189277044</v>
      </c>
      <c r="F1773" s="302">
        <v>1248366722</v>
      </c>
      <c r="G1773" s="302">
        <v>1137</v>
      </c>
      <c r="H1773" s="302">
        <v>73</v>
      </c>
      <c r="I1773" s="302">
        <v>1210</v>
      </c>
      <c r="J1773" s="302">
        <v>2616</v>
      </c>
      <c r="K1773" s="302">
        <v>3826</v>
      </c>
      <c r="L1773" s="302">
        <v>-84</v>
      </c>
      <c r="M1773" s="302">
        <v>39</v>
      </c>
      <c r="N1773" s="302">
        <v>3031</v>
      </c>
      <c r="O1773" s="302">
        <v>628</v>
      </c>
      <c r="P1773" s="302">
        <v>7485</v>
      </c>
      <c r="Q1773" s="302">
        <v>209472</v>
      </c>
      <c r="R1773" s="12" t="s">
        <v>4938</v>
      </c>
      <c r="S1773" s="12" t="s">
        <v>25</v>
      </c>
      <c r="T1773" s="12" t="s">
        <v>25</v>
      </c>
    </row>
    <row r="1774" spans="1:20" x14ac:dyDescent="0.3">
      <c r="A1774" s="13">
        <v>43969.708333333336</v>
      </c>
      <c r="B1774" s="12" t="s">
        <v>22</v>
      </c>
      <c r="C1774" s="302">
        <v>7</v>
      </c>
      <c r="D1774" s="12" t="s">
        <v>49</v>
      </c>
      <c r="E1774" s="302">
        <v>4441149315</v>
      </c>
      <c r="F1774" s="302">
        <v>89326992</v>
      </c>
      <c r="G1774" s="302">
        <v>360</v>
      </c>
      <c r="H1774" s="302">
        <v>23</v>
      </c>
      <c r="I1774" s="302">
        <v>383</v>
      </c>
      <c r="J1774" s="302">
        <v>1956</v>
      </c>
      <c r="K1774" s="302">
        <v>2339</v>
      </c>
      <c r="L1774" s="302">
        <v>-117</v>
      </c>
      <c r="M1774" s="302">
        <v>32</v>
      </c>
      <c r="N1774" s="302">
        <v>5485</v>
      </c>
      <c r="O1774" s="302">
        <v>1367</v>
      </c>
      <c r="P1774" s="302">
        <v>9191</v>
      </c>
      <c r="Q1774" s="302">
        <v>81485</v>
      </c>
      <c r="R1774" s="12" t="s">
        <v>4939</v>
      </c>
      <c r="S1774" s="12" t="s">
        <v>25</v>
      </c>
      <c r="T1774" s="12" t="s">
        <v>25</v>
      </c>
    </row>
    <row r="1775" spans="1:20" hidden="1" x14ac:dyDescent="0.3">
      <c r="A1775" s="13">
        <v>43969.708333333336</v>
      </c>
      <c r="B1775" s="12" t="s">
        <v>22</v>
      </c>
      <c r="C1775" s="302">
        <v>3</v>
      </c>
      <c r="D1775" s="12" t="s">
        <v>50</v>
      </c>
      <c r="E1775" s="302">
        <v>4546679409</v>
      </c>
      <c r="F1775" s="302">
        <v>9190347404</v>
      </c>
      <c r="G1775" s="302">
        <v>4482</v>
      </c>
      <c r="H1775" s="302">
        <v>252</v>
      </c>
      <c r="I1775" s="302">
        <v>4734</v>
      </c>
      <c r="J1775" s="302">
        <v>22339</v>
      </c>
      <c r="K1775" s="302">
        <v>27073</v>
      </c>
      <c r="L1775" s="302">
        <v>-357</v>
      </c>
      <c r="M1775" s="302">
        <v>175</v>
      </c>
      <c r="N1775" s="302">
        <v>42403</v>
      </c>
      <c r="O1775" s="302">
        <v>15543</v>
      </c>
      <c r="P1775" s="302">
        <v>85019</v>
      </c>
      <c r="Q1775" s="302">
        <v>581437</v>
      </c>
      <c r="R1775" s="12" t="s">
        <v>4940</v>
      </c>
      <c r="S1775" s="12" t="s">
        <v>25</v>
      </c>
      <c r="T1775" s="12" t="s">
        <v>25</v>
      </c>
    </row>
    <row r="1776" spans="1:20" hidden="1" x14ac:dyDescent="0.3">
      <c r="A1776" s="13">
        <v>43969.708333333336</v>
      </c>
      <c r="B1776" s="12" t="s">
        <v>22</v>
      </c>
      <c r="C1776" s="302">
        <v>11</v>
      </c>
      <c r="D1776" s="12" t="s">
        <v>51</v>
      </c>
      <c r="E1776" s="302">
        <v>4361675973</v>
      </c>
      <c r="F1776" s="302">
        <v>135188753</v>
      </c>
      <c r="G1776" s="302">
        <v>156</v>
      </c>
      <c r="H1776" s="302">
        <v>17</v>
      </c>
      <c r="I1776" s="302">
        <v>173</v>
      </c>
      <c r="J1776" s="302">
        <v>2142</v>
      </c>
      <c r="K1776" s="302">
        <v>2315</v>
      </c>
      <c r="L1776" s="302">
        <v>-250</v>
      </c>
      <c r="M1776" s="302">
        <v>11</v>
      </c>
      <c r="N1776" s="302">
        <v>3379</v>
      </c>
      <c r="O1776" s="302">
        <v>984</v>
      </c>
      <c r="P1776" s="302">
        <v>6678</v>
      </c>
      <c r="Q1776" s="302">
        <v>89085</v>
      </c>
      <c r="R1776" s="12" t="s">
        <v>4941</v>
      </c>
      <c r="S1776" s="12" t="s">
        <v>25</v>
      </c>
      <c r="T1776" s="12" t="s">
        <v>25</v>
      </c>
    </row>
    <row r="1777" spans="1:20" hidden="1" x14ac:dyDescent="0.3">
      <c r="A1777" s="13">
        <v>43969.708333333336</v>
      </c>
      <c r="B1777" s="12" t="s">
        <v>22</v>
      </c>
      <c r="C1777" s="302">
        <v>14</v>
      </c>
      <c r="D1777" s="12" t="s">
        <v>52</v>
      </c>
      <c r="E1777" s="302">
        <v>4155774754</v>
      </c>
      <c r="F1777" s="302">
        <v>1465916051</v>
      </c>
      <c r="G1777" s="302">
        <v>9</v>
      </c>
      <c r="H1777" s="302">
        <v>2</v>
      </c>
      <c r="I1777" s="302">
        <v>11</v>
      </c>
      <c r="J1777" s="302">
        <v>206</v>
      </c>
      <c r="K1777" s="302">
        <v>217</v>
      </c>
      <c r="L1777" s="302">
        <v>1</v>
      </c>
      <c r="M1777" s="302">
        <v>11</v>
      </c>
      <c r="N1777" s="302">
        <v>183</v>
      </c>
      <c r="O1777" s="302">
        <v>22</v>
      </c>
      <c r="P1777" s="302">
        <v>422</v>
      </c>
      <c r="Q1777" s="302">
        <v>11514</v>
      </c>
      <c r="R1777" s="12" t="s">
        <v>4942</v>
      </c>
      <c r="S1777" s="12" t="s">
        <v>25</v>
      </c>
      <c r="T1777" s="12" t="s">
        <v>25</v>
      </c>
    </row>
    <row r="1778" spans="1:20" hidden="1" x14ac:dyDescent="0.3">
      <c r="A1778" s="13">
        <v>43969.708333333336</v>
      </c>
      <c r="B1778" s="12" t="s">
        <v>22</v>
      </c>
      <c r="C1778" s="302">
        <v>1</v>
      </c>
      <c r="D1778" s="12" t="s">
        <v>53</v>
      </c>
      <c r="E1778" s="302">
        <v>450732745</v>
      </c>
      <c r="F1778" s="302">
        <v>7680687483</v>
      </c>
      <c r="G1778" s="302">
        <v>1589</v>
      </c>
      <c r="H1778" s="302">
        <v>99</v>
      </c>
      <c r="I1778" s="302">
        <v>1688</v>
      </c>
      <c r="J1778" s="302">
        <v>8186</v>
      </c>
      <c r="K1778" s="302">
        <v>9874</v>
      </c>
      <c r="L1778" s="302">
        <v>-365</v>
      </c>
      <c r="M1778" s="302">
        <v>72</v>
      </c>
      <c r="N1778" s="302">
        <v>16113</v>
      </c>
      <c r="O1778" s="302">
        <v>3632</v>
      </c>
      <c r="P1778" s="302">
        <v>29619</v>
      </c>
      <c r="Q1778" s="302">
        <v>253479</v>
      </c>
      <c r="R1778" s="12" t="s">
        <v>4943</v>
      </c>
      <c r="S1778" s="12" t="s">
        <v>25</v>
      </c>
      <c r="T1778" s="12" t="s">
        <v>25</v>
      </c>
    </row>
    <row r="1779" spans="1:20" hidden="1" x14ac:dyDescent="0.3">
      <c r="A1779" s="13">
        <v>43969.708333333336</v>
      </c>
      <c r="B1779" s="12" t="s">
        <v>22</v>
      </c>
      <c r="C1779" s="302">
        <v>16</v>
      </c>
      <c r="D1779" s="12" t="s">
        <v>54</v>
      </c>
      <c r="E1779" s="302">
        <v>4112559576</v>
      </c>
      <c r="F1779" s="302">
        <v>1686736689</v>
      </c>
      <c r="G1779" s="302">
        <v>254</v>
      </c>
      <c r="H1779" s="302">
        <v>22</v>
      </c>
      <c r="I1779" s="302">
        <v>276</v>
      </c>
      <c r="J1779" s="302">
        <v>1719</v>
      </c>
      <c r="K1779" s="302">
        <v>1995</v>
      </c>
      <c r="L1779" s="302">
        <v>-22</v>
      </c>
      <c r="M1779" s="302">
        <v>7</v>
      </c>
      <c r="N1779" s="302">
        <v>1920</v>
      </c>
      <c r="O1779" s="302">
        <v>471</v>
      </c>
      <c r="P1779" s="302">
        <v>4386</v>
      </c>
      <c r="Q1779" s="302">
        <v>91901</v>
      </c>
      <c r="R1779" s="12" t="s">
        <v>4944</v>
      </c>
      <c r="S1779" s="12" t="s">
        <v>25</v>
      </c>
      <c r="T1779" s="12" t="s">
        <v>25</v>
      </c>
    </row>
    <row r="1780" spans="1:20" hidden="1" x14ac:dyDescent="0.3">
      <c r="A1780" s="13">
        <v>43969.708333333336</v>
      </c>
      <c r="B1780" s="12" t="s">
        <v>22</v>
      </c>
      <c r="C1780" s="302">
        <v>20</v>
      </c>
      <c r="D1780" s="12" t="s">
        <v>55</v>
      </c>
      <c r="E1780" s="302">
        <v>3921531192</v>
      </c>
      <c r="F1780" s="302">
        <v>9110616306</v>
      </c>
      <c r="G1780" s="302">
        <v>72</v>
      </c>
      <c r="H1780" s="302">
        <v>10</v>
      </c>
      <c r="I1780" s="302">
        <v>82</v>
      </c>
      <c r="J1780" s="302">
        <v>298</v>
      </c>
      <c r="K1780" s="302">
        <v>380</v>
      </c>
      <c r="L1780" s="302">
        <v>-25</v>
      </c>
      <c r="M1780" s="302">
        <v>0</v>
      </c>
      <c r="N1780" s="302">
        <v>847</v>
      </c>
      <c r="O1780" s="302">
        <v>126</v>
      </c>
      <c r="P1780" s="302">
        <v>1353</v>
      </c>
      <c r="Q1780" s="302">
        <v>43387</v>
      </c>
      <c r="R1780" s="12" t="s">
        <v>4945</v>
      </c>
      <c r="S1780" s="12" t="s">
        <v>25</v>
      </c>
      <c r="T1780" s="12" t="s">
        <v>25</v>
      </c>
    </row>
    <row r="1781" spans="1:20" hidden="1" x14ac:dyDescent="0.3">
      <c r="A1781" s="13">
        <v>43969.708333333336</v>
      </c>
      <c r="B1781" s="12" t="s">
        <v>22</v>
      </c>
      <c r="C1781" s="302">
        <v>19</v>
      </c>
      <c r="D1781" s="12" t="s">
        <v>56</v>
      </c>
      <c r="E1781" s="302">
        <v>3811569725</v>
      </c>
      <c r="F1781" s="302">
        <v>133623567</v>
      </c>
      <c r="G1781" s="302">
        <v>137</v>
      </c>
      <c r="H1781" s="302">
        <v>13</v>
      </c>
      <c r="I1781" s="302">
        <v>150</v>
      </c>
      <c r="J1781" s="302">
        <v>1389</v>
      </c>
      <c r="K1781" s="302">
        <v>1539</v>
      </c>
      <c r="L1781" s="302">
        <v>-16</v>
      </c>
      <c r="M1781" s="302">
        <v>7</v>
      </c>
      <c r="N1781" s="302">
        <v>1589</v>
      </c>
      <c r="O1781" s="302">
        <v>267</v>
      </c>
      <c r="P1781" s="302">
        <v>3395</v>
      </c>
      <c r="Q1781" s="302">
        <v>118859</v>
      </c>
      <c r="R1781" s="12" t="s">
        <v>4946</v>
      </c>
      <c r="S1781" s="12" t="s">
        <v>25</v>
      </c>
      <c r="T1781" s="12" t="s">
        <v>25</v>
      </c>
    </row>
    <row r="1782" spans="1:20" hidden="1" x14ac:dyDescent="0.3">
      <c r="A1782" s="13">
        <v>43969.708333333336</v>
      </c>
      <c r="B1782" s="12" t="s">
        <v>22</v>
      </c>
      <c r="C1782" s="302">
        <v>9</v>
      </c>
      <c r="D1782" s="12" t="s">
        <v>57</v>
      </c>
      <c r="E1782" s="302">
        <v>4376923077</v>
      </c>
      <c r="F1782" s="302">
        <v>1125588885</v>
      </c>
      <c r="G1782" s="302">
        <v>197</v>
      </c>
      <c r="H1782" s="302">
        <v>66</v>
      </c>
      <c r="I1782" s="302">
        <v>263</v>
      </c>
      <c r="J1782" s="302">
        <v>2310</v>
      </c>
      <c r="K1782" s="302">
        <v>2573</v>
      </c>
      <c r="L1782" s="302">
        <v>-229</v>
      </c>
      <c r="M1782" s="302">
        <v>13</v>
      </c>
      <c r="N1782" s="302">
        <v>6399</v>
      </c>
      <c r="O1782" s="302">
        <v>989</v>
      </c>
      <c r="P1782" s="302">
        <v>9961</v>
      </c>
      <c r="Q1782" s="302">
        <v>205201</v>
      </c>
      <c r="R1782" s="12" t="s">
        <v>4947</v>
      </c>
      <c r="S1782" s="12" t="s">
        <v>25</v>
      </c>
      <c r="T1782" s="12" t="s">
        <v>25</v>
      </c>
    </row>
    <row r="1783" spans="1:20" hidden="1" x14ac:dyDescent="0.3">
      <c r="A1783" s="13">
        <v>43969.708333333336</v>
      </c>
      <c r="B1783" s="12" t="s">
        <v>22</v>
      </c>
      <c r="C1783" s="302">
        <v>22</v>
      </c>
      <c r="D1783" s="12" t="s">
        <v>58</v>
      </c>
      <c r="E1783" s="302">
        <v>4606893511</v>
      </c>
      <c r="F1783" s="302">
        <v>1112123097</v>
      </c>
      <c r="G1783" s="302">
        <v>41</v>
      </c>
      <c r="H1783" s="302">
        <v>8</v>
      </c>
      <c r="I1783" s="302">
        <v>49</v>
      </c>
      <c r="J1783" s="302">
        <v>199</v>
      </c>
      <c r="K1783" s="302">
        <v>248</v>
      </c>
      <c r="L1783" s="302">
        <v>-53</v>
      </c>
      <c r="M1783" s="302">
        <v>13</v>
      </c>
      <c r="N1783" s="302">
        <v>3650</v>
      </c>
      <c r="O1783" s="302">
        <v>453</v>
      </c>
      <c r="P1783" s="302">
        <v>4351</v>
      </c>
      <c r="Q1783" s="302">
        <v>70173</v>
      </c>
      <c r="R1783" s="12" t="s">
        <v>4927</v>
      </c>
      <c r="S1783" s="12" t="s">
        <v>4948</v>
      </c>
      <c r="T1783" s="12" t="s">
        <v>4949</v>
      </c>
    </row>
    <row r="1784" spans="1:20" hidden="1" x14ac:dyDescent="0.3">
      <c r="A1784" s="13">
        <v>43969.708333333336</v>
      </c>
      <c r="B1784" s="12" t="s">
        <v>22</v>
      </c>
      <c r="C1784" s="302">
        <v>10</v>
      </c>
      <c r="D1784" s="12" t="s">
        <v>59</v>
      </c>
      <c r="E1784" s="302">
        <v>4310675841</v>
      </c>
      <c r="F1784" s="302">
        <v>1238824698</v>
      </c>
      <c r="G1784" s="302">
        <v>24</v>
      </c>
      <c r="H1784" s="302">
        <v>2</v>
      </c>
      <c r="I1784" s="302">
        <v>26</v>
      </c>
      <c r="J1784" s="302">
        <v>51</v>
      </c>
      <c r="K1784" s="302">
        <v>77</v>
      </c>
      <c r="L1784" s="302">
        <v>-1</v>
      </c>
      <c r="M1784" s="302">
        <v>0</v>
      </c>
      <c r="N1784" s="302">
        <v>1274</v>
      </c>
      <c r="O1784" s="302">
        <v>73</v>
      </c>
      <c r="P1784" s="302">
        <v>1424</v>
      </c>
      <c r="Q1784" s="302">
        <v>56279</v>
      </c>
      <c r="R1784" s="12" t="s">
        <v>4950</v>
      </c>
      <c r="S1784" s="12" t="s">
        <v>25</v>
      </c>
      <c r="T1784" s="12" t="s">
        <v>25</v>
      </c>
    </row>
    <row r="1785" spans="1:20" hidden="1" x14ac:dyDescent="0.3">
      <c r="A1785" s="13">
        <v>43969.708333333336</v>
      </c>
      <c r="B1785" s="12" t="s">
        <v>22</v>
      </c>
      <c r="C1785" s="302">
        <v>2</v>
      </c>
      <c r="D1785" s="12" t="s">
        <v>60</v>
      </c>
      <c r="E1785" s="302">
        <v>4573750286</v>
      </c>
      <c r="F1785" s="302">
        <v>7320149366</v>
      </c>
      <c r="G1785" s="302">
        <v>30</v>
      </c>
      <c r="H1785" s="302">
        <v>0</v>
      </c>
      <c r="I1785" s="302">
        <v>30</v>
      </c>
      <c r="J1785" s="302">
        <v>30</v>
      </c>
      <c r="K1785" s="302">
        <v>60</v>
      </c>
      <c r="L1785" s="302">
        <v>-8</v>
      </c>
      <c r="M1785" s="302">
        <v>1</v>
      </c>
      <c r="N1785" s="302">
        <v>971</v>
      </c>
      <c r="O1785" s="302">
        <v>143</v>
      </c>
      <c r="P1785" s="302">
        <v>1174</v>
      </c>
      <c r="Q1785" s="302">
        <v>12327</v>
      </c>
      <c r="R1785" s="12" t="s">
        <v>4951</v>
      </c>
      <c r="S1785" s="12" t="s">
        <v>25</v>
      </c>
      <c r="T1785" s="12" t="s">
        <v>25</v>
      </c>
    </row>
    <row r="1786" spans="1:20" hidden="1" x14ac:dyDescent="0.3">
      <c r="A1786" s="13">
        <v>43969.708333333336</v>
      </c>
      <c r="B1786" s="12" t="s">
        <v>22</v>
      </c>
      <c r="C1786" s="302">
        <v>5</v>
      </c>
      <c r="D1786" s="12" t="s">
        <v>61</v>
      </c>
      <c r="E1786" s="302">
        <v>4543490485</v>
      </c>
      <c r="F1786" s="302">
        <v>1233845213</v>
      </c>
      <c r="G1786" s="302">
        <v>263</v>
      </c>
      <c r="H1786" s="302">
        <v>22</v>
      </c>
      <c r="I1786" s="302">
        <v>285</v>
      </c>
      <c r="J1786" s="302">
        <v>3719</v>
      </c>
      <c r="K1786" s="302">
        <v>4004</v>
      </c>
      <c r="L1786" s="302">
        <v>-37</v>
      </c>
      <c r="M1786" s="302">
        <v>9</v>
      </c>
      <c r="N1786" s="302">
        <v>13143</v>
      </c>
      <c r="O1786" s="302">
        <v>1803</v>
      </c>
      <c r="P1786" s="302">
        <v>18950</v>
      </c>
      <c r="Q1786" s="302">
        <v>513021</v>
      </c>
      <c r="R1786" s="12" t="s">
        <v>4952</v>
      </c>
      <c r="S1786" s="12" t="s">
        <v>25</v>
      </c>
      <c r="T1786" s="12" t="s">
        <v>25</v>
      </c>
    </row>
    <row r="1787" spans="1:20" hidden="1" x14ac:dyDescent="0.3">
      <c r="A1787" s="13">
        <v>43970.708333333336</v>
      </c>
      <c r="B1787" s="12" t="s">
        <v>22</v>
      </c>
      <c r="C1787" s="302">
        <v>13</v>
      </c>
      <c r="D1787" s="12" t="s">
        <v>42</v>
      </c>
      <c r="E1787" s="302">
        <v>4235122196</v>
      </c>
      <c r="F1787" s="302">
        <v>1339843823</v>
      </c>
      <c r="G1787" s="302">
        <v>188</v>
      </c>
      <c r="H1787" s="302">
        <v>6</v>
      </c>
      <c r="I1787" s="302">
        <v>194</v>
      </c>
      <c r="J1787" s="302">
        <v>1195</v>
      </c>
      <c r="K1787" s="302">
        <v>1389</v>
      </c>
      <c r="L1787" s="302">
        <v>-24</v>
      </c>
      <c r="M1787" s="302">
        <v>4</v>
      </c>
      <c r="N1787" s="302">
        <v>1419</v>
      </c>
      <c r="O1787" s="302">
        <v>389</v>
      </c>
      <c r="P1787" s="302">
        <v>3197</v>
      </c>
      <c r="Q1787" s="302">
        <v>58945</v>
      </c>
      <c r="R1787" s="12" t="s">
        <v>4953</v>
      </c>
      <c r="S1787" s="12" t="s">
        <v>25</v>
      </c>
      <c r="T1787" s="12" t="s">
        <v>25</v>
      </c>
    </row>
    <row r="1788" spans="1:20" hidden="1" x14ac:dyDescent="0.3">
      <c r="A1788" s="13">
        <v>43970.708333333336</v>
      </c>
      <c r="B1788" s="12" t="s">
        <v>22</v>
      </c>
      <c r="C1788" s="302">
        <v>17</v>
      </c>
      <c r="D1788" s="12" t="s">
        <v>43</v>
      </c>
      <c r="E1788" s="302">
        <v>4063947052</v>
      </c>
      <c r="F1788" s="302">
        <v>1580514834</v>
      </c>
      <c r="G1788" s="302">
        <v>26</v>
      </c>
      <c r="H1788" s="302">
        <v>1</v>
      </c>
      <c r="I1788" s="302">
        <v>27</v>
      </c>
      <c r="J1788" s="302">
        <v>57</v>
      </c>
      <c r="K1788" s="302">
        <v>84</v>
      </c>
      <c r="L1788" s="302">
        <v>-9</v>
      </c>
      <c r="M1788" s="302">
        <v>1</v>
      </c>
      <c r="N1788" s="302">
        <v>282</v>
      </c>
      <c r="O1788" s="302">
        <v>27</v>
      </c>
      <c r="P1788" s="302">
        <v>393</v>
      </c>
      <c r="Q1788" s="302">
        <v>23347</v>
      </c>
      <c r="R1788" s="12" t="s">
        <v>4954</v>
      </c>
      <c r="S1788" s="12" t="s">
        <v>25</v>
      </c>
      <c r="T1788" s="12" t="s">
        <v>25</v>
      </c>
    </row>
    <row r="1789" spans="1:20" hidden="1" x14ac:dyDescent="0.3">
      <c r="A1789" s="13">
        <v>43970.708333333336</v>
      </c>
      <c r="B1789" s="12" t="s">
        <v>22</v>
      </c>
      <c r="C1789" s="302">
        <v>21</v>
      </c>
      <c r="D1789" s="12" t="s">
        <v>44</v>
      </c>
      <c r="E1789" s="302">
        <v>4649933453</v>
      </c>
      <c r="F1789" s="302">
        <v>1135662422</v>
      </c>
      <c r="G1789" s="302">
        <v>46</v>
      </c>
      <c r="H1789" s="302">
        <v>6</v>
      </c>
      <c r="I1789" s="302">
        <v>52</v>
      </c>
      <c r="J1789" s="302">
        <v>256</v>
      </c>
      <c r="K1789" s="302">
        <v>308</v>
      </c>
      <c r="L1789" s="302">
        <v>1</v>
      </c>
      <c r="M1789" s="302">
        <v>5</v>
      </c>
      <c r="N1789" s="302">
        <v>1988</v>
      </c>
      <c r="O1789" s="302">
        <v>291</v>
      </c>
      <c r="P1789" s="302">
        <v>2587</v>
      </c>
      <c r="Q1789" s="302">
        <v>55526</v>
      </c>
      <c r="R1789" s="12" t="s">
        <v>4955</v>
      </c>
      <c r="S1789" s="12" t="s">
        <v>25</v>
      </c>
      <c r="T1789" s="12" t="s">
        <v>25</v>
      </c>
    </row>
    <row r="1790" spans="1:20" hidden="1" x14ac:dyDescent="0.3">
      <c r="A1790" s="13">
        <v>43970.708333333336</v>
      </c>
      <c r="B1790" s="12" t="s">
        <v>22</v>
      </c>
      <c r="C1790" s="302">
        <v>18</v>
      </c>
      <c r="D1790" s="12" t="s">
        <v>45</v>
      </c>
      <c r="E1790" s="302">
        <v>3890597598</v>
      </c>
      <c r="F1790" s="302">
        <v>1659440194</v>
      </c>
      <c r="G1790" s="302">
        <v>50</v>
      </c>
      <c r="H1790" s="302">
        <v>2</v>
      </c>
      <c r="I1790" s="302">
        <v>52</v>
      </c>
      <c r="J1790" s="302">
        <v>330</v>
      </c>
      <c r="K1790" s="302">
        <v>382</v>
      </c>
      <c r="L1790" s="302">
        <v>-19</v>
      </c>
      <c r="M1790" s="302">
        <v>2</v>
      </c>
      <c r="N1790" s="302">
        <v>676</v>
      </c>
      <c r="O1790" s="302">
        <v>95</v>
      </c>
      <c r="P1790" s="302">
        <v>1153</v>
      </c>
      <c r="Q1790" s="302">
        <v>57310</v>
      </c>
      <c r="R1790" s="12" t="s">
        <v>4956</v>
      </c>
      <c r="S1790" s="12" t="s">
        <v>25</v>
      </c>
      <c r="T1790" s="12" t="s">
        <v>25</v>
      </c>
    </row>
    <row r="1791" spans="1:20" hidden="1" x14ac:dyDescent="0.3">
      <c r="A1791" s="13">
        <v>43970.708333333336</v>
      </c>
      <c r="B1791" s="12" t="s">
        <v>22</v>
      </c>
      <c r="C1791" s="302">
        <v>15</v>
      </c>
      <c r="D1791" s="12" t="s">
        <v>46</v>
      </c>
      <c r="E1791" s="302">
        <v>4083956555</v>
      </c>
      <c r="F1791" s="302">
        <v>1425084984</v>
      </c>
      <c r="G1791" s="302">
        <v>330</v>
      </c>
      <c r="H1791" s="302">
        <v>17</v>
      </c>
      <c r="I1791" s="302">
        <v>347</v>
      </c>
      <c r="J1791" s="302">
        <v>1171</v>
      </c>
      <c r="K1791" s="302">
        <v>1518</v>
      </c>
      <c r="L1791" s="302">
        <v>-155</v>
      </c>
      <c r="M1791" s="302">
        <v>12</v>
      </c>
      <c r="N1791" s="302">
        <v>2790</v>
      </c>
      <c r="O1791" s="302">
        <v>399</v>
      </c>
      <c r="P1791" s="302">
        <v>4707</v>
      </c>
      <c r="Q1791" s="302">
        <v>147225</v>
      </c>
      <c r="R1791" s="12" t="s">
        <v>4957</v>
      </c>
      <c r="S1791" s="12" t="s">
        <v>25</v>
      </c>
      <c r="T1791" s="12" t="s">
        <v>25</v>
      </c>
    </row>
    <row r="1792" spans="1:20" hidden="1" x14ac:dyDescent="0.3">
      <c r="A1792" s="13">
        <v>43970.708333333336</v>
      </c>
      <c r="B1792" s="12" t="s">
        <v>22</v>
      </c>
      <c r="C1792" s="302">
        <v>8</v>
      </c>
      <c r="D1792" s="12" t="s">
        <v>95</v>
      </c>
      <c r="E1792" s="302">
        <v>4449436681</v>
      </c>
      <c r="F1792" s="302">
        <v>113417208</v>
      </c>
      <c r="G1792" s="302">
        <v>670</v>
      </c>
      <c r="H1792" s="302">
        <v>99</v>
      </c>
      <c r="I1792" s="302">
        <v>769</v>
      </c>
      <c r="J1792" s="302">
        <v>4561</v>
      </c>
      <c r="K1792" s="302">
        <v>5330</v>
      </c>
      <c r="L1792" s="302">
        <v>-195</v>
      </c>
      <c r="M1792" s="302">
        <v>47</v>
      </c>
      <c r="N1792" s="302">
        <v>17987</v>
      </c>
      <c r="O1792" s="302">
        <v>3997</v>
      </c>
      <c r="P1792" s="302">
        <v>27314</v>
      </c>
      <c r="Q1792" s="302">
        <v>268200</v>
      </c>
      <c r="R1792" s="12" t="s">
        <v>4958</v>
      </c>
      <c r="S1792" s="12" t="s">
        <v>25</v>
      </c>
      <c r="T1792" s="12" t="s">
        <v>25</v>
      </c>
    </row>
    <row r="1793" spans="1:20" hidden="1" x14ac:dyDescent="0.3">
      <c r="A1793" s="13">
        <v>43970.708333333336</v>
      </c>
      <c r="B1793" s="12" t="s">
        <v>22</v>
      </c>
      <c r="C1793" s="302">
        <v>6</v>
      </c>
      <c r="D1793" s="12" t="s">
        <v>47</v>
      </c>
      <c r="E1793" s="302">
        <v>456494354</v>
      </c>
      <c r="F1793" s="302">
        <v>1376813649</v>
      </c>
      <c r="G1793" s="302">
        <v>76</v>
      </c>
      <c r="H1793" s="302">
        <v>2</v>
      </c>
      <c r="I1793" s="302">
        <v>78</v>
      </c>
      <c r="J1793" s="302">
        <v>522</v>
      </c>
      <c r="K1793" s="302">
        <v>600</v>
      </c>
      <c r="L1793" s="302">
        <v>-21</v>
      </c>
      <c r="M1793" s="302">
        <v>5</v>
      </c>
      <c r="N1793" s="302">
        <v>2283</v>
      </c>
      <c r="O1793" s="302">
        <v>320</v>
      </c>
      <c r="P1793" s="302">
        <v>3203</v>
      </c>
      <c r="Q1793" s="302">
        <v>105656</v>
      </c>
      <c r="R1793" s="12" t="s">
        <v>4959</v>
      </c>
      <c r="S1793" s="12" t="s">
        <v>25</v>
      </c>
      <c r="T1793" s="12" t="s">
        <v>25</v>
      </c>
    </row>
    <row r="1794" spans="1:20" hidden="1" x14ac:dyDescent="0.3">
      <c r="A1794" s="13">
        <v>43970.708333333336</v>
      </c>
      <c r="B1794" s="12" t="s">
        <v>22</v>
      </c>
      <c r="C1794" s="302">
        <v>12</v>
      </c>
      <c r="D1794" s="12" t="s">
        <v>48</v>
      </c>
      <c r="E1794" s="302">
        <v>4189277044</v>
      </c>
      <c r="F1794" s="302">
        <v>1248366722</v>
      </c>
      <c r="G1794" s="302">
        <v>1124</v>
      </c>
      <c r="H1794" s="302">
        <v>74</v>
      </c>
      <c r="I1794" s="302">
        <v>1198</v>
      </c>
      <c r="J1794" s="302">
        <v>2588</v>
      </c>
      <c r="K1794" s="302">
        <v>3786</v>
      </c>
      <c r="L1794" s="302">
        <v>-40</v>
      </c>
      <c r="M1794" s="302">
        <v>20</v>
      </c>
      <c r="N1794" s="302">
        <v>3079</v>
      </c>
      <c r="O1794" s="302">
        <v>640</v>
      </c>
      <c r="P1794" s="302">
        <v>7505</v>
      </c>
      <c r="Q1794" s="302">
        <v>213877</v>
      </c>
      <c r="R1794" s="12" t="s">
        <v>4960</v>
      </c>
      <c r="S1794" s="12" t="s">
        <v>25</v>
      </c>
      <c r="T1794" s="12" t="s">
        <v>25</v>
      </c>
    </row>
    <row r="1795" spans="1:20" x14ac:dyDescent="0.3">
      <c r="A1795" s="13">
        <v>43970.708333333336</v>
      </c>
      <c r="B1795" s="12" t="s">
        <v>22</v>
      </c>
      <c r="C1795" s="302">
        <v>7</v>
      </c>
      <c r="D1795" s="12" t="s">
        <v>49</v>
      </c>
      <c r="E1795" s="302">
        <v>4441149315</v>
      </c>
      <c r="F1795" s="302">
        <v>89326992</v>
      </c>
      <c r="G1795" s="302">
        <v>338</v>
      </c>
      <c r="H1795" s="302">
        <v>22</v>
      </c>
      <c r="I1795" s="302">
        <v>360</v>
      </c>
      <c r="J1795" s="302">
        <v>1904</v>
      </c>
      <c r="K1795" s="302">
        <v>2264</v>
      </c>
      <c r="L1795" s="302">
        <v>-75</v>
      </c>
      <c r="M1795" s="302">
        <v>66</v>
      </c>
      <c r="N1795" s="302">
        <v>5617</v>
      </c>
      <c r="O1795" s="302">
        <v>1376</v>
      </c>
      <c r="P1795" s="302">
        <v>9257</v>
      </c>
      <c r="Q1795" s="302">
        <v>83593</v>
      </c>
      <c r="R1795" s="12" t="s">
        <v>4961</v>
      </c>
      <c r="S1795" s="12" t="s">
        <v>25</v>
      </c>
      <c r="T1795" s="12" t="s">
        <v>25</v>
      </c>
    </row>
    <row r="1796" spans="1:20" hidden="1" x14ac:dyDescent="0.3">
      <c r="A1796" s="13">
        <v>43970.708333333336</v>
      </c>
      <c r="B1796" s="12" t="s">
        <v>22</v>
      </c>
      <c r="C1796" s="302">
        <v>3</v>
      </c>
      <c r="D1796" s="12" t="s">
        <v>50</v>
      </c>
      <c r="E1796" s="302">
        <v>4546679409</v>
      </c>
      <c r="F1796" s="302">
        <v>9190347404</v>
      </c>
      <c r="G1796" s="302">
        <v>4426</v>
      </c>
      <c r="H1796" s="302">
        <v>244</v>
      </c>
      <c r="I1796" s="302">
        <v>4670</v>
      </c>
      <c r="J1796" s="302">
        <v>22621</v>
      </c>
      <c r="K1796" s="302">
        <v>27291</v>
      </c>
      <c r="L1796" s="302">
        <v>218</v>
      </c>
      <c r="M1796" s="302">
        <v>462</v>
      </c>
      <c r="N1796" s="302">
        <v>42593</v>
      </c>
      <c r="O1796" s="302">
        <v>15597</v>
      </c>
      <c r="P1796" s="302">
        <v>85481</v>
      </c>
      <c r="Q1796" s="302">
        <v>596355</v>
      </c>
      <c r="R1796" s="12" t="s">
        <v>4962</v>
      </c>
      <c r="S1796" s="12" t="s">
        <v>25</v>
      </c>
      <c r="T1796" s="12" t="s">
        <v>25</v>
      </c>
    </row>
    <row r="1797" spans="1:20" hidden="1" x14ac:dyDescent="0.3">
      <c r="A1797" s="13">
        <v>43970.708333333336</v>
      </c>
      <c r="B1797" s="12" t="s">
        <v>22</v>
      </c>
      <c r="C1797" s="302">
        <v>11</v>
      </c>
      <c r="D1797" s="12" t="s">
        <v>51</v>
      </c>
      <c r="E1797" s="302">
        <v>4361675973</v>
      </c>
      <c r="F1797" s="302">
        <v>135188753</v>
      </c>
      <c r="G1797" s="302">
        <v>144</v>
      </c>
      <c r="H1797" s="302">
        <v>17</v>
      </c>
      <c r="I1797" s="302">
        <v>161</v>
      </c>
      <c r="J1797" s="302">
        <v>1967</v>
      </c>
      <c r="K1797" s="302">
        <v>2128</v>
      </c>
      <c r="L1797" s="302">
        <v>-187</v>
      </c>
      <c r="M1797" s="302">
        <v>-3</v>
      </c>
      <c r="N1797" s="302">
        <v>3561</v>
      </c>
      <c r="O1797" s="302">
        <v>986</v>
      </c>
      <c r="P1797" s="302">
        <v>6675</v>
      </c>
      <c r="Q1797" s="302">
        <v>89985</v>
      </c>
      <c r="R1797" s="12" t="s">
        <v>4963</v>
      </c>
      <c r="S1797" s="12" t="s">
        <v>4964</v>
      </c>
      <c r="T1797" s="12" t="s">
        <v>4965</v>
      </c>
    </row>
    <row r="1798" spans="1:20" hidden="1" x14ac:dyDescent="0.3">
      <c r="A1798" s="13">
        <v>43970.708333333336</v>
      </c>
      <c r="B1798" s="12" t="s">
        <v>22</v>
      </c>
      <c r="C1798" s="302">
        <v>14</v>
      </c>
      <c r="D1798" s="12" t="s">
        <v>52</v>
      </c>
      <c r="E1798" s="302">
        <v>4155774754</v>
      </c>
      <c r="F1798" s="302">
        <v>1465916051</v>
      </c>
      <c r="G1798" s="302">
        <v>9</v>
      </c>
      <c r="H1798" s="302">
        <v>2</v>
      </c>
      <c r="I1798" s="302">
        <v>11</v>
      </c>
      <c r="J1798" s="302">
        <v>201</v>
      </c>
      <c r="K1798" s="302">
        <v>212</v>
      </c>
      <c r="L1798" s="302">
        <v>-5</v>
      </c>
      <c r="M1798" s="302">
        <v>0</v>
      </c>
      <c r="N1798" s="302">
        <v>188</v>
      </c>
      <c r="O1798" s="302">
        <v>22</v>
      </c>
      <c r="P1798" s="302">
        <v>422</v>
      </c>
      <c r="Q1798" s="302">
        <v>11592</v>
      </c>
      <c r="R1798" s="12" t="s">
        <v>4966</v>
      </c>
      <c r="S1798" s="12" t="s">
        <v>25</v>
      </c>
      <c r="T1798" s="12" t="s">
        <v>25</v>
      </c>
    </row>
    <row r="1799" spans="1:20" hidden="1" x14ac:dyDescent="0.3">
      <c r="A1799" s="13">
        <v>43970.708333333336</v>
      </c>
      <c r="B1799" s="12" t="s">
        <v>22</v>
      </c>
      <c r="C1799" s="302">
        <v>1</v>
      </c>
      <c r="D1799" s="12" t="s">
        <v>53</v>
      </c>
      <c r="E1799" s="302">
        <v>450732745</v>
      </c>
      <c r="F1799" s="302">
        <v>7680687483</v>
      </c>
      <c r="G1799" s="302">
        <v>1579</v>
      </c>
      <c r="H1799" s="302">
        <v>96</v>
      </c>
      <c r="I1799" s="302">
        <v>1675</v>
      </c>
      <c r="J1799" s="302">
        <v>7960</v>
      </c>
      <c r="K1799" s="302">
        <v>9635</v>
      </c>
      <c r="L1799" s="302">
        <v>-239</v>
      </c>
      <c r="M1799" s="302">
        <v>108</v>
      </c>
      <c r="N1799" s="302">
        <v>16413</v>
      </c>
      <c r="O1799" s="302">
        <v>3679</v>
      </c>
      <c r="P1799" s="302">
        <v>29727</v>
      </c>
      <c r="Q1799" s="302">
        <v>258489</v>
      </c>
      <c r="R1799" s="12" t="s">
        <v>4967</v>
      </c>
      <c r="S1799" s="12" t="s">
        <v>25</v>
      </c>
      <c r="T1799" s="12" t="s">
        <v>25</v>
      </c>
    </row>
    <row r="1800" spans="1:20" hidden="1" x14ac:dyDescent="0.3">
      <c r="A1800" s="13">
        <v>43970.708333333336</v>
      </c>
      <c r="B1800" s="12" t="s">
        <v>22</v>
      </c>
      <c r="C1800" s="302">
        <v>16</v>
      </c>
      <c r="D1800" s="12" t="s">
        <v>54</v>
      </c>
      <c r="E1800" s="302">
        <v>4112559576</v>
      </c>
      <c r="F1800" s="302">
        <v>1686736689</v>
      </c>
      <c r="G1800" s="302">
        <v>247</v>
      </c>
      <c r="H1800" s="302">
        <v>22</v>
      </c>
      <c r="I1800" s="302">
        <v>269</v>
      </c>
      <c r="J1800" s="302">
        <v>1672</v>
      </c>
      <c r="K1800" s="302">
        <v>1941</v>
      </c>
      <c r="L1800" s="302">
        <v>-54</v>
      </c>
      <c r="M1800" s="302">
        <v>10</v>
      </c>
      <c r="N1800" s="302">
        <v>1982</v>
      </c>
      <c r="O1800" s="302">
        <v>473</v>
      </c>
      <c r="P1800" s="302">
        <v>4396</v>
      </c>
      <c r="Q1800" s="302">
        <v>93834</v>
      </c>
      <c r="R1800" s="12" t="s">
        <v>4968</v>
      </c>
      <c r="S1800" s="12" t="s">
        <v>25</v>
      </c>
      <c r="T1800" s="12" t="s">
        <v>25</v>
      </c>
    </row>
    <row r="1801" spans="1:20" hidden="1" x14ac:dyDescent="0.3">
      <c r="A1801" s="13">
        <v>43970.708333333336</v>
      </c>
      <c r="B1801" s="12" t="s">
        <v>22</v>
      </c>
      <c r="C1801" s="302">
        <v>20</v>
      </c>
      <c r="D1801" s="12" t="s">
        <v>55</v>
      </c>
      <c r="E1801" s="302">
        <v>3921531192</v>
      </c>
      <c r="F1801" s="302">
        <v>9110616306</v>
      </c>
      <c r="G1801" s="302">
        <v>71</v>
      </c>
      <c r="H1801" s="302">
        <v>9</v>
      </c>
      <c r="I1801" s="302">
        <v>80</v>
      </c>
      <c r="J1801" s="302">
        <v>261</v>
      </c>
      <c r="K1801" s="302">
        <v>341</v>
      </c>
      <c r="L1801" s="302">
        <v>-39</v>
      </c>
      <c r="M1801" s="302">
        <v>1</v>
      </c>
      <c r="N1801" s="302">
        <v>887</v>
      </c>
      <c r="O1801" s="302">
        <v>126</v>
      </c>
      <c r="P1801" s="302">
        <v>1354</v>
      </c>
      <c r="Q1801" s="302">
        <v>44413</v>
      </c>
      <c r="R1801" s="12" t="s">
        <v>4969</v>
      </c>
      <c r="S1801" s="12" t="s">
        <v>25</v>
      </c>
      <c r="T1801" s="12" t="s">
        <v>25</v>
      </c>
    </row>
    <row r="1802" spans="1:20" hidden="1" x14ac:dyDescent="0.3">
      <c r="A1802" s="13">
        <v>43970.708333333336</v>
      </c>
      <c r="B1802" s="12" t="s">
        <v>22</v>
      </c>
      <c r="C1802" s="302">
        <v>19</v>
      </c>
      <c r="D1802" s="12" t="s">
        <v>56</v>
      </c>
      <c r="E1802" s="302">
        <v>3811569725</v>
      </c>
      <c r="F1802" s="302">
        <v>133623567</v>
      </c>
      <c r="G1802" s="302">
        <v>125</v>
      </c>
      <c r="H1802" s="302">
        <v>12</v>
      </c>
      <c r="I1802" s="302">
        <v>137</v>
      </c>
      <c r="J1802" s="302">
        <v>1387</v>
      </c>
      <c r="K1802" s="302">
        <v>1524</v>
      </c>
      <c r="L1802" s="302">
        <v>-15</v>
      </c>
      <c r="M1802" s="302">
        <v>8</v>
      </c>
      <c r="N1802" s="302">
        <v>1611</v>
      </c>
      <c r="O1802" s="302">
        <v>268</v>
      </c>
      <c r="P1802" s="302">
        <v>3403</v>
      </c>
      <c r="Q1802" s="302">
        <v>122040</v>
      </c>
      <c r="R1802" s="12" t="s">
        <v>4970</v>
      </c>
      <c r="S1802" s="12" t="s">
        <v>25</v>
      </c>
      <c r="T1802" s="12" t="s">
        <v>25</v>
      </c>
    </row>
    <row r="1803" spans="1:20" hidden="1" x14ac:dyDescent="0.3">
      <c r="A1803" s="13">
        <v>43970.708333333336</v>
      </c>
      <c r="B1803" s="12" t="s">
        <v>22</v>
      </c>
      <c r="C1803" s="302">
        <v>9</v>
      </c>
      <c r="D1803" s="12" t="s">
        <v>57</v>
      </c>
      <c r="E1803" s="302">
        <v>4376923077</v>
      </c>
      <c r="F1803" s="302">
        <v>1125588885</v>
      </c>
      <c r="G1803" s="302">
        <v>190</v>
      </c>
      <c r="H1803" s="302">
        <v>56</v>
      </c>
      <c r="I1803" s="302">
        <v>246</v>
      </c>
      <c r="J1803" s="302">
        <v>2077</v>
      </c>
      <c r="K1803" s="302">
        <v>2323</v>
      </c>
      <c r="L1803" s="302">
        <v>-250</v>
      </c>
      <c r="M1803" s="302">
        <v>7</v>
      </c>
      <c r="N1803" s="302">
        <v>6653</v>
      </c>
      <c r="O1803" s="302">
        <v>992</v>
      </c>
      <c r="P1803" s="302">
        <v>9968</v>
      </c>
      <c r="Q1803" s="302">
        <v>209161</v>
      </c>
      <c r="R1803" s="12" t="s">
        <v>4971</v>
      </c>
      <c r="S1803" s="12" t="s">
        <v>25</v>
      </c>
      <c r="T1803" s="12" t="s">
        <v>25</v>
      </c>
    </row>
    <row r="1804" spans="1:20" hidden="1" x14ac:dyDescent="0.3">
      <c r="A1804" s="13">
        <v>43970.708333333336</v>
      </c>
      <c r="B1804" s="12" t="s">
        <v>22</v>
      </c>
      <c r="C1804" s="302">
        <v>22</v>
      </c>
      <c r="D1804" s="12" t="s">
        <v>58</v>
      </c>
      <c r="E1804" s="302">
        <v>4606893511</v>
      </c>
      <c r="F1804" s="302">
        <v>1112123097</v>
      </c>
      <c r="G1804" s="302">
        <v>42</v>
      </c>
      <c r="H1804" s="302">
        <v>8</v>
      </c>
      <c r="I1804" s="302">
        <v>50</v>
      </c>
      <c r="J1804" s="302">
        <v>154</v>
      </c>
      <c r="K1804" s="302">
        <v>204</v>
      </c>
      <c r="L1804" s="302">
        <v>-44</v>
      </c>
      <c r="M1804" s="302">
        <v>7</v>
      </c>
      <c r="N1804" s="302">
        <v>3699</v>
      </c>
      <c r="O1804" s="302">
        <v>455</v>
      </c>
      <c r="P1804" s="302">
        <v>4358</v>
      </c>
      <c r="Q1804" s="302">
        <v>70691</v>
      </c>
      <c r="R1804" s="12" t="s">
        <v>4972</v>
      </c>
      <c r="S1804" s="12" t="s">
        <v>25</v>
      </c>
      <c r="T1804" s="12" t="s">
        <v>25</v>
      </c>
    </row>
    <row r="1805" spans="1:20" hidden="1" x14ac:dyDescent="0.3">
      <c r="A1805" s="13">
        <v>43970.708333333336</v>
      </c>
      <c r="B1805" s="12" t="s">
        <v>22</v>
      </c>
      <c r="C1805" s="302">
        <v>10</v>
      </c>
      <c r="D1805" s="12" t="s">
        <v>59</v>
      </c>
      <c r="E1805" s="302">
        <v>4310675841</v>
      </c>
      <c r="F1805" s="302">
        <v>1238824698</v>
      </c>
      <c r="G1805" s="302">
        <v>25</v>
      </c>
      <c r="H1805" s="302">
        <v>2</v>
      </c>
      <c r="I1805" s="302">
        <v>27</v>
      </c>
      <c r="J1805" s="302">
        <v>39</v>
      </c>
      <c r="K1805" s="302">
        <v>66</v>
      </c>
      <c r="L1805" s="302">
        <v>-11</v>
      </c>
      <c r="M1805" s="302">
        <v>3</v>
      </c>
      <c r="N1805" s="302">
        <v>1287</v>
      </c>
      <c r="O1805" s="302">
        <v>74</v>
      </c>
      <c r="P1805" s="302">
        <v>1427</v>
      </c>
      <c r="Q1805" s="302">
        <v>57822</v>
      </c>
      <c r="R1805" s="12" t="s">
        <v>4973</v>
      </c>
      <c r="S1805" s="12" t="s">
        <v>25</v>
      </c>
      <c r="T1805" s="12" t="s">
        <v>25</v>
      </c>
    </row>
    <row r="1806" spans="1:20" hidden="1" x14ac:dyDescent="0.3">
      <c r="A1806" s="13">
        <v>43970.708333333336</v>
      </c>
      <c r="B1806" s="12" t="s">
        <v>22</v>
      </c>
      <c r="C1806" s="302">
        <v>2</v>
      </c>
      <c r="D1806" s="12" t="s">
        <v>60</v>
      </c>
      <c r="E1806" s="302">
        <v>4573750286</v>
      </c>
      <c r="F1806" s="302">
        <v>7320149366</v>
      </c>
      <c r="G1806" s="302">
        <v>26</v>
      </c>
      <c r="H1806" s="302">
        <v>1</v>
      </c>
      <c r="I1806" s="302">
        <v>27</v>
      </c>
      <c r="J1806" s="302">
        <v>22</v>
      </c>
      <c r="K1806" s="302">
        <v>49</v>
      </c>
      <c r="L1806" s="302">
        <v>-11</v>
      </c>
      <c r="M1806" s="302">
        <v>1</v>
      </c>
      <c r="N1806" s="302">
        <v>983</v>
      </c>
      <c r="O1806" s="302">
        <v>143</v>
      </c>
      <c r="P1806" s="302">
        <v>1175</v>
      </c>
      <c r="Q1806" s="302">
        <v>12663</v>
      </c>
      <c r="R1806" s="12" t="s">
        <v>4974</v>
      </c>
      <c r="S1806" s="12" t="s">
        <v>25</v>
      </c>
      <c r="T1806" s="12" t="s">
        <v>25</v>
      </c>
    </row>
    <row r="1807" spans="1:20" hidden="1" x14ac:dyDescent="0.3">
      <c r="A1807" s="13">
        <v>43970.708333333336</v>
      </c>
      <c r="B1807" s="12" t="s">
        <v>22</v>
      </c>
      <c r="C1807" s="302">
        <v>5</v>
      </c>
      <c r="D1807" s="12" t="s">
        <v>61</v>
      </c>
      <c r="E1807" s="302">
        <v>4543490485</v>
      </c>
      <c r="F1807" s="302">
        <v>1233845213</v>
      </c>
      <c r="G1807" s="302">
        <v>259</v>
      </c>
      <c r="H1807" s="302">
        <v>18</v>
      </c>
      <c r="I1807" s="302">
        <v>277</v>
      </c>
      <c r="J1807" s="302">
        <v>3477</v>
      </c>
      <c r="K1807" s="302">
        <v>3754</v>
      </c>
      <c r="L1807" s="302">
        <v>-250</v>
      </c>
      <c r="M1807" s="302">
        <v>47</v>
      </c>
      <c r="N1807" s="302">
        <v>13423</v>
      </c>
      <c r="O1807" s="302">
        <v>1820</v>
      </c>
      <c r="P1807" s="302">
        <v>18997</v>
      </c>
      <c r="Q1807" s="302">
        <v>523800</v>
      </c>
      <c r="R1807" s="12" t="s">
        <v>4975</v>
      </c>
      <c r="S1807" s="12" t="s">
        <v>25</v>
      </c>
      <c r="T1807" s="12" t="s">
        <v>25</v>
      </c>
    </row>
    <row r="1808" spans="1:20" hidden="1" x14ac:dyDescent="0.3">
      <c r="A1808" s="13">
        <v>43971.708333333336</v>
      </c>
      <c r="B1808" s="12" t="s">
        <v>22</v>
      </c>
      <c r="C1808" s="302">
        <v>13</v>
      </c>
      <c r="D1808" s="12" t="s">
        <v>42</v>
      </c>
      <c r="E1808" s="302">
        <v>4235122196</v>
      </c>
      <c r="F1808" s="302">
        <v>1339843823</v>
      </c>
      <c r="G1808" s="302">
        <v>185</v>
      </c>
      <c r="H1808" s="302">
        <v>6</v>
      </c>
      <c r="I1808" s="302">
        <v>191</v>
      </c>
      <c r="J1808" s="302">
        <v>1126</v>
      </c>
      <c r="K1808" s="302">
        <v>1317</v>
      </c>
      <c r="L1808" s="302">
        <v>-72</v>
      </c>
      <c r="M1808" s="302">
        <v>8</v>
      </c>
      <c r="N1808" s="302">
        <v>1499</v>
      </c>
      <c r="O1808" s="302">
        <v>389</v>
      </c>
      <c r="P1808" s="302">
        <v>3205</v>
      </c>
      <c r="Q1808" s="302">
        <v>61123</v>
      </c>
      <c r="R1808" s="12" t="s">
        <v>4976</v>
      </c>
      <c r="S1808" s="12" t="s">
        <v>25</v>
      </c>
      <c r="T1808" s="12" t="s">
        <v>25</v>
      </c>
    </row>
    <row r="1809" spans="1:20" hidden="1" x14ac:dyDescent="0.3">
      <c r="A1809" s="13">
        <v>43971.708333333336</v>
      </c>
      <c r="B1809" s="12" t="s">
        <v>22</v>
      </c>
      <c r="C1809" s="302">
        <v>17</v>
      </c>
      <c r="D1809" s="12" t="s">
        <v>43</v>
      </c>
      <c r="E1809" s="302">
        <v>4063947052</v>
      </c>
      <c r="F1809" s="302">
        <v>1580514834</v>
      </c>
      <c r="G1809" s="302">
        <v>22</v>
      </c>
      <c r="H1809" s="302">
        <v>1</v>
      </c>
      <c r="I1809" s="302">
        <v>23</v>
      </c>
      <c r="J1809" s="302">
        <v>50</v>
      </c>
      <c r="K1809" s="302">
        <v>73</v>
      </c>
      <c r="L1809" s="302">
        <v>-11</v>
      </c>
      <c r="M1809" s="302">
        <v>0</v>
      </c>
      <c r="N1809" s="302">
        <v>293</v>
      </c>
      <c r="O1809" s="302">
        <v>27</v>
      </c>
      <c r="P1809" s="302">
        <v>393</v>
      </c>
      <c r="Q1809" s="302">
        <v>23986</v>
      </c>
      <c r="R1809" s="12" t="s">
        <v>4977</v>
      </c>
      <c r="S1809" s="12" t="s">
        <v>25</v>
      </c>
      <c r="T1809" s="12" t="s">
        <v>25</v>
      </c>
    </row>
    <row r="1810" spans="1:20" hidden="1" x14ac:dyDescent="0.3">
      <c r="A1810" s="13">
        <v>43971.708333333336</v>
      </c>
      <c r="B1810" s="12" t="s">
        <v>22</v>
      </c>
      <c r="C1810" s="302">
        <v>21</v>
      </c>
      <c r="D1810" s="12" t="s">
        <v>44</v>
      </c>
      <c r="E1810" s="302">
        <v>4649933453</v>
      </c>
      <c r="F1810" s="302">
        <v>1135662422</v>
      </c>
      <c r="G1810" s="302">
        <v>43</v>
      </c>
      <c r="H1810" s="302">
        <v>5</v>
      </c>
      <c r="I1810" s="302">
        <v>48</v>
      </c>
      <c r="J1810" s="302">
        <v>224</v>
      </c>
      <c r="K1810" s="302">
        <v>272</v>
      </c>
      <c r="L1810" s="302">
        <v>-36</v>
      </c>
      <c r="M1810" s="302">
        <v>0</v>
      </c>
      <c r="N1810" s="302">
        <v>2024</v>
      </c>
      <c r="O1810" s="302">
        <v>291</v>
      </c>
      <c r="P1810" s="302">
        <v>2587</v>
      </c>
      <c r="Q1810" s="302">
        <v>56310</v>
      </c>
      <c r="R1810" s="12" t="s">
        <v>4978</v>
      </c>
      <c r="S1810" s="12" t="s">
        <v>25</v>
      </c>
      <c r="T1810" s="12" t="s">
        <v>25</v>
      </c>
    </row>
    <row r="1811" spans="1:20" hidden="1" x14ac:dyDescent="0.3">
      <c r="A1811" s="13">
        <v>43971.708333333336</v>
      </c>
      <c r="B1811" s="12" t="s">
        <v>22</v>
      </c>
      <c r="C1811" s="302">
        <v>18</v>
      </c>
      <c r="D1811" s="12" t="s">
        <v>45</v>
      </c>
      <c r="E1811" s="302">
        <v>3890597598</v>
      </c>
      <c r="F1811" s="302">
        <v>1659440194</v>
      </c>
      <c r="G1811" s="302">
        <v>49</v>
      </c>
      <c r="H1811" s="302">
        <v>1</v>
      </c>
      <c r="I1811" s="302">
        <v>50</v>
      </c>
      <c r="J1811" s="302">
        <v>303</v>
      </c>
      <c r="K1811" s="302">
        <v>353</v>
      </c>
      <c r="L1811" s="302">
        <v>-29</v>
      </c>
      <c r="M1811" s="302">
        <v>3</v>
      </c>
      <c r="N1811" s="302">
        <v>707</v>
      </c>
      <c r="O1811" s="302">
        <v>96</v>
      </c>
      <c r="P1811" s="302">
        <v>1156</v>
      </c>
      <c r="Q1811" s="302">
        <v>58468</v>
      </c>
      <c r="R1811" s="12" t="s">
        <v>4979</v>
      </c>
      <c r="S1811" s="12" t="s">
        <v>25</v>
      </c>
      <c r="T1811" s="12" t="s">
        <v>25</v>
      </c>
    </row>
    <row r="1812" spans="1:20" hidden="1" x14ac:dyDescent="0.3">
      <c r="A1812" s="13">
        <v>43971.708333333336</v>
      </c>
      <c r="B1812" s="12" t="s">
        <v>22</v>
      </c>
      <c r="C1812" s="302">
        <v>15</v>
      </c>
      <c r="D1812" s="12" t="s">
        <v>46</v>
      </c>
      <c r="E1812" s="302">
        <v>4083956555</v>
      </c>
      <c r="F1812" s="302">
        <v>1425084984</v>
      </c>
      <c r="G1812" s="302">
        <v>318</v>
      </c>
      <c r="H1812" s="302">
        <v>12</v>
      </c>
      <c r="I1812" s="302">
        <v>330</v>
      </c>
      <c r="J1812" s="302">
        <v>1112</v>
      </c>
      <c r="K1812" s="302">
        <v>1442</v>
      </c>
      <c r="L1812" s="302">
        <v>-76</v>
      </c>
      <c r="M1812" s="302">
        <v>7</v>
      </c>
      <c r="N1812" s="302">
        <v>2871</v>
      </c>
      <c r="O1812" s="302">
        <v>401</v>
      </c>
      <c r="P1812" s="302">
        <v>4714</v>
      </c>
      <c r="Q1812" s="302">
        <v>150764</v>
      </c>
      <c r="R1812" s="12" t="s">
        <v>4980</v>
      </c>
      <c r="S1812" s="12" t="s">
        <v>25</v>
      </c>
      <c r="T1812" s="12" t="s">
        <v>25</v>
      </c>
    </row>
    <row r="1813" spans="1:20" hidden="1" x14ac:dyDescent="0.3">
      <c r="A1813" s="13">
        <v>43971.708333333336</v>
      </c>
      <c r="B1813" s="12" t="s">
        <v>22</v>
      </c>
      <c r="C1813" s="302">
        <v>8</v>
      </c>
      <c r="D1813" s="12" t="s">
        <v>95</v>
      </c>
      <c r="E1813" s="302">
        <v>4449436681</v>
      </c>
      <c r="F1813" s="302">
        <v>113417208</v>
      </c>
      <c r="G1813" s="302">
        <v>626</v>
      </c>
      <c r="H1813" s="302">
        <v>96</v>
      </c>
      <c r="I1813" s="302">
        <v>722</v>
      </c>
      <c r="J1813" s="302">
        <v>4376</v>
      </c>
      <c r="K1813" s="302">
        <v>5098</v>
      </c>
      <c r="L1813" s="302">
        <v>-232</v>
      </c>
      <c r="M1813" s="302">
        <v>50</v>
      </c>
      <c r="N1813" s="302">
        <v>18258</v>
      </c>
      <c r="O1813" s="302">
        <v>4008</v>
      </c>
      <c r="P1813" s="302">
        <v>27364</v>
      </c>
      <c r="Q1813" s="302">
        <v>274362</v>
      </c>
      <c r="R1813" s="12" t="s">
        <v>4981</v>
      </c>
      <c r="S1813" s="12" t="s">
        <v>25</v>
      </c>
      <c r="T1813" s="12" t="s">
        <v>25</v>
      </c>
    </row>
    <row r="1814" spans="1:20" hidden="1" x14ac:dyDescent="0.3">
      <c r="A1814" s="13">
        <v>43971.708333333336</v>
      </c>
      <c r="B1814" s="12" t="s">
        <v>22</v>
      </c>
      <c r="C1814" s="302">
        <v>6</v>
      </c>
      <c r="D1814" s="12" t="s">
        <v>47</v>
      </c>
      <c r="E1814" s="302">
        <v>456494354</v>
      </c>
      <c r="F1814" s="302">
        <v>1376813649</v>
      </c>
      <c r="G1814" s="302">
        <v>76</v>
      </c>
      <c r="H1814" s="302">
        <v>2</v>
      </c>
      <c r="I1814" s="302">
        <v>78</v>
      </c>
      <c r="J1814" s="302">
        <v>518</v>
      </c>
      <c r="K1814" s="302">
        <v>596</v>
      </c>
      <c r="L1814" s="302">
        <v>-4</v>
      </c>
      <c r="M1814" s="302">
        <v>6</v>
      </c>
      <c r="N1814" s="302">
        <v>2291</v>
      </c>
      <c r="O1814" s="302">
        <v>322</v>
      </c>
      <c r="P1814" s="302">
        <v>3209</v>
      </c>
      <c r="Q1814" s="302">
        <v>108671</v>
      </c>
      <c r="R1814" s="12" t="s">
        <v>4982</v>
      </c>
      <c r="S1814" s="12" t="s">
        <v>25</v>
      </c>
      <c r="T1814" s="12" t="s">
        <v>25</v>
      </c>
    </row>
    <row r="1815" spans="1:20" hidden="1" x14ac:dyDescent="0.3">
      <c r="A1815" s="13">
        <v>43971.708333333336</v>
      </c>
      <c r="B1815" s="12" t="s">
        <v>22</v>
      </c>
      <c r="C1815" s="302">
        <v>12</v>
      </c>
      <c r="D1815" s="12" t="s">
        <v>48</v>
      </c>
      <c r="E1815" s="302">
        <v>4189277044</v>
      </c>
      <c r="F1815" s="302">
        <v>1248366722</v>
      </c>
      <c r="G1815" s="302">
        <v>1119</v>
      </c>
      <c r="H1815" s="302">
        <v>74</v>
      </c>
      <c r="I1815" s="302">
        <v>1193</v>
      </c>
      <c r="J1815" s="302">
        <v>2593</v>
      </c>
      <c r="K1815" s="302">
        <v>3786</v>
      </c>
      <c r="L1815" s="302">
        <v>0</v>
      </c>
      <c r="M1815" s="302">
        <v>28</v>
      </c>
      <c r="N1815" s="302">
        <v>3100</v>
      </c>
      <c r="O1815" s="302">
        <v>647</v>
      </c>
      <c r="P1815" s="302">
        <v>7533</v>
      </c>
      <c r="Q1815" s="302">
        <v>217849</v>
      </c>
      <c r="R1815" s="12" t="s">
        <v>4983</v>
      </c>
      <c r="S1815" s="12" t="s">
        <v>25</v>
      </c>
      <c r="T1815" s="12" t="s">
        <v>25</v>
      </c>
    </row>
    <row r="1816" spans="1:20" x14ac:dyDescent="0.3">
      <c r="A1816" s="13">
        <v>43971.708333333336</v>
      </c>
      <c r="B1816" s="12" t="s">
        <v>22</v>
      </c>
      <c r="C1816" s="302">
        <v>7</v>
      </c>
      <c r="D1816" s="12" t="s">
        <v>49</v>
      </c>
      <c r="E1816" s="302">
        <v>4441149315</v>
      </c>
      <c r="F1816" s="302">
        <v>89326992</v>
      </c>
      <c r="G1816" s="302">
        <v>310</v>
      </c>
      <c r="H1816" s="302">
        <v>22</v>
      </c>
      <c r="I1816" s="302">
        <v>332</v>
      </c>
      <c r="J1816" s="302">
        <v>1846</v>
      </c>
      <c r="K1816" s="302">
        <v>2178</v>
      </c>
      <c r="L1816" s="302">
        <v>-86</v>
      </c>
      <c r="M1816" s="302">
        <v>32</v>
      </c>
      <c r="N1816" s="302">
        <v>5725</v>
      </c>
      <c r="O1816" s="302">
        <v>1386</v>
      </c>
      <c r="P1816" s="302">
        <v>9289</v>
      </c>
      <c r="Q1816" s="302">
        <v>85140</v>
      </c>
      <c r="R1816" s="12" t="s">
        <v>4984</v>
      </c>
      <c r="S1816" s="12" t="s">
        <v>25</v>
      </c>
      <c r="T1816" s="12" t="s">
        <v>25</v>
      </c>
    </row>
    <row r="1817" spans="1:20" hidden="1" x14ac:dyDescent="0.3">
      <c r="A1817" s="13">
        <v>43971.708333333336</v>
      </c>
      <c r="B1817" s="12" t="s">
        <v>22</v>
      </c>
      <c r="C1817" s="302">
        <v>3</v>
      </c>
      <c r="D1817" s="12" t="s">
        <v>50</v>
      </c>
      <c r="E1817" s="302">
        <v>4546679409</v>
      </c>
      <c r="F1817" s="302">
        <v>9190347404</v>
      </c>
      <c r="G1817" s="302">
        <v>4281</v>
      </c>
      <c r="H1817" s="302">
        <v>231</v>
      </c>
      <c r="I1817" s="302">
        <v>4512</v>
      </c>
      <c r="J1817" s="302">
        <v>22159</v>
      </c>
      <c r="K1817" s="302">
        <v>26671</v>
      </c>
      <c r="L1817" s="302">
        <v>-620</v>
      </c>
      <c r="M1817" s="302">
        <v>294</v>
      </c>
      <c r="N1817" s="302">
        <v>43442</v>
      </c>
      <c r="O1817" s="302">
        <v>15662</v>
      </c>
      <c r="P1817" s="302">
        <v>85775</v>
      </c>
      <c r="Q1817" s="302">
        <v>607863</v>
      </c>
      <c r="R1817" s="12" t="s">
        <v>4985</v>
      </c>
      <c r="S1817" s="12" t="s">
        <v>25</v>
      </c>
      <c r="T1817" s="12" t="s">
        <v>25</v>
      </c>
    </row>
    <row r="1818" spans="1:20" hidden="1" x14ac:dyDescent="0.3">
      <c r="A1818" s="13">
        <v>43971.708333333336</v>
      </c>
      <c r="B1818" s="12" t="s">
        <v>22</v>
      </c>
      <c r="C1818" s="302">
        <v>11</v>
      </c>
      <c r="D1818" s="12" t="s">
        <v>51</v>
      </c>
      <c r="E1818" s="302">
        <v>4361675973</v>
      </c>
      <c r="F1818" s="302">
        <v>135188753</v>
      </c>
      <c r="G1818" s="302">
        <v>125</v>
      </c>
      <c r="H1818" s="302">
        <v>16</v>
      </c>
      <c r="I1818" s="302">
        <v>141</v>
      </c>
      <c r="J1818" s="302">
        <v>1833</v>
      </c>
      <c r="K1818" s="302">
        <v>1974</v>
      </c>
      <c r="L1818" s="302">
        <v>-154</v>
      </c>
      <c r="M1818" s="302">
        <v>2</v>
      </c>
      <c r="N1818" s="302">
        <v>3716</v>
      </c>
      <c r="O1818" s="302">
        <v>987</v>
      </c>
      <c r="P1818" s="302">
        <v>6677</v>
      </c>
      <c r="Q1818" s="302">
        <v>90093</v>
      </c>
      <c r="R1818" s="12" t="s">
        <v>4986</v>
      </c>
      <c r="S1818" s="12" t="s">
        <v>25</v>
      </c>
      <c r="T1818" s="12" t="s">
        <v>25</v>
      </c>
    </row>
    <row r="1819" spans="1:20" hidden="1" x14ac:dyDescent="0.3">
      <c r="A1819" s="13">
        <v>43971.708333333336</v>
      </c>
      <c r="B1819" s="12" t="s">
        <v>22</v>
      </c>
      <c r="C1819" s="302">
        <v>14</v>
      </c>
      <c r="D1819" s="12" t="s">
        <v>52</v>
      </c>
      <c r="E1819" s="302">
        <v>4155774754</v>
      </c>
      <c r="F1819" s="302">
        <v>1465916051</v>
      </c>
      <c r="G1819" s="302">
        <v>7</v>
      </c>
      <c r="H1819" s="302">
        <v>2</v>
      </c>
      <c r="I1819" s="302">
        <v>9</v>
      </c>
      <c r="J1819" s="302">
        <v>189</v>
      </c>
      <c r="K1819" s="302">
        <v>198</v>
      </c>
      <c r="L1819" s="302">
        <v>-14</v>
      </c>
      <c r="M1819" s="302">
        <v>0</v>
      </c>
      <c r="N1819" s="302">
        <v>202</v>
      </c>
      <c r="O1819" s="302">
        <v>22</v>
      </c>
      <c r="P1819" s="302">
        <v>422</v>
      </c>
      <c r="Q1819" s="302">
        <v>12158</v>
      </c>
      <c r="R1819" s="12" t="s">
        <v>4987</v>
      </c>
      <c r="S1819" s="12" t="s">
        <v>25</v>
      </c>
      <c r="T1819" s="12" t="s">
        <v>25</v>
      </c>
    </row>
    <row r="1820" spans="1:20" hidden="1" x14ac:dyDescent="0.3">
      <c r="A1820" s="13">
        <v>43971.708333333336</v>
      </c>
      <c r="B1820" s="12" t="s">
        <v>22</v>
      </c>
      <c r="C1820" s="302">
        <v>1</v>
      </c>
      <c r="D1820" s="12" t="s">
        <v>53</v>
      </c>
      <c r="E1820" s="302">
        <v>450732745</v>
      </c>
      <c r="F1820" s="302">
        <v>7680687483</v>
      </c>
      <c r="G1820" s="302">
        <v>1513</v>
      </c>
      <c r="H1820" s="302">
        <v>96</v>
      </c>
      <c r="I1820" s="302">
        <v>1609</v>
      </c>
      <c r="J1820" s="302">
        <v>7542</v>
      </c>
      <c r="K1820" s="302">
        <v>9151</v>
      </c>
      <c r="L1820" s="302">
        <v>-484</v>
      </c>
      <c r="M1820" s="302">
        <v>158</v>
      </c>
      <c r="N1820" s="302">
        <v>17016</v>
      </c>
      <c r="O1820" s="302">
        <v>3718</v>
      </c>
      <c r="P1820" s="302">
        <v>29885</v>
      </c>
      <c r="Q1820" s="302">
        <v>264624</v>
      </c>
      <c r="R1820" s="12" t="s">
        <v>4988</v>
      </c>
      <c r="S1820" s="12" t="s">
        <v>25</v>
      </c>
      <c r="T1820" s="12" t="s">
        <v>25</v>
      </c>
    </row>
    <row r="1821" spans="1:20" hidden="1" x14ac:dyDescent="0.3">
      <c r="A1821" s="13">
        <v>43971.708333333336</v>
      </c>
      <c r="B1821" s="12" t="s">
        <v>22</v>
      </c>
      <c r="C1821" s="302">
        <v>16</v>
      </c>
      <c r="D1821" s="12" t="s">
        <v>54</v>
      </c>
      <c r="E1821" s="302">
        <v>4112559576</v>
      </c>
      <c r="F1821" s="302">
        <v>1686736689</v>
      </c>
      <c r="G1821" s="302">
        <v>242</v>
      </c>
      <c r="H1821" s="302">
        <v>21</v>
      </c>
      <c r="I1821" s="302">
        <v>263</v>
      </c>
      <c r="J1821" s="302">
        <v>1639</v>
      </c>
      <c r="K1821" s="302">
        <v>1902</v>
      </c>
      <c r="L1821" s="302">
        <v>-39</v>
      </c>
      <c r="M1821" s="302">
        <v>11</v>
      </c>
      <c r="N1821" s="302">
        <v>2027</v>
      </c>
      <c r="O1821" s="302">
        <v>478</v>
      </c>
      <c r="P1821" s="302">
        <v>4407</v>
      </c>
      <c r="Q1821" s="302">
        <v>95895</v>
      </c>
      <c r="R1821" s="12" t="s">
        <v>4989</v>
      </c>
      <c r="S1821" s="12" t="s">
        <v>25</v>
      </c>
      <c r="T1821" s="12" t="s">
        <v>25</v>
      </c>
    </row>
    <row r="1822" spans="1:20" hidden="1" x14ac:dyDescent="0.3">
      <c r="A1822" s="13">
        <v>43971.708333333336</v>
      </c>
      <c r="B1822" s="12" t="s">
        <v>22</v>
      </c>
      <c r="C1822" s="302">
        <v>20</v>
      </c>
      <c r="D1822" s="12" t="s">
        <v>55</v>
      </c>
      <c r="E1822" s="302">
        <v>3921531192</v>
      </c>
      <c r="F1822" s="302">
        <v>9110616306</v>
      </c>
      <c r="G1822" s="302">
        <v>68</v>
      </c>
      <c r="H1822" s="302">
        <v>10</v>
      </c>
      <c r="I1822" s="302">
        <v>78</v>
      </c>
      <c r="J1822" s="302">
        <v>253</v>
      </c>
      <c r="K1822" s="302">
        <v>331</v>
      </c>
      <c r="L1822" s="302">
        <v>-10</v>
      </c>
      <c r="M1822" s="302">
        <v>1</v>
      </c>
      <c r="N1822" s="302">
        <v>898</v>
      </c>
      <c r="O1822" s="302">
        <v>126</v>
      </c>
      <c r="P1822" s="302">
        <v>1355</v>
      </c>
      <c r="Q1822" s="302">
        <v>45572</v>
      </c>
      <c r="R1822" s="12" t="s">
        <v>4990</v>
      </c>
      <c r="S1822" s="12" t="s">
        <v>25</v>
      </c>
      <c r="T1822" s="12" t="s">
        <v>25</v>
      </c>
    </row>
    <row r="1823" spans="1:20" hidden="1" x14ac:dyDescent="0.3">
      <c r="A1823" s="13">
        <v>43971.708333333336</v>
      </c>
      <c r="B1823" s="12" t="s">
        <v>22</v>
      </c>
      <c r="C1823" s="302">
        <v>19</v>
      </c>
      <c r="D1823" s="12" t="s">
        <v>56</v>
      </c>
      <c r="E1823" s="302">
        <v>3811569725</v>
      </c>
      <c r="F1823" s="302">
        <v>133623567</v>
      </c>
      <c r="G1823" s="302">
        <v>118</v>
      </c>
      <c r="H1823" s="302">
        <v>11</v>
      </c>
      <c r="I1823" s="302">
        <v>129</v>
      </c>
      <c r="J1823" s="302">
        <v>1394</v>
      </c>
      <c r="K1823" s="302">
        <v>1523</v>
      </c>
      <c r="L1823" s="302">
        <v>-1</v>
      </c>
      <c r="M1823" s="302">
        <v>8</v>
      </c>
      <c r="N1823" s="302">
        <v>1620</v>
      </c>
      <c r="O1823" s="302">
        <v>268</v>
      </c>
      <c r="P1823" s="302">
        <v>3411</v>
      </c>
      <c r="Q1823" s="302">
        <v>123573</v>
      </c>
      <c r="R1823" s="12" t="s">
        <v>4991</v>
      </c>
      <c r="S1823" s="12" t="s">
        <v>25</v>
      </c>
      <c r="T1823" s="12" t="s">
        <v>25</v>
      </c>
    </row>
    <row r="1824" spans="1:20" hidden="1" x14ac:dyDescent="0.3">
      <c r="A1824" s="13">
        <v>43971.708333333336</v>
      </c>
      <c r="B1824" s="12" t="s">
        <v>22</v>
      </c>
      <c r="C1824" s="302">
        <v>9</v>
      </c>
      <c r="D1824" s="12" t="s">
        <v>57</v>
      </c>
      <c r="E1824" s="302">
        <v>4376923077</v>
      </c>
      <c r="F1824" s="302">
        <v>1125588885</v>
      </c>
      <c r="G1824" s="302">
        <v>178</v>
      </c>
      <c r="H1824" s="302">
        <v>45</v>
      </c>
      <c r="I1824" s="302">
        <v>223</v>
      </c>
      <c r="J1824" s="302">
        <v>1894</v>
      </c>
      <c r="K1824" s="302">
        <v>2117</v>
      </c>
      <c r="L1824" s="302">
        <v>-206</v>
      </c>
      <c r="M1824" s="302">
        <v>14</v>
      </c>
      <c r="N1824" s="302">
        <v>6867</v>
      </c>
      <c r="O1824" s="302">
        <v>998</v>
      </c>
      <c r="P1824" s="302">
        <v>9982</v>
      </c>
      <c r="Q1824" s="302">
        <v>214299</v>
      </c>
      <c r="R1824" s="12" t="s">
        <v>4992</v>
      </c>
      <c r="S1824" s="12" t="s">
        <v>25</v>
      </c>
      <c r="T1824" s="12" t="s">
        <v>25</v>
      </c>
    </row>
    <row r="1825" spans="1:20" hidden="1" x14ac:dyDescent="0.3">
      <c r="A1825" s="13">
        <v>43971.708333333336</v>
      </c>
      <c r="B1825" s="12" t="s">
        <v>22</v>
      </c>
      <c r="C1825" s="302">
        <v>22</v>
      </c>
      <c r="D1825" s="12" t="s">
        <v>58</v>
      </c>
      <c r="E1825" s="302">
        <v>4606893511</v>
      </c>
      <c r="F1825" s="302">
        <v>1112123097</v>
      </c>
      <c r="G1825" s="302">
        <v>39</v>
      </c>
      <c r="H1825" s="302">
        <v>6</v>
      </c>
      <c r="I1825" s="302">
        <v>45</v>
      </c>
      <c r="J1825" s="302">
        <v>81</v>
      </c>
      <c r="K1825" s="302">
        <v>126</v>
      </c>
      <c r="L1825" s="302">
        <v>-78</v>
      </c>
      <c r="M1825" s="302">
        <v>10</v>
      </c>
      <c r="N1825" s="302">
        <v>3787</v>
      </c>
      <c r="O1825" s="302">
        <v>455</v>
      </c>
      <c r="P1825" s="302">
        <v>4368</v>
      </c>
      <c r="Q1825" s="302">
        <v>72031</v>
      </c>
      <c r="R1825" s="12" t="s">
        <v>4993</v>
      </c>
      <c r="S1825" s="12" t="s">
        <v>25</v>
      </c>
      <c r="T1825" s="12" t="s">
        <v>25</v>
      </c>
    </row>
    <row r="1826" spans="1:20" hidden="1" x14ac:dyDescent="0.3">
      <c r="A1826" s="13">
        <v>43971.708333333336</v>
      </c>
      <c r="B1826" s="12" t="s">
        <v>22</v>
      </c>
      <c r="C1826" s="302">
        <v>10</v>
      </c>
      <c r="D1826" s="12" t="s">
        <v>59</v>
      </c>
      <c r="E1826" s="302">
        <v>4310675841</v>
      </c>
      <c r="F1826" s="302">
        <v>1238824698</v>
      </c>
      <c r="G1826" s="302">
        <v>25</v>
      </c>
      <c r="H1826" s="302">
        <v>2</v>
      </c>
      <c r="I1826" s="302">
        <v>27</v>
      </c>
      <c r="J1826" s="302">
        <v>39</v>
      </c>
      <c r="K1826" s="302">
        <v>66</v>
      </c>
      <c r="L1826" s="302">
        <v>0</v>
      </c>
      <c r="M1826" s="302">
        <v>0</v>
      </c>
      <c r="N1826" s="302">
        <v>1287</v>
      </c>
      <c r="O1826" s="302">
        <v>74</v>
      </c>
      <c r="P1826" s="302">
        <v>1427</v>
      </c>
      <c r="Q1826" s="302">
        <v>59220</v>
      </c>
      <c r="R1826" s="12" t="s">
        <v>4994</v>
      </c>
      <c r="S1826" s="12" t="s">
        <v>25</v>
      </c>
      <c r="T1826" s="12" t="s">
        <v>25</v>
      </c>
    </row>
    <row r="1827" spans="1:20" hidden="1" x14ac:dyDescent="0.3">
      <c r="A1827" s="13">
        <v>43971.708333333336</v>
      </c>
      <c r="B1827" s="12" t="s">
        <v>22</v>
      </c>
      <c r="C1827" s="302">
        <v>2</v>
      </c>
      <c r="D1827" s="12" t="s">
        <v>60</v>
      </c>
      <c r="E1827" s="302">
        <v>4573750286</v>
      </c>
      <c r="F1827" s="302">
        <v>7320149366</v>
      </c>
      <c r="G1827" s="302">
        <v>25</v>
      </c>
      <c r="H1827" s="302">
        <v>1</v>
      </c>
      <c r="I1827" s="302">
        <v>26</v>
      </c>
      <c r="J1827" s="302">
        <v>20</v>
      </c>
      <c r="K1827" s="302">
        <v>46</v>
      </c>
      <c r="L1827" s="302">
        <v>-3</v>
      </c>
      <c r="M1827" s="302">
        <v>0</v>
      </c>
      <c r="N1827" s="302">
        <v>986</v>
      </c>
      <c r="O1827" s="302">
        <v>143</v>
      </c>
      <c r="P1827" s="302">
        <v>1175</v>
      </c>
      <c r="Q1827" s="302">
        <v>12920</v>
      </c>
      <c r="R1827" s="12" t="s">
        <v>4995</v>
      </c>
      <c r="S1827" s="12" t="s">
        <v>25</v>
      </c>
      <c r="T1827" s="12" t="s">
        <v>25</v>
      </c>
    </row>
    <row r="1828" spans="1:20" hidden="1" x14ac:dyDescent="0.3">
      <c r="A1828" s="13">
        <v>43971.708333333336</v>
      </c>
      <c r="B1828" s="12" t="s">
        <v>22</v>
      </c>
      <c r="C1828" s="302">
        <v>5</v>
      </c>
      <c r="D1828" s="12" t="s">
        <v>61</v>
      </c>
      <c r="E1828" s="302">
        <v>4543490485</v>
      </c>
      <c r="F1828" s="302">
        <v>1233845213</v>
      </c>
      <c r="G1828" s="302">
        <v>255</v>
      </c>
      <c r="H1828" s="302">
        <v>16</v>
      </c>
      <c r="I1828" s="302">
        <v>271</v>
      </c>
      <c r="J1828" s="302">
        <v>3261</v>
      </c>
      <c r="K1828" s="302">
        <v>3532</v>
      </c>
      <c r="L1828" s="302">
        <v>-222</v>
      </c>
      <c r="M1828" s="302">
        <v>33</v>
      </c>
      <c r="N1828" s="302">
        <v>13666</v>
      </c>
      <c r="O1828" s="302">
        <v>1832</v>
      </c>
      <c r="P1828" s="302">
        <v>19030</v>
      </c>
      <c r="Q1828" s="302">
        <v>536798</v>
      </c>
      <c r="R1828" s="12" t="s">
        <v>4996</v>
      </c>
      <c r="S1828" s="12" t="s">
        <v>25</v>
      </c>
      <c r="T1828" s="12" t="s">
        <v>25</v>
      </c>
    </row>
    <row r="1829" spans="1:20" hidden="1" x14ac:dyDescent="0.3">
      <c r="A1829" s="13">
        <v>43972.708333333336</v>
      </c>
      <c r="B1829" s="12" t="s">
        <v>22</v>
      </c>
      <c r="C1829" s="302">
        <v>13</v>
      </c>
      <c r="D1829" s="12" t="s">
        <v>42</v>
      </c>
      <c r="E1829" s="302">
        <v>4235122196</v>
      </c>
      <c r="F1829" s="302">
        <v>1339843823</v>
      </c>
      <c r="G1829" s="302">
        <v>175</v>
      </c>
      <c r="H1829" s="302">
        <v>5</v>
      </c>
      <c r="I1829" s="302">
        <v>180</v>
      </c>
      <c r="J1829" s="302">
        <v>1092</v>
      </c>
      <c r="K1829" s="302">
        <v>1272</v>
      </c>
      <c r="L1829" s="302">
        <v>-45</v>
      </c>
      <c r="M1829" s="302">
        <v>7</v>
      </c>
      <c r="N1829" s="302">
        <v>1549</v>
      </c>
      <c r="O1829" s="302">
        <v>391</v>
      </c>
      <c r="P1829" s="302">
        <v>3212</v>
      </c>
      <c r="Q1829" s="302">
        <v>62161</v>
      </c>
      <c r="R1829" s="12" t="s">
        <v>4997</v>
      </c>
      <c r="S1829" s="12" t="s">
        <v>25</v>
      </c>
      <c r="T1829" s="12" t="s">
        <v>25</v>
      </c>
    </row>
    <row r="1830" spans="1:20" hidden="1" x14ac:dyDescent="0.3">
      <c r="A1830" s="13">
        <v>43972.708333333336</v>
      </c>
      <c r="B1830" s="12" t="s">
        <v>22</v>
      </c>
      <c r="C1830" s="302">
        <v>17</v>
      </c>
      <c r="D1830" s="12" t="s">
        <v>43</v>
      </c>
      <c r="E1830" s="302">
        <v>4063947052</v>
      </c>
      <c r="F1830" s="302">
        <v>1580514834</v>
      </c>
      <c r="G1830" s="302">
        <v>15</v>
      </c>
      <c r="H1830" s="302">
        <v>1</v>
      </c>
      <c r="I1830" s="302">
        <v>16</v>
      </c>
      <c r="J1830" s="302">
        <v>44</v>
      </c>
      <c r="K1830" s="302">
        <v>60</v>
      </c>
      <c r="L1830" s="302">
        <v>-13</v>
      </c>
      <c r="M1830" s="302">
        <v>1</v>
      </c>
      <c r="N1830" s="302">
        <v>307</v>
      </c>
      <c r="O1830" s="302">
        <v>27</v>
      </c>
      <c r="P1830" s="302">
        <v>394</v>
      </c>
      <c r="Q1830" s="302">
        <v>24537</v>
      </c>
      <c r="R1830" s="12" t="s">
        <v>4998</v>
      </c>
      <c r="S1830" s="12" t="s">
        <v>25</v>
      </c>
      <c r="T1830" s="12" t="s">
        <v>25</v>
      </c>
    </row>
    <row r="1831" spans="1:20" hidden="1" x14ac:dyDescent="0.3">
      <c r="A1831" s="13">
        <v>43972.708333333336</v>
      </c>
      <c r="B1831" s="12" t="s">
        <v>22</v>
      </c>
      <c r="C1831" s="302">
        <v>21</v>
      </c>
      <c r="D1831" s="12" t="s">
        <v>44</v>
      </c>
      <c r="E1831" s="302">
        <v>4649933453</v>
      </c>
      <c r="F1831" s="302">
        <v>1135662422</v>
      </c>
      <c r="G1831" s="302">
        <v>50</v>
      </c>
      <c r="H1831" s="302">
        <v>5</v>
      </c>
      <c r="I1831" s="302">
        <v>55</v>
      </c>
      <c r="J1831" s="302">
        <v>195</v>
      </c>
      <c r="K1831" s="302">
        <v>250</v>
      </c>
      <c r="L1831" s="302">
        <v>-22</v>
      </c>
      <c r="M1831" s="302">
        <v>0</v>
      </c>
      <c r="N1831" s="302">
        <v>2046</v>
      </c>
      <c r="O1831" s="302">
        <v>291</v>
      </c>
      <c r="P1831" s="302">
        <v>2587</v>
      </c>
      <c r="Q1831" s="302">
        <v>57104</v>
      </c>
      <c r="R1831" s="12" t="s">
        <v>4999</v>
      </c>
      <c r="S1831" s="12" t="s">
        <v>25</v>
      </c>
      <c r="T1831" s="12" t="s">
        <v>25</v>
      </c>
    </row>
    <row r="1832" spans="1:20" hidden="1" x14ac:dyDescent="0.3">
      <c r="A1832" s="13">
        <v>43972.708333333336</v>
      </c>
      <c r="B1832" s="12" t="s">
        <v>22</v>
      </c>
      <c r="C1832" s="302">
        <v>18</v>
      </c>
      <c r="D1832" s="12" t="s">
        <v>45</v>
      </c>
      <c r="E1832" s="302">
        <v>3890597598</v>
      </c>
      <c r="F1832" s="302">
        <v>1659440194</v>
      </c>
      <c r="G1832" s="302">
        <v>47</v>
      </c>
      <c r="H1832" s="302">
        <v>1</v>
      </c>
      <c r="I1832" s="302">
        <v>48</v>
      </c>
      <c r="J1832" s="302">
        <v>278</v>
      </c>
      <c r="K1832" s="302">
        <v>326</v>
      </c>
      <c r="L1832" s="302">
        <v>-27</v>
      </c>
      <c r="M1832" s="302">
        <v>0</v>
      </c>
      <c r="N1832" s="302">
        <v>734</v>
      </c>
      <c r="O1832" s="302">
        <v>96</v>
      </c>
      <c r="P1832" s="302">
        <v>1156</v>
      </c>
      <c r="Q1832" s="302">
        <v>59724</v>
      </c>
      <c r="R1832" s="12" t="s">
        <v>5000</v>
      </c>
      <c r="S1832" s="12" t="s">
        <v>25</v>
      </c>
      <c r="T1832" s="12" t="s">
        <v>25</v>
      </c>
    </row>
    <row r="1833" spans="1:20" hidden="1" x14ac:dyDescent="0.3">
      <c r="A1833" s="13">
        <v>43972.708333333336</v>
      </c>
      <c r="B1833" s="12" t="s">
        <v>22</v>
      </c>
      <c r="C1833" s="302">
        <v>15</v>
      </c>
      <c r="D1833" s="12" t="s">
        <v>46</v>
      </c>
      <c r="E1833" s="302">
        <v>4083956555</v>
      </c>
      <c r="F1833" s="302">
        <v>1425084984</v>
      </c>
      <c r="G1833" s="302">
        <v>312</v>
      </c>
      <c r="H1833" s="302">
        <v>9</v>
      </c>
      <c r="I1833" s="302">
        <v>321</v>
      </c>
      <c r="J1833" s="302">
        <v>1052</v>
      </c>
      <c r="K1833" s="302">
        <v>1373</v>
      </c>
      <c r="L1833" s="302">
        <v>-69</v>
      </c>
      <c r="M1833" s="302">
        <v>9</v>
      </c>
      <c r="N1833" s="302">
        <v>2947</v>
      </c>
      <c r="O1833" s="302">
        <v>403</v>
      </c>
      <c r="P1833" s="302">
        <v>4723</v>
      </c>
      <c r="Q1833" s="302">
        <v>155842</v>
      </c>
      <c r="R1833" s="12" t="s">
        <v>5001</v>
      </c>
      <c r="S1833" s="12" t="s">
        <v>25</v>
      </c>
      <c r="T1833" s="12" t="s">
        <v>25</v>
      </c>
    </row>
    <row r="1834" spans="1:20" hidden="1" x14ac:dyDescent="0.3">
      <c r="A1834" s="13">
        <v>43972.708333333336</v>
      </c>
      <c r="B1834" s="12" t="s">
        <v>22</v>
      </c>
      <c r="C1834" s="302">
        <v>8</v>
      </c>
      <c r="D1834" s="12" t="s">
        <v>95</v>
      </c>
      <c r="E1834" s="302">
        <v>4449436681</v>
      </c>
      <c r="F1834" s="302">
        <v>113417208</v>
      </c>
      <c r="G1834" s="302">
        <v>592</v>
      </c>
      <c r="H1834" s="302">
        <v>92</v>
      </c>
      <c r="I1834" s="302">
        <v>684</v>
      </c>
      <c r="J1834" s="302">
        <v>4242</v>
      </c>
      <c r="K1834" s="302">
        <v>4926</v>
      </c>
      <c r="L1834" s="302">
        <v>-172</v>
      </c>
      <c r="M1834" s="302">
        <v>53</v>
      </c>
      <c r="N1834" s="302">
        <v>18466</v>
      </c>
      <c r="O1834" s="302">
        <v>4025</v>
      </c>
      <c r="P1834" s="302">
        <v>27417</v>
      </c>
      <c r="Q1834" s="302">
        <v>278917</v>
      </c>
      <c r="R1834" s="12" t="s">
        <v>5002</v>
      </c>
      <c r="S1834" s="12" t="s">
        <v>25</v>
      </c>
      <c r="T1834" s="12" t="s">
        <v>25</v>
      </c>
    </row>
    <row r="1835" spans="1:20" hidden="1" x14ac:dyDescent="0.3">
      <c r="A1835" s="13">
        <v>43972.708333333336</v>
      </c>
      <c r="B1835" s="12" t="s">
        <v>22</v>
      </c>
      <c r="C1835" s="302">
        <v>6</v>
      </c>
      <c r="D1835" s="12" t="s">
        <v>47</v>
      </c>
      <c r="E1835" s="302">
        <v>456494354</v>
      </c>
      <c r="F1835" s="302">
        <v>1376813649</v>
      </c>
      <c r="G1835" s="302">
        <v>72</v>
      </c>
      <c r="H1835" s="302">
        <v>2</v>
      </c>
      <c r="I1835" s="302">
        <v>74</v>
      </c>
      <c r="J1835" s="302">
        <v>504</v>
      </c>
      <c r="K1835" s="302">
        <v>578</v>
      </c>
      <c r="L1835" s="302">
        <v>-18</v>
      </c>
      <c r="M1835" s="302">
        <v>6</v>
      </c>
      <c r="N1835" s="302">
        <v>2314</v>
      </c>
      <c r="O1835" s="302">
        <v>323</v>
      </c>
      <c r="P1835" s="302">
        <v>3215</v>
      </c>
      <c r="Q1835" s="302">
        <v>111541</v>
      </c>
      <c r="R1835" s="12" t="s">
        <v>5003</v>
      </c>
      <c r="S1835" s="12" t="s">
        <v>25</v>
      </c>
      <c r="T1835" s="12" t="s">
        <v>25</v>
      </c>
    </row>
    <row r="1836" spans="1:20" hidden="1" x14ac:dyDescent="0.3">
      <c r="A1836" s="13">
        <v>43972.708333333336</v>
      </c>
      <c r="B1836" s="12" t="s">
        <v>22</v>
      </c>
      <c r="C1836" s="302">
        <v>12</v>
      </c>
      <c r="D1836" s="12" t="s">
        <v>48</v>
      </c>
      <c r="E1836" s="302">
        <v>4189277044</v>
      </c>
      <c r="F1836" s="302">
        <v>1248366722</v>
      </c>
      <c r="G1836" s="302">
        <v>1110</v>
      </c>
      <c r="H1836" s="302">
        <v>68</v>
      </c>
      <c r="I1836" s="302">
        <v>1178</v>
      </c>
      <c r="J1836" s="302">
        <v>2459</v>
      </c>
      <c r="K1836" s="302">
        <v>3637</v>
      </c>
      <c r="L1836" s="302">
        <v>-149</v>
      </c>
      <c r="M1836" s="302">
        <v>25</v>
      </c>
      <c r="N1836" s="302">
        <v>3259</v>
      </c>
      <c r="O1836" s="302">
        <v>662</v>
      </c>
      <c r="P1836" s="302">
        <v>7558</v>
      </c>
      <c r="Q1836" s="302">
        <v>222071</v>
      </c>
      <c r="R1836" s="12" t="s">
        <v>5004</v>
      </c>
      <c r="S1836" s="12" t="s">
        <v>25</v>
      </c>
      <c r="T1836" s="12" t="s">
        <v>25</v>
      </c>
    </row>
    <row r="1837" spans="1:20" x14ac:dyDescent="0.3">
      <c r="A1837" s="13">
        <v>43972.708333333336</v>
      </c>
      <c r="B1837" s="12" t="s">
        <v>22</v>
      </c>
      <c r="C1837" s="302">
        <v>7</v>
      </c>
      <c r="D1837" s="12" t="s">
        <v>49</v>
      </c>
      <c r="E1837" s="302">
        <v>4441149315</v>
      </c>
      <c r="F1837" s="302">
        <v>89326992</v>
      </c>
      <c r="G1837" s="302">
        <v>283</v>
      </c>
      <c r="H1837" s="302">
        <v>22</v>
      </c>
      <c r="I1837" s="302">
        <v>305</v>
      </c>
      <c r="J1837" s="302">
        <v>1770</v>
      </c>
      <c r="K1837" s="302">
        <v>2075</v>
      </c>
      <c r="L1837" s="302">
        <v>-103</v>
      </c>
      <c r="M1837" s="302">
        <v>55</v>
      </c>
      <c r="N1837" s="302">
        <v>5872</v>
      </c>
      <c r="O1837" s="302">
        <v>1397</v>
      </c>
      <c r="P1837" s="302">
        <v>9344</v>
      </c>
      <c r="Q1837" s="302">
        <v>87011</v>
      </c>
      <c r="R1837" s="12" t="s">
        <v>5005</v>
      </c>
      <c r="S1837" s="12" t="s">
        <v>25</v>
      </c>
      <c r="T1837" s="12" t="s">
        <v>25</v>
      </c>
    </row>
    <row r="1838" spans="1:20" hidden="1" x14ac:dyDescent="0.3">
      <c r="A1838" s="13">
        <v>43972.708333333336</v>
      </c>
      <c r="B1838" s="12" t="s">
        <v>22</v>
      </c>
      <c r="C1838" s="302">
        <v>3</v>
      </c>
      <c r="D1838" s="12" t="s">
        <v>50</v>
      </c>
      <c r="E1838" s="302">
        <v>4546679409</v>
      </c>
      <c r="F1838" s="302">
        <v>9190347404</v>
      </c>
      <c r="G1838" s="302">
        <v>4119</v>
      </c>
      <c r="H1838" s="302">
        <v>226</v>
      </c>
      <c r="I1838" s="302">
        <v>4345</v>
      </c>
      <c r="J1838" s="302">
        <v>22370</v>
      </c>
      <c r="K1838" s="302">
        <v>26715</v>
      </c>
      <c r="L1838" s="302">
        <v>44</v>
      </c>
      <c r="M1838" s="302">
        <v>316</v>
      </c>
      <c r="N1838" s="302">
        <v>43649</v>
      </c>
      <c r="O1838" s="302">
        <v>15727</v>
      </c>
      <c r="P1838" s="302">
        <v>86091</v>
      </c>
      <c r="Q1838" s="302">
        <v>622565</v>
      </c>
      <c r="R1838" s="12" t="s">
        <v>5006</v>
      </c>
      <c r="S1838" s="12" t="s">
        <v>25</v>
      </c>
      <c r="T1838" s="12" t="s">
        <v>25</v>
      </c>
    </row>
    <row r="1839" spans="1:20" hidden="1" x14ac:dyDescent="0.3">
      <c r="A1839" s="13">
        <v>43972.708333333336</v>
      </c>
      <c r="B1839" s="12" t="s">
        <v>22</v>
      </c>
      <c r="C1839" s="302">
        <v>11</v>
      </c>
      <c r="D1839" s="12" t="s">
        <v>51</v>
      </c>
      <c r="E1839" s="302">
        <v>4361675973</v>
      </c>
      <c r="F1839" s="302">
        <v>135188753</v>
      </c>
      <c r="G1839" s="302">
        <v>111</v>
      </c>
      <c r="H1839" s="302">
        <v>16</v>
      </c>
      <c r="I1839" s="302">
        <v>127</v>
      </c>
      <c r="J1839" s="302">
        <v>1705</v>
      </c>
      <c r="K1839" s="302">
        <v>1832</v>
      </c>
      <c r="L1839" s="302">
        <v>-142</v>
      </c>
      <c r="M1839" s="302">
        <v>12</v>
      </c>
      <c r="N1839" s="302">
        <v>3867</v>
      </c>
      <c r="O1839" s="302">
        <v>990</v>
      </c>
      <c r="P1839" s="302">
        <v>6689</v>
      </c>
      <c r="Q1839" s="302">
        <v>91885</v>
      </c>
      <c r="R1839" s="12" t="s">
        <v>5007</v>
      </c>
      <c r="S1839" s="12" t="s">
        <v>25</v>
      </c>
      <c r="T1839" s="12" t="s">
        <v>25</v>
      </c>
    </row>
    <row r="1840" spans="1:20" hidden="1" x14ac:dyDescent="0.3">
      <c r="A1840" s="13">
        <v>43972.708333333336</v>
      </c>
      <c r="B1840" s="12" t="s">
        <v>22</v>
      </c>
      <c r="C1840" s="302">
        <v>14</v>
      </c>
      <c r="D1840" s="12" t="s">
        <v>52</v>
      </c>
      <c r="E1840" s="302">
        <v>4155774754</v>
      </c>
      <c r="F1840" s="302">
        <v>1465916051</v>
      </c>
      <c r="G1840" s="302">
        <v>8</v>
      </c>
      <c r="H1840" s="302">
        <v>2</v>
      </c>
      <c r="I1840" s="302">
        <v>10</v>
      </c>
      <c r="J1840" s="302">
        <v>184</v>
      </c>
      <c r="K1840" s="302">
        <v>194</v>
      </c>
      <c r="L1840" s="302">
        <v>-4</v>
      </c>
      <c r="M1840" s="302">
        <v>1</v>
      </c>
      <c r="N1840" s="302">
        <v>207</v>
      </c>
      <c r="O1840" s="302">
        <v>22</v>
      </c>
      <c r="P1840" s="302">
        <v>423</v>
      </c>
      <c r="Q1840" s="302">
        <v>12253</v>
      </c>
      <c r="R1840" s="12" t="s">
        <v>5008</v>
      </c>
      <c r="S1840" s="12" t="s">
        <v>25</v>
      </c>
      <c r="T1840" s="12" t="s">
        <v>25</v>
      </c>
    </row>
    <row r="1841" spans="1:20" hidden="1" x14ac:dyDescent="0.3">
      <c r="A1841" s="13">
        <v>43972.708333333336</v>
      </c>
      <c r="B1841" s="12" t="s">
        <v>22</v>
      </c>
      <c r="C1841" s="302">
        <v>1</v>
      </c>
      <c r="D1841" s="12" t="s">
        <v>53</v>
      </c>
      <c r="E1841" s="302">
        <v>450732745</v>
      </c>
      <c r="F1841" s="302">
        <v>7680687483</v>
      </c>
      <c r="G1841" s="302">
        <v>1479</v>
      </c>
      <c r="H1841" s="302">
        <v>83</v>
      </c>
      <c r="I1841" s="302">
        <v>1562</v>
      </c>
      <c r="J1841" s="302">
        <v>7148</v>
      </c>
      <c r="K1841" s="302">
        <v>8710</v>
      </c>
      <c r="L1841" s="302">
        <v>-441</v>
      </c>
      <c r="M1841" s="302">
        <v>105</v>
      </c>
      <c r="N1841" s="302">
        <v>17538</v>
      </c>
      <c r="O1841" s="302">
        <v>3742</v>
      </c>
      <c r="P1841" s="302">
        <v>29990</v>
      </c>
      <c r="Q1841" s="302">
        <v>271286</v>
      </c>
      <c r="R1841" s="12" t="s">
        <v>5009</v>
      </c>
      <c r="S1841" s="12" t="s">
        <v>25</v>
      </c>
      <c r="T1841" s="12" t="s">
        <v>25</v>
      </c>
    </row>
    <row r="1842" spans="1:20" hidden="1" x14ac:dyDescent="0.3">
      <c r="A1842" s="13">
        <v>43972.708333333336</v>
      </c>
      <c r="B1842" s="12" t="s">
        <v>22</v>
      </c>
      <c r="C1842" s="302">
        <v>16</v>
      </c>
      <c r="D1842" s="12" t="s">
        <v>54</v>
      </c>
      <c r="E1842" s="302">
        <v>4112559576</v>
      </c>
      <c r="F1842" s="302">
        <v>1686736689</v>
      </c>
      <c r="G1842" s="302">
        <v>236</v>
      </c>
      <c r="H1842" s="302">
        <v>20</v>
      </c>
      <c r="I1842" s="302">
        <v>256</v>
      </c>
      <c r="J1842" s="302">
        <v>1583</v>
      </c>
      <c r="K1842" s="302">
        <v>1839</v>
      </c>
      <c r="L1842" s="302">
        <v>-63</v>
      </c>
      <c r="M1842" s="302">
        <v>6</v>
      </c>
      <c r="N1842" s="302">
        <v>2096</v>
      </c>
      <c r="O1842" s="302">
        <v>478</v>
      </c>
      <c r="P1842" s="302">
        <v>4413</v>
      </c>
      <c r="Q1842" s="302">
        <v>97589</v>
      </c>
      <c r="R1842" s="12" t="s">
        <v>5010</v>
      </c>
      <c r="S1842" s="12" t="s">
        <v>25</v>
      </c>
      <c r="T1842" s="12" t="s">
        <v>25</v>
      </c>
    </row>
    <row r="1843" spans="1:20" hidden="1" x14ac:dyDescent="0.3">
      <c r="A1843" s="13">
        <v>43972.708333333336</v>
      </c>
      <c r="B1843" s="12" t="s">
        <v>22</v>
      </c>
      <c r="C1843" s="302">
        <v>20</v>
      </c>
      <c r="D1843" s="12" t="s">
        <v>55</v>
      </c>
      <c r="E1843" s="302">
        <v>3921531192</v>
      </c>
      <c r="F1843" s="302">
        <v>9110616306</v>
      </c>
      <c r="G1843" s="302">
        <v>64</v>
      </c>
      <c r="H1843" s="302">
        <v>12</v>
      </c>
      <c r="I1843" s="302">
        <v>76</v>
      </c>
      <c r="J1843" s="302">
        <v>242</v>
      </c>
      <c r="K1843" s="302">
        <v>318</v>
      </c>
      <c r="L1843" s="302">
        <v>-13</v>
      </c>
      <c r="M1843" s="302">
        <v>1</v>
      </c>
      <c r="N1843" s="302">
        <v>911</v>
      </c>
      <c r="O1843" s="302">
        <v>127</v>
      </c>
      <c r="P1843" s="302">
        <v>1356</v>
      </c>
      <c r="Q1843" s="302">
        <v>46795</v>
      </c>
      <c r="R1843" s="12" t="s">
        <v>5011</v>
      </c>
      <c r="S1843" s="12" t="s">
        <v>25</v>
      </c>
      <c r="T1843" s="12" t="s">
        <v>25</v>
      </c>
    </row>
    <row r="1844" spans="1:20" hidden="1" x14ac:dyDescent="0.3">
      <c r="A1844" s="13">
        <v>43972.708333333336</v>
      </c>
      <c r="B1844" s="12" t="s">
        <v>22</v>
      </c>
      <c r="C1844" s="302">
        <v>19</v>
      </c>
      <c r="D1844" s="12" t="s">
        <v>56</v>
      </c>
      <c r="E1844" s="302">
        <v>3811569725</v>
      </c>
      <c r="F1844" s="302">
        <v>133623567</v>
      </c>
      <c r="G1844" s="302">
        <v>107</v>
      </c>
      <c r="H1844" s="302">
        <v>11</v>
      </c>
      <c r="I1844" s="302">
        <v>118</v>
      </c>
      <c r="J1844" s="302">
        <v>1404</v>
      </c>
      <c r="K1844" s="302">
        <v>1522</v>
      </c>
      <c r="L1844" s="302">
        <v>-1</v>
      </c>
      <c r="M1844" s="302">
        <v>6</v>
      </c>
      <c r="N1844" s="302">
        <v>1627</v>
      </c>
      <c r="O1844" s="302">
        <v>268</v>
      </c>
      <c r="P1844" s="302">
        <v>3417</v>
      </c>
      <c r="Q1844" s="302">
        <v>127348</v>
      </c>
      <c r="R1844" s="12" t="s">
        <v>5012</v>
      </c>
      <c r="S1844" s="12" t="s">
        <v>25</v>
      </c>
      <c r="T1844" s="12" t="s">
        <v>25</v>
      </c>
    </row>
    <row r="1845" spans="1:20" hidden="1" x14ac:dyDescent="0.3">
      <c r="A1845" s="13">
        <v>43972.708333333336</v>
      </c>
      <c r="B1845" s="12" t="s">
        <v>22</v>
      </c>
      <c r="C1845" s="302">
        <v>9</v>
      </c>
      <c r="D1845" s="12" t="s">
        <v>57</v>
      </c>
      <c r="E1845" s="302">
        <v>4376923077</v>
      </c>
      <c r="F1845" s="302">
        <v>1125588885</v>
      </c>
      <c r="G1845" s="302">
        <v>169</v>
      </c>
      <c r="H1845" s="302">
        <v>41</v>
      </c>
      <c r="I1845" s="302">
        <v>210</v>
      </c>
      <c r="J1845" s="302">
        <v>1667</v>
      </c>
      <c r="K1845" s="302">
        <v>1877</v>
      </c>
      <c r="L1845" s="302">
        <v>-240</v>
      </c>
      <c r="M1845" s="302">
        <v>18</v>
      </c>
      <c r="N1845" s="302">
        <v>7119</v>
      </c>
      <c r="O1845" s="302">
        <v>1004</v>
      </c>
      <c r="P1845" s="302">
        <v>10000</v>
      </c>
      <c r="Q1845" s="302">
        <v>218615</v>
      </c>
      <c r="R1845" s="12" t="s">
        <v>5013</v>
      </c>
      <c r="S1845" s="12" t="s">
        <v>25</v>
      </c>
      <c r="T1845" s="12" t="s">
        <v>25</v>
      </c>
    </row>
    <row r="1846" spans="1:20" hidden="1" x14ac:dyDescent="0.3">
      <c r="A1846" s="13">
        <v>43972.708333333336</v>
      </c>
      <c r="B1846" s="12" t="s">
        <v>22</v>
      </c>
      <c r="C1846" s="302">
        <v>22</v>
      </c>
      <c r="D1846" s="12" t="s">
        <v>58</v>
      </c>
      <c r="E1846" s="302">
        <v>4606893511</v>
      </c>
      <c r="F1846" s="302">
        <v>1112123097</v>
      </c>
      <c r="G1846" s="302">
        <v>40</v>
      </c>
      <c r="H1846" s="302">
        <v>6</v>
      </c>
      <c r="I1846" s="302">
        <v>46</v>
      </c>
      <c r="J1846" s="302">
        <v>20</v>
      </c>
      <c r="K1846" s="302">
        <v>66</v>
      </c>
      <c r="L1846" s="302">
        <v>-60</v>
      </c>
      <c r="M1846" s="302">
        <v>10</v>
      </c>
      <c r="N1846" s="302">
        <v>3857</v>
      </c>
      <c r="O1846" s="302">
        <v>455</v>
      </c>
      <c r="P1846" s="302">
        <v>4378</v>
      </c>
      <c r="Q1846" s="302">
        <v>73849</v>
      </c>
      <c r="R1846" s="12" t="s">
        <v>5014</v>
      </c>
      <c r="S1846" s="12" t="s">
        <v>25</v>
      </c>
      <c r="T1846" s="12" t="s">
        <v>25</v>
      </c>
    </row>
    <row r="1847" spans="1:20" hidden="1" x14ac:dyDescent="0.3">
      <c r="A1847" s="13">
        <v>43972.708333333336</v>
      </c>
      <c r="B1847" s="12" t="s">
        <v>22</v>
      </c>
      <c r="C1847" s="302">
        <v>10</v>
      </c>
      <c r="D1847" s="12" t="s">
        <v>59</v>
      </c>
      <c r="E1847" s="302">
        <v>4310675841</v>
      </c>
      <c r="F1847" s="302">
        <v>1238824698</v>
      </c>
      <c r="G1847" s="302">
        <v>17</v>
      </c>
      <c r="H1847" s="302">
        <v>2</v>
      </c>
      <c r="I1847" s="302">
        <v>19</v>
      </c>
      <c r="J1847" s="302">
        <v>42</v>
      </c>
      <c r="K1847" s="302">
        <v>61</v>
      </c>
      <c r="L1847" s="302">
        <v>-5</v>
      </c>
      <c r="M1847" s="302">
        <v>2</v>
      </c>
      <c r="N1847" s="302">
        <v>1294</v>
      </c>
      <c r="O1847" s="302">
        <v>74</v>
      </c>
      <c r="P1847" s="302">
        <v>1429</v>
      </c>
      <c r="Q1847" s="302">
        <v>60471</v>
      </c>
      <c r="R1847" s="12" t="s">
        <v>5015</v>
      </c>
      <c r="S1847" s="12" t="s">
        <v>25</v>
      </c>
      <c r="T1847" s="12" t="s">
        <v>25</v>
      </c>
    </row>
    <row r="1848" spans="1:20" hidden="1" x14ac:dyDescent="0.3">
      <c r="A1848" s="13">
        <v>43972.708333333336</v>
      </c>
      <c r="B1848" s="12" t="s">
        <v>22</v>
      </c>
      <c r="C1848" s="302">
        <v>2</v>
      </c>
      <c r="D1848" s="12" t="s">
        <v>60</v>
      </c>
      <c r="E1848" s="302">
        <v>4573750286</v>
      </c>
      <c r="F1848" s="302">
        <v>7320149366</v>
      </c>
      <c r="G1848" s="302">
        <v>26</v>
      </c>
      <c r="H1848" s="302">
        <v>1</v>
      </c>
      <c r="I1848" s="302">
        <v>27</v>
      </c>
      <c r="J1848" s="302">
        <v>16</v>
      </c>
      <c r="K1848" s="302">
        <v>43</v>
      </c>
      <c r="L1848" s="302">
        <v>-3</v>
      </c>
      <c r="M1848" s="302">
        <v>1</v>
      </c>
      <c r="N1848" s="302">
        <v>990</v>
      </c>
      <c r="O1848" s="302">
        <v>143</v>
      </c>
      <c r="P1848" s="302">
        <v>1176</v>
      </c>
      <c r="Q1848" s="302">
        <v>13261</v>
      </c>
      <c r="R1848" s="12" t="s">
        <v>5016</v>
      </c>
      <c r="S1848" s="12" t="s">
        <v>25</v>
      </c>
      <c r="T1848" s="12" t="s">
        <v>25</v>
      </c>
    </row>
    <row r="1849" spans="1:20" hidden="1" x14ac:dyDescent="0.3">
      <c r="A1849" s="13">
        <v>43972.708333333336</v>
      </c>
      <c r="B1849" s="12" t="s">
        <v>22</v>
      </c>
      <c r="C1849" s="303">
        <v>5</v>
      </c>
      <c r="D1849" s="12" t="s">
        <v>61</v>
      </c>
      <c r="E1849" s="303">
        <v>4543490485</v>
      </c>
      <c r="F1849" s="303">
        <v>1233845213</v>
      </c>
      <c r="G1849" s="303">
        <v>237</v>
      </c>
      <c r="H1849" s="303">
        <v>15</v>
      </c>
      <c r="I1849" s="303">
        <v>252</v>
      </c>
      <c r="J1849" s="303">
        <v>3034</v>
      </c>
      <c r="K1849" s="303">
        <v>3286</v>
      </c>
      <c r="L1849" s="303">
        <v>-246</v>
      </c>
      <c r="M1849" s="303">
        <v>8</v>
      </c>
      <c r="N1849" s="303">
        <v>13911</v>
      </c>
      <c r="O1849" s="303">
        <v>1841</v>
      </c>
      <c r="P1849" s="303">
        <v>19038</v>
      </c>
      <c r="Q1849" s="303">
        <v>548573</v>
      </c>
      <c r="R1849" s="12" t="s">
        <v>5017</v>
      </c>
      <c r="S1849" s="12" t="s">
        <v>25</v>
      </c>
      <c r="T1849" s="12" t="s">
        <v>25</v>
      </c>
    </row>
    <row r="1850" spans="1:20" hidden="1" x14ac:dyDescent="0.3">
      <c r="A1850" s="13">
        <v>43973.708333333336</v>
      </c>
      <c r="B1850" s="12" t="s">
        <v>22</v>
      </c>
      <c r="C1850" s="303">
        <v>13</v>
      </c>
      <c r="D1850" s="12" t="s">
        <v>42</v>
      </c>
      <c r="E1850" s="303">
        <v>4235122196</v>
      </c>
      <c r="F1850" s="303">
        <v>1339843823</v>
      </c>
      <c r="G1850" s="303">
        <v>157</v>
      </c>
      <c r="H1850" s="303">
        <v>4</v>
      </c>
      <c r="I1850" s="303">
        <v>161</v>
      </c>
      <c r="J1850" s="303">
        <v>1018</v>
      </c>
      <c r="K1850" s="303">
        <v>1179</v>
      </c>
      <c r="L1850" s="303">
        <v>-93</v>
      </c>
      <c r="M1850" s="303">
        <v>8</v>
      </c>
      <c r="N1850" s="303">
        <v>1647</v>
      </c>
      <c r="O1850" s="303">
        <v>394</v>
      </c>
      <c r="P1850" s="303">
        <v>3220</v>
      </c>
      <c r="Q1850" s="303">
        <v>63956</v>
      </c>
      <c r="R1850" s="12" t="s">
        <v>5035</v>
      </c>
      <c r="S1850" s="12" t="s">
        <v>25</v>
      </c>
      <c r="T1850" s="12" t="s">
        <v>25</v>
      </c>
    </row>
    <row r="1851" spans="1:20" hidden="1" x14ac:dyDescent="0.3">
      <c r="A1851" s="13">
        <v>43973.708333333336</v>
      </c>
      <c r="B1851" s="12" t="s">
        <v>22</v>
      </c>
      <c r="C1851" s="303">
        <v>17</v>
      </c>
      <c r="D1851" s="12" t="s">
        <v>43</v>
      </c>
      <c r="E1851" s="303">
        <v>4063947052</v>
      </c>
      <c r="F1851" s="303">
        <v>1580514834</v>
      </c>
      <c r="G1851" s="303">
        <v>15</v>
      </c>
      <c r="H1851" s="303">
        <v>1</v>
      </c>
      <c r="I1851" s="303">
        <v>16</v>
      </c>
      <c r="J1851" s="303">
        <v>33</v>
      </c>
      <c r="K1851" s="303">
        <v>49</v>
      </c>
      <c r="L1851" s="303">
        <v>-11</v>
      </c>
      <c r="M1851" s="303">
        <v>0</v>
      </c>
      <c r="N1851" s="303">
        <v>318</v>
      </c>
      <c r="O1851" s="303">
        <v>27</v>
      </c>
      <c r="P1851" s="303">
        <v>394</v>
      </c>
      <c r="Q1851" s="303">
        <v>25045</v>
      </c>
      <c r="R1851" s="12" t="s">
        <v>5036</v>
      </c>
      <c r="S1851" s="12" t="s">
        <v>25</v>
      </c>
      <c r="T1851" s="12" t="s">
        <v>25</v>
      </c>
    </row>
    <row r="1852" spans="1:20" hidden="1" x14ac:dyDescent="0.3">
      <c r="A1852" s="13">
        <v>43973.708333333336</v>
      </c>
      <c r="B1852" s="12" t="s">
        <v>22</v>
      </c>
      <c r="C1852" s="303">
        <v>21</v>
      </c>
      <c r="D1852" s="12" t="s">
        <v>44</v>
      </c>
      <c r="E1852" s="303">
        <v>4649933453</v>
      </c>
      <c r="F1852" s="303">
        <v>1135662422</v>
      </c>
      <c r="G1852" s="303">
        <v>34</v>
      </c>
      <c r="H1852" s="303">
        <v>5</v>
      </c>
      <c r="I1852" s="303">
        <v>39</v>
      </c>
      <c r="J1852" s="303">
        <v>185</v>
      </c>
      <c r="K1852" s="303">
        <v>224</v>
      </c>
      <c r="L1852" s="303">
        <v>-26</v>
      </c>
      <c r="M1852" s="303">
        <v>3</v>
      </c>
      <c r="N1852" s="303">
        <v>2075</v>
      </c>
      <c r="O1852" s="303">
        <v>291</v>
      </c>
      <c r="P1852" s="303">
        <v>2590</v>
      </c>
      <c r="Q1852" s="303">
        <v>58188</v>
      </c>
      <c r="R1852" s="12" t="s">
        <v>5037</v>
      </c>
      <c r="S1852" s="12" t="s">
        <v>25</v>
      </c>
      <c r="T1852" s="12" t="s">
        <v>25</v>
      </c>
    </row>
    <row r="1853" spans="1:20" hidden="1" x14ac:dyDescent="0.3">
      <c r="A1853" s="13">
        <v>43973.708333333336</v>
      </c>
      <c r="B1853" s="12" t="s">
        <v>22</v>
      </c>
      <c r="C1853" s="303">
        <v>18</v>
      </c>
      <c r="D1853" s="12" t="s">
        <v>45</v>
      </c>
      <c r="E1853" s="303">
        <v>3890597598</v>
      </c>
      <c r="F1853" s="303">
        <v>1659440194</v>
      </c>
      <c r="G1853" s="303">
        <v>47</v>
      </c>
      <c r="H1853" s="303">
        <v>1</v>
      </c>
      <c r="I1853" s="303">
        <v>48</v>
      </c>
      <c r="J1853" s="303">
        <v>254</v>
      </c>
      <c r="K1853" s="303">
        <v>302</v>
      </c>
      <c r="L1853" s="303">
        <v>-24</v>
      </c>
      <c r="M1853" s="303">
        <v>1</v>
      </c>
      <c r="N1853" s="303">
        <v>759</v>
      </c>
      <c r="O1853" s="303">
        <v>96</v>
      </c>
      <c r="P1853" s="303">
        <v>1157</v>
      </c>
      <c r="Q1853" s="303">
        <v>60847</v>
      </c>
      <c r="R1853" s="12" t="s">
        <v>5038</v>
      </c>
      <c r="S1853" s="12" t="s">
        <v>25</v>
      </c>
      <c r="T1853" s="12" t="s">
        <v>25</v>
      </c>
    </row>
    <row r="1854" spans="1:20" hidden="1" x14ac:dyDescent="0.3">
      <c r="A1854" s="13">
        <v>43973.708333333336</v>
      </c>
      <c r="B1854" s="12" t="s">
        <v>22</v>
      </c>
      <c r="C1854" s="303">
        <v>15</v>
      </c>
      <c r="D1854" s="12" t="s">
        <v>46</v>
      </c>
      <c r="E1854" s="303">
        <v>4083956555</v>
      </c>
      <c r="F1854" s="303">
        <v>1425084984</v>
      </c>
      <c r="G1854" s="303">
        <v>312</v>
      </c>
      <c r="H1854" s="303">
        <v>9</v>
      </c>
      <c r="I1854" s="303">
        <v>321</v>
      </c>
      <c r="J1854" s="303">
        <v>971</v>
      </c>
      <c r="K1854" s="303">
        <v>1292</v>
      </c>
      <c r="L1854" s="303">
        <v>-81</v>
      </c>
      <c r="M1854" s="303">
        <v>10</v>
      </c>
      <c r="N1854" s="303">
        <v>3037</v>
      </c>
      <c r="O1854" s="303">
        <v>404</v>
      </c>
      <c r="P1854" s="303">
        <v>4733</v>
      </c>
      <c r="Q1854" s="303">
        <v>161825</v>
      </c>
      <c r="R1854" s="12" t="s">
        <v>5039</v>
      </c>
      <c r="S1854" s="12" t="s">
        <v>25</v>
      </c>
      <c r="T1854" s="12" t="s">
        <v>25</v>
      </c>
    </row>
    <row r="1855" spans="1:20" hidden="1" x14ac:dyDescent="0.3">
      <c r="A1855" s="13">
        <v>43973.708333333336</v>
      </c>
      <c r="B1855" s="12" t="s">
        <v>22</v>
      </c>
      <c r="C1855" s="303">
        <v>8</v>
      </c>
      <c r="D1855" s="12" t="s">
        <v>95</v>
      </c>
      <c r="E1855" s="303">
        <v>4449436681</v>
      </c>
      <c r="F1855" s="303">
        <v>113417208</v>
      </c>
      <c r="G1855" s="303">
        <v>552</v>
      </c>
      <c r="H1855" s="303">
        <v>89</v>
      </c>
      <c r="I1855" s="303">
        <v>641</v>
      </c>
      <c r="J1855" s="303">
        <v>4089</v>
      </c>
      <c r="K1855" s="303">
        <v>4730</v>
      </c>
      <c r="L1855" s="303">
        <v>-196</v>
      </c>
      <c r="M1855" s="303">
        <v>53</v>
      </c>
      <c r="N1855" s="303">
        <v>18703</v>
      </c>
      <c r="O1855" s="303">
        <v>4037</v>
      </c>
      <c r="P1855" s="303">
        <v>27470</v>
      </c>
      <c r="Q1855" s="303">
        <v>282857</v>
      </c>
      <c r="R1855" s="12" t="s">
        <v>5040</v>
      </c>
      <c r="S1855" s="12" t="s">
        <v>25</v>
      </c>
      <c r="T1855" s="12" t="s">
        <v>25</v>
      </c>
    </row>
    <row r="1856" spans="1:20" hidden="1" x14ac:dyDescent="0.3">
      <c r="A1856" s="13">
        <v>43973.708333333336</v>
      </c>
      <c r="B1856" s="12" t="s">
        <v>22</v>
      </c>
      <c r="C1856" s="303">
        <v>6</v>
      </c>
      <c r="D1856" s="12" t="s">
        <v>47</v>
      </c>
      <c r="E1856" s="303">
        <v>456494354</v>
      </c>
      <c r="F1856" s="303">
        <v>1376813649</v>
      </c>
      <c r="G1856" s="303">
        <v>68</v>
      </c>
      <c r="H1856" s="303">
        <v>2</v>
      </c>
      <c r="I1856" s="303">
        <v>70</v>
      </c>
      <c r="J1856" s="303">
        <v>415</v>
      </c>
      <c r="K1856" s="303">
        <v>485</v>
      </c>
      <c r="L1856" s="303">
        <v>-93</v>
      </c>
      <c r="M1856" s="303">
        <v>12</v>
      </c>
      <c r="N1856" s="303">
        <v>2417</v>
      </c>
      <c r="O1856" s="303">
        <v>325</v>
      </c>
      <c r="P1856" s="303">
        <v>3227</v>
      </c>
      <c r="Q1856" s="303">
        <v>114062</v>
      </c>
      <c r="R1856" s="12" t="s">
        <v>5041</v>
      </c>
      <c r="S1856" s="12" t="s">
        <v>25</v>
      </c>
      <c r="T1856" s="12" t="s">
        <v>25</v>
      </c>
    </row>
    <row r="1857" spans="1:20" hidden="1" x14ac:dyDescent="0.3">
      <c r="A1857" s="13">
        <v>43973.708333333336</v>
      </c>
      <c r="B1857" s="12" t="s">
        <v>22</v>
      </c>
      <c r="C1857" s="303">
        <v>12</v>
      </c>
      <c r="D1857" s="12" t="s">
        <v>48</v>
      </c>
      <c r="E1857" s="303">
        <v>4189277044</v>
      </c>
      <c r="F1857" s="303">
        <v>1248366722</v>
      </c>
      <c r="G1857" s="303">
        <v>1111</v>
      </c>
      <c r="H1857" s="303">
        <v>67</v>
      </c>
      <c r="I1857" s="303">
        <v>1178</v>
      </c>
      <c r="J1857" s="303">
        <v>2457</v>
      </c>
      <c r="K1857" s="303">
        <v>3635</v>
      </c>
      <c r="L1857" s="303">
        <v>-2</v>
      </c>
      <c r="M1857" s="303">
        <v>31</v>
      </c>
      <c r="N1857" s="303">
        <v>3285</v>
      </c>
      <c r="O1857" s="303">
        <v>669</v>
      </c>
      <c r="P1857" s="303">
        <v>7589</v>
      </c>
      <c r="Q1857" s="303">
        <v>227090</v>
      </c>
      <c r="R1857" s="12" t="s">
        <v>5042</v>
      </c>
      <c r="S1857" s="12" t="s">
        <v>25</v>
      </c>
      <c r="T1857" s="12" t="s">
        <v>25</v>
      </c>
    </row>
    <row r="1858" spans="1:20" x14ac:dyDescent="0.3">
      <c r="A1858" s="13">
        <v>43973.708333333336</v>
      </c>
      <c r="B1858" s="12" t="s">
        <v>22</v>
      </c>
      <c r="C1858" s="303">
        <v>7</v>
      </c>
      <c r="D1858" s="12" t="s">
        <v>49</v>
      </c>
      <c r="E1858" s="303">
        <v>4441149315</v>
      </c>
      <c r="F1858" s="303">
        <v>89326992</v>
      </c>
      <c r="G1858" s="303">
        <v>269</v>
      </c>
      <c r="H1858" s="303">
        <v>19</v>
      </c>
      <c r="I1858" s="303">
        <v>288</v>
      </c>
      <c r="J1858" s="303">
        <v>1620</v>
      </c>
      <c r="K1858" s="303">
        <v>1908</v>
      </c>
      <c r="L1858" s="303">
        <v>-167</v>
      </c>
      <c r="M1858" s="303">
        <v>45</v>
      </c>
      <c r="N1858" s="303">
        <v>6074</v>
      </c>
      <c r="O1858" s="303">
        <v>1407</v>
      </c>
      <c r="P1858" s="303">
        <v>9389</v>
      </c>
      <c r="Q1858" s="303">
        <v>89529</v>
      </c>
      <c r="R1858" s="12" t="s">
        <v>5043</v>
      </c>
      <c r="S1858" s="12" t="s">
        <v>25</v>
      </c>
      <c r="T1858" s="12" t="s">
        <v>25</v>
      </c>
    </row>
    <row r="1859" spans="1:20" hidden="1" x14ac:dyDescent="0.3">
      <c r="A1859" s="13">
        <v>43973.708333333336</v>
      </c>
      <c r="B1859" s="12" t="s">
        <v>22</v>
      </c>
      <c r="C1859" s="303">
        <v>3</v>
      </c>
      <c r="D1859" s="12" t="s">
        <v>50</v>
      </c>
      <c r="E1859" s="303">
        <v>4546679409</v>
      </c>
      <c r="F1859" s="303">
        <v>9190347404</v>
      </c>
      <c r="G1859" s="303">
        <v>4028</v>
      </c>
      <c r="H1859" s="303">
        <v>207</v>
      </c>
      <c r="I1859" s="303">
        <v>4235</v>
      </c>
      <c r="J1859" s="303">
        <v>21698</v>
      </c>
      <c r="K1859" s="303">
        <v>25933</v>
      </c>
      <c r="L1859" s="303">
        <v>-782</v>
      </c>
      <c r="M1859" s="303">
        <v>293</v>
      </c>
      <c r="N1859" s="303">
        <v>44667</v>
      </c>
      <c r="O1859" s="303">
        <v>15784</v>
      </c>
      <c r="P1859" s="303">
        <v>86384</v>
      </c>
      <c r="Q1859" s="303">
        <v>641593</v>
      </c>
      <c r="R1859" s="12" t="s">
        <v>5044</v>
      </c>
      <c r="S1859" s="12" t="s">
        <v>25</v>
      </c>
      <c r="T1859" s="12" t="s">
        <v>25</v>
      </c>
    </row>
    <row r="1860" spans="1:20" hidden="1" x14ac:dyDescent="0.3">
      <c r="A1860" s="13">
        <v>43973.708333333336</v>
      </c>
      <c r="B1860" s="12" t="s">
        <v>22</v>
      </c>
      <c r="C1860" s="303">
        <v>11</v>
      </c>
      <c r="D1860" s="12" t="s">
        <v>51</v>
      </c>
      <c r="E1860" s="303">
        <v>4361675973</v>
      </c>
      <c r="F1860" s="303">
        <v>135188753</v>
      </c>
      <c r="G1860" s="303">
        <v>101</v>
      </c>
      <c r="H1860" s="303">
        <v>15</v>
      </c>
      <c r="I1860" s="303">
        <v>116</v>
      </c>
      <c r="J1860" s="303">
        <v>1652</v>
      </c>
      <c r="K1860" s="303">
        <v>1768</v>
      </c>
      <c r="L1860" s="303">
        <v>-64</v>
      </c>
      <c r="M1860" s="303">
        <v>8</v>
      </c>
      <c r="N1860" s="303">
        <v>3939</v>
      </c>
      <c r="O1860" s="303">
        <v>990</v>
      </c>
      <c r="P1860" s="303">
        <v>6697</v>
      </c>
      <c r="Q1860" s="303">
        <v>93549</v>
      </c>
      <c r="R1860" s="12" t="s">
        <v>5045</v>
      </c>
      <c r="S1860" s="12" t="s">
        <v>25</v>
      </c>
      <c r="T1860" s="12" t="s">
        <v>25</v>
      </c>
    </row>
    <row r="1861" spans="1:20" hidden="1" x14ac:dyDescent="0.3">
      <c r="A1861" s="13">
        <v>43973.708333333336</v>
      </c>
      <c r="B1861" s="12" t="s">
        <v>22</v>
      </c>
      <c r="C1861" s="303">
        <v>14</v>
      </c>
      <c r="D1861" s="12" t="s">
        <v>52</v>
      </c>
      <c r="E1861" s="303">
        <v>4155774754</v>
      </c>
      <c r="F1861" s="303">
        <v>1465916051</v>
      </c>
      <c r="G1861" s="303">
        <v>8</v>
      </c>
      <c r="H1861" s="303">
        <v>2</v>
      </c>
      <c r="I1861" s="303">
        <v>10</v>
      </c>
      <c r="J1861" s="303">
        <v>174</v>
      </c>
      <c r="K1861" s="303">
        <v>184</v>
      </c>
      <c r="L1861" s="303">
        <v>-10</v>
      </c>
      <c r="M1861" s="303">
        <v>3</v>
      </c>
      <c r="N1861" s="303">
        <v>220</v>
      </c>
      <c r="O1861" s="303">
        <v>22</v>
      </c>
      <c r="P1861" s="303">
        <v>426</v>
      </c>
      <c r="Q1861" s="303">
        <v>12616</v>
      </c>
      <c r="R1861" s="12" t="s">
        <v>5046</v>
      </c>
      <c r="S1861" s="12" t="s">
        <v>25</v>
      </c>
      <c r="T1861" s="12" t="s">
        <v>25</v>
      </c>
    </row>
    <row r="1862" spans="1:20" hidden="1" x14ac:dyDescent="0.3">
      <c r="A1862" s="13">
        <v>43973.708333333336</v>
      </c>
      <c r="B1862" s="12" t="s">
        <v>22</v>
      </c>
      <c r="C1862" s="303">
        <v>1</v>
      </c>
      <c r="D1862" s="12" t="s">
        <v>53</v>
      </c>
      <c r="E1862" s="303">
        <v>450732745</v>
      </c>
      <c r="F1862" s="303">
        <v>7680687483</v>
      </c>
      <c r="G1862" s="303">
        <v>1414</v>
      </c>
      <c r="H1862" s="303">
        <v>79</v>
      </c>
      <c r="I1862" s="303">
        <v>1493</v>
      </c>
      <c r="J1862" s="303">
        <v>6959</v>
      </c>
      <c r="K1862" s="303">
        <v>8452</v>
      </c>
      <c r="L1862" s="303">
        <v>-258</v>
      </c>
      <c r="M1862" s="303">
        <v>87</v>
      </c>
      <c r="N1862" s="303">
        <v>17868</v>
      </c>
      <c r="O1862" s="303">
        <v>3757</v>
      </c>
      <c r="P1862" s="303">
        <v>30077</v>
      </c>
      <c r="Q1862" s="303">
        <v>276633</v>
      </c>
      <c r="R1862" s="12" t="s">
        <v>5047</v>
      </c>
      <c r="S1862" s="12" t="s">
        <v>25</v>
      </c>
      <c r="T1862" s="12" t="s">
        <v>25</v>
      </c>
    </row>
    <row r="1863" spans="1:20" hidden="1" x14ac:dyDescent="0.3">
      <c r="A1863" s="13">
        <v>43973.708333333336</v>
      </c>
      <c r="B1863" s="12" t="s">
        <v>22</v>
      </c>
      <c r="C1863" s="303">
        <v>16</v>
      </c>
      <c r="D1863" s="12" t="s">
        <v>54</v>
      </c>
      <c r="E1863" s="303">
        <v>4112559576</v>
      </c>
      <c r="F1863" s="303">
        <v>1686736689</v>
      </c>
      <c r="G1863" s="303">
        <v>233</v>
      </c>
      <c r="H1863" s="303">
        <v>17</v>
      </c>
      <c r="I1863" s="303">
        <v>250</v>
      </c>
      <c r="J1863" s="303">
        <v>1588</v>
      </c>
      <c r="K1863" s="303">
        <v>1838</v>
      </c>
      <c r="L1863" s="303">
        <v>-1</v>
      </c>
      <c r="M1863" s="303">
        <v>27</v>
      </c>
      <c r="N1863" s="303">
        <v>2120</v>
      </c>
      <c r="O1863" s="303">
        <v>482</v>
      </c>
      <c r="P1863" s="303">
        <v>4440</v>
      </c>
      <c r="Q1863" s="303">
        <v>99702</v>
      </c>
      <c r="R1863" s="12" t="s">
        <v>5010</v>
      </c>
      <c r="S1863" s="12" t="s">
        <v>25</v>
      </c>
      <c r="T1863" s="12" t="s">
        <v>25</v>
      </c>
    </row>
    <row r="1864" spans="1:20" hidden="1" x14ac:dyDescent="0.3">
      <c r="A1864" s="13">
        <v>43973.708333333336</v>
      </c>
      <c r="B1864" s="12" t="s">
        <v>22</v>
      </c>
      <c r="C1864" s="303">
        <v>20</v>
      </c>
      <c r="D1864" s="12" t="s">
        <v>55</v>
      </c>
      <c r="E1864" s="303">
        <v>3921531192</v>
      </c>
      <c r="F1864" s="303">
        <v>9110616306</v>
      </c>
      <c r="G1864" s="303">
        <v>58</v>
      </c>
      <c r="H1864" s="303">
        <v>6</v>
      </c>
      <c r="I1864" s="303">
        <v>64</v>
      </c>
      <c r="J1864" s="303">
        <v>242</v>
      </c>
      <c r="K1864" s="303">
        <v>306</v>
      </c>
      <c r="L1864" s="303">
        <v>-12</v>
      </c>
      <c r="M1864" s="303">
        <v>0</v>
      </c>
      <c r="N1864" s="303">
        <v>922</v>
      </c>
      <c r="O1864" s="303">
        <v>128</v>
      </c>
      <c r="P1864" s="303">
        <v>1356</v>
      </c>
      <c r="Q1864" s="303">
        <v>48189</v>
      </c>
      <c r="R1864" s="12" t="s">
        <v>5048</v>
      </c>
      <c r="S1864" s="12" t="s">
        <v>25</v>
      </c>
      <c r="T1864" s="12" t="s">
        <v>25</v>
      </c>
    </row>
    <row r="1865" spans="1:20" hidden="1" x14ac:dyDescent="0.3">
      <c r="A1865" s="13">
        <v>43973.708333333336</v>
      </c>
      <c r="B1865" s="12" t="s">
        <v>22</v>
      </c>
      <c r="C1865" s="303">
        <v>19</v>
      </c>
      <c r="D1865" s="12" t="s">
        <v>56</v>
      </c>
      <c r="E1865" s="303">
        <v>3811569725</v>
      </c>
      <c r="F1865" s="303">
        <v>133623567</v>
      </c>
      <c r="G1865" s="303">
        <v>103</v>
      </c>
      <c r="H1865" s="303">
        <v>10</v>
      </c>
      <c r="I1865" s="303">
        <v>113</v>
      </c>
      <c r="J1865" s="303">
        <v>1406</v>
      </c>
      <c r="K1865" s="303">
        <v>1519</v>
      </c>
      <c r="L1865" s="303">
        <v>-3</v>
      </c>
      <c r="M1865" s="303">
        <v>4</v>
      </c>
      <c r="N1865" s="303">
        <v>1634</v>
      </c>
      <c r="O1865" s="303">
        <v>268</v>
      </c>
      <c r="P1865" s="303">
        <v>3421</v>
      </c>
      <c r="Q1865" s="303">
        <v>129431</v>
      </c>
      <c r="R1865" s="12" t="s">
        <v>5049</v>
      </c>
      <c r="S1865" s="12" t="s">
        <v>25</v>
      </c>
      <c r="T1865" s="12" t="s">
        <v>25</v>
      </c>
    </row>
    <row r="1866" spans="1:20" hidden="1" x14ac:dyDescent="0.3">
      <c r="A1866" s="13">
        <v>43973.708333333336</v>
      </c>
      <c r="B1866" s="12" t="s">
        <v>22</v>
      </c>
      <c r="C1866" s="303">
        <v>9</v>
      </c>
      <c r="D1866" s="12" t="s">
        <v>57</v>
      </c>
      <c r="E1866" s="303">
        <v>4376923077</v>
      </c>
      <c r="F1866" s="303">
        <v>1125588885</v>
      </c>
      <c r="G1866" s="303">
        <v>162</v>
      </c>
      <c r="H1866" s="303">
        <v>42</v>
      </c>
      <c r="I1866" s="303">
        <v>204</v>
      </c>
      <c r="J1866" s="303">
        <v>1582</v>
      </c>
      <c r="K1866" s="303">
        <v>1786</v>
      </c>
      <c r="L1866" s="303">
        <v>-91</v>
      </c>
      <c r="M1866" s="303">
        <v>35</v>
      </c>
      <c r="N1866" s="303">
        <v>7240</v>
      </c>
      <c r="O1866" s="303">
        <v>1009</v>
      </c>
      <c r="P1866" s="303">
        <v>10035</v>
      </c>
      <c r="Q1866" s="303">
        <v>222505</v>
      </c>
      <c r="R1866" s="12" t="s">
        <v>5050</v>
      </c>
      <c r="S1866" s="12" t="s">
        <v>25</v>
      </c>
      <c r="T1866" s="12" t="s">
        <v>25</v>
      </c>
    </row>
    <row r="1867" spans="1:20" hidden="1" x14ac:dyDescent="0.3">
      <c r="A1867" s="13">
        <v>43973.708333333336</v>
      </c>
      <c r="B1867" s="12" t="s">
        <v>22</v>
      </c>
      <c r="C1867" s="303">
        <v>22</v>
      </c>
      <c r="D1867" s="12" t="s">
        <v>58</v>
      </c>
      <c r="E1867" s="303">
        <v>4606893511</v>
      </c>
      <c r="F1867" s="303">
        <v>1112123097</v>
      </c>
      <c r="G1867" s="303">
        <v>32</v>
      </c>
      <c r="H1867" s="303">
        <v>4</v>
      </c>
      <c r="I1867" s="303">
        <v>36</v>
      </c>
      <c r="J1867" s="303">
        <v>571</v>
      </c>
      <c r="K1867" s="303">
        <v>607</v>
      </c>
      <c r="L1867" s="303">
        <v>541</v>
      </c>
      <c r="M1867" s="303">
        <v>10</v>
      </c>
      <c r="N1867" s="303">
        <v>3326</v>
      </c>
      <c r="O1867" s="303">
        <v>455</v>
      </c>
      <c r="P1867" s="303">
        <v>4388</v>
      </c>
      <c r="Q1867" s="303">
        <v>76001</v>
      </c>
      <c r="R1867" s="12" t="s">
        <v>5051</v>
      </c>
      <c r="S1867" s="12" t="s">
        <v>25</v>
      </c>
      <c r="T1867" s="12" t="s">
        <v>25</v>
      </c>
    </row>
    <row r="1868" spans="1:20" hidden="1" x14ac:dyDescent="0.3">
      <c r="A1868" s="13">
        <v>43973.708333333336</v>
      </c>
      <c r="B1868" s="12" t="s">
        <v>22</v>
      </c>
      <c r="C1868" s="303">
        <v>10</v>
      </c>
      <c r="D1868" s="12" t="s">
        <v>59</v>
      </c>
      <c r="E1868" s="303">
        <v>4310675841</v>
      </c>
      <c r="F1868" s="303">
        <v>1238824698</v>
      </c>
      <c r="G1868" s="303">
        <v>16</v>
      </c>
      <c r="H1868" s="303">
        <v>2</v>
      </c>
      <c r="I1868" s="303">
        <v>18</v>
      </c>
      <c r="J1868" s="303">
        <v>41</v>
      </c>
      <c r="K1868" s="303">
        <v>59</v>
      </c>
      <c r="L1868" s="303">
        <v>-2</v>
      </c>
      <c r="M1868" s="303">
        <v>0</v>
      </c>
      <c r="N1868" s="303">
        <v>1296</v>
      </c>
      <c r="O1868" s="303">
        <v>74</v>
      </c>
      <c r="P1868" s="303">
        <v>1429</v>
      </c>
      <c r="Q1868" s="303">
        <v>61696</v>
      </c>
      <c r="R1868" s="12" t="s">
        <v>5052</v>
      </c>
      <c r="S1868" s="12" t="s">
        <v>25</v>
      </c>
      <c r="T1868" s="12" t="s">
        <v>25</v>
      </c>
    </row>
    <row r="1869" spans="1:20" hidden="1" x14ac:dyDescent="0.3">
      <c r="A1869" s="13">
        <v>43973.708333333336</v>
      </c>
      <c r="B1869" s="12" t="s">
        <v>22</v>
      </c>
      <c r="C1869" s="303">
        <v>2</v>
      </c>
      <c r="D1869" s="12" t="s">
        <v>60</v>
      </c>
      <c r="E1869" s="303">
        <v>4573750286</v>
      </c>
      <c r="F1869" s="303">
        <v>7320149366</v>
      </c>
      <c r="G1869" s="303">
        <v>22</v>
      </c>
      <c r="H1869" s="303">
        <v>2</v>
      </c>
      <c r="I1869" s="303">
        <v>24</v>
      </c>
      <c r="J1869" s="303">
        <v>19</v>
      </c>
      <c r="K1869" s="303">
        <v>43</v>
      </c>
      <c r="L1869" s="303">
        <v>0</v>
      </c>
      <c r="M1869" s="303">
        <v>1</v>
      </c>
      <c r="N1869" s="303">
        <v>991</v>
      </c>
      <c r="O1869" s="303">
        <v>143</v>
      </c>
      <c r="P1869" s="303">
        <v>1177</v>
      </c>
      <c r="Q1869" s="303">
        <v>13531</v>
      </c>
      <c r="R1869" s="12" t="s">
        <v>5053</v>
      </c>
      <c r="S1869" s="12" t="s">
        <v>25</v>
      </c>
      <c r="T1869" s="12" t="s">
        <v>25</v>
      </c>
    </row>
    <row r="1870" spans="1:20" hidden="1" x14ac:dyDescent="0.3">
      <c r="A1870" s="13">
        <v>43973.708333333336</v>
      </c>
      <c r="B1870" s="12" t="s">
        <v>22</v>
      </c>
      <c r="C1870" s="303">
        <v>5</v>
      </c>
      <c r="D1870" s="12" t="s">
        <v>61</v>
      </c>
      <c r="E1870" s="303">
        <v>4543490485</v>
      </c>
      <c r="F1870" s="303">
        <v>1233845213</v>
      </c>
      <c r="G1870" s="303">
        <v>215</v>
      </c>
      <c r="H1870" s="303">
        <v>12</v>
      </c>
      <c r="I1870" s="303">
        <v>227</v>
      </c>
      <c r="J1870" s="303">
        <v>2796</v>
      </c>
      <c r="K1870" s="303">
        <v>3023</v>
      </c>
      <c r="L1870" s="303">
        <v>-263</v>
      </c>
      <c r="M1870" s="303">
        <v>21</v>
      </c>
      <c r="N1870" s="303">
        <v>14182</v>
      </c>
      <c r="O1870" s="303">
        <v>1854</v>
      </c>
      <c r="P1870" s="303">
        <v>19059</v>
      </c>
      <c r="Q1870" s="303">
        <v>559933</v>
      </c>
      <c r="R1870" s="12" t="s">
        <v>5054</v>
      </c>
      <c r="S1870" s="12" t="s">
        <v>25</v>
      </c>
      <c r="T1870" s="12" t="s">
        <v>25</v>
      </c>
    </row>
    <row r="1871" spans="1:20" hidden="1" x14ac:dyDescent="0.3">
      <c r="A1871" s="13">
        <v>43974.708333333336</v>
      </c>
      <c r="B1871" s="12" t="s">
        <v>22</v>
      </c>
      <c r="C1871" s="303">
        <v>13</v>
      </c>
      <c r="D1871" s="12" t="s">
        <v>42</v>
      </c>
      <c r="E1871" s="303">
        <v>4235122196</v>
      </c>
      <c r="F1871" s="303">
        <v>1339843823</v>
      </c>
      <c r="G1871" s="303">
        <v>156</v>
      </c>
      <c r="H1871" s="303">
        <v>4</v>
      </c>
      <c r="I1871" s="303">
        <v>160</v>
      </c>
      <c r="J1871" s="303">
        <v>1008</v>
      </c>
      <c r="K1871" s="303">
        <v>1168</v>
      </c>
      <c r="L1871" s="303">
        <v>-11</v>
      </c>
      <c r="M1871" s="303">
        <v>1</v>
      </c>
      <c r="N1871" s="303">
        <v>1659</v>
      </c>
      <c r="O1871" s="303">
        <v>394</v>
      </c>
      <c r="P1871" s="303">
        <v>3221</v>
      </c>
      <c r="Q1871" s="303">
        <v>65290</v>
      </c>
      <c r="R1871" s="12" t="s">
        <v>5055</v>
      </c>
      <c r="S1871" s="12" t="s">
        <v>25</v>
      </c>
      <c r="T1871" s="12" t="s">
        <v>25</v>
      </c>
    </row>
    <row r="1872" spans="1:20" hidden="1" x14ac:dyDescent="0.3">
      <c r="A1872" s="13">
        <v>43974.708333333336</v>
      </c>
      <c r="B1872" s="12" t="s">
        <v>22</v>
      </c>
      <c r="C1872" s="303">
        <v>17</v>
      </c>
      <c r="D1872" s="12" t="s">
        <v>43</v>
      </c>
      <c r="E1872" s="303">
        <v>4063947052</v>
      </c>
      <c r="F1872" s="303">
        <v>1580514834</v>
      </c>
      <c r="G1872" s="303">
        <v>14</v>
      </c>
      <c r="H1872" s="303">
        <v>1</v>
      </c>
      <c r="I1872" s="303">
        <v>15</v>
      </c>
      <c r="J1872" s="303">
        <v>26</v>
      </c>
      <c r="K1872" s="303">
        <v>41</v>
      </c>
      <c r="L1872" s="303">
        <v>-8</v>
      </c>
      <c r="M1872" s="303">
        <v>4</v>
      </c>
      <c r="N1872" s="303">
        <v>330</v>
      </c>
      <c r="O1872" s="303">
        <v>27</v>
      </c>
      <c r="P1872" s="303">
        <v>398</v>
      </c>
      <c r="Q1872" s="303">
        <v>25511</v>
      </c>
      <c r="R1872" s="12" t="s">
        <v>5056</v>
      </c>
      <c r="S1872" s="12" t="s">
        <v>25</v>
      </c>
      <c r="T1872" s="12" t="s">
        <v>25</v>
      </c>
    </row>
    <row r="1873" spans="1:20" hidden="1" x14ac:dyDescent="0.3">
      <c r="A1873" s="13">
        <v>43974.708333333336</v>
      </c>
      <c r="B1873" s="12" t="s">
        <v>22</v>
      </c>
      <c r="C1873" s="303">
        <v>21</v>
      </c>
      <c r="D1873" s="12" t="s">
        <v>44</v>
      </c>
      <c r="E1873" s="303">
        <v>4649933453</v>
      </c>
      <c r="F1873" s="303">
        <v>1135662422</v>
      </c>
      <c r="G1873" s="303">
        <v>35</v>
      </c>
      <c r="H1873" s="303">
        <v>5</v>
      </c>
      <c r="I1873" s="303">
        <v>40</v>
      </c>
      <c r="J1873" s="303">
        <v>174</v>
      </c>
      <c r="K1873" s="303">
        <v>214</v>
      </c>
      <c r="L1873" s="303">
        <v>-10</v>
      </c>
      <c r="M1873" s="303">
        <v>0</v>
      </c>
      <c r="N1873" s="303">
        <v>2085</v>
      </c>
      <c r="O1873" s="303">
        <v>291</v>
      </c>
      <c r="P1873" s="303">
        <v>2590</v>
      </c>
      <c r="Q1873" s="303">
        <v>59671</v>
      </c>
      <c r="R1873" s="12" t="s">
        <v>5057</v>
      </c>
      <c r="S1873" s="12" t="s">
        <v>25</v>
      </c>
      <c r="T1873" s="12" t="s">
        <v>25</v>
      </c>
    </row>
    <row r="1874" spans="1:20" hidden="1" x14ac:dyDescent="0.3">
      <c r="A1874" s="13">
        <v>43974.708333333336</v>
      </c>
      <c r="B1874" s="12" t="s">
        <v>22</v>
      </c>
      <c r="C1874" s="303">
        <v>18</v>
      </c>
      <c r="D1874" s="12" t="s">
        <v>45</v>
      </c>
      <c r="E1874" s="303">
        <v>3890597598</v>
      </c>
      <c r="F1874" s="303">
        <v>1659440194</v>
      </c>
      <c r="G1874" s="303">
        <v>43</v>
      </c>
      <c r="H1874" s="303">
        <v>1</v>
      </c>
      <c r="I1874" s="303">
        <v>44</v>
      </c>
      <c r="J1874" s="303">
        <v>244</v>
      </c>
      <c r="K1874" s="303">
        <v>288</v>
      </c>
      <c r="L1874" s="303">
        <v>-14</v>
      </c>
      <c r="M1874" s="303">
        <v>0</v>
      </c>
      <c r="N1874" s="303">
        <v>773</v>
      </c>
      <c r="O1874" s="303">
        <v>96</v>
      </c>
      <c r="P1874" s="303">
        <v>1157</v>
      </c>
      <c r="Q1874" s="303">
        <v>61892</v>
      </c>
      <c r="R1874" s="12" t="s">
        <v>5058</v>
      </c>
      <c r="S1874" s="12" t="s">
        <v>25</v>
      </c>
      <c r="T1874" s="12" t="s">
        <v>25</v>
      </c>
    </row>
    <row r="1875" spans="1:20" hidden="1" x14ac:dyDescent="0.3">
      <c r="A1875" s="13">
        <v>43974.708333333336</v>
      </c>
      <c r="B1875" s="12" t="s">
        <v>22</v>
      </c>
      <c r="C1875" s="303">
        <v>15</v>
      </c>
      <c r="D1875" s="12" t="s">
        <v>46</v>
      </c>
      <c r="E1875" s="303">
        <v>4083956555</v>
      </c>
      <c r="F1875" s="303">
        <v>1425084984</v>
      </c>
      <c r="G1875" s="303">
        <v>295</v>
      </c>
      <c r="H1875" s="303">
        <v>10</v>
      </c>
      <c r="I1875" s="303">
        <v>305</v>
      </c>
      <c r="J1875" s="303">
        <v>968</v>
      </c>
      <c r="K1875" s="303">
        <v>1273</v>
      </c>
      <c r="L1875" s="303">
        <v>-19</v>
      </c>
      <c r="M1875" s="303">
        <v>11</v>
      </c>
      <c r="N1875" s="303">
        <v>3067</v>
      </c>
      <c r="O1875" s="303">
        <v>404</v>
      </c>
      <c r="P1875" s="303">
        <v>4744</v>
      </c>
      <c r="Q1875" s="303">
        <v>166692</v>
      </c>
      <c r="R1875" s="12" t="s">
        <v>5059</v>
      </c>
      <c r="S1875" s="12" t="s">
        <v>25</v>
      </c>
      <c r="T1875" s="12" t="s">
        <v>25</v>
      </c>
    </row>
    <row r="1876" spans="1:20" hidden="1" x14ac:dyDescent="0.3">
      <c r="A1876" s="13">
        <v>43974.708333333336</v>
      </c>
      <c r="B1876" s="12" t="s">
        <v>22</v>
      </c>
      <c r="C1876" s="303">
        <v>8</v>
      </c>
      <c r="D1876" s="12" t="s">
        <v>95</v>
      </c>
      <c r="E1876" s="303">
        <v>4449436681</v>
      </c>
      <c r="F1876" s="303">
        <v>113417208</v>
      </c>
      <c r="G1876" s="303">
        <v>524</v>
      </c>
      <c r="H1876" s="303">
        <v>84</v>
      </c>
      <c r="I1876" s="303">
        <v>608</v>
      </c>
      <c r="J1876" s="303">
        <v>3962</v>
      </c>
      <c r="K1876" s="303">
        <v>4570</v>
      </c>
      <c r="L1876" s="303">
        <v>-160</v>
      </c>
      <c r="M1876" s="303">
        <v>43</v>
      </c>
      <c r="N1876" s="303">
        <v>18896</v>
      </c>
      <c r="O1876" s="303">
        <v>4047</v>
      </c>
      <c r="P1876" s="303">
        <v>27513</v>
      </c>
      <c r="Q1876" s="303">
        <v>287382</v>
      </c>
      <c r="R1876" s="12" t="s">
        <v>5060</v>
      </c>
      <c r="S1876" s="12" t="s">
        <v>25</v>
      </c>
      <c r="T1876" s="12" t="s">
        <v>25</v>
      </c>
    </row>
    <row r="1877" spans="1:20" hidden="1" x14ac:dyDescent="0.3">
      <c r="A1877" s="13">
        <v>43974.708333333336</v>
      </c>
      <c r="B1877" s="12" t="s">
        <v>22</v>
      </c>
      <c r="C1877" s="303">
        <v>6</v>
      </c>
      <c r="D1877" s="12" t="s">
        <v>47</v>
      </c>
      <c r="E1877" s="303">
        <v>456494354</v>
      </c>
      <c r="F1877" s="303">
        <v>1376813649</v>
      </c>
      <c r="G1877" s="303">
        <v>63</v>
      </c>
      <c r="H1877" s="303">
        <v>1</v>
      </c>
      <c r="I1877" s="303">
        <v>64</v>
      </c>
      <c r="J1877" s="303">
        <v>395</v>
      </c>
      <c r="K1877" s="303">
        <v>459</v>
      </c>
      <c r="L1877" s="303">
        <v>-26</v>
      </c>
      <c r="M1877" s="303">
        <v>6</v>
      </c>
      <c r="N1877" s="303">
        <v>2447</v>
      </c>
      <c r="O1877" s="303">
        <v>327</v>
      </c>
      <c r="P1877" s="303">
        <v>3233</v>
      </c>
      <c r="Q1877" s="303">
        <v>116689</v>
      </c>
      <c r="R1877" s="12" t="s">
        <v>5061</v>
      </c>
      <c r="S1877" s="12" t="s">
        <v>25</v>
      </c>
      <c r="T1877" s="12" t="s">
        <v>25</v>
      </c>
    </row>
    <row r="1878" spans="1:20" hidden="1" x14ac:dyDescent="0.3">
      <c r="A1878" s="13">
        <v>43974.708333333336</v>
      </c>
      <c r="B1878" s="12" t="s">
        <v>22</v>
      </c>
      <c r="C1878" s="303">
        <v>12</v>
      </c>
      <c r="D1878" s="12" t="s">
        <v>48</v>
      </c>
      <c r="E1878" s="303">
        <v>4189277044</v>
      </c>
      <c r="F1878" s="303">
        <v>1248366722</v>
      </c>
      <c r="G1878" s="303">
        <v>1097</v>
      </c>
      <c r="H1878" s="303">
        <v>60</v>
      </c>
      <c r="I1878" s="303">
        <v>1157</v>
      </c>
      <c r="J1878" s="303">
        <v>2424</v>
      </c>
      <c r="K1878" s="303">
        <v>3581</v>
      </c>
      <c r="L1878" s="303">
        <v>-54</v>
      </c>
      <c r="M1878" s="303">
        <v>18</v>
      </c>
      <c r="N1878" s="303">
        <v>3350</v>
      </c>
      <c r="O1878" s="303">
        <v>676</v>
      </c>
      <c r="P1878" s="303">
        <v>7607</v>
      </c>
      <c r="Q1878" s="303">
        <v>230743</v>
      </c>
      <c r="R1878" s="12" t="s">
        <v>5062</v>
      </c>
      <c r="S1878" s="12" t="s">
        <v>25</v>
      </c>
      <c r="T1878" s="12" t="s">
        <v>25</v>
      </c>
    </row>
    <row r="1879" spans="1:20" x14ac:dyDescent="0.3">
      <c r="A1879" s="13">
        <v>43974.708333333336</v>
      </c>
      <c r="B1879" s="12" t="s">
        <v>22</v>
      </c>
      <c r="C1879" s="303">
        <v>7</v>
      </c>
      <c r="D1879" s="12" t="s">
        <v>49</v>
      </c>
      <c r="E1879" s="303">
        <v>4441149315</v>
      </c>
      <c r="F1879" s="303">
        <v>89326992</v>
      </c>
      <c r="G1879" s="303">
        <v>247</v>
      </c>
      <c r="H1879" s="303">
        <v>20</v>
      </c>
      <c r="I1879" s="303">
        <v>267</v>
      </c>
      <c r="J1879" s="303">
        <v>1467</v>
      </c>
      <c r="K1879" s="303">
        <v>1734</v>
      </c>
      <c r="L1879" s="303">
        <v>-174</v>
      </c>
      <c r="M1879" s="303">
        <v>38</v>
      </c>
      <c r="N1879" s="303">
        <v>6279</v>
      </c>
      <c r="O1879" s="303">
        <v>1414</v>
      </c>
      <c r="P1879" s="303">
        <v>9427</v>
      </c>
      <c r="Q1879" s="303">
        <v>91735</v>
      </c>
      <c r="R1879" s="12" t="s">
        <v>5063</v>
      </c>
      <c r="S1879" s="12" t="s">
        <v>25</v>
      </c>
      <c r="T1879" s="12" t="s">
        <v>25</v>
      </c>
    </row>
    <row r="1880" spans="1:20" hidden="1" x14ac:dyDescent="0.3">
      <c r="A1880" s="13">
        <v>43974.708333333336</v>
      </c>
      <c r="B1880" s="12" t="s">
        <v>22</v>
      </c>
      <c r="C1880" s="303">
        <v>3</v>
      </c>
      <c r="D1880" s="12" t="s">
        <v>50</v>
      </c>
      <c r="E1880" s="303">
        <v>4546679409</v>
      </c>
      <c r="F1880" s="303">
        <v>9190347404</v>
      </c>
      <c r="G1880" s="303">
        <v>4026</v>
      </c>
      <c r="H1880" s="303">
        <v>199</v>
      </c>
      <c r="I1880" s="303">
        <v>4225</v>
      </c>
      <c r="J1880" s="303">
        <v>21405</v>
      </c>
      <c r="K1880" s="303">
        <v>25630</v>
      </c>
      <c r="L1880" s="303">
        <v>-303</v>
      </c>
      <c r="M1880" s="303">
        <v>441</v>
      </c>
      <c r="N1880" s="303">
        <v>45355</v>
      </c>
      <c r="O1880" s="303">
        <v>15840</v>
      </c>
      <c r="P1880" s="303">
        <v>86825</v>
      </c>
      <c r="Q1880" s="303">
        <v>658784</v>
      </c>
      <c r="R1880" s="12" t="s">
        <v>5064</v>
      </c>
      <c r="S1880" s="12" t="s">
        <v>25</v>
      </c>
      <c r="T1880" s="12" t="s">
        <v>25</v>
      </c>
    </row>
    <row r="1881" spans="1:20" hidden="1" x14ac:dyDescent="0.3">
      <c r="A1881" s="13">
        <v>43974.708333333336</v>
      </c>
      <c r="B1881" s="12" t="s">
        <v>22</v>
      </c>
      <c r="C1881" s="303">
        <v>11</v>
      </c>
      <c r="D1881" s="12" t="s">
        <v>51</v>
      </c>
      <c r="E1881" s="303">
        <v>4361675973</v>
      </c>
      <c r="F1881" s="303">
        <v>135188753</v>
      </c>
      <c r="G1881" s="303">
        <v>100</v>
      </c>
      <c r="H1881" s="303">
        <v>15</v>
      </c>
      <c r="I1881" s="303">
        <v>115</v>
      </c>
      <c r="J1881" s="303">
        <v>1598</v>
      </c>
      <c r="K1881" s="303">
        <v>1713</v>
      </c>
      <c r="L1881" s="303">
        <v>-55</v>
      </c>
      <c r="M1881" s="303">
        <v>4</v>
      </c>
      <c r="N1881" s="303">
        <v>3995</v>
      </c>
      <c r="O1881" s="303">
        <v>993</v>
      </c>
      <c r="P1881" s="303">
        <v>6701</v>
      </c>
      <c r="Q1881" s="303">
        <v>94657</v>
      </c>
      <c r="R1881" s="12" t="s">
        <v>5065</v>
      </c>
      <c r="S1881" s="12" t="s">
        <v>25</v>
      </c>
      <c r="T1881" s="12" t="s">
        <v>25</v>
      </c>
    </row>
    <row r="1882" spans="1:20" hidden="1" x14ac:dyDescent="0.3">
      <c r="A1882" s="13">
        <v>43974.708333333336</v>
      </c>
      <c r="B1882" s="12" t="s">
        <v>22</v>
      </c>
      <c r="C1882" s="303">
        <v>14</v>
      </c>
      <c r="D1882" s="12" t="s">
        <v>52</v>
      </c>
      <c r="E1882" s="303">
        <v>4155774754</v>
      </c>
      <c r="F1882" s="303">
        <v>1465916051</v>
      </c>
      <c r="G1882" s="303">
        <v>8</v>
      </c>
      <c r="H1882" s="303">
        <v>2</v>
      </c>
      <c r="I1882" s="303">
        <v>10</v>
      </c>
      <c r="J1882" s="303">
        <v>179</v>
      </c>
      <c r="K1882" s="303">
        <v>189</v>
      </c>
      <c r="L1882" s="303">
        <v>5</v>
      </c>
      <c r="M1882" s="303">
        <v>5</v>
      </c>
      <c r="N1882" s="303">
        <v>220</v>
      </c>
      <c r="O1882" s="303">
        <v>22</v>
      </c>
      <c r="P1882" s="303">
        <v>431</v>
      </c>
      <c r="Q1882" s="303">
        <v>13017</v>
      </c>
      <c r="R1882" s="12" t="s">
        <v>5066</v>
      </c>
      <c r="S1882" s="12" t="s">
        <v>25</v>
      </c>
      <c r="T1882" s="12" t="s">
        <v>25</v>
      </c>
    </row>
    <row r="1883" spans="1:20" hidden="1" x14ac:dyDescent="0.3">
      <c r="A1883" s="13">
        <v>43974.708333333336</v>
      </c>
      <c r="B1883" s="12" t="s">
        <v>22</v>
      </c>
      <c r="C1883" s="303">
        <v>1</v>
      </c>
      <c r="D1883" s="12" t="s">
        <v>53</v>
      </c>
      <c r="E1883" s="303">
        <v>450732745</v>
      </c>
      <c r="F1883" s="303">
        <v>7680687483</v>
      </c>
      <c r="G1883" s="303">
        <v>1291</v>
      </c>
      <c r="H1883" s="303">
        <v>76</v>
      </c>
      <c r="I1883" s="303">
        <v>1367</v>
      </c>
      <c r="J1883" s="303">
        <v>6658</v>
      </c>
      <c r="K1883" s="303">
        <v>8025</v>
      </c>
      <c r="L1883" s="303">
        <v>-427</v>
      </c>
      <c r="M1883" s="303">
        <v>60</v>
      </c>
      <c r="N1883" s="303">
        <v>18341</v>
      </c>
      <c r="O1883" s="303">
        <v>3771</v>
      </c>
      <c r="P1883" s="303">
        <v>30137</v>
      </c>
      <c r="Q1883" s="303">
        <v>281897</v>
      </c>
      <c r="R1883" s="12" t="s">
        <v>5067</v>
      </c>
      <c r="S1883" s="12" t="s">
        <v>25</v>
      </c>
      <c r="T1883" s="12" t="s">
        <v>25</v>
      </c>
    </row>
    <row r="1884" spans="1:20" hidden="1" x14ac:dyDescent="0.3">
      <c r="A1884" s="13">
        <v>43974.708333333336</v>
      </c>
      <c r="B1884" s="12" t="s">
        <v>22</v>
      </c>
      <c r="C1884" s="303">
        <v>16</v>
      </c>
      <c r="D1884" s="12" t="s">
        <v>54</v>
      </c>
      <c r="E1884" s="303">
        <v>4112559576</v>
      </c>
      <c r="F1884" s="303">
        <v>1686736689</v>
      </c>
      <c r="G1884" s="303">
        <v>215</v>
      </c>
      <c r="H1884" s="303">
        <v>17</v>
      </c>
      <c r="I1884" s="303">
        <v>232</v>
      </c>
      <c r="J1884" s="303">
        <v>1573</v>
      </c>
      <c r="K1884" s="303">
        <v>1805</v>
      </c>
      <c r="L1884" s="303">
        <v>-33</v>
      </c>
      <c r="M1884" s="303">
        <v>8</v>
      </c>
      <c r="N1884" s="303">
        <v>2157</v>
      </c>
      <c r="O1884" s="303">
        <v>486</v>
      </c>
      <c r="P1884" s="303">
        <v>4448</v>
      </c>
      <c r="Q1884" s="303">
        <v>101738</v>
      </c>
      <c r="R1884" s="12" t="s">
        <v>5068</v>
      </c>
      <c r="S1884" s="12" t="s">
        <v>25</v>
      </c>
      <c r="T1884" s="12" t="s">
        <v>25</v>
      </c>
    </row>
    <row r="1885" spans="1:20" hidden="1" x14ac:dyDescent="0.3">
      <c r="A1885" s="13">
        <v>43974.708333333336</v>
      </c>
      <c r="B1885" s="12" t="s">
        <v>22</v>
      </c>
      <c r="C1885" s="303">
        <v>20</v>
      </c>
      <c r="D1885" s="12" t="s">
        <v>55</v>
      </c>
      <c r="E1885" s="303">
        <v>3921531192</v>
      </c>
      <c r="F1885" s="303">
        <v>9110616306</v>
      </c>
      <c r="G1885" s="303">
        <v>58</v>
      </c>
      <c r="H1885" s="303">
        <v>6</v>
      </c>
      <c r="I1885" s="303">
        <v>64</v>
      </c>
      <c r="J1885" s="303">
        <v>223</v>
      </c>
      <c r="K1885" s="303">
        <v>287</v>
      </c>
      <c r="L1885" s="303">
        <v>-19</v>
      </c>
      <c r="M1885" s="303">
        <v>0</v>
      </c>
      <c r="N1885" s="303">
        <v>940</v>
      </c>
      <c r="O1885" s="303">
        <v>129</v>
      </c>
      <c r="P1885" s="303">
        <v>1356</v>
      </c>
      <c r="Q1885" s="303">
        <v>49675</v>
      </c>
      <c r="R1885" s="12" t="s">
        <v>5069</v>
      </c>
      <c r="S1885" s="12" t="s">
        <v>25</v>
      </c>
      <c r="T1885" s="12" t="s">
        <v>25</v>
      </c>
    </row>
    <row r="1886" spans="1:20" hidden="1" x14ac:dyDescent="0.3">
      <c r="A1886" s="13">
        <v>43974.708333333336</v>
      </c>
      <c r="B1886" s="12" t="s">
        <v>22</v>
      </c>
      <c r="C1886" s="303">
        <v>19</v>
      </c>
      <c r="D1886" s="12" t="s">
        <v>56</v>
      </c>
      <c r="E1886" s="303">
        <v>3811569725</v>
      </c>
      <c r="F1886" s="303">
        <v>133623567</v>
      </c>
      <c r="G1886" s="303">
        <v>95</v>
      </c>
      <c r="H1886" s="303">
        <v>9</v>
      </c>
      <c r="I1886" s="303">
        <v>104</v>
      </c>
      <c r="J1886" s="303">
        <v>1408</v>
      </c>
      <c r="K1886" s="303">
        <v>1512</v>
      </c>
      <c r="L1886" s="303">
        <v>-7</v>
      </c>
      <c r="M1886" s="303">
        <v>0</v>
      </c>
      <c r="N1886" s="303">
        <v>1640</v>
      </c>
      <c r="O1886" s="303">
        <v>269</v>
      </c>
      <c r="P1886" s="303">
        <v>3421</v>
      </c>
      <c r="Q1886" s="303">
        <v>131913</v>
      </c>
      <c r="R1886" s="12" t="s">
        <v>5070</v>
      </c>
      <c r="S1886" s="12" t="s">
        <v>25</v>
      </c>
      <c r="T1886" s="12" t="s">
        <v>25</v>
      </c>
    </row>
    <row r="1887" spans="1:20" hidden="1" x14ac:dyDescent="0.3">
      <c r="A1887" s="13">
        <v>43974.708333333336</v>
      </c>
      <c r="B1887" s="12" t="s">
        <v>22</v>
      </c>
      <c r="C1887" s="303">
        <v>9</v>
      </c>
      <c r="D1887" s="12" t="s">
        <v>57</v>
      </c>
      <c r="E1887" s="303">
        <v>4376923077</v>
      </c>
      <c r="F1887" s="303">
        <v>1125588885</v>
      </c>
      <c r="G1887" s="303">
        <v>157</v>
      </c>
      <c r="H1887" s="303">
        <v>40</v>
      </c>
      <c r="I1887" s="303">
        <v>197</v>
      </c>
      <c r="J1887" s="303">
        <v>1569</v>
      </c>
      <c r="K1887" s="303">
        <v>1766</v>
      </c>
      <c r="L1887" s="303">
        <v>-20</v>
      </c>
      <c r="M1887" s="303">
        <v>12</v>
      </c>
      <c r="N1887" s="303">
        <v>7270</v>
      </c>
      <c r="O1887" s="303">
        <v>1011</v>
      </c>
      <c r="P1887" s="303">
        <v>10047</v>
      </c>
      <c r="Q1887" s="303">
        <v>226046</v>
      </c>
      <c r="R1887" s="12" t="s">
        <v>5071</v>
      </c>
      <c r="S1887" s="12" t="s">
        <v>25</v>
      </c>
      <c r="T1887" s="12" t="s">
        <v>25</v>
      </c>
    </row>
    <row r="1888" spans="1:20" hidden="1" x14ac:dyDescent="0.3">
      <c r="A1888" s="13">
        <v>43974.708333333336</v>
      </c>
      <c r="B1888" s="12" t="s">
        <v>22</v>
      </c>
      <c r="C1888" s="303">
        <v>22</v>
      </c>
      <c r="D1888" s="12" t="s">
        <v>58</v>
      </c>
      <c r="E1888" s="303">
        <v>4606893511</v>
      </c>
      <c r="F1888" s="303">
        <v>1112123097</v>
      </c>
      <c r="G1888" s="303">
        <v>28</v>
      </c>
      <c r="H1888" s="303">
        <v>4</v>
      </c>
      <c r="I1888" s="303">
        <v>32</v>
      </c>
      <c r="J1888" s="303">
        <v>533</v>
      </c>
      <c r="K1888" s="303">
        <v>565</v>
      </c>
      <c r="L1888" s="303">
        <v>-42</v>
      </c>
      <c r="M1888" s="303">
        <v>7</v>
      </c>
      <c r="N1888" s="303">
        <v>3374</v>
      </c>
      <c r="O1888" s="303">
        <v>456</v>
      </c>
      <c r="P1888" s="303">
        <v>4395</v>
      </c>
      <c r="Q1888" s="303">
        <v>78185</v>
      </c>
      <c r="R1888" s="12" t="s">
        <v>5072</v>
      </c>
      <c r="S1888" s="12" t="s">
        <v>25</v>
      </c>
      <c r="T1888" s="12" t="s">
        <v>25</v>
      </c>
    </row>
    <row r="1889" spans="1:20" hidden="1" x14ac:dyDescent="0.3">
      <c r="A1889" s="13">
        <v>43974.708333333336</v>
      </c>
      <c r="B1889" s="12" t="s">
        <v>22</v>
      </c>
      <c r="C1889" s="303">
        <v>10</v>
      </c>
      <c r="D1889" s="12" t="s">
        <v>59</v>
      </c>
      <c r="E1889" s="303">
        <v>4310675841</v>
      </c>
      <c r="F1889" s="303">
        <v>1238824698</v>
      </c>
      <c r="G1889" s="303">
        <v>15</v>
      </c>
      <c r="H1889" s="303">
        <v>2</v>
      </c>
      <c r="I1889" s="303">
        <v>17</v>
      </c>
      <c r="J1889" s="303">
        <v>39</v>
      </c>
      <c r="K1889" s="303">
        <v>56</v>
      </c>
      <c r="L1889" s="303">
        <v>-3</v>
      </c>
      <c r="M1889" s="303">
        <v>1</v>
      </c>
      <c r="N1889" s="303">
        <v>1300</v>
      </c>
      <c r="O1889" s="303">
        <v>74</v>
      </c>
      <c r="P1889" s="303">
        <v>1430</v>
      </c>
      <c r="Q1889" s="303">
        <v>63009</v>
      </c>
      <c r="R1889" s="12" t="s">
        <v>5073</v>
      </c>
      <c r="S1889" s="12" t="s">
        <v>25</v>
      </c>
      <c r="T1889" s="12" t="s">
        <v>25</v>
      </c>
    </row>
    <row r="1890" spans="1:20" hidden="1" x14ac:dyDescent="0.3">
      <c r="A1890" s="13">
        <v>43974.708333333336</v>
      </c>
      <c r="B1890" s="12" t="s">
        <v>22</v>
      </c>
      <c r="C1890" s="303">
        <v>2</v>
      </c>
      <c r="D1890" s="12" t="s">
        <v>60</v>
      </c>
      <c r="E1890" s="303">
        <v>4573750286</v>
      </c>
      <c r="F1890" s="303">
        <v>7320149366</v>
      </c>
      <c r="G1890" s="303">
        <v>23</v>
      </c>
      <c r="H1890" s="303">
        <v>2</v>
      </c>
      <c r="I1890" s="303">
        <v>25</v>
      </c>
      <c r="J1890" s="303">
        <v>10</v>
      </c>
      <c r="K1890" s="303">
        <v>35</v>
      </c>
      <c r="L1890" s="303">
        <v>-8</v>
      </c>
      <c r="M1890" s="303">
        <v>0</v>
      </c>
      <c r="N1890" s="303">
        <v>999</v>
      </c>
      <c r="O1890" s="303">
        <v>143</v>
      </c>
      <c r="P1890" s="303">
        <v>1177</v>
      </c>
      <c r="Q1890" s="303">
        <v>13828</v>
      </c>
      <c r="R1890" s="12" t="s">
        <v>5074</v>
      </c>
      <c r="S1890" s="12" t="s">
        <v>25</v>
      </c>
      <c r="T1890" s="12" t="s">
        <v>25</v>
      </c>
    </row>
    <row r="1891" spans="1:20" hidden="1" x14ac:dyDescent="0.3">
      <c r="A1891" s="13">
        <v>43974.708333333336</v>
      </c>
      <c r="B1891" s="12" t="s">
        <v>22</v>
      </c>
      <c r="C1891" s="303">
        <v>5</v>
      </c>
      <c r="D1891" s="12" t="s">
        <v>61</v>
      </c>
      <c r="E1891" s="303">
        <v>4543490485</v>
      </c>
      <c r="F1891" s="303">
        <v>1233845213</v>
      </c>
      <c r="G1891" s="303">
        <v>205</v>
      </c>
      <c r="H1891" s="303">
        <v>14</v>
      </c>
      <c r="I1891" s="303">
        <v>219</v>
      </c>
      <c r="J1891" s="303">
        <v>2622</v>
      </c>
      <c r="K1891" s="303">
        <v>2841</v>
      </c>
      <c r="L1891" s="303">
        <v>-182</v>
      </c>
      <c r="M1891" s="303">
        <v>10</v>
      </c>
      <c r="N1891" s="303">
        <v>14363</v>
      </c>
      <c r="O1891" s="303">
        <v>1865</v>
      </c>
      <c r="P1891" s="303">
        <v>19069</v>
      </c>
      <c r="Q1891" s="303">
        <v>572834</v>
      </c>
      <c r="R1891" s="12" t="s">
        <v>5075</v>
      </c>
      <c r="S1891" s="12" t="s">
        <v>25</v>
      </c>
      <c r="T1891" s="12" t="s">
        <v>25</v>
      </c>
    </row>
    <row r="1892" spans="1:20" hidden="1" x14ac:dyDescent="0.3">
      <c r="A1892" s="13">
        <v>43975.708333333336</v>
      </c>
      <c r="B1892" s="12" t="s">
        <v>22</v>
      </c>
      <c r="C1892" s="303">
        <v>13</v>
      </c>
      <c r="D1892" s="12" t="s">
        <v>42</v>
      </c>
      <c r="E1892" s="303">
        <v>4235122196</v>
      </c>
      <c r="F1892" s="303">
        <v>1339843823</v>
      </c>
      <c r="G1892" s="303">
        <v>149</v>
      </c>
      <c r="H1892" s="303">
        <v>3</v>
      </c>
      <c r="I1892" s="303">
        <v>152</v>
      </c>
      <c r="J1892" s="303">
        <v>940</v>
      </c>
      <c r="K1892" s="303">
        <v>1092</v>
      </c>
      <c r="L1892" s="303">
        <v>-76</v>
      </c>
      <c r="M1892" s="303">
        <v>5</v>
      </c>
      <c r="N1892" s="303">
        <v>1736</v>
      </c>
      <c r="O1892" s="303">
        <v>398</v>
      </c>
      <c r="P1892" s="303">
        <v>3226</v>
      </c>
      <c r="Q1892" s="303">
        <v>66486</v>
      </c>
      <c r="R1892" s="12" t="s">
        <v>5076</v>
      </c>
      <c r="S1892" s="12" t="s">
        <v>25</v>
      </c>
      <c r="T1892" s="12" t="s">
        <v>25</v>
      </c>
    </row>
    <row r="1893" spans="1:20" hidden="1" x14ac:dyDescent="0.3">
      <c r="A1893" s="13">
        <v>43975.708333333336</v>
      </c>
      <c r="B1893" s="12" t="s">
        <v>22</v>
      </c>
      <c r="C1893" s="303">
        <v>17</v>
      </c>
      <c r="D1893" s="12" t="s">
        <v>43</v>
      </c>
      <c r="E1893" s="303">
        <v>4063947052</v>
      </c>
      <c r="F1893" s="303">
        <v>1580514834</v>
      </c>
      <c r="G1893" s="303">
        <v>13</v>
      </c>
      <c r="H1893" s="303">
        <v>1</v>
      </c>
      <c r="I1893" s="303">
        <v>14</v>
      </c>
      <c r="J1893" s="303">
        <v>25</v>
      </c>
      <c r="K1893" s="303">
        <v>39</v>
      </c>
      <c r="L1893" s="303">
        <v>-2</v>
      </c>
      <c r="M1893" s="303">
        <v>1</v>
      </c>
      <c r="N1893" s="303">
        <v>333</v>
      </c>
      <c r="O1893" s="303">
        <v>27</v>
      </c>
      <c r="P1893" s="303">
        <v>399</v>
      </c>
      <c r="Q1893" s="303">
        <v>26111</v>
      </c>
      <c r="R1893" s="12" t="s">
        <v>5077</v>
      </c>
      <c r="S1893" s="12" t="s">
        <v>25</v>
      </c>
      <c r="T1893" s="12" t="s">
        <v>25</v>
      </c>
    </row>
    <row r="1894" spans="1:20" hidden="1" x14ac:dyDescent="0.3">
      <c r="A1894" s="13">
        <v>43975.708333333336</v>
      </c>
      <c r="B1894" s="12" t="s">
        <v>22</v>
      </c>
      <c r="C1894" s="303">
        <v>21</v>
      </c>
      <c r="D1894" s="12" t="s">
        <v>44</v>
      </c>
      <c r="E1894" s="303">
        <v>4649933453</v>
      </c>
      <c r="F1894" s="303">
        <v>1135662422</v>
      </c>
      <c r="G1894" s="303">
        <v>30</v>
      </c>
      <c r="H1894" s="303">
        <v>5</v>
      </c>
      <c r="I1894" s="303">
        <v>35</v>
      </c>
      <c r="J1894" s="303">
        <v>160</v>
      </c>
      <c r="K1894" s="303">
        <v>195</v>
      </c>
      <c r="L1894" s="303">
        <v>-19</v>
      </c>
      <c r="M1894" s="303">
        <v>3</v>
      </c>
      <c r="N1894" s="303">
        <v>2107</v>
      </c>
      <c r="O1894" s="303">
        <v>291</v>
      </c>
      <c r="P1894" s="303">
        <v>2593</v>
      </c>
      <c r="Q1894" s="303">
        <v>60573</v>
      </c>
      <c r="R1894" s="12" t="s">
        <v>3689</v>
      </c>
      <c r="S1894" s="12" t="s">
        <v>25</v>
      </c>
      <c r="T1894" s="12" t="s">
        <v>25</v>
      </c>
    </row>
    <row r="1895" spans="1:20" hidden="1" x14ac:dyDescent="0.3">
      <c r="A1895" s="13">
        <v>43975.708333333336</v>
      </c>
      <c r="B1895" s="12" t="s">
        <v>22</v>
      </c>
      <c r="C1895" s="303">
        <v>18</v>
      </c>
      <c r="D1895" s="12" t="s">
        <v>45</v>
      </c>
      <c r="E1895" s="303">
        <v>3890597598</v>
      </c>
      <c r="F1895" s="303">
        <v>1659440194</v>
      </c>
      <c r="G1895" s="303">
        <v>43</v>
      </c>
      <c r="H1895" s="303">
        <v>1</v>
      </c>
      <c r="I1895" s="303">
        <v>44</v>
      </c>
      <c r="J1895" s="303">
        <v>231</v>
      </c>
      <c r="K1895" s="303">
        <v>275</v>
      </c>
      <c r="L1895" s="303">
        <v>-13</v>
      </c>
      <c r="M1895" s="303">
        <v>0</v>
      </c>
      <c r="N1895" s="303">
        <v>786</v>
      </c>
      <c r="O1895" s="303">
        <v>96</v>
      </c>
      <c r="P1895" s="303">
        <v>1157</v>
      </c>
      <c r="Q1895" s="303">
        <v>62952</v>
      </c>
      <c r="R1895" s="12" t="s">
        <v>5078</v>
      </c>
      <c r="S1895" s="12" t="s">
        <v>25</v>
      </c>
      <c r="T1895" s="12" t="s">
        <v>25</v>
      </c>
    </row>
    <row r="1896" spans="1:20" hidden="1" x14ac:dyDescent="0.3">
      <c r="A1896" s="13">
        <v>43975.708333333336</v>
      </c>
      <c r="B1896" s="12" t="s">
        <v>22</v>
      </c>
      <c r="C1896" s="303">
        <v>15</v>
      </c>
      <c r="D1896" s="12" t="s">
        <v>46</v>
      </c>
      <c r="E1896" s="303">
        <v>4083956555</v>
      </c>
      <c r="F1896" s="303">
        <v>1425084984</v>
      </c>
      <c r="G1896" s="303">
        <v>311</v>
      </c>
      <c r="H1896" s="303">
        <v>8</v>
      </c>
      <c r="I1896" s="303">
        <v>319</v>
      </c>
      <c r="J1896" s="303">
        <v>949</v>
      </c>
      <c r="K1896" s="303">
        <v>1268</v>
      </c>
      <c r="L1896" s="303">
        <v>-5</v>
      </c>
      <c r="M1896" s="303">
        <v>5</v>
      </c>
      <c r="N1896" s="303">
        <v>3076</v>
      </c>
      <c r="O1896" s="303">
        <v>405</v>
      </c>
      <c r="P1896" s="303">
        <v>4749</v>
      </c>
      <c r="Q1896" s="303">
        <v>172106</v>
      </c>
      <c r="R1896" s="12" t="s">
        <v>5079</v>
      </c>
      <c r="S1896" s="12" t="s">
        <v>25</v>
      </c>
      <c r="T1896" s="12" t="s">
        <v>25</v>
      </c>
    </row>
    <row r="1897" spans="1:20" hidden="1" x14ac:dyDescent="0.3">
      <c r="A1897" s="13">
        <v>43975.708333333336</v>
      </c>
      <c r="B1897" s="12" t="s">
        <v>22</v>
      </c>
      <c r="C1897" s="303">
        <v>8</v>
      </c>
      <c r="D1897" s="12" t="s">
        <v>95</v>
      </c>
      <c r="E1897" s="303">
        <v>4449436681</v>
      </c>
      <c r="F1897" s="303">
        <v>113417208</v>
      </c>
      <c r="G1897" s="303">
        <v>519</v>
      </c>
      <c r="H1897" s="303">
        <v>83</v>
      </c>
      <c r="I1897" s="303">
        <v>602</v>
      </c>
      <c r="J1897" s="303">
        <v>3855</v>
      </c>
      <c r="K1897" s="303">
        <v>4457</v>
      </c>
      <c r="L1897" s="303">
        <v>-113</v>
      </c>
      <c r="M1897" s="303">
        <v>45</v>
      </c>
      <c r="N1897" s="303">
        <v>19046</v>
      </c>
      <c r="O1897" s="303">
        <v>4055</v>
      </c>
      <c r="P1897" s="303">
        <v>27558</v>
      </c>
      <c r="Q1897" s="303">
        <v>291876</v>
      </c>
      <c r="R1897" s="12" t="s">
        <v>5080</v>
      </c>
      <c r="S1897" s="12" t="s">
        <v>25</v>
      </c>
      <c r="T1897" s="12" t="s">
        <v>25</v>
      </c>
    </row>
    <row r="1898" spans="1:20" hidden="1" x14ac:dyDescent="0.3">
      <c r="A1898" s="13">
        <v>43975.708333333336</v>
      </c>
      <c r="B1898" s="12" t="s">
        <v>22</v>
      </c>
      <c r="C1898" s="303">
        <v>6</v>
      </c>
      <c r="D1898" s="12" t="s">
        <v>47</v>
      </c>
      <c r="E1898" s="303">
        <v>456494354</v>
      </c>
      <c r="F1898" s="303">
        <v>1376813649</v>
      </c>
      <c r="G1898" s="303">
        <v>62</v>
      </c>
      <c r="H1898" s="303">
        <v>1</v>
      </c>
      <c r="I1898" s="303">
        <v>63</v>
      </c>
      <c r="J1898" s="303">
        <v>349</v>
      </c>
      <c r="K1898" s="303">
        <v>412</v>
      </c>
      <c r="L1898" s="303">
        <v>-47</v>
      </c>
      <c r="M1898" s="303">
        <v>3</v>
      </c>
      <c r="N1898" s="303">
        <v>2495</v>
      </c>
      <c r="O1898" s="303">
        <v>329</v>
      </c>
      <c r="P1898" s="303">
        <v>3236</v>
      </c>
      <c r="Q1898" s="303">
        <v>118852</v>
      </c>
      <c r="R1898" s="12" t="s">
        <v>5081</v>
      </c>
      <c r="S1898" s="12" t="s">
        <v>25</v>
      </c>
      <c r="T1898" s="12" t="s">
        <v>25</v>
      </c>
    </row>
    <row r="1899" spans="1:20" hidden="1" x14ac:dyDescent="0.3">
      <c r="A1899" s="13">
        <v>43975.708333333336</v>
      </c>
      <c r="B1899" s="12" t="s">
        <v>22</v>
      </c>
      <c r="C1899" s="303">
        <v>12</v>
      </c>
      <c r="D1899" s="12" t="s">
        <v>48</v>
      </c>
      <c r="E1899" s="303">
        <v>4189277044</v>
      </c>
      <c r="F1899" s="303">
        <v>1248366722</v>
      </c>
      <c r="G1899" s="303">
        <v>1088</v>
      </c>
      <c r="H1899" s="303">
        <v>61</v>
      </c>
      <c r="I1899" s="303">
        <v>1149</v>
      </c>
      <c r="J1899" s="303">
        <v>2420</v>
      </c>
      <c r="K1899" s="303">
        <v>3569</v>
      </c>
      <c r="L1899" s="303">
        <v>-12</v>
      </c>
      <c r="M1899" s="303">
        <v>20</v>
      </c>
      <c r="N1899" s="303">
        <v>3374</v>
      </c>
      <c r="O1899" s="303">
        <v>684</v>
      </c>
      <c r="P1899" s="303">
        <v>7627</v>
      </c>
      <c r="Q1899" s="303">
        <v>233498</v>
      </c>
      <c r="R1899" s="12" t="s">
        <v>5082</v>
      </c>
      <c r="S1899" s="12" t="s">
        <v>25</v>
      </c>
      <c r="T1899" s="12" t="s">
        <v>25</v>
      </c>
    </row>
    <row r="1900" spans="1:20" x14ac:dyDescent="0.3">
      <c r="A1900" s="13">
        <v>43975.708333333336</v>
      </c>
      <c r="B1900" s="12" t="s">
        <v>22</v>
      </c>
      <c r="C1900" s="303">
        <v>7</v>
      </c>
      <c r="D1900" s="12" t="s">
        <v>49</v>
      </c>
      <c r="E1900" s="303">
        <v>4441149315</v>
      </c>
      <c r="F1900" s="303">
        <v>89326992</v>
      </c>
      <c r="G1900" s="303">
        <v>247</v>
      </c>
      <c r="H1900" s="303">
        <v>18</v>
      </c>
      <c r="I1900" s="303">
        <v>265</v>
      </c>
      <c r="J1900" s="303">
        <v>1359</v>
      </c>
      <c r="K1900" s="303">
        <v>1624</v>
      </c>
      <c r="L1900" s="303">
        <v>-110</v>
      </c>
      <c r="M1900" s="303">
        <v>53</v>
      </c>
      <c r="N1900" s="303">
        <v>6437</v>
      </c>
      <c r="O1900" s="303">
        <v>1419</v>
      </c>
      <c r="P1900" s="303">
        <v>9480</v>
      </c>
      <c r="Q1900" s="303">
        <v>93173</v>
      </c>
      <c r="R1900" s="12" t="s">
        <v>5083</v>
      </c>
      <c r="S1900" s="12" t="s">
        <v>25</v>
      </c>
      <c r="T1900" s="12" t="s">
        <v>25</v>
      </c>
    </row>
    <row r="1901" spans="1:20" hidden="1" x14ac:dyDescent="0.3">
      <c r="A1901" s="13">
        <v>43975.708333333336</v>
      </c>
      <c r="B1901" s="12" t="s">
        <v>22</v>
      </c>
      <c r="C1901" s="303">
        <v>3</v>
      </c>
      <c r="D1901" s="12" t="s">
        <v>50</v>
      </c>
      <c r="E1901" s="303">
        <v>4546679409</v>
      </c>
      <c r="F1901" s="303">
        <v>9190347404</v>
      </c>
      <c r="G1901" s="303">
        <v>4017</v>
      </c>
      <c r="H1901" s="303">
        <v>197</v>
      </c>
      <c r="I1901" s="303">
        <v>4214</v>
      </c>
      <c r="J1901" s="303">
        <v>21400</v>
      </c>
      <c r="K1901" s="303">
        <v>25614</v>
      </c>
      <c r="L1901" s="303">
        <v>-16</v>
      </c>
      <c r="M1901" s="303">
        <v>285</v>
      </c>
      <c r="N1901" s="303">
        <v>45656</v>
      </c>
      <c r="O1901" s="303">
        <v>15840</v>
      </c>
      <c r="P1901" s="303">
        <v>87110</v>
      </c>
      <c r="Q1901" s="303">
        <v>670241</v>
      </c>
      <c r="R1901" s="12" t="s">
        <v>5084</v>
      </c>
      <c r="S1901" s="12" t="s">
        <v>5085</v>
      </c>
      <c r="T1901" s="12" t="s">
        <v>5086</v>
      </c>
    </row>
    <row r="1902" spans="1:20" hidden="1" x14ac:dyDescent="0.3">
      <c r="A1902" s="13">
        <v>43975.708333333336</v>
      </c>
      <c r="B1902" s="12" t="s">
        <v>22</v>
      </c>
      <c r="C1902" s="303">
        <v>11</v>
      </c>
      <c r="D1902" s="12" t="s">
        <v>51</v>
      </c>
      <c r="E1902" s="303">
        <v>4361675973</v>
      </c>
      <c r="F1902" s="303">
        <v>135188753</v>
      </c>
      <c r="G1902" s="303">
        <v>101</v>
      </c>
      <c r="H1902" s="303">
        <v>13</v>
      </c>
      <c r="I1902" s="303">
        <v>114</v>
      </c>
      <c r="J1902" s="303">
        <v>1578</v>
      </c>
      <c r="K1902" s="303">
        <v>1692</v>
      </c>
      <c r="L1902" s="303">
        <v>-21</v>
      </c>
      <c r="M1902" s="303">
        <v>13</v>
      </c>
      <c r="N1902" s="303">
        <v>4028</v>
      </c>
      <c r="O1902" s="303">
        <v>994</v>
      </c>
      <c r="P1902" s="303">
        <v>6714</v>
      </c>
      <c r="Q1902" s="303">
        <v>95715</v>
      </c>
      <c r="R1902" s="12" t="s">
        <v>5087</v>
      </c>
      <c r="S1902" s="12" t="s">
        <v>25</v>
      </c>
      <c r="T1902" s="12" t="s">
        <v>25</v>
      </c>
    </row>
    <row r="1903" spans="1:20" hidden="1" x14ac:dyDescent="0.3">
      <c r="A1903" s="13">
        <v>43975.708333333336</v>
      </c>
      <c r="B1903" s="12" t="s">
        <v>22</v>
      </c>
      <c r="C1903" s="303">
        <v>14</v>
      </c>
      <c r="D1903" s="12" t="s">
        <v>52</v>
      </c>
      <c r="E1903" s="303">
        <v>4155774754</v>
      </c>
      <c r="F1903" s="303">
        <v>1465916051</v>
      </c>
      <c r="G1903" s="303">
        <v>6</v>
      </c>
      <c r="H1903" s="303">
        <v>2</v>
      </c>
      <c r="I1903" s="303">
        <v>8</v>
      </c>
      <c r="J1903" s="303">
        <v>175</v>
      </c>
      <c r="K1903" s="303">
        <v>183</v>
      </c>
      <c r="L1903" s="303">
        <v>-6</v>
      </c>
      <c r="M1903" s="303">
        <v>1</v>
      </c>
      <c r="N1903" s="303">
        <v>227</v>
      </c>
      <c r="O1903" s="303">
        <v>22</v>
      </c>
      <c r="P1903" s="303">
        <v>432</v>
      </c>
      <c r="Q1903" s="303">
        <v>13226</v>
      </c>
      <c r="R1903" s="12" t="s">
        <v>5088</v>
      </c>
      <c r="S1903" s="12" t="s">
        <v>25</v>
      </c>
      <c r="T1903" s="12" t="s">
        <v>25</v>
      </c>
    </row>
    <row r="1904" spans="1:20" hidden="1" x14ac:dyDescent="0.3">
      <c r="A1904" s="13">
        <v>43975.708333333336</v>
      </c>
      <c r="B1904" s="12" t="s">
        <v>22</v>
      </c>
      <c r="C1904" s="303">
        <v>1</v>
      </c>
      <c r="D1904" s="12" t="s">
        <v>53</v>
      </c>
      <c r="E1904" s="303">
        <v>450732745</v>
      </c>
      <c r="F1904" s="303">
        <v>7680687483</v>
      </c>
      <c r="G1904" s="303">
        <v>1283</v>
      </c>
      <c r="H1904" s="303">
        <v>75</v>
      </c>
      <c r="I1904" s="303">
        <v>1358</v>
      </c>
      <c r="J1904" s="303">
        <v>6345</v>
      </c>
      <c r="K1904" s="303">
        <v>7703</v>
      </c>
      <c r="L1904" s="303">
        <v>-322</v>
      </c>
      <c r="M1904" s="303">
        <v>43</v>
      </c>
      <c r="N1904" s="303">
        <v>18694</v>
      </c>
      <c r="O1904" s="303">
        <v>3783</v>
      </c>
      <c r="P1904" s="303">
        <v>30180</v>
      </c>
      <c r="Q1904" s="303">
        <v>285160</v>
      </c>
      <c r="R1904" s="12" t="s">
        <v>5089</v>
      </c>
      <c r="S1904" s="12" t="s">
        <v>25</v>
      </c>
      <c r="T1904" s="12" t="s">
        <v>25</v>
      </c>
    </row>
    <row r="1905" spans="1:20" hidden="1" x14ac:dyDescent="0.3">
      <c r="A1905" s="13">
        <v>43975.708333333336</v>
      </c>
      <c r="B1905" s="12" t="s">
        <v>22</v>
      </c>
      <c r="C1905" s="303">
        <v>16</v>
      </c>
      <c r="D1905" s="12" t="s">
        <v>54</v>
      </c>
      <c r="E1905" s="303">
        <v>4112559576</v>
      </c>
      <c r="F1905" s="303">
        <v>1686736689</v>
      </c>
      <c r="G1905" s="303">
        <v>204</v>
      </c>
      <c r="H1905" s="303">
        <v>17</v>
      </c>
      <c r="I1905" s="303">
        <v>221</v>
      </c>
      <c r="J1905" s="303">
        <v>1572</v>
      </c>
      <c r="K1905" s="303">
        <v>1793</v>
      </c>
      <c r="L1905" s="303">
        <v>-12</v>
      </c>
      <c r="M1905" s="303">
        <v>10</v>
      </c>
      <c r="N1905" s="303">
        <v>2178</v>
      </c>
      <c r="O1905" s="303">
        <v>487</v>
      </c>
      <c r="P1905" s="303">
        <v>4458</v>
      </c>
      <c r="Q1905" s="303">
        <v>103570</v>
      </c>
      <c r="R1905" s="12" t="s">
        <v>5090</v>
      </c>
      <c r="S1905" s="12" t="s">
        <v>25</v>
      </c>
      <c r="T1905" s="12" t="s">
        <v>25</v>
      </c>
    </row>
    <row r="1906" spans="1:20" hidden="1" x14ac:dyDescent="0.3">
      <c r="A1906" s="13">
        <v>43975.708333333336</v>
      </c>
      <c r="B1906" s="12" t="s">
        <v>22</v>
      </c>
      <c r="C1906" s="303">
        <v>20</v>
      </c>
      <c r="D1906" s="12" t="s">
        <v>55</v>
      </c>
      <c r="E1906" s="303">
        <v>3921531192</v>
      </c>
      <c r="F1906" s="303">
        <v>9110616306</v>
      </c>
      <c r="G1906" s="303">
        <v>51</v>
      </c>
      <c r="H1906" s="303">
        <v>3</v>
      </c>
      <c r="I1906" s="303">
        <v>54</v>
      </c>
      <c r="J1906" s="303">
        <v>191</v>
      </c>
      <c r="K1906" s="303">
        <v>245</v>
      </c>
      <c r="L1906" s="303">
        <v>-42</v>
      </c>
      <c r="M1906" s="303">
        <v>0</v>
      </c>
      <c r="N1906" s="303">
        <v>982</v>
      </c>
      <c r="O1906" s="303">
        <v>129</v>
      </c>
      <c r="P1906" s="303">
        <v>1356</v>
      </c>
      <c r="Q1906" s="303">
        <v>50796</v>
      </c>
      <c r="R1906" s="12" t="s">
        <v>5091</v>
      </c>
      <c r="S1906" s="12" t="s">
        <v>25</v>
      </c>
      <c r="T1906" s="12" t="s">
        <v>25</v>
      </c>
    </row>
    <row r="1907" spans="1:20" hidden="1" x14ac:dyDescent="0.3">
      <c r="A1907" s="13">
        <v>43975.708333333336</v>
      </c>
      <c r="B1907" s="12" t="s">
        <v>22</v>
      </c>
      <c r="C1907" s="303">
        <v>19</v>
      </c>
      <c r="D1907" s="12" t="s">
        <v>56</v>
      </c>
      <c r="E1907" s="303">
        <v>3811569725</v>
      </c>
      <c r="F1907" s="303">
        <v>133623567</v>
      </c>
      <c r="G1907" s="303">
        <v>91</v>
      </c>
      <c r="H1907" s="303">
        <v>9</v>
      </c>
      <c r="I1907" s="303">
        <v>100</v>
      </c>
      <c r="J1907" s="303">
        <v>1353</v>
      </c>
      <c r="K1907" s="303">
        <v>1453</v>
      </c>
      <c r="L1907" s="303">
        <v>-59</v>
      </c>
      <c r="M1907" s="303">
        <v>2</v>
      </c>
      <c r="N1907" s="303">
        <v>1701</v>
      </c>
      <c r="O1907" s="303">
        <v>269</v>
      </c>
      <c r="P1907" s="303">
        <v>3423</v>
      </c>
      <c r="Q1907" s="303">
        <v>133249</v>
      </c>
      <c r="R1907" s="12" t="s">
        <v>5092</v>
      </c>
      <c r="S1907" s="12" t="s">
        <v>25</v>
      </c>
      <c r="T1907" s="12" t="s">
        <v>25</v>
      </c>
    </row>
    <row r="1908" spans="1:20" hidden="1" x14ac:dyDescent="0.3">
      <c r="A1908" s="13">
        <v>43975.708333333336</v>
      </c>
      <c r="B1908" s="12" t="s">
        <v>22</v>
      </c>
      <c r="C1908" s="303">
        <v>9</v>
      </c>
      <c r="D1908" s="12" t="s">
        <v>57</v>
      </c>
      <c r="E1908" s="303">
        <v>4376923077</v>
      </c>
      <c r="F1908" s="303">
        <v>1125588885</v>
      </c>
      <c r="G1908" s="303">
        <v>148</v>
      </c>
      <c r="H1908" s="303">
        <v>38</v>
      </c>
      <c r="I1908" s="303">
        <v>186</v>
      </c>
      <c r="J1908" s="303">
        <v>1514</v>
      </c>
      <c r="K1908" s="303">
        <v>1700</v>
      </c>
      <c r="L1908" s="303">
        <v>-66</v>
      </c>
      <c r="M1908" s="303">
        <v>15</v>
      </c>
      <c r="N1908" s="303">
        <v>7349</v>
      </c>
      <c r="O1908" s="303">
        <v>1013</v>
      </c>
      <c r="P1908" s="303">
        <v>10062</v>
      </c>
      <c r="Q1908" s="303">
        <v>229135</v>
      </c>
      <c r="R1908" s="12" t="s">
        <v>5093</v>
      </c>
      <c r="S1908" s="12" t="s">
        <v>25</v>
      </c>
      <c r="T1908" s="12" t="s">
        <v>25</v>
      </c>
    </row>
    <row r="1909" spans="1:20" hidden="1" x14ac:dyDescent="0.3">
      <c r="A1909" s="13">
        <v>43975.708333333336</v>
      </c>
      <c r="B1909" s="12" t="s">
        <v>22</v>
      </c>
      <c r="C1909" s="303">
        <v>22</v>
      </c>
      <c r="D1909" s="12" t="s">
        <v>58</v>
      </c>
      <c r="E1909" s="303">
        <v>4606893511</v>
      </c>
      <c r="F1909" s="303">
        <v>1112123097</v>
      </c>
      <c r="G1909" s="303">
        <v>27</v>
      </c>
      <c r="H1909" s="303">
        <v>4</v>
      </c>
      <c r="I1909" s="303">
        <v>31</v>
      </c>
      <c r="J1909" s="303">
        <v>504</v>
      </c>
      <c r="K1909" s="303">
        <v>535</v>
      </c>
      <c r="L1909" s="303">
        <v>-30</v>
      </c>
      <c r="M1909" s="303">
        <v>9</v>
      </c>
      <c r="N1909" s="303">
        <v>3412</v>
      </c>
      <c r="O1909" s="303">
        <v>457</v>
      </c>
      <c r="P1909" s="303">
        <v>4404</v>
      </c>
      <c r="Q1909" s="303">
        <v>79788</v>
      </c>
      <c r="R1909" s="12" t="s">
        <v>5094</v>
      </c>
      <c r="S1909" s="12" t="s">
        <v>25</v>
      </c>
      <c r="T1909" s="12" t="s">
        <v>25</v>
      </c>
    </row>
    <row r="1910" spans="1:20" hidden="1" x14ac:dyDescent="0.3">
      <c r="A1910" s="13">
        <v>43975.708333333336</v>
      </c>
      <c r="B1910" s="12" t="s">
        <v>22</v>
      </c>
      <c r="C1910" s="303">
        <v>10</v>
      </c>
      <c r="D1910" s="12" t="s">
        <v>59</v>
      </c>
      <c r="E1910" s="303">
        <v>4310675841</v>
      </c>
      <c r="F1910" s="303">
        <v>1238824698</v>
      </c>
      <c r="G1910" s="303">
        <v>15</v>
      </c>
      <c r="H1910" s="303">
        <v>2</v>
      </c>
      <c r="I1910" s="303">
        <v>17</v>
      </c>
      <c r="J1910" s="303">
        <v>36</v>
      </c>
      <c r="K1910" s="303">
        <v>53</v>
      </c>
      <c r="L1910" s="303">
        <v>-3</v>
      </c>
      <c r="M1910" s="303">
        <v>0</v>
      </c>
      <c r="N1910" s="303">
        <v>1302</v>
      </c>
      <c r="O1910" s="303">
        <v>75</v>
      </c>
      <c r="P1910" s="303">
        <v>1430</v>
      </c>
      <c r="Q1910" s="303">
        <v>63717</v>
      </c>
      <c r="R1910" s="12" t="s">
        <v>5095</v>
      </c>
      <c r="S1910" s="12" t="s">
        <v>25</v>
      </c>
      <c r="T1910" s="12" t="s">
        <v>25</v>
      </c>
    </row>
    <row r="1911" spans="1:20" hidden="1" x14ac:dyDescent="0.3">
      <c r="A1911" s="13">
        <v>43975.708333333336</v>
      </c>
      <c r="B1911" s="12" t="s">
        <v>22</v>
      </c>
      <c r="C1911" s="303">
        <v>2</v>
      </c>
      <c r="D1911" s="12" t="s">
        <v>60</v>
      </c>
      <c r="E1911" s="303">
        <v>4573750286</v>
      </c>
      <c r="F1911" s="303">
        <v>7320149366</v>
      </c>
      <c r="G1911" s="303">
        <v>23</v>
      </c>
      <c r="H1911" s="303">
        <v>1</v>
      </c>
      <c r="I1911" s="303">
        <v>24</v>
      </c>
      <c r="J1911" s="303">
        <v>8</v>
      </c>
      <c r="K1911" s="303">
        <v>32</v>
      </c>
      <c r="L1911" s="303">
        <v>-3</v>
      </c>
      <c r="M1911" s="303">
        <v>1</v>
      </c>
      <c r="N1911" s="303">
        <v>1003</v>
      </c>
      <c r="O1911" s="303">
        <v>143</v>
      </c>
      <c r="P1911" s="303">
        <v>1178</v>
      </c>
      <c r="Q1911" s="303">
        <v>14079</v>
      </c>
      <c r="R1911" s="12" t="s">
        <v>5096</v>
      </c>
      <c r="S1911" s="12" t="s">
        <v>25</v>
      </c>
      <c r="T1911" s="12" t="s">
        <v>25</v>
      </c>
    </row>
    <row r="1912" spans="1:20" hidden="1" x14ac:dyDescent="0.3">
      <c r="A1912" s="13">
        <v>43975.708333333336</v>
      </c>
      <c r="B1912" s="12" t="s">
        <v>22</v>
      </c>
      <c r="C1912" s="303">
        <v>5</v>
      </c>
      <c r="D1912" s="12" t="s">
        <v>61</v>
      </c>
      <c r="E1912" s="303">
        <v>4543490485</v>
      </c>
      <c r="F1912" s="303">
        <v>1233845213</v>
      </c>
      <c r="G1912" s="303">
        <v>185</v>
      </c>
      <c r="H1912" s="303">
        <v>11</v>
      </c>
      <c r="I1912" s="303">
        <v>196</v>
      </c>
      <c r="J1912" s="303">
        <v>2464</v>
      </c>
      <c r="K1912" s="303">
        <v>2660</v>
      </c>
      <c r="L1912" s="303">
        <v>-181</v>
      </c>
      <c r="M1912" s="303">
        <v>17</v>
      </c>
      <c r="N1912" s="303">
        <v>14557</v>
      </c>
      <c r="O1912" s="303">
        <v>1869</v>
      </c>
      <c r="P1912" s="303">
        <v>19086</v>
      </c>
      <c r="Q1912" s="303">
        <v>582709</v>
      </c>
      <c r="R1912" s="12" t="s">
        <v>5097</v>
      </c>
      <c r="S1912" s="12" t="s">
        <v>25</v>
      </c>
      <c r="T1912" s="12" t="s">
        <v>25</v>
      </c>
    </row>
    <row r="1913" spans="1:20" hidden="1" x14ac:dyDescent="0.3">
      <c r="A1913" s="13">
        <v>43976.708333333336</v>
      </c>
      <c r="B1913" s="12" t="s">
        <v>22</v>
      </c>
      <c r="C1913" s="303">
        <v>13</v>
      </c>
      <c r="D1913" s="12" t="s">
        <v>42</v>
      </c>
      <c r="E1913" s="303">
        <v>4235122196</v>
      </c>
      <c r="F1913" s="303">
        <v>1339843823</v>
      </c>
      <c r="G1913" s="303">
        <v>149</v>
      </c>
      <c r="H1913" s="303">
        <v>3</v>
      </c>
      <c r="I1913" s="303">
        <v>152</v>
      </c>
      <c r="J1913" s="303">
        <v>894</v>
      </c>
      <c r="K1913" s="303">
        <v>1046</v>
      </c>
      <c r="L1913" s="303">
        <v>-46</v>
      </c>
      <c r="M1913" s="303">
        <v>1</v>
      </c>
      <c r="N1913" s="303">
        <v>1781</v>
      </c>
      <c r="O1913" s="303">
        <v>400</v>
      </c>
      <c r="P1913" s="303">
        <v>3227</v>
      </c>
      <c r="Q1913" s="303">
        <v>67468</v>
      </c>
      <c r="R1913" s="12" t="s">
        <v>5098</v>
      </c>
      <c r="S1913" s="12" t="s">
        <v>25</v>
      </c>
      <c r="T1913" s="12" t="s">
        <v>25</v>
      </c>
    </row>
    <row r="1914" spans="1:20" hidden="1" x14ac:dyDescent="0.3">
      <c r="A1914" s="13">
        <v>43976.708333333336</v>
      </c>
      <c r="B1914" s="12" t="s">
        <v>22</v>
      </c>
      <c r="C1914" s="303">
        <v>17</v>
      </c>
      <c r="D1914" s="12" t="s">
        <v>43</v>
      </c>
      <c r="E1914" s="303">
        <v>4063947052</v>
      </c>
      <c r="F1914" s="303">
        <v>1580514834</v>
      </c>
      <c r="G1914" s="303">
        <v>13</v>
      </c>
      <c r="H1914" s="303">
        <v>0</v>
      </c>
      <c r="I1914" s="303">
        <v>13</v>
      </c>
      <c r="J1914" s="303">
        <v>23</v>
      </c>
      <c r="K1914" s="303">
        <v>36</v>
      </c>
      <c r="L1914" s="303">
        <v>-3</v>
      </c>
      <c r="M1914" s="303">
        <v>0</v>
      </c>
      <c r="N1914" s="303">
        <v>336</v>
      </c>
      <c r="O1914" s="303">
        <v>27</v>
      </c>
      <c r="P1914" s="303">
        <v>399</v>
      </c>
      <c r="Q1914" s="303">
        <v>26634</v>
      </c>
      <c r="R1914" s="12" t="s">
        <v>5099</v>
      </c>
      <c r="S1914" s="12" t="s">
        <v>25</v>
      </c>
      <c r="T1914" s="12" t="s">
        <v>25</v>
      </c>
    </row>
    <row r="1915" spans="1:20" hidden="1" x14ac:dyDescent="0.3">
      <c r="A1915" s="13">
        <v>43976.708333333336</v>
      </c>
      <c r="B1915" s="12" t="s">
        <v>22</v>
      </c>
      <c r="C1915" s="303">
        <v>21</v>
      </c>
      <c r="D1915" s="12" t="s">
        <v>44</v>
      </c>
      <c r="E1915" s="303">
        <v>4649933453</v>
      </c>
      <c r="F1915" s="303">
        <v>1135662422</v>
      </c>
      <c r="G1915" s="303">
        <v>29</v>
      </c>
      <c r="H1915" s="303">
        <v>5</v>
      </c>
      <c r="I1915" s="303">
        <v>34</v>
      </c>
      <c r="J1915" s="303">
        <v>150</v>
      </c>
      <c r="K1915" s="303">
        <v>184</v>
      </c>
      <c r="L1915" s="303">
        <v>-11</v>
      </c>
      <c r="M1915" s="303">
        <v>0</v>
      </c>
      <c r="N1915" s="303">
        <v>2118</v>
      </c>
      <c r="O1915" s="303">
        <v>291</v>
      </c>
      <c r="P1915" s="303">
        <v>2593</v>
      </c>
      <c r="Q1915" s="303">
        <v>61075</v>
      </c>
      <c r="R1915" s="12" t="s">
        <v>5100</v>
      </c>
      <c r="S1915" s="12" t="s">
        <v>25</v>
      </c>
      <c r="T1915" s="12" t="s">
        <v>25</v>
      </c>
    </row>
    <row r="1916" spans="1:20" hidden="1" x14ac:dyDescent="0.3">
      <c r="A1916" s="13">
        <v>43976.708333333336</v>
      </c>
      <c r="B1916" s="12" t="s">
        <v>22</v>
      </c>
      <c r="C1916" s="303">
        <v>18</v>
      </c>
      <c r="D1916" s="12" t="s">
        <v>45</v>
      </c>
      <c r="E1916" s="303">
        <v>3890597598</v>
      </c>
      <c r="F1916" s="303">
        <v>1659440194</v>
      </c>
      <c r="G1916" s="303">
        <v>42</v>
      </c>
      <c r="H1916" s="303">
        <v>1</v>
      </c>
      <c r="I1916" s="303">
        <v>43</v>
      </c>
      <c r="J1916" s="303">
        <v>221</v>
      </c>
      <c r="K1916" s="303">
        <v>264</v>
      </c>
      <c r="L1916" s="303">
        <v>-11</v>
      </c>
      <c r="M1916" s="303">
        <v>0</v>
      </c>
      <c r="N1916" s="303">
        <v>797</v>
      </c>
      <c r="O1916" s="303">
        <v>96</v>
      </c>
      <c r="P1916" s="303">
        <v>1157</v>
      </c>
      <c r="Q1916" s="303">
        <v>63508</v>
      </c>
      <c r="R1916" s="12" t="s">
        <v>5101</v>
      </c>
      <c r="S1916" s="12" t="s">
        <v>25</v>
      </c>
      <c r="T1916" s="12" t="s">
        <v>25</v>
      </c>
    </row>
    <row r="1917" spans="1:20" hidden="1" x14ac:dyDescent="0.3">
      <c r="A1917" s="13">
        <v>43976.708333333336</v>
      </c>
      <c r="B1917" s="12" t="s">
        <v>22</v>
      </c>
      <c r="C1917" s="303">
        <v>15</v>
      </c>
      <c r="D1917" s="12" t="s">
        <v>46</v>
      </c>
      <c r="E1917" s="303">
        <v>4083956555</v>
      </c>
      <c r="F1917" s="303">
        <v>1425084984</v>
      </c>
      <c r="G1917" s="303">
        <v>287</v>
      </c>
      <c r="H1917" s="303">
        <v>7</v>
      </c>
      <c r="I1917" s="303">
        <v>294</v>
      </c>
      <c r="J1917" s="303">
        <v>919</v>
      </c>
      <c r="K1917" s="303">
        <v>1213</v>
      </c>
      <c r="L1917" s="303">
        <v>-55</v>
      </c>
      <c r="M1917" s="303">
        <v>6</v>
      </c>
      <c r="N1917" s="303">
        <v>3137</v>
      </c>
      <c r="O1917" s="303">
        <v>405</v>
      </c>
      <c r="P1917" s="303">
        <v>4755</v>
      </c>
      <c r="Q1917" s="303">
        <v>175466</v>
      </c>
      <c r="R1917" s="12" t="s">
        <v>5102</v>
      </c>
      <c r="S1917" s="12" t="s">
        <v>25</v>
      </c>
      <c r="T1917" s="12" t="s">
        <v>25</v>
      </c>
    </row>
    <row r="1918" spans="1:20" hidden="1" x14ac:dyDescent="0.3">
      <c r="A1918" s="13">
        <v>43976.708333333336</v>
      </c>
      <c r="B1918" s="12" t="s">
        <v>22</v>
      </c>
      <c r="C1918" s="303">
        <v>8</v>
      </c>
      <c r="D1918" s="12" t="s">
        <v>95</v>
      </c>
      <c r="E1918" s="303">
        <v>4449436681</v>
      </c>
      <c r="F1918" s="303">
        <v>113417208</v>
      </c>
      <c r="G1918" s="303">
        <v>514</v>
      </c>
      <c r="H1918" s="303">
        <v>82</v>
      </c>
      <c r="I1918" s="303">
        <v>596</v>
      </c>
      <c r="J1918" s="303">
        <v>3763</v>
      </c>
      <c r="K1918" s="303">
        <v>4359</v>
      </c>
      <c r="L1918" s="303">
        <v>-98</v>
      </c>
      <c r="M1918" s="303">
        <v>29</v>
      </c>
      <c r="N1918" s="303">
        <v>19160</v>
      </c>
      <c r="O1918" s="303">
        <v>4068</v>
      </c>
      <c r="P1918" s="303">
        <v>27587</v>
      </c>
      <c r="Q1918" s="303">
        <v>294181</v>
      </c>
      <c r="R1918" s="12" t="s">
        <v>5103</v>
      </c>
      <c r="S1918" s="12" t="s">
        <v>25</v>
      </c>
      <c r="T1918" s="12" t="s">
        <v>25</v>
      </c>
    </row>
    <row r="1919" spans="1:20" hidden="1" x14ac:dyDescent="0.3">
      <c r="A1919" s="13">
        <v>43976.708333333336</v>
      </c>
      <c r="B1919" s="12" t="s">
        <v>22</v>
      </c>
      <c r="C1919" s="303">
        <v>6</v>
      </c>
      <c r="D1919" s="12" t="s">
        <v>47</v>
      </c>
      <c r="E1919" s="303">
        <v>456494354</v>
      </c>
      <c r="F1919" s="303">
        <v>1376813649</v>
      </c>
      <c r="G1919" s="303">
        <v>62</v>
      </c>
      <c r="H1919" s="303">
        <v>1</v>
      </c>
      <c r="I1919" s="303">
        <v>63</v>
      </c>
      <c r="J1919" s="303">
        <v>323</v>
      </c>
      <c r="K1919" s="303">
        <v>386</v>
      </c>
      <c r="L1919" s="303">
        <v>-26</v>
      </c>
      <c r="M1919" s="303">
        <v>4</v>
      </c>
      <c r="N1919" s="303">
        <v>2525</v>
      </c>
      <c r="O1919" s="303">
        <v>329</v>
      </c>
      <c r="P1919" s="303">
        <v>3240</v>
      </c>
      <c r="Q1919" s="303">
        <v>120123</v>
      </c>
      <c r="R1919" s="12" t="s">
        <v>5104</v>
      </c>
      <c r="S1919" s="12" t="s">
        <v>25</v>
      </c>
      <c r="T1919" s="12" t="s">
        <v>25</v>
      </c>
    </row>
    <row r="1920" spans="1:20" hidden="1" x14ac:dyDescent="0.3">
      <c r="A1920" s="13">
        <v>43976.708333333336</v>
      </c>
      <c r="B1920" s="12" t="s">
        <v>22</v>
      </c>
      <c r="C1920" s="303">
        <v>12</v>
      </c>
      <c r="D1920" s="12" t="s">
        <v>48</v>
      </c>
      <c r="E1920" s="303">
        <v>4189277044</v>
      </c>
      <c r="F1920" s="303">
        <v>1248366722</v>
      </c>
      <c r="G1920" s="303">
        <v>1085</v>
      </c>
      <c r="H1920" s="303">
        <v>60</v>
      </c>
      <c r="I1920" s="303">
        <v>1145</v>
      </c>
      <c r="J1920" s="303">
        <v>2409</v>
      </c>
      <c r="K1920" s="303">
        <v>3554</v>
      </c>
      <c r="L1920" s="303">
        <v>-15</v>
      </c>
      <c r="M1920" s="303">
        <v>16</v>
      </c>
      <c r="N1920" s="303">
        <v>3401</v>
      </c>
      <c r="O1920" s="303">
        <v>688</v>
      </c>
      <c r="P1920" s="303">
        <v>7643</v>
      </c>
      <c r="Q1920" s="303">
        <v>235840</v>
      </c>
      <c r="R1920" s="12" t="s">
        <v>5105</v>
      </c>
      <c r="S1920" s="12" t="s">
        <v>25</v>
      </c>
      <c r="T1920" s="12" t="s">
        <v>25</v>
      </c>
    </row>
    <row r="1921" spans="1:20" x14ac:dyDescent="0.3">
      <c r="A1921" s="13">
        <v>43976.708333333336</v>
      </c>
      <c r="B1921" s="12" t="s">
        <v>22</v>
      </c>
      <c r="C1921" s="303">
        <v>7</v>
      </c>
      <c r="D1921" s="12" t="s">
        <v>49</v>
      </c>
      <c r="E1921" s="303">
        <v>4441149315</v>
      </c>
      <c r="F1921" s="303">
        <v>89326992</v>
      </c>
      <c r="G1921" s="303">
        <v>236</v>
      </c>
      <c r="H1921" s="303">
        <v>18</v>
      </c>
      <c r="I1921" s="303">
        <v>254</v>
      </c>
      <c r="J1921" s="303">
        <v>1302</v>
      </c>
      <c r="K1921" s="303">
        <v>1556</v>
      </c>
      <c r="L1921" s="303">
        <v>-68</v>
      </c>
      <c r="M1921" s="303">
        <v>17</v>
      </c>
      <c r="N1921" s="303">
        <v>6516</v>
      </c>
      <c r="O1921" s="303">
        <v>1425</v>
      </c>
      <c r="P1921" s="303">
        <v>9497</v>
      </c>
      <c r="Q1921" s="303">
        <v>94472</v>
      </c>
      <c r="R1921" s="12" t="s">
        <v>5106</v>
      </c>
      <c r="S1921" s="12" t="s">
        <v>25</v>
      </c>
      <c r="T1921" s="12" t="s">
        <v>25</v>
      </c>
    </row>
    <row r="1922" spans="1:20" hidden="1" x14ac:dyDescent="0.3">
      <c r="A1922" s="13">
        <v>43976.708333333336</v>
      </c>
      <c r="B1922" s="12" t="s">
        <v>22</v>
      </c>
      <c r="C1922" s="303">
        <v>3</v>
      </c>
      <c r="D1922" s="12" t="s">
        <v>50</v>
      </c>
      <c r="E1922" s="303">
        <v>4546679409</v>
      </c>
      <c r="F1922" s="303">
        <v>9190347404</v>
      </c>
      <c r="G1922" s="303">
        <v>3721</v>
      </c>
      <c r="H1922" s="303">
        <v>196</v>
      </c>
      <c r="I1922" s="303">
        <v>3917</v>
      </c>
      <c r="J1922" s="303">
        <v>21298</v>
      </c>
      <c r="K1922" s="303">
        <v>25215</v>
      </c>
      <c r="L1922" s="303">
        <v>-399</v>
      </c>
      <c r="M1922" s="303">
        <v>148</v>
      </c>
      <c r="N1922" s="303">
        <v>46169</v>
      </c>
      <c r="O1922" s="303">
        <v>15874</v>
      </c>
      <c r="P1922" s="303">
        <v>87258</v>
      </c>
      <c r="Q1922" s="303">
        <v>675882</v>
      </c>
      <c r="R1922" s="12" t="s">
        <v>5107</v>
      </c>
      <c r="S1922" s="12" t="s">
        <v>25</v>
      </c>
      <c r="T1922" s="12" t="s">
        <v>25</v>
      </c>
    </row>
    <row r="1923" spans="1:20" hidden="1" x14ac:dyDescent="0.3">
      <c r="A1923" s="13">
        <v>43976.708333333336</v>
      </c>
      <c r="B1923" s="12" t="s">
        <v>22</v>
      </c>
      <c r="C1923" s="303">
        <v>11</v>
      </c>
      <c r="D1923" s="12" t="s">
        <v>51</v>
      </c>
      <c r="E1923" s="303">
        <v>4361675973</v>
      </c>
      <c r="F1923" s="303">
        <v>135188753</v>
      </c>
      <c r="G1923" s="303">
        <v>95</v>
      </c>
      <c r="H1923" s="303">
        <v>13</v>
      </c>
      <c r="I1923" s="303">
        <v>108</v>
      </c>
      <c r="J1923" s="303">
        <v>1554</v>
      </c>
      <c r="K1923" s="303">
        <v>1662</v>
      </c>
      <c r="L1923" s="303">
        <v>-30</v>
      </c>
      <c r="M1923" s="303">
        <v>2</v>
      </c>
      <c r="N1923" s="303">
        <v>4059</v>
      </c>
      <c r="O1923" s="303">
        <v>995</v>
      </c>
      <c r="P1923" s="303">
        <v>6716</v>
      </c>
      <c r="Q1923" s="303">
        <v>96270</v>
      </c>
      <c r="R1923" s="12" t="s">
        <v>5108</v>
      </c>
      <c r="S1923" s="12" t="s">
        <v>25</v>
      </c>
      <c r="T1923" s="12" t="s">
        <v>25</v>
      </c>
    </row>
    <row r="1924" spans="1:20" hidden="1" x14ac:dyDescent="0.3">
      <c r="A1924" s="13">
        <v>43976.708333333336</v>
      </c>
      <c r="B1924" s="12" t="s">
        <v>22</v>
      </c>
      <c r="C1924" s="303">
        <v>14</v>
      </c>
      <c r="D1924" s="12" t="s">
        <v>52</v>
      </c>
      <c r="E1924" s="303">
        <v>4155774754</v>
      </c>
      <c r="F1924" s="303">
        <v>1465916051</v>
      </c>
      <c r="G1924" s="303">
        <v>5</v>
      </c>
      <c r="H1924" s="303">
        <v>2</v>
      </c>
      <c r="I1924" s="303">
        <v>7</v>
      </c>
      <c r="J1924" s="303">
        <v>170</v>
      </c>
      <c r="K1924" s="303">
        <v>177</v>
      </c>
      <c r="L1924" s="303">
        <v>-6</v>
      </c>
      <c r="M1924" s="303">
        <v>0</v>
      </c>
      <c r="N1924" s="303">
        <v>233</v>
      </c>
      <c r="O1924" s="303">
        <v>22</v>
      </c>
      <c r="P1924" s="303">
        <v>432</v>
      </c>
      <c r="Q1924" s="303">
        <v>13315</v>
      </c>
      <c r="R1924" s="12" t="s">
        <v>5109</v>
      </c>
      <c r="S1924" s="12" t="s">
        <v>25</v>
      </c>
      <c r="T1924" s="12" t="s">
        <v>25</v>
      </c>
    </row>
    <row r="1925" spans="1:20" hidden="1" x14ac:dyDescent="0.3">
      <c r="A1925" s="13">
        <v>43976.708333333336</v>
      </c>
      <c r="B1925" s="12" t="s">
        <v>22</v>
      </c>
      <c r="C1925" s="303">
        <v>1</v>
      </c>
      <c r="D1925" s="12" t="s">
        <v>53</v>
      </c>
      <c r="E1925" s="303">
        <v>450732745</v>
      </c>
      <c r="F1925" s="303">
        <v>7680687483</v>
      </c>
      <c r="G1925" s="303">
        <v>1227</v>
      </c>
      <c r="H1925" s="303">
        <v>72</v>
      </c>
      <c r="I1925" s="303">
        <v>1299</v>
      </c>
      <c r="J1925" s="303">
        <v>6197</v>
      </c>
      <c r="K1925" s="303">
        <v>7496</v>
      </c>
      <c r="L1925" s="303">
        <v>-207</v>
      </c>
      <c r="M1925" s="303">
        <v>48</v>
      </c>
      <c r="N1925" s="303">
        <v>18934</v>
      </c>
      <c r="O1925" s="303">
        <v>3798</v>
      </c>
      <c r="P1925" s="303">
        <v>30228</v>
      </c>
      <c r="Q1925" s="303">
        <v>288018</v>
      </c>
      <c r="R1925" s="12" t="s">
        <v>5110</v>
      </c>
      <c r="S1925" s="12" t="s">
        <v>25</v>
      </c>
      <c r="T1925" s="12" t="s">
        <v>25</v>
      </c>
    </row>
    <row r="1926" spans="1:20" hidden="1" x14ac:dyDescent="0.3">
      <c r="A1926" s="13">
        <v>43976.708333333336</v>
      </c>
      <c r="B1926" s="12" t="s">
        <v>22</v>
      </c>
      <c r="C1926" s="303">
        <v>16</v>
      </c>
      <c r="D1926" s="12" t="s">
        <v>54</v>
      </c>
      <c r="E1926" s="303">
        <v>4112559576</v>
      </c>
      <c r="F1926" s="303">
        <v>1686736689</v>
      </c>
      <c r="G1926" s="303">
        <v>190</v>
      </c>
      <c r="H1926" s="303">
        <v>15</v>
      </c>
      <c r="I1926" s="303">
        <v>205</v>
      </c>
      <c r="J1926" s="303">
        <v>1473</v>
      </c>
      <c r="K1926" s="303">
        <v>1678</v>
      </c>
      <c r="L1926" s="303">
        <v>-115</v>
      </c>
      <c r="M1926" s="303">
        <v>9</v>
      </c>
      <c r="N1926" s="303">
        <v>2298</v>
      </c>
      <c r="O1926" s="303">
        <v>491</v>
      </c>
      <c r="P1926" s="303">
        <v>4467</v>
      </c>
      <c r="Q1926" s="303">
        <v>104670</v>
      </c>
      <c r="R1926" s="12" t="s">
        <v>5111</v>
      </c>
      <c r="S1926" s="12" t="s">
        <v>25</v>
      </c>
      <c r="T1926" s="12" t="s">
        <v>25</v>
      </c>
    </row>
    <row r="1927" spans="1:20" hidden="1" x14ac:dyDescent="0.3">
      <c r="A1927" s="13">
        <v>43976.708333333336</v>
      </c>
      <c r="B1927" s="12" t="s">
        <v>22</v>
      </c>
      <c r="C1927" s="303">
        <v>20</v>
      </c>
      <c r="D1927" s="12" t="s">
        <v>55</v>
      </c>
      <c r="E1927" s="303">
        <v>3921531192</v>
      </c>
      <c r="F1927" s="303">
        <v>9110616306</v>
      </c>
      <c r="G1927" s="303">
        <v>49</v>
      </c>
      <c r="H1927" s="303">
        <v>3</v>
      </c>
      <c r="I1927" s="303">
        <v>52</v>
      </c>
      <c r="J1927" s="303">
        <v>179</v>
      </c>
      <c r="K1927" s="303">
        <v>231</v>
      </c>
      <c r="L1927" s="303">
        <v>-14</v>
      </c>
      <c r="M1927" s="303">
        <v>-2</v>
      </c>
      <c r="N1927" s="303">
        <v>994</v>
      </c>
      <c r="O1927" s="303">
        <v>129</v>
      </c>
      <c r="P1927" s="303">
        <v>1354</v>
      </c>
      <c r="Q1927" s="303">
        <v>51073</v>
      </c>
      <c r="R1927" s="12" t="s">
        <v>5112</v>
      </c>
      <c r="S1927" s="12" t="s">
        <v>5113</v>
      </c>
      <c r="T1927" s="12" t="s">
        <v>5114</v>
      </c>
    </row>
    <row r="1928" spans="1:20" hidden="1" x14ac:dyDescent="0.3">
      <c r="A1928" s="13">
        <v>43976.708333333336</v>
      </c>
      <c r="B1928" s="12" t="s">
        <v>22</v>
      </c>
      <c r="C1928" s="303">
        <v>19</v>
      </c>
      <c r="D1928" s="12" t="s">
        <v>56</v>
      </c>
      <c r="E1928" s="303">
        <v>3811569725</v>
      </c>
      <c r="F1928" s="303">
        <v>133623567</v>
      </c>
      <c r="G1928" s="303">
        <v>89</v>
      </c>
      <c r="H1928" s="303">
        <v>9</v>
      </c>
      <c r="I1928" s="303">
        <v>98</v>
      </c>
      <c r="J1928" s="303">
        <v>1335</v>
      </c>
      <c r="K1928" s="303">
        <v>1433</v>
      </c>
      <c r="L1928" s="303">
        <v>-20</v>
      </c>
      <c r="M1928" s="303">
        <v>4</v>
      </c>
      <c r="N1928" s="303">
        <v>1724</v>
      </c>
      <c r="O1928" s="303">
        <v>270</v>
      </c>
      <c r="P1928" s="303">
        <v>3427</v>
      </c>
      <c r="Q1928" s="303">
        <v>135261</v>
      </c>
      <c r="R1928" s="12" t="s">
        <v>5115</v>
      </c>
      <c r="S1928" s="12" t="s">
        <v>25</v>
      </c>
      <c r="T1928" s="12" t="s">
        <v>25</v>
      </c>
    </row>
    <row r="1929" spans="1:20" hidden="1" x14ac:dyDescent="0.3">
      <c r="A1929" s="13">
        <v>43976.708333333336</v>
      </c>
      <c r="B1929" s="12" t="s">
        <v>22</v>
      </c>
      <c r="C1929" s="303">
        <v>9</v>
      </c>
      <c r="D1929" s="12" t="s">
        <v>57</v>
      </c>
      <c r="E1929" s="303">
        <v>4376923077</v>
      </c>
      <c r="F1929" s="303">
        <v>1125588885</v>
      </c>
      <c r="G1929" s="303">
        <v>152</v>
      </c>
      <c r="H1929" s="303">
        <v>37</v>
      </c>
      <c r="I1929" s="303">
        <v>189</v>
      </c>
      <c r="J1929" s="303">
        <v>1447</v>
      </c>
      <c r="K1929" s="303">
        <v>1636</v>
      </c>
      <c r="L1929" s="303">
        <v>-64</v>
      </c>
      <c r="M1929" s="303">
        <v>5</v>
      </c>
      <c r="N1929" s="303">
        <v>7416</v>
      </c>
      <c r="O1929" s="303">
        <v>1015</v>
      </c>
      <c r="P1929" s="303">
        <v>10067</v>
      </c>
      <c r="Q1929" s="303">
        <v>230273</v>
      </c>
      <c r="R1929" s="12" t="s">
        <v>5116</v>
      </c>
      <c r="S1929" s="12" t="s">
        <v>25</v>
      </c>
      <c r="T1929" s="12" t="s">
        <v>25</v>
      </c>
    </row>
    <row r="1930" spans="1:20" hidden="1" x14ac:dyDescent="0.3">
      <c r="A1930" s="13">
        <v>43976.708333333336</v>
      </c>
      <c r="B1930" s="12" t="s">
        <v>22</v>
      </c>
      <c r="C1930" s="303">
        <v>22</v>
      </c>
      <c r="D1930" s="12" t="s">
        <v>58</v>
      </c>
      <c r="E1930" s="303">
        <v>4606893511</v>
      </c>
      <c r="F1930" s="303">
        <v>1112123097</v>
      </c>
      <c r="G1930" s="303">
        <v>27</v>
      </c>
      <c r="H1930" s="303">
        <v>4</v>
      </c>
      <c r="I1930" s="303">
        <v>31</v>
      </c>
      <c r="J1930" s="303">
        <v>486</v>
      </c>
      <c r="K1930" s="303">
        <v>517</v>
      </c>
      <c r="L1930" s="303">
        <v>-18</v>
      </c>
      <c r="M1930" s="303">
        <v>1</v>
      </c>
      <c r="N1930" s="303">
        <v>3430</v>
      </c>
      <c r="O1930" s="303">
        <v>458</v>
      </c>
      <c r="P1930" s="303">
        <v>4405</v>
      </c>
      <c r="Q1930" s="303">
        <v>80454</v>
      </c>
      <c r="R1930" s="12" t="s">
        <v>5117</v>
      </c>
      <c r="S1930" s="12" t="s">
        <v>25</v>
      </c>
      <c r="T1930" s="12" t="s">
        <v>25</v>
      </c>
    </row>
    <row r="1931" spans="1:20" hidden="1" x14ac:dyDescent="0.3">
      <c r="A1931" s="13">
        <v>43976.708333333336</v>
      </c>
      <c r="B1931" s="12" t="s">
        <v>22</v>
      </c>
      <c r="C1931" s="303">
        <v>10</v>
      </c>
      <c r="D1931" s="12" t="s">
        <v>59</v>
      </c>
      <c r="E1931" s="303">
        <v>4310675841</v>
      </c>
      <c r="F1931" s="303">
        <v>1238824698</v>
      </c>
      <c r="G1931" s="303">
        <v>15</v>
      </c>
      <c r="H1931" s="303">
        <v>2</v>
      </c>
      <c r="I1931" s="303">
        <v>17</v>
      </c>
      <c r="J1931" s="303">
        <v>29</v>
      </c>
      <c r="K1931" s="303">
        <v>46</v>
      </c>
      <c r="L1931" s="303">
        <v>-7</v>
      </c>
      <c r="M1931" s="303">
        <v>0</v>
      </c>
      <c r="N1931" s="303">
        <v>1309</v>
      </c>
      <c r="O1931" s="303">
        <v>75</v>
      </c>
      <c r="P1931" s="303">
        <v>1430</v>
      </c>
      <c r="Q1931" s="303">
        <v>63916</v>
      </c>
      <c r="R1931" s="12" t="s">
        <v>5118</v>
      </c>
      <c r="S1931" s="12" t="s">
        <v>25</v>
      </c>
      <c r="T1931" s="12" t="s">
        <v>25</v>
      </c>
    </row>
    <row r="1932" spans="1:20" hidden="1" x14ac:dyDescent="0.3">
      <c r="A1932" s="13">
        <v>43976.708333333336</v>
      </c>
      <c r="B1932" s="12" t="s">
        <v>22</v>
      </c>
      <c r="C1932" s="303">
        <v>2</v>
      </c>
      <c r="D1932" s="12" t="s">
        <v>60</v>
      </c>
      <c r="E1932" s="303">
        <v>4573750286</v>
      </c>
      <c r="F1932" s="303">
        <v>7320149366</v>
      </c>
      <c r="G1932" s="303">
        <v>19</v>
      </c>
      <c r="H1932" s="303">
        <v>1</v>
      </c>
      <c r="I1932" s="303">
        <v>20</v>
      </c>
      <c r="J1932" s="303">
        <v>13</v>
      </c>
      <c r="K1932" s="303">
        <v>33</v>
      </c>
      <c r="L1932" s="303">
        <v>1</v>
      </c>
      <c r="M1932" s="303">
        <v>1</v>
      </c>
      <c r="N1932" s="303">
        <v>1003</v>
      </c>
      <c r="O1932" s="303">
        <v>143</v>
      </c>
      <c r="P1932" s="303">
        <v>1179</v>
      </c>
      <c r="Q1932" s="303">
        <v>14175</v>
      </c>
      <c r="R1932" s="12" t="s">
        <v>5119</v>
      </c>
      <c r="S1932" s="12" t="s">
        <v>25</v>
      </c>
      <c r="T1932" s="12" t="s">
        <v>25</v>
      </c>
    </row>
    <row r="1933" spans="1:20" hidden="1" x14ac:dyDescent="0.3">
      <c r="A1933" s="13">
        <v>43976.708333333336</v>
      </c>
      <c r="B1933" s="12" t="s">
        <v>22</v>
      </c>
      <c r="C1933" s="303">
        <v>5</v>
      </c>
      <c r="D1933" s="12" t="s">
        <v>61</v>
      </c>
      <c r="E1933" s="303">
        <v>4543490485</v>
      </c>
      <c r="F1933" s="303">
        <v>1233845213</v>
      </c>
      <c r="G1933" s="303">
        <v>179</v>
      </c>
      <c r="H1933" s="303">
        <v>10</v>
      </c>
      <c r="I1933" s="303">
        <v>189</v>
      </c>
      <c r="J1933" s="303">
        <v>2389</v>
      </c>
      <c r="K1933" s="303">
        <v>2578</v>
      </c>
      <c r="L1933" s="303">
        <v>-82</v>
      </c>
      <c r="M1933" s="303">
        <v>11</v>
      </c>
      <c r="N1933" s="303">
        <v>14641</v>
      </c>
      <c r="O1933" s="303">
        <v>1878</v>
      </c>
      <c r="P1933" s="303">
        <v>19097</v>
      </c>
      <c r="Q1933" s="303">
        <v>590179</v>
      </c>
      <c r="R1933" s="12" t="s">
        <v>5120</v>
      </c>
      <c r="S1933" s="12" t="s">
        <v>25</v>
      </c>
      <c r="T1933" s="12" t="s">
        <v>25</v>
      </c>
    </row>
    <row r="1934" spans="1:20" hidden="1" x14ac:dyDescent="0.3">
      <c r="A1934" s="13">
        <v>43977.708333333336</v>
      </c>
      <c r="B1934" s="12" t="s">
        <v>22</v>
      </c>
      <c r="C1934" s="303">
        <v>13</v>
      </c>
      <c r="D1934" s="12" t="s">
        <v>42</v>
      </c>
      <c r="E1934" s="303">
        <v>4235122196</v>
      </c>
      <c r="F1934" s="303">
        <v>1339843823</v>
      </c>
      <c r="G1934" s="303">
        <v>142</v>
      </c>
      <c r="H1934" s="303">
        <v>3</v>
      </c>
      <c r="I1934" s="303">
        <v>145</v>
      </c>
      <c r="J1934" s="303">
        <v>764</v>
      </c>
      <c r="K1934" s="303">
        <v>909</v>
      </c>
      <c r="L1934" s="303">
        <v>-137</v>
      </c>
      <c r="M1934" s="303">
        <v>3</v>
      </c>
      <c r="N1934" s="303">
        <v>1921</v>
      </c>
      <c r="O1934" s="303">
        <v>400</v>
      </c>
      <c r="P1934" s="303">
        <v>3230</v>
      </c>
      <c r="Q1934" s="303">
        <v>68733</v>
      </c>
      <c r="R1934" s="12" t="s">
        <v>5121</v>
      </c>
      <c r="S1934" s="12" t="s">
        <v>25</v>
      </c>
      <c r="T1934" s="12" t="s">
        <v>25</v>
      </c>
    </row>
    <row r="1935" spans="1:20" hidden="1" x14ac:dyDescent="0.3">
      <c r="A1935" s="13">
        <v>43977.708333333336</v>
      </c>
      <c r="B1935" s="12" t="s">
        <v>22</v>
      </c>
      <c r="C1935" s="303">
        <v>17</v>
      </c>
      <c r="D1935" s="12" t="s">
        <v>43</v>
      </c>
      <c r="E1935" s="303">
        <v>4063947052</v>
      </c>
      <c r="F1935" s="303">
        <v>1580514834</v>
      </c>
      <c r="G1935" s="303">
        <v>8</v>
      </c>
      <c r="H1935" s="303">
        <v>0</v>
      </c>
      <c r="I1935" s="303">
        <v>8</v>
      </c>
      <c r="J1935" s="303">
        <v>28</v>
      </c>
      <c r="K1935" s="303">
        <v>36</v>
      </c>
      <c r="L1935" s="303">
        <v>0</v>
      </c>
      <c r="M1935" s="303">
        <v>0</v>
      </c>
      <c r="N1935" s="303">
        <v>336</v>
      </c>
      <c r="O1935" s="303">
        <v>27</v>
      </c>
      <c r="P1935" s="303">
        <v>399</v>
      </c>
      <c r="Q1935" s="303">
        <v>27197</v>
      </c>
      <c r="R1935" s="12" t="s">
        <v>5122</v>
      </c>
      <c r="S1935" s="12" t="s">
        <v>25</v>
      </c>
      <c r="T1935" s="12" t="s">
        <v>25</v>
      </c>
    </row>
    <row r="1936" spans="1:20" hidden="1" x14ac:dyDescent="0.3">
      <c r="A1936" s="13">
        <v>43977.708333333336</v>
      </c>
      <c r="B1936" s="12" t="s">
        <v>22</v>
      </c>
      <c r="C1936" s="303">
        <v>21</v>
      </c>
      <c r="D1936" s="12" t="s">
        <v>44</v>
      </c>
      <c r="E1936" s="303">
        <v>4649933453</v>
      </c>
      <c r="F1936" s="303">
        <v>1135662422</v>
      </c>
      <c r="G1936" s="303">
        <v>28</v>
      </c>
      <c r="H1936" s="303">
        <v>5</v>
      </c>
      <c r="I1936" s="303">
        <v>33</v>
      </c>
      <c r="J1936" s="303">
        <v>146</v>
      </c>
      <c r="K1936" s="303">
        <v>179</v>
      </c>
      <c r="L1936" s="303">
        <v>-5</v>
      </c>
      <c r="M1936" s="303">
        <v>0</v>
      </c>
      <c r="N1936" s="303">
        <v>2123</v>
      </c>
      <c r="O1936" s="303">
        <v>291</v>
      </c>
      <c r="P1936" s="303">
        <v>2593</v>
      </c>
      <c r="Q1936" s="303">
        <v>61464</v>
      </c>
      <c r="R1936" s="12" t="s">
        <v>5123</v>
      </c>
      <c r="S1936" s="12" t="s">
        <v>25</v>
      </c>
      <c r="T1936" s="12" t="s">
        <v>25</v>
      </c>
    </row>
    <row r="1937" spans="1:20" hidden="1" x14ac:dyDescent="0.3">
      <c r="A1937" s="13">
        <v>43977.708333333336</v>
      </c>
      <c r="B1937" s="12" t="s">
        <v>22</v>
      </c>
      <c r="C1937" s="303">
        <v>18</v>
      </c>
      <c r="D1937" s="12" t="s">
        <v>45</v>
      </c>
      <c r="E1937" s="303">
        <v>3890597598</v>
      </c>
      <c r="F1937" s="303">
        <v>1659440194</v>
      </c>
      <c r="G1937" s="303">
        <v>41</v>
      </c>
      <c r="H1937" s="303">
        <v>1</v>
      </c>
      <c r="I1937" s="303">
        <v>42</v>
      </c>
      <c r="J1937" s="303">
        <v>196</v>
      </c>
      <c r="K1937" s="303">
        <v>238</v>
      </c>
      <c r="L1937" s="303">
        <v>-26</v>
      </c>
      <c r="M1937" s="303">
        <v>0</v>
      </c>
      <c r="N1937" s="303">
        <v>823</v>
      </c>
      <c r="O1937" s="303">
        <v>96</v>
      </c>
      <c r="P1937" s="303">
        <v>1157</v>
      </c>
      <c r="Q1937" s="303">
        <v>64514</v>
      </c>
      <c r="R1937" s="12" t="s">
        <v>5124</v>
      </c>
      <c r="S1937" s="12" t="s">
        <v>25</v>
      </c>
      <c r="T1937" s="12" t="s">
        <v>25</v>
      </c>
    </row>
    <row r="1938" spans="1:20" hidden="1" x14ac:dyDescent="0.3">
      <c r="A1938" s="13">
        <v>43977.708333333336</v>
      </c>
      <c r="B1938" s="12" t="s">
        <v>22</v>
      </c>
      <c r="C1938" s="303">
        <v>15</v>
      </c>
      <c r="D1938" s="12" t="s">
        <v>46</v>
      </c>
      <c r="E1938" s="303">
        <v>4083956555</v>
      </c>
      <c r="F1938" s="303">
        <v>1425084984</v>
      </c>
      <c r="G1938" s="303">
        <v>286</v>
      </c>
      <c r="H1938" s="303">
        <v>5</v>
      </c>
      <c r="I1938" s="303">
        <v>291</v>
      </c>
      <c r="J1938" s="303">
        <v>893</v>
      </c>
      <c r="K1938" s="303">
        <v>1184</v>
      </c>
      <c r="L1938" s="303">
        <v>-29</v>
      </c>
      <c r="M1938" s="303">
        <v>12</v>
      </c>
      <c r="N1938" s="303">
        <v>3178</v>
      </c>
      <c r="O1938" s="303">
        <v>405</v>
      </c>
      <c r="P1938" s="303">
        <v>4767</v>
      </c>
      <c r="Q1938" s="303">
        <v>179845</v>
      </c>
      <c r="R1938" s="12" t="s">
        <v>5125</v>
      </c>
      <c r="S1938" s="12" t="s">
        <v>25</v>
      </c>
      <c r="T1938" s="12" t="s">
        <v>25</v>
      </c>
    </row>
    <row r="1939" spans="1:20" hidden="1" x14ac:dyDescent="0.3">
      <c r="A1939" s="13">
        <v>43977.708333333336</v>
      </c>
      <c r="B1939" s="12" t="s">
        <v>22</v>
      </c>
      <c r="C1939" s="303">
        <v>8</v>
      </c>
      <c r="D1939" s="12" t="s">
        <v>95</v>
      </c>
      <c r="E1939" s="303">
        <v>4449436681</v>
      </c>
      <c r="F1939" s="303">
        <v>113417208</v>
      </c>
      <c r="G1939" s="303">
        <v>493</v>
      </c>
      <c r="H1939" s="303">
        <v>80</v>
      </c>
      <c r="I1939" s="303">
        <v>573</v>
      </c>
      <c r="J1939" s="303">
        <v>3573</v>
      </c>
      <c r="K1939" s="303">
        <v>4146</v>
      </c>
      <c r="L1939" s="303">
        <v>-213</v>
      </c>
      <c r="M1939" s="303">
        <v>24</v>
      </c>
      <c r="N1939" s="303">
        <v>19389</v>
      </c>
      <c r="O1939" s="303">
        <v>4076</v>
      </c>
      <c r="P1939" s="303">
        <v>27611</v>
      </c>
      <c r="Q1939" s="303">
        <v>297854</v>
      </c>
      <c r="R1939" s="12" t="s">
        <v>5126</v>
      </c>
      <c r="S1939" s="12" t="s">
        <v>25</v>
      </c>
      <c r="T1939" s="12" t="s">
        <v>25</v>
      </c>
    </row>
    <row r="1940" spans="1:20" hidden="1" x14ac:dyDescent="0.3">
      <c r="A1940" s="13">
        <v>43977.708333333336</v>
      </c>
      <c r="B1940" s="12" t="s">
        <v>22</v>
      </c>
      <c r="C1940" s="303">
        <v>6</v>
      </c>
      <c r="D1940" s="12" t="s">
        <v>47</v>
      </c>
      <c r="E1940" s="303">
        <v>456494354</v>
      </c>
      <c r="F1940" s="303">
        <v>1376813649</v>
      </c>
      <c r="G1940" s="303">
        <v>59</v>
      </c>
      <c r="H1940" s="303">
        <v>1</v>
      </c>
      <c r="I1940" s="303">
        <v>60</v>
      </c>
      <c r="J1940" s="303">
        <v>315</v>
      </c>
      <c r="K1940" s="303">
        <v>375</v>
      </c>
      <c r="L1940" s="303">
        <v>-11</v>
      </c>
      <c r="M1940" s="303">
        <v>11</v>
      </c>
      <c r="N1940" s="303">
        <v>2547</v>
      </c>
      <c r="O1940" s="303">
        <v>329</v>
      </c>
      <c r="P1940" s="303">
        <v>3251</v>
      </c>
      <c r="Q1940" s="303">
        <v>121412</v>
      </c>
      <c r="R1940" s="12" t="s">
        <v>5127</v>
      </c>
      <c r="S1940" s="12" t="s">
        <v>25</v>
      </c>
      <c r="T1940" s="12" t="s">
        <v>25</v>
      </c>
    </row>
    <row r="1941" spans="1:20" hidden="1" x14ac:dyDescent="0.3">
      <c r="A1941" s="13">
        <v>43977.708333333336</v>
      </c>
      <c r="B1941" s="12" t="s">
        <v>22</v>
      </c>
      <c r="C1941" s="303">
        <v>12</v>
      </c>
      <c r="D1941" s="12" t="s">
        <v>48</v>
      </c>
      <c r="E1941" s="303">
        <v>4189277044</v>
      </c>
      <c r="F1941" s="303">
        <v>1248366722</v>
      </c>
      <c r="G1941" s="303">
        <v>1083</v>
      </c>
      <c r="H1941" s="303">
        <v>59</v>
      </c>
      <c r="I1941" s="303">
        <v>1142</v>
      </c>
      <c r="J1941" s="303">
        <v>2396</v>
      </c>
      <c r="K1941" s="303">
        <v>3538</v>
      </c>
      <c r="L1941" s="303">
        <v>-16</v>
      </c>
      <c r="M1941" s="303">
        <v>18</v>
      </c>
      <c r="N1941" s="303">
        <v>3430</v>
      </c>
      <c r="O1941" s="303">
        <v>693</v>
      </c>
      <c r="P1941" s="303">
        <v>7661</v>
      </c>
      <c r="Q1941" s="303">
        <v>238967</v>
      </c>
      <c r="R1941" s="12" t="s">
        <v>5128</v>
      </c>
      <c r="S1941" s="12" t="s">
        <v>25</v>
      </c>
      <c r="T1941" s="12" t="s">
        <v>25</v>
      </c>
    </row>
    <row r="1942" spans="1:20" x14ac:dyDescent="0.3">
      <c r="A1942" s="13">
        <v>43977.708333333336</v>
      </c>
      <c r="B1942" s="12" t="s">
        <v>22</v>
      </c>
      <c r="C1942" s="303">
        <v>7</v>
      </c>
      <c r="D1942" s="12" t="s">
        <v>49</v>
      </c>
      <c r="E1942" s="303">
        <v>4441149315</v>
      </c>
      <c r="F1942" s="303">
        <v>89326992</v>
      </c>
      <c r="G1942" s="303">
        <v>223</v>
      </c>
      <c r="H1942" s="303">
        <v>19</v>
      </c>
      <c r="I1942" s="303">
        <v>242</v>
      </c>
      <c r="J1942" s="303">
        <v>1196</v>
      </c>
      <c r="K1942" s="303">
        <v>1438</v>
      </c>
      <c r="L1942" s="303">
        <v>-118</v>
      </c>
      <c r="M1942" s="303">
        <v>53</v>
      </c>
      <c r="N1942" s="303">
        <v>6681</v>
      </c>
      <c r="O1942" s="303">
        <v>1431</v>
      </c>
      <c r="P1942" s="303">
        <v>9550</v>
      </c>
      <c r="Q1942" s="303">
        <v>96678</v>
      </c>
      <c r="R1942" s="12" t="s">
        <v>5129</v>
      </c>
      <c r="S1942" s="12" t="s">
        <v>25</v>
      </c>
      <c r="T1942" s="12" t="s">
        <v>25</v>
      </c>
    </row>
    <row r="1943" spans="1:20" hidden="1" x14ac:dyDescent="0.3">
      <c r="A1943" s="13">
        <v>43977.708333333336</v>
      </c>
      <c r="B1943" s="12" t="s">
        <v>22</v>
      </c>
      <c r="C1943" s="303">
        <v>3</v>
      </c>
      <c r="D1943" s="12" t="s">
        <v>50</v>
      </c>
      <c r="E1943" s="303">
        <v>4546679409</v>
      </c>
      <c r="F1943" s="303">
        <v>9190347404</v>
      </c>
      <c r="G1943" s="303">
        <v>3622</v>
      </c>
      <c r="H1943" s="303">
        <v>183</v>
      </c>
      <c r="I1943" s="303">
        <v>3805</v>
      </c>
      <c r="J1943" s="303">
        <v>20672</v>
      </c>
      <c r="K1943" s="303">
        <v>24477</v>
      </c>
      <c r="L1943" s="303">
        <v>-738</v>
      </c>
      <c r="M1943" s="303">
        <v>159</v>
      </c>
      <c r="N1943" s="303">
        <v>47044</v>
      </c>
      <c r="O1943" s="303">
        <v>15896</v>
      </c>
      <c r="P1943" s="303">
        <v>87417</v>
      </c>
      <c r="Q1943" s="303">
        <v>685058</v>
      </c>
      <c r="R1943" s="12" t="s">
        <v>5130</v>
      </c>
      <c r="S1943" s="12" t="s">
        <v>25</v>
      </c>
      <c r="T1943" s="12" t="s">
        <v>25</v>
      </c>
    </row>
    <row r="1944" spans="1:20" hidden="1" x14ac:dyDescent="0.3">
      <c r="A1944" s="13">
        <v>43977.708333333336</v>
      </c>
      <c r="B1944" s="12" t="s">
        <v>22</v>
      </c>
      <c r="C1944" s="303">
        <v>11</v>
      </c>
      <c r="D1944" s="12" t="s">
        <v>51</v>
      </c>
      <c r="E1944" s="303">
        <v>4361675973</v>
      </c>
      <c r="F1944" s="303">
        <v>135188753</v>
      </c>
      <c r="G1944" s="303">
        <v>94</v>
      </c>
      <c r="H1944" s="303">
        <v>13</v>
      </c>
      <c r="I1944" s="303">
        <v>107</v>
      </c>
      <c r="J1944" s="303">
        <v>1468</v>
      </c>
      <c r="K1944" s="303">
        <v>1575</v>
      </c>
      <c r="L1944" s="303">
        <v>-87</v>
      </c>
      <c r="M1944" s="303">
        <v>2</v>
      </c>
      <c r="N1944" s="303">
        <v>4147</v>
      </c>
      <c r="O1944" s="303">
        <v>996</v>
      </c>
      <c r="P1944" s="303">
        <v>6718</v>
      </c>
      <c r="Q1944" s="303">
        <v>97285</v>
      </c>
      <c r="R1944" s="12" t="s">
        <v>5131</v>
      </c>
      <c r="S1944" s="12" t="s">
        <v>25</v>
      </c>
      <c r="T1944" s="12" t="s">
        <v>25</v>
      </c>
    </row>
    <row r="1945" spans="1:20" hidden="1" x14ac:dyDescent="0.3">
      <c r="A1945" s="13">
        <v>43977.708333333336</v>
      </c>
      <c r="B1945" s="12" t="s">
        <v>22</v>
      </c>
      <c r="C1945" s="303">
        <v>14</v>
      </c>
      <c r="D1945" s="12" t="s">
        <v>52</v>
      </c>
      <c r="E1945" s="303">
        <v>4155774754</v>
      </c>
      <c r="F1945" s="303">
        <v>1465916051</v>
      </c>
      <c r="G1945" s="303">
        <v>5</v>
      </c>
      <c r="H1945" s="303">
        <v>2</v>
      </c>
      <c r="I1945" s="303">
        <v>7</v>
      </c>
      <c r="J1945" s="303">
        <v>167</v>
      </c>
      <c r="K1945" s="303">
        <v>174</v>
      </c>
      <c r="L1945" s="303">
        <v>-3</v>
      </c>
      <c r="M1945" s="303">
        <v>0</v>
      </c>
      <c r="N1945" s="303">
        <v>236</v>
      </c>
      <c r="O1945" s="303">
        <v>22</v>
      </c>
      <c r="P1945" s="303">
        <v>432</v>
      </c>
      <c r="Q1945" s="303">
        <v>13452</v>
      </c>
      <c r="R1945" s="12" t="s">
        <v>5132</v>
      </c>
      <c r="S1945" s="12" t="s">
        <v>25</v>
      </c>
      <c r="T1945" s="12" t="s">
        <v>25</v>
      </c>
    </row>
    <row r="1946" spans="1:20" hidden="1" x14ac:dyDescent="0.3">
      <c r="A1946" s="13">
        <v>43977.708333333336</v>
      </c>
      <c r="B1946" s="12" t="s">
        <v>22</v>
      </c>
      <c r="C1946" s="303">
        <v>1</v>
      </c>
      <c r="D1946" s="12" t="s">
        <v>53</v>
      </c>
      <c r="E1946" s="303">
        <v>450732745</v>
      </c>
      <c r="F1946" s="303">
        <v>7680687483</v>
      </c>
      <c r="G1946" s="303">
        <v>1162</v>
      </c>
      <c r="H1946" s="303">
        <v>70</v>
      </c>
      <c r="I1946" s="303">
        <v>1232</v>
      </c>
      <c r="J1946" s="303">
        <v>5709</v>
      </c>
      <c r="K1946" s="303">
        <v>6941</v>
      </c>
      <c r="L1946" s="303">
        <v>-555</v>
      </c>
      <c r="M1946" s="303">
        <v>86</v>
      </c>
      <c r="N1946" s="303">
        <v>19561</v>
      </c>
      <c r="O1946" s="303">
        <v>3812</v>
      </c>
      <c r="P1946" s="303">
        <v>30314</v>
      </c>
      <c r="Q1946" s="303">
        <v>293473</v>
      </c>
      <c r="R1946" s="12" t="s">
        <v>5133</v>
      </c>
      <c r="S1946" s="12" t="s">
        <v>25</v>
      </c>
      <c r="T1946" s="12" t="s">
        <v>25</v>
      </c>
    </row>
    <row r="1947" spans="1:20" hidden="1" x14ac:dyDescent="0.3">
      <c r="A1947" s="13">
        <v>43977.708333333336</v>
      </c>
      <c r="B1947" s="12" t="s">
        <v>22</v>
      </c>
      <c r="C1947" s="303">
        <v>16</v>
      </c>
      <c r="D1947" s="12" t="s">
        <v>54</v>
      </c>
      <c r="E1947" s="303">
        <v>4112559576</v>
      </c>
      <c r="F1947" s="303">
        <v>1686736689</v>
      </c>
      <c r="G1947" s="303">
        <v>172</v>
      </c>
      <c r="H1947" s="303">
        <v>17</v>
      </c>
      <c r="I1947" s="303">
        <v>189</v>
      </c>
      <c r="J1947" s="303">
        <v>1350</v>
      </c>
      <c r="K1947" s="303">
        <v>1539</v>
      </c>
      <c r="L1947" s="303">
        <v>-139</v>
      </c>
      <c r="M1947" s="303">
        <v>2</v>
      </c>
      <c r="N1947" s="303">
        <v>2436</v>
      </c>
      <c r="O1947" s="303">
        <v>494</v>
      </c>
      <c r="P1947" s="303">
        <v>4469</v>
      </c>
      <c r="Q1947" s="303">
        <v>106873</v>
      </c>
      <c r="R1947" s="12" t="s">
        <v>5134</v>
      </c>
      <c r="S1947" s="12" t="s">
        <v>25</v>
      </c>
      <c r="T1947" s="12" t="s">
        <v>25</v>
      </c>
    </row>
    <row r="1948" spans="1:20" hidden="1" x14ac:dyDescent="0.3">
      <c r="A1948" s="13">
        <v>43977.708333333336</v>
      </c>
      <c r="B1948" s="12" t="s">
        <v>22</v>
      </c>
      <c r="C1948" s="303">
        <v>20</v>
      </c>
      <c r="D1948" s="12" t="s">
        <v>55</v>
      </c>
      <c r="E1948" s="303">
        <v>3921531192</v>
      </c>
      <c r="F1948" s="303">
        <v>9110616306</v>
      </c>
      <c r="G1948" s="303">
        <v>41</v>
      </c>
      <c r="H1948" s="303">
        <v>2</v>
      </c>
      <c r="I1948" s="303">
        <v>43</v>
      </c>
      <c r="J1948" s="303">
        <v>181</v>
      </c>
      <c r="K1948" s="303">
        <v>224</v>
      </c>
      <c r="L1948" s="303">
        <v>-7</v>
      </c>
      <c r="M1948" s="303">
        <v>0</v>
      </c>
      <c r="N1948" s="303">
        <v>1000</v>
      </c>
      <c r="O1948" s="303">
        <v>130</v>
      </c>
      <c r="P1948" s="303">
        <v>1354</v>
      </c>
      <c r="Q1948" s="303">
        <v>51968</v>
      </c>
      <c r="R1948" s="12" t="s">
        <v>5135</v>
      </c>
      <c r="S1948" s="12" t="s">
        <v>25</v>
      </c>
      <c r="T1948" s="12" t="s">
        <v>25</v>
      </c>
    </row>
    <row r="1949" spans="1:20" hidden="1" x14ac:dyDescent="0.3">
      <c r="A1949" s="13">
        <v>43977.708333333336</v>
      </c>
      <c r="B1949" s="12" t="s">
        <v>22</v>
      </c>
      <c r="C1949" s="303">
        <v>19</v>
      </c>
      <c r="D1949" s="12" t="s">
        <v>56</v>
      </c>
      <c r="E1949" s="303">
        <v>3811569725</v>
      </c>
      <c r="F1949" s="303">
        <v>133623567</v>
      </c>
      <c r="G1949" s="303">
        <v>83</v>
      </c>
      <c r="H1949" s="303">
        <v>10</v>
      </c>
      <c r="I1949" s="303">
        <v>93</v>
      </c>
      <c r="J1949" s="303">
        <v>1337</v>
      </c>
      <c r="K1949" s="303">
        <v>1430</v>
      </c>
      <c r="L1949" s="303">
        <v>-3</v>
      </c>
      <c r="M1949" s="303">
        <v>3</v>
      </c>
      <c r="N1949" s="303">
        <v>1729</v>
      </c>
      <c r="O1949" s="303">
        <v>271</v>
      </c>
      <c r="P1949" s="303">
        <v>3430</v>
      </c>
      <c r="Q1949" s="303">
        <v>137682</v>
      </c>
      <c r="R1949" s="12" t="s">
        <v>5136</v>
      </c>
      <c r="S1949" s="12" t="s">
        <v>25</v>
      </c>
      <c r="T1949" s="12" t="s">
        <v>25</v>
      </c>
    </row>
    <row r="1950" spans="1:20" hidden="1" x14ac:dyDescent="0.3">
      <c r="A1950" s="13">
        <v>43977.708333333336</v>
      </c>
      <c r="B1950" s="12" t="s">
        <v>22</v>
      </c>
      <c r="C1950" s="303">
        <v>9</v>
      </c>
      <c r="D1950" s="12" t="s">
        <v>57</v>
      </c>
      <c r="E1950" s="303">
        <v>4376923077</v>
      </c>
      <c r="F1950" s="303">
        <v>1125588885</v>
      </c>
      <c r="G1950" s="303">
        <v>145</v>
      </c>
      <c r="H1950" s="303">
        <v>34</v>
      </c>
      <c r="I1950" s="303">
        <v>179</v>
      </c>
      <c r="J1950" s="303">
        <v>1343</v>
      </c>
      <c r="K1950" s="303">
        <v>1522</v>
      </c>
      <c r="L1950" s="303">
        <v>-114</v>
      </c>
      <c r="M1950" s="303">
        <v>3</v>
      </c>
      <c r="N1950" s="303">
        <v>7527</v>
      </c>
      <c r="O1950" s="303">
        <v>1021</v>
      </c>
      <c r="P1950" s="303">
        <v>10070</v>
      </c>
      <c r="Q1950" s="303">
        <v>234796</v>
      </c>
      <c r="R1950" s="12" t="s">
        <v>5137</v>
      </c>
      <c r="S1950" s="12" t="s">
        <v>25</v>
      </c>
      <c r="T1950" s="12" t="s">
        <v>25</v>
      </c>
    </row>
    <row r="1951" spans="1:20" hidden="1" x14ac:dyDescent="0.3">
      <c r="A1951" s="13">
        <v>43977.708333333336</v>
      </c>
      <c r="B1951" s="12" t="s">
        <v>22</v>
      </c>
      <c r="C1951" s="303">
        <v>22</v>
      </c>
      <c r="D1951" s="12" t="s">
        <v>58</v>
      </c>
      <c r="E1951" s="303">
        <v>4606893511</v>
      </c>
      <c r="F1951" s="303">
        <v>1112123097</v>
      </c>
      <c r="G1951" s="303">
        <v>24</v>
      </c>
      <c r="H1951" s="303">
        <v>3</v>
      </c>
      <c r="I1951" s="303">
        <v>27</v>
      </c>
      <c r="J1951" s="303">
        <v>486</v>
      </c>
      <c r="K1951" s="303">
        <v>513</v>
      </c>
      <c r="L1951" s="303">
        <v>-4</v>
      </c>
      <c r="M1951" s="303">
        <v>10</v>
      </c>
      <c r="N1951" s="303">
        <v>3441</v>
      </c>
      <c r="O1951" s="303">
        <v>461</v>
      </c>
      <c r="P1951" s="303">
        <v>4415</v>
      </c>
      <c r="Q1951" s="303">
        <v>81149</v>
      </c>
      <c r="R1951" s="12" t="s">
        <v>5138</v>
      </c>
      <c r="S1951" s="12" t="s">
        <v>25</v>
      </c>
      <c r="T1951" s="12" t="s">
        <v>25</v>
      </c>
    </row>
    <row r="1952" spans="1:20" hidden="1" x14ac:dyDescent="0.3">
      <c r="A1952" s="13">
        <v>43977.708333333336</v>
      </c>
      <c r="B1952" s="12" t="s">
        <v>22</v>
      </c>
      <c r="C1952" s="303">
        <v>10</v>
      </c>
      <c r="D1952" s="12" t="s">
        <v>59</v>
      </c>
      <c r="E1952" s="303">
        <v>4310675841</v>
      </c>
      <c r="F1952" s="303">
        <v>1238824698</v>
      </c>
      <c r="G1952" s="303">
        <v>12</v>
      </c>
      <c r="H1952" s="303">
        <v>2</v>
      </c>
      <c r="I1952" s="303">
        <v>14</v>
      </c>
      <c r="J1952" s="303">
        <v>28</v>
      </c>
      <c r="K1952" s="303">
        <v>42</v>
      </c>
      <c r="L1952" s="303">
        <v>-4</v>
      </c>
      <c r="M1952" s="303">
        <v>1</v>
      </c>
      <c r="N1952" s="303">
        <v>1314</v>
      </c>
      <c r="O1952" s="303">
        <v>75</v>
      </c>
      <c r="P1952" s="303">
        <v>1431</v>
      </c>
      <c r="Q1952" s="303">
        <v>65013</v>
      </c>
      <c r="R1952" s="12" t="s">
        <v>5139</v>
      </c>
      <c r="S1952" s="12" t="s">
        <v>25</v>
      </c>
      <c r="T1952" s="12" t="s">
        <v>25</v>
      </c>
    </row>
    <row r="1953" spans="1:20" hidden="1" x14ac:dyDescent="0.3">
      <c r="A1953" s="13">
        <v>43977.708333333336</v>
      </c>
      <c r="B1953" s="12" t="s">
        <v>22</v>
      </c>
      <c r="C1953" s="303">
        <v>2</v>
      </c>
      <c r="D1953" s="12" t="s">
        <v>60</v>
      </c>
      <c r="E1953" s="303">
        <v>4573750286</v>
      </c>
      <c r="F1953" s="303">
        <v>7320149366</v>
      </c>
      <c r="G1953" s="303">
        <v>17</v>
      </c>
      <c r="H1953" s="303">
        <v>1</v>
      </c>
      <c r="I1953" s="303">
        <v>18</v>
      </c>
      <c r="J1953" s="303">
        <v>13</v>
      </c>
      <c r="K1953" s="303">
        <v>31</v>
      </c>
      <c r="L1953" s="303">
        <v>-2</v>
      </c>
      <c r="M1953" s="303">
        <v>2</v>
      </c>
      <c r="N1953" s="303">
        <v>1007</v>
      </c>
      <c r="O1953" s="303">
        <v>143</v>
      </c>
      <c r="P1953" s="303">
        <v>1181</v>
      </c>
      <c r="Q1953" s="303">
        <v>14262</v>
      </c>
      <c r="R1953" s="12" t="s">
        <v>5140</v>
      </c>
      <c r="S1953" s="12" t="s">
        <v>25</v>
      </c>
      <c r="T1953" s="12" t="s">
        <v>25</v>
      </c>
    </row>
    <row r="1954" spans="1:20" hidden="1" x14ac:dyDescent="0.3">
      <c r="A1954" s="13">
        <v>43977.708333333336</v>
      </c>
      <c r="B1954" s="12" t="s">
        <v>22</v>
      </c>
      <c r="C1954" s="303">
        <v>5</v>
      </c>
      <c r="D1954" s="12" t="s">
        <v>61</v>
      </c>
      <c r="E1954" s="303">
        <v>4543490485</v>
      </c>
      <c r="F1954" s="303">
        <v>1233845213</v>
      </c>
      <c r="G1954" s="303">
        <v>177</v>
      </c>
      <c r="H1954" s="303">
        <v>11</v>
      </c>
      <c r="I1954" s="303">
        <v>188</v>
      </c>
      <c r="J1954" s="303">
        <v>2243</v>
      </c>
      <c r="K1954" s="303">
        <v>2431</v>
      </c>
      <c r="L1954" s="303">
        <v>-147</v>
      </c>
      <c r="M1954" s="303">
        <v>8</v>
      </c>
      <c r="N1954" s="303">
        <v>14788</v>
      </c>
      <c r="O1954" s="303">
        <v>1886</v>
      </c>
      <c r="P1954" s="303">
        <v>19105</v>
      </c>
      <c r="Q1954" s="303">
        <v>602252</v>
      </c>
      <c r="R1954" s="12" t="s">
        <v>5141</v>
      </c>
      <c r="S1954" s="12" t="s">
        <v>25</v>
      </c>
      <c r="T1954" s="12" t="s">
        <v>25</v>
      </c>
    </row>
    <row r="1955" spans="1:20" hidden="1" x14ac:dyDescent="0.3">
      <c r="A1955" s="13">
        <v>43978.708333333336</v>
      </c>
      <c r="B1955" s="12" t="s">
        <v>22</v>
      </c>
      <c r="C1955" s="303">
        <v>13</v>
      </c>
      <c r="D1955" s="12" t="s">
        <v>42</v>
      </c>
      <c r="E1955" s="303">
        <v>4235122196</v>
      </c>
      <c r="F1955" s="303">
        <v>1339843823</v>
      </c>
      <c r="G1955" s="303">
        <v>138</v>
      </c>
      <c r="H1955" s="303">
        <v>3</v>
      </c>
      <c r="I1955" s="303">
        <v>141</v>
      </c>
      <c r="J1955" s="303">
        <v>725</v>
      </c>
      <c r="K1955" s="303">
        <v>866</v>
      </c>
      <c r="L1955" s="303">
        <v>-43</v>
      </c>
      <c r="M1955" s="303">
        <v>5</v>
      </c>
      <c r="N1955" s="303">
        <v>1969</v>
      </c>
      <c r="O1955" s="303">
        <v>400</v>
      </c>
      <c r="P1955" s="303">
        <v>3235</v>
      </c>
      <c r="Q1955" s="303">
        <v>70473</v>
      </c>
      <c r="R1955" s="12" t="s">
        <v>5142</v>
      </c>
      <c r="S1955" s="12" t="s">
        <v>25</v>
      </c>
      <c r="T1955" s="12" t="s">
        <v>25</v>
      </c>
    </row>
    <row r="1956" spans="1:20" hidden="1" x14ac:dyDescent="0.3">
      <c r="A1956" s="13">
        <v>43978.708333333336</v>
      </c>
      <c r="B1956" s="12" t="s">
        <v>22</v>
      </c>
      <c r="C1956" s="303">
        <v>17</v>
      </c>
      <c r="D1956" s="12" t="s">
        <v>43</v>
      </c>
      <c r="E1956" s="303">
        <v>4063947052</v>
      </c>
      <c r="F1956" s="303">
        <v>1580514834</v>
      </c>
      <c r="G1956" s="303">
        <v>7</v>
      </c>
      <c r="H1956" s="303">
        <v>0</v>
      </c>
      <c r="I1956" s="303">
        <v>7</v>
      </c>
      <c r="J1956" s="303">
        <v>29</v>
      </c>
      <c r="K1956" s="303">
        <v>36</v>
      </c>
      <c r="L1956" s="303">
        <v>0</v>
      </c>
      <c r="M1956" s="303">
        <v>0</v>
      </c>
      <c r="N1956" s="303">
        <v>336</v>
      </c>
      <c r="O1956" s="303">
        <v>27</v>
      </c>
      <c r="P1956" s="303">
        <v>399</v>
      </c>
      <c r="Q1956" s="303">
        <v>27734</v>
      </c>
      <c r="R1956" s="12" t="s">
        <v>5143</v>
      </c>
      <c r="S1956" s="12" t="s">
        <v>25</v>
      </c>
      <c r="T1956" s="12" t="s">
        <v>25</v>
      </c>
    </row>
    <row r="1957" spans="1:20" hidden="1" x14ac:dyDescent="0.3">
      <c r="A1957" s="13">
        <v>43978.708333333336</v>
      </c>
      <c r="B1957" s="12" t="s">
        <v>22</v>
      </c>
      <c r="C1957" s="303">
        <v>21</v>
      </c>
      <c r="D1957" s="12" t="s">
        <v>44</v>
      </c>
      <c r="E1957" s="303">
        <v>4649933453</v>
      </c>
      <c r="F1957" s="303">
        <v>1135662422</v>
      </c>
      <c r="G1957" s="303">
        <v>27</v>
      </c>
      <c r="H1957" s="303">
        <v>5</v>
      </c>
      <c r="I1957" s="303">
        <v>32</v>
      </c>
      <c r="J1957" s="303">
        <v>139</v>
      </c>
      <c r="K1957" s="303">
        <v>171</v>
      </c>
      <c r="L1957" s="303">
        <v>-8</v>
      </c>
      <c r="M1957" s="303">
        <v>0</v>
      </c>
      <c r="N1957" s="303">
        <v>2131</v>
      </c>
      <c r="O1957" s="303">
        <v>291</v>
      </c>
      <c r="P1957" s="303">
        <v>2593</v>
      </c>
      <c r="Q1957" s="303">
        <v>62247</v>
      </c>
      <c r="R1957" s="12" t="s">
        <v>5144</v>
      </c>
      <c r="S1957" s="12" t="s">
        <v>25</v>
      </c>
      <c r="T1957" s="12" t="s">
        <v>25</v>
      </c>
    </row>
    <row r="1958" spans="1:20" hidden="1" x14ac:dyDescent="0.3">
      <c r="A1958" s="13">
        <v>43978.708333333336</v>
      </c>
      <c r="B1958" s="12" t="s">
        <v>22</v>
      </c>
      <c r="C1958" s="303">
        <v>18</v>
      </c>
      <c r="D1958" s="12" t="s">
        <v>45</v>
      </c>
      <c r="E1958" s="303">
        <v>3890597598</v>
      </c>
      <c r="F1958" s="303">
        <v>1659440194</v>
      </c>
      <c r="G1958" s="303">
        <v>35</v>
      </c>
      <c r="H1958" s="303">
        <v>1</v>
      </c>
      <c r="I1958" s="303">
        <v>36</v>
      </c>
      <c r="J1958" s="303">
        <v>154</v>
      </c>
      <c r="K1958" s="303">
        <v>190</v>
      </c>
      <c r="L1958" s="303">
        <v>-48</v>
      </c>
      <c r="M1958" s="303">
        <v>1</v>
      </c>
      <c r="N1958" s="303">
        <v>872</v>
      </c>
      <c r="O1958" s="303">
        <v>96</v>
      </c>
      <c r="P1958" s="303">
        <v>1158</v>
      </c>
      <c r="Q1958" s="303">
        <v>65631</v>
      </c>
      <c r="R1958" s="12" t="s">
        <v>5145</v>
      </c>
      <c r="S1958" s="12" t="s">
        <v>25</v>
      </c>
      <c r="T1958" s="12" t="s">
        <v>25</v>
      </c>
    </row>
    <row r="1959" spans="1:20" hidden="1" x14ac:dyDescent="0.3">
      <c r="A1959" s="13">
        <v>43978.708333333336</v>
      </c>
      <c r="B1959" s="12" t="s">
        <v>22</v>
      </c>
      <c r="C1959" s="303">
        <v>15</v>
      </c>
      <c r="D1959" s="12" t="s">
        <v>46</v>
      </c>
      <c r="E1959" s="303">
        <v>4083956555</v>
      </c>
      <c r="F1959" s="303">
        <v>1425084984</v>
      </c>
      <c r="G1959" s="303">
        <v>275</v>
      </c>
      <c r="H1959" s="303">
        <v>6</v>
      </c>
      <c r="I1959" s="303">
        <v>281</v>
      </c>
      <c r="J1959" s="303">
        <v>865</v>
      </c>
      <c r="K1959" s="303">
        <v>1146</v>
      </c>
      <c r="L1959" s="303">
        <v>-38</v>
      </c>
      <c r="M1959" s="303">
        <v>6</v>
      </c>
      <c r="N1959" s="303">
        <v>3221</v>
      </c>
      <c r="O1959" s="303">
        <v>406</v>
      </c>
      <c r="P1959" s="303">
        <v>4773</v>
      </c>
      <c r="Q1959" s="303">
        <v>185724</v>
      </c>
      <c r="R1959" s="12" t="s">
        <v>5146</v>
      </c>
      <c r="S1959" s="12" t="s">
        <v>25</v>
      </c>
      <c r="T1959" s="12" t="s">
        <v>25</v>
      </c>
    </row>
    <row r="1960" spans="1:20" hidden="1" x14ac:dyDescent="0.3">
      <c r="A1960" s="13">
        <v>43978.708333333336</v>
      </c>
      <c r="B1960" s="12" t="s">
        <v>22</v>
      </c>
      <c r="C1960" s="303">
        <v>8</v>
      </c>
      <c r="D1960" s="12" t="s">
        <v>95</v>
      </c>
      <c r="E1960" s="303">
        <v>4449436681</v>
      </c>
      <c r="F1960" s="303">
        <v>113417208</v>
      </c>
      <c r="G1960" s="303">
        <v>459</v>
      </c>
      <c r="H1960" s="303">
        <v>78</v>
      </c>
      <c r="I1960" s="303">
        <v>537</v>
      </c>
      <c r="J1960" s="303">
        <v>3461</v>
      </c>
      <c r="K1960" s="303">
        <v>3998</v>
      </c>
      <c r="L1960" s="303">
        <v>-148</v>
      </c>
      <c r="M1960" s="303">
        <v>16</v>
      </c>
      <c r="N1960" s="303">
        <v>19546</v>
      </c>
      <c r="O1960" s="303">
        <v>4083</v>
      </c>
      <c r="P1960" s="303">
        <v>27627</v>
      </c>
      <c r="Q1960" s="303">
        <v>301568</v>
      </c>
      <c r="R1960" s="12" t="s">
        <v>5147</v>
      </c>
      <c r="S1960" s="12" t="s">
        <v>25</v>
      </c>
      <c r="T1960" s="12" t="s">
        <v>25</v>
      </c>
    </row>
    <row r="1961" spans="1:20" hidden="1" x14ac:dyDescent="0.3">
      <c r="A1961" s="13">
        <v>43978.708333333336</v>
      </c>
      <c r="B1961" s="12" t="s">
        <v>22</v>
      </c>
      <c r="C1961" s="303">
        <v>6</v>
      </c>
      <c r="D1961" s="12" t="s">
        <v>47</v>
      </c>
      <c r="E1961" s="303">
        <v>456494354</v>
      </c>
      <c r="F1961" s="303">
        <v>1376813649</v>
      </c>
      <c r="G1961" s="303">
        <v>51</v>
      </c>
      <c r="H1961" s="303">
        <v>1</v>
      </c>
      <c r="I1961" s="303">
        <v>52</v>
      </c>
      <c r="J1961" s="303">
        <v>304</v>
      </c>
      <c r="K1961" s="303">
        <v>356</v>
      </c>
      <c r="L1961" s="303">
        <v>-19</v>
      </c>
      <c r="M1961" s="303">
        <v>4</v>
      </c>
      <c r="N1961" s="303">
        <v>2568</v>
      </c>
      <c r="O1961" s="303">
        <v>331</v>
      </c>
      <c r="P1961" s="303">
        <v>3255</v>
      </c>
      <c r="Q1961" s="303">
        <v>123063</v>
      </c>
      <c r="R1961" s="12" t="s">
        <v>5148</v>
      </c>
      <c r="S1961" s="12" t="s">
        <v>25</v>
      </c>
      <c r="T1961" s="12" t="s">
        <v>25</v>
      </c>
    </row>
    <row r="1962" spans="1:20" hidden="1" x14ac:dyDescent="0.3">
      <c r="A1962" s="13">
        <v>43978.708333333336</v>
      </c>
      <c r="B1962" s="12" t="s">
        <v>22</v>
      </c>
      <c r="C1962" s="303">
        <v>12</v>
      </c>
      <c r="D1962" s="12" t="s">
        <v>48</v>
      </c>
      <c r="E1962" s="303">
        <v>4189277044</v>
      </c>
      <c r="F1962" s="303">
        <v>1248366722</v>
      </c>
      <c r="G1962" s="303">
        <v>1062</v>
      </c>
      <c r="H1962" s="303">
        <v>65</v>
      </c>
      <c r="I1962" s="303">
        <v>1127</v>
      </c>
      <c r="J1962" s="303">
        <v>2361</v>
      </c>
      <c r="K1962" s="303">
        <v>3488</v>
      </c>
      <c r="L1962" s="303">
        <v>-50</v>
      </c>
      <c r="M1962" s="303">
        <v>11</v>
      </c>
      <c r="N1962" s="303">
        <v>3483</v>
      </c>
      <c r="O1962" s="303">
        <v>701</v>
      </c>
      <c r="P1962" s="303">
        <v>7672</v>
      </c>
      <c r="Q1962" s="303">
        <v>242287</v>
      </c>
      <c r="R1962" s="12" t="s">
        <v>5149</v>
      </c>
      <c r="S1962" s="12" t="s">
        <v>25</v>
      </c>
      <c r="T1962" s="12" t="s">
        <v>25</v>
      </c>
    </row>
    <row r="1963" spans="1:20" x14ac:dyDescent="0.3">
      <c r="A1963" s="13">
        <v>43978.708333333336</v>
      </c>
      <c r="B1963" s="12" t="s">
        <v>22</v>
      </c>
      <c r="C1963" s="303">
        <v>7</v>
      </c>
      <c r="D1963" s="12" t="s">
        <v>49</v>
      </c>
      <c r="E1963" s="303">
        <v>4441149315</v>
      </c>
      <c r="F1963" s="303">
        <v>89326992</v>
      </c>
      <c r="G1963" s="303">
        <v>205</v>
      </c>
      <c r="H1963" s="303">
        <v>14</v>
      </c>
      <c r="I1963" s="303">
        <v>219</v>
      </c>
      <c r="J1963" s="303">
        <v>1050</v>
      </c>
      <c r="K1963" s="303">
        <v>1269</v>
      </c>
      <c r="L1963" s="303">
        <v>-169</v>
      </c>
      <c r="M1963" s="303">
        <v>39</v>
      </c>
      <c r="N1963" s="303">
        <v>6882</v>
      </c>
      <c r="O1963" s="303">
        <v>1438</v>
      </c>
      <c r="P1963" s="303">
        <v>9589</v>
      </c>
      <c r="Q1963" s="303">
        <v>98835</v>
      </c>
      <c r="R1963" s="12" t="s">
        <v>5150</v>
      </c>
      <c r="S1963" s="12" t="s">
        <v>25</v>
      </c>
      <c r="T1963" s="12" t="s">
        <v>25</v>
      </c>
    </row>
    <row r="1964" spans="1:20" hidden="1" x14ac:dyDescent="0.3">
      <c r="A1964" s="13">
        <v>43978.708333333336</v>
      </c>
      <c r="B1964" s="12" t="s">
        <v>22</v>
      </c>
      <c r="C1964" s="303">
        <v>3</v>
      </c>
      <c r="D1964" s="12" t="s">
        <v>50</v>
      </c>
      <c r="E1964" s="303">
        <v>4546679409</v>
      </c>
      <c r="F1964" s="303">
        <v>9190347404</v>
      </c>
      <c r="G1964" s="303">
        <v>3626</v>
      </c>
      <c r="H1964" s="303">
        <v>175</v>
      </c>
      <c r="I1964" s="303">
        <v>3801</v>
      </c>
      <c r="J1964" s="303">
        <v>20236</v>
      </c>
      <c r="K1964" s="303">
        <v>24037</v>
      </c>
      <c r="L1964" s="303">
        <v>-440</v>
      </c>
      <c r="M1964" s="303">
        <v>384</v>
      </c>
      <c r="N1964" s="303">
        <v>47810</v>
      </c>
      <c r="O1964" s="303">
        <v>15954</v>
      </c>
      <c r="P1964" s="303">
        <v>87801</v>
      </c>
      <c r="Q1964" s="303">
        <v>697561</v>
      </c>
      <c r="R1964" s="12" t="s">
        <v>5151</v>
      </c>
      <c r="S1964" s="12" t="s">
        <v>25</v>
      </c>
      <c r="T1964" s="12" t="s">
        <v>25</v>
      </c>
    </row>
    <row r="1965" spans="1:20" hidden="1" x14ac:dyDescent="0.3">
      <c r="A1965" s="13">
        <v>43978.708333333336</v>
      </c>
      <c r="B1965" s="12" t="s">
        <v>22</v>
      </c>
      <c r="C1965" s="303">
        <v>11</v>
      </c>
      <c r="D1965" s="12" t="s">
        <v>51</v>
      </c>
      <c r="E1965" s="303">
        <v>4361675973</v>
      </c>
      <c r="F1965" s="303">
        <v>135188753</v>
      </c>
      <c r="G1965" s="303">
        <v>90</v>
      </c>
      <c r="H1965" s="303">
        <v>13</v>
      </c>
      <c r="I1965" s="303">
        <v>103</v>
      </c>
      <c r="J1965" s="303">
        <v>1347</v>
      </c>
      <c r="K1965" s="303">
        <v>1450</v>
      </c>
      <c r="L1965" s="303">
        <v>-125</v>
      </c>
      <c r="M1965" s="303">
        <v>0</v>
      </c>
      <c r="N1965" s="303">
        <v>4272</v>
      </c>
      <c r="O1965" s="303">
        <v>996</v>
      </c>
      <c r="P1965" s="303">
        <v>6718</v>
      </c>
      <c r="Q1965" s="303">
        <v>98535</v>
      </c>
      <c r="R1965" s="12" t="s">
        <v>5152</v>
      </c>
      <c r="S1965" s="12" t="s">
        <v>25</v>
      </c>
      <c r="T1965" s="12" t="s">
        <v>25</v>
      </c>
    </row>
    <row r="1966" spans="1:20" hidden="1" x14ac:dyDescent="0.3">
      <c r="A1966" s="13">
        <v>43978.708333333336</v>
      </c>
      <c r="B1966" s="12" t="s">
        <v>22</v>
      </c>
      <c r="C1966" s="303">
        <v>14</v>
      </c>
      <c r="D1966" s="12" t="s">
        <v>52</v>
      </c>
      <c r="E1966" s="303">
        <v>4155774754</v>
      </c>
      <c r="F1966" s="303">
        <v>1465916051</v>
      </c>
      <c r="G1966" s="303">
        <v>3</v>
      </c>
      <c r="H1966" s="303">
        <v>2</v>
      </c>
      <c r="I1966" s="303">
        <v>5</v>
      </c>
      <c r="J1966" s="303">
        <v>161</v>
      </c>
      <c r="K1966" s="303">
        <v>166</v>
      </c>
      <c r="L1966" s="303">
        <v>-8</v>
      </c>
      <c r="M1966" s="303">
        <v>2</v>
      </c>
      <c r="N1966" s="303">
        <v>246</v>
      </c>
      <c r="O1966" s="303">
        <v>22</v>
      </c>
      <c r="P1966" s="303">
        <v>434</v>
      </c>
      <c r="Q1966" s="303">
        <v>13629</v>
      </c>
      <c r="R1966" s="12" t="s">
        <v>5153</v>
      </c>
      <c r="S1966" s="12" t="s">
        <v>25</v>
      </c>
      <c r="T1966" s="12" t="s">
        <v>25</v>
      </c>
    </row>
    <row r="1967" spans="1:20" hidden="1" x14ac:dyDescent="0.3">
      <c r="A1967" s="13">
        <v>43978.708333333336</v>
      </c>
      <c r="B1967" s="12" t="s">
        <v>22</v>
      </c>
      <c r="C1967" s="303">
        <v>1</v>
      </c>
      <c r="D1967" s="12" t="s">
        <v>53</v>
      </c>
      <c r="E1967" s="303">
        <v>450732745</v>
      </c>
      <c r="F1967" s="303">
        <v>7680687483</v>
      </c>
      <c r="G1967" s="303">
        <v>1118</v>
      </c>
      <c r="H1967" s="303">
        <v>68</v>
      </c>
      <c r="I1967" s="303">
        <v>1186</v>
      </c>
      <c r="J1967" s="303">
        <v>5278</v>
      </c>
      <c r="K1967" s="303">
        <v>6464</v>
      </c>
      <c r="L1967" s="303">
        <v>-477</v>
      </c>
      <c r="M1967" s="303">
        <v>73</v>
      </c>
      <c r="N1967" s="303">
        <v>20095</v>
      </c>
      <c r="O1967" s="303">
        <v>3828</v>
      </c>
      <c r="P1967" s="303">
        <v>30387</v>
      </c>
      <c r="Q1967" s="303">
        <v>298571</v>
      </c>
      <c r="R1967" s="12" t="s">
        <v>5154</v>
      </c>
      <c r="S1967" s="12" t="s">
        <v>25</v>
      </c>
      <c r="T1967" s="12" t="s">
        <v>25</v>
      </c>
    </row>
    <row r="1968" spans="1:20" hidden="1" x14ac:dyDescent="0.3">
      <c r="A1968" s="13">
        <v>43978.708333333336</v>
      </c>
      <c r="B1968" s="12" t="s">
        <v>22</v>
      </c>
      <c r="C1968" s="303">
        <v>16</v>
      </c>
      <c r="D1968" s="12" t="s">
        <v>54</v>
      </c>
      <c r="E1968" s="303">
        <v>4112559576</v>
      </c>
      <c r="F1968" s="303">
        <v>1686736689</v>
      </c>
      <c r="G1968" s="303">
        <v>170</v>
      </c>
      <c r="H1968" s="303">
        <v>17</v>
      </c>
      <c r="I1968" s="303">
        <v>187</v>
      </c>
      <c r="J1968" s="303">
        <v>1326</v>
      </c>
      <c r="K1968" s="303">
        <v>1513</v>
      </c>
      <c r="L1968" s="303">
        <v>-26</v>
      </c>
      <c r="M1968" s="303">
        <v>10</v>
      </c>
      <c r="N1968" s="303">
        <v>2471</v>
      </c>
      <c r="O1968" s="303">
        <v>495</v>
      </c>
      <c r="P1968" s="303">
        <v>4479</v>
      </c>
      <c r="Q1968" s="303">
        <v>109499</v>
      </c>
      <c r="R1968" s="12" t="s">
        <v>5155</v>
      </c>
      <c r="S1968" s="12" t="s">
        <v>25</v>
      </c>
      <c r="T1968" s="12" t="s">
        <v>25</v>
      </c>
    </row>
    <row r="1969" spans="1:20" hidden="1" x14ac:dyDescent="0.3">
      <c r="A1969" s="13">
        <v>43978.708333333336</v>
      </c>
      <c r="B1969" s="12" t="s">
        <v>22</v>
      </c>
      <c r="C1969" s="303">
        <v>20</v>
      </c>
      <c r="D1969" s="12" t="s">
        <v>55</v>
      </c>
      <c r="E1969" s="303">
        <v>3921531192</v>
      </c>
      <c r="F1969" s="303">
        <v>9110616306</v>
      </c>
      <c r="G1969" s="303">
        <v>41</v>
      </c>
      <c r="H1969" s="303">
        <v>2</v>
      </c>
      <c r="I1969" s="303">
        <v>43</v>
      </c>
      <c r="J1969" s="303">
        <v>172</v>
      </c>
      <c r="K1969" s="303">
        <v>215</v>
      </c>
      <c r="L1969" s="303">
        <v>-9</v>
      </c>
      <c r="M1969" s="303">
        <v>1</v>
      </c>
      <c r="N1969" s="303">
        <v>1010</v>
      </c>
      <c r="O1969" s="303">
        <v>130</v>
      </c>
      <c r="P1969" s="303">
        <v>1355</v>
      </c>
      <c r="Q1969" s="303">
        <v>53294</v>
      </c>
      <c r="R1969" s="12" t="s">
        <v>5156</v>
      </c>
      <c r="S1969" s="12" t="s">
        <v>25</v>
      </c>
      <c r="T1969" s="12" t="s">
        <v>25</v>
      </c>
    </row>
    <row r="1970" spans="1:20" hidden="1" x14ac:dyDescent="0.3">
      <c r="A1970" s="13">
        <v>43978.708333333336</v>
      </c>
      <c r="B1970" s="12" t="s">
        <v>22</v>
      </c>
      <c r="C1970" s="303">
        <v>19</v>
      </c>
      <c r="D1970" s="12" t="s">
        <v>56</v>
      </c>
      <c r="E1970" s="303">
        <v>3811569725</v>
      </c>
      <c r="F1970" s="303">
        <v>133623567</v>
      </c>
      <c r="G1970" s="303">
        <v>73</v>
      </c>
      <c r="H1970" s="303">
        <v>10</v>
      </c>
      <c r="I1970" s="303">
        <v>83</v>
      </c>
      <c r="J1970" s="303">
        <v>1235</v>
      </c>
      <c r="K1970" s="303">
        <v>1318</v>
      </c>
      <c r="L1970" s="303">
        <v>-112</v>
      </c>
      <c r="M1970" s="303">
        <v>5</v>
      </c>
      <c r="N1970" s="303">
        <v>1845</v>
      </c>
      <c r="O1970" s="303">
        <v>272</v>
      </c>
      <c r="P1970" s="303">
        <v>3435</v>
      </c>
      <c r="Q1970" s="303">
        <v>140295</v>
      </c>
      <c r="R1970" s="12" t="s">
        <v>5157</v>
      </c>
      <c r="S1970" s="12" t="s">
        <v>25</v>
      </c>
      <c r="T1970" s="12" t="s">
        <v>25</v>
      </c>
    </row>
    <row r="1971" spans="1:20" hidden="1" x14ac:dyDescent="0.3">
      <c r="A1971" s="13">
        <v>43978.708333333336</v>
      </c>
      <c r="B1971" s="12" t="s">
        <v>22</v>
      </c>
      <c r="C1971" s="303">
        <v>9</v>
      </c>
      <c r="D1971" s="12" t="s">
        <v>57</v>
      </c>
      <c r="E1971" s="303">
        <v>4376923077</v>
      </c>
      <c r="F1971" s="303">
        <v>1125588885</v>
      </c>
      <c r="G1971" s="303">
        <v>132</v>
      </c>
      <c r="H1971" s="303">
        <v>31</v>
      </c>
      <c r="I1971" s="303">
        <v>163</v>
      </c>
      <c r="J1971" s="303">
        <v>1297</v>
      </c>
      <c r="K1971" s="303">
        <v>1460</v>
      </c>
      <c r="L1971" s="303">
        <v>-62</v>
      </c>
      <c r="M1971" s="303">
        <v>12</v>
      </c>
      <c r="N1971" s="303">
        <v>7595</v>
      </c>
      <c r="O1971" s="303">
        <v>1027</v>
      </c>
      <c r="P1971" s="303">
        <v>10082</v>
      </c>
      <c r="Q1971" s="303">
        <v>238667</v>
      </c>
      <c r="R1971" s="12" t="s">
        <v>5158</v>
      </c>
      <c r="S1971" s="12" t="s">
        <v>25</v>
      </c>
      <c r="T1971" s="12" t="s">
        <v>25</v>
      </c>
    </row>
    <row r="1972" spans="1:20" hidden="1" x14ac:dyDescent="0.3">
      <c r="A1972" s="13">
        <v>43978.708333333336</v>
      </c>
      <c r="B1972" s="12" t="s">
        <v>22</v>
      </c>
      <c r="C1972" s="303">
        <v>22</v>
      </c>
      <c r="D1972" s="12" t="s">
        <v>58</v>
      </c>
      <c r="E1972" s="303">
        <v>4606893511</v>
      </c>
      <c r="F1972" s="303">
        <v>1112123097</v>
      </c>
      <c r="G1972" s="303">
        <v>19</v>
      </c>
      <c r="H1972" s="303">
        <v>2</v>
      </c>
      <c r="I1972" s="303">
        <v>21</v>
      </c>
      <c r="J1972" s="303">
        <v>456</v>
      </c>
      <c r="K1972" s="303">
        <v>477</v>
      </c>
      <c r="L1972" s="303">
        <v>-36</v>
      </c>
      <c r="M1972" s="303">
        <v>7</v>
      </c>
      <c r="N1972" s="303">
        <v>3483</v>
      </c>
      <c r="O1972" s="303">
        <v>462</v>
      </c>
      <c r="P1972" s="303">
        <v>4422</v>
      </c>
      <c r="Q1972" s="303">
        <v>82269</v>
      </c>
      <c r="R1972" s="12" t="s">
        <v>5159</v>
      </c>
      <c r="S1972" s="12" t="s">
        <v>25</v>
      </c>
      <c r="T1972" s="12" t="s">
        <v>25</v>
      </c>
    </row>
    <row r="1973" spans="1:20" hidden="1" x14ac:dyDescent="0.3">
      <c r="A1973" s="13">
        <v>43978.708333333336</v>
      </c>
      <c r="B1973" s="12" t="s">
        <v>22</v>
      </c>
      <c r="C1973" s="303">
        <v>10</v>
      </c>
      <c r="D1973" s="12" t="s">
        <v>59</v>
      </c>
      <c r="E1973" s="303">
        <v>4310675841</v>
      </c>
      <c r="F1973" s="303">
        <v>1238824698</v>
      </c>
      <c r="G1973" s="303">
        <v>13</v>
      </c>
      <c r="H1973" s="303">
        <v>2</v>
      </c>
      <c r="I1973" s="303">
        <v>15</v>
      </c>
      <c r="J1973" s="303">
        <v>17</v>
      </c>
      <c r="K1973" s="303">
        <v>32</v>
      </c>
      <c r="L1973" s="303">
        <v>-10</v>
      </c>
      <c r="M1973" s="303">
        <v>0</v>
      </c>
      <c r="N1973" s="303">
        <v>1324</v>
      </c>
      <c r="O1973" s="303">
        <v>75</v>
      </c>
      <c r="P1973" s="303">
        <v>1431</v>
      </c>
      <c r="Q1973" s="303">
        <v>66219</v>
      </c>
      <c r="R1973" s="12" t="s">
        <v>5160</v>
      </c>
      <c r="S1973" s="12" t="s">
        <v>25</v>
      </c>
      <c r="T1973" s="12" t="s">
        <v>25</v>
      </c>
    </row>
    <row r="1974" spans="1:20" hidden="1" x14ac:dyDescent="0.3">
      <c r="A1974" s="13">
        <v>43978.708333333336</v>
      </c>
      <c r="B1974" s="12" t="s">
        <v>22</v>
      </c>
      <c r="C1974" s="303">
        <v>2</v>
      </c>
      <c r="D1974" s="12" t="s">
        <v>60</v>
      </c>
      <c r="E1974" s="303">
        <v>4573750286</v>
      </c>
      <c r="F1974" s="303">
        <v>7320149366</v>
      </c>
      <c r="G1974" s="303">
        <v>17</v>
      </c>
      <c r="H1974" s="303">
        <v>1</v>
      </c>
      <c r="I1974" s="303">
        <v>18</v>
      </c>
      <c r="J1974" s="303">
        <v>9</v>
      </c>
      <c r="K1974" s="303">
        <v>27</v>
      </c>
      <c r="L1974" s="303">
        <v>-4</v>
      </c>
      <c r="M1974" s="303">
        <v>0</v>
      </c>
      <c r="N1974" s="303">
        <v>1011</v>
      </c>
      <c r="O1974" s="303">
        <v>143</v>
      </c>
      <c r="P1974" s="303">
        <v>1181</v>
      </c>
      <c r="Q1974" s="303">
        <v>14459</v>
      </c>
      <c r="R1974" s="12" t="s">
        <v>5161</v>
      </c>
      <c r="S1974" s="12" t="s">
        <v>25</v>
      </c>
      <c r="T1974" s="12" t="s">
        <v>25</v>
      </c>
    </row>
    <row r="1975" spans="1:20" hidden="1" x14ac:dyDescent="0.3">
      <c r="A1975" s="13">
        <v>43978.708333333336</v>
      </c>
      <c r="B1975" s="12" t="s">
        <v>22</v>
      </c>
      <c r="C1975" s="303">
        <v>5</v>
      </c>
      <c r="D1975" s="12" t="s">
        <v>61</v>
      </c>
      <c r="E1975" s="303">
        <v>4543490485</v>
      </c>
      <c r="F1975" s="303">
        <v>1233845213</v>
      </c>
      <c r="G1975" s="303">
        <v>168</v>
      </c>
      <c r="H1975" s="303">
        <v>9</v>
      </c>
      <c r="I1975" s="303">
        <v>177</v>
      </c>
      <c r="J1975" s="303">
        <v>2110</v>
      </c>
      <c r="K1975" s="303">
        <v>2287</v>
      </c>
      <c r="L1975" s="303">
        <v>-144</v>
      </c>
      <c r="M1975" s="303">
        <v>8</v>
      </c>
      <c r="N1975" s="303">
        <v>14931</v>
      </c>
      <c r="O1975" s="303">
        <v>1895</v>
      </c>
      <c r="P1975" s="303">
        <v>19113</v>
      </c>
      <c r="Q1975" s="303">
        <v>616691</v>
      </c>
      <c r="R1975" s="12" t="s">
        <v>5162</v>
      </c>
      <c r="S1975" s="12" t="s">
        <v>25</v>
      </c>
      <c r="T1975" s="12" t="s">
        <v>25</v>
      </c>
    </row>
    <row r="1976" spans="1:20" hidden="1" x14ac:dyDescent="0.3">
      <c r="A1976" s="13">
        <v>43979.708333333336</v>
      </c>
      <c r="B1976" s="12" t="s">
        <v>22</v>
      </c>
      <c r="C1976" s="303">
        <v>13</v>
      </c>
      <c r="D1976" s="12" t="s">
        <v>42</v>
      </c>
      <c r="E1976" s="303">
        <v>4235122196</v>
      </c>
      <c r="F1976" s="303">
        <v>1339843823</v>
      </c>
      <c r="G1976" s="303">
        <v>128</v>
      </c>
      <c r="H1976" s="303">
        <v>3</v>
      </c>
      <c r="I1976" s="303">
        <v>131</v>
      </c>
      <c r="J1976" s="303">
        <v>693</v>
      </c>
      <c r="K1976" s="303">
        <v>824</v>
      </c>
      <c r="L1976" s="303">
        <v>-42</v>
      </c>
      <c r="M1976" s="303">
        <v>2</v>
      </c>
      <c r="N1976" s="303">
        <v>2011</v>
      </c>
      <c r="O1976" s="303">
        <v>402</v>
      </c>
      <c r="P1976" s="303">
        <v>3237</v>
      </c>
      <c r="Q1976" s="303">
        <v>71788</v>
      </c>
      <c r="R1976" s="12" t="s">
        <v>5163</v>
      </c>
      <c r="S1976" s="12" t="s">
        <v>25</v>
      </c>
      <c r="T1976" s="12" t="s">
        <v>25</v>
      </c>
    </row>
    <row r="1977" spans="1:20" hidden="1" x14ac:dyDescent="0.3">
      <c r="A1977" s="13">
        <v>43979.708333333336</v>
      </c>
      <c r="B1977" s="12" t="s">
        <v>22</v>
      </c>
      <c r="C1977" s="303">
        <v>17</v>
      </c>
      <c r="D1977" s="12" t="s">
        <v>43</v>
      </c>
      <c r="E1977" s="303">
        <v>4063947052</v>
      </c>
      <c r="F1977" s="303">
        <v>1580514834</v>
      </c>
      <c r="G1977" s="303">
        <v>6</v>
      </c>
      <c r="H1977" s="303">
        <v>0</v>
      </c>
      <c r="I1977" s="303">
        <v>6</v>
      </c>
      <c r="J1977" s="303">
        <v>28</v>
      </c>
      <c r="K1977" s="303">
        <v>34</v>
      </c>
      <c r="L1977" s="303">
        <v>-2</v>
      </c>
      <c r="M1977" s="303">
        <v>0</v>
      </c>
      <c r="N1977" s="303">
        <v>338</v>
      </c>
      <c r="O1977" s="303">
        <v>27</v>
      </c>
      <c r="P1977" s="303">
        <v>399</v>
      </c>
      <c r="Q1977" s="303">
        <v>28342</v>
      </c>
      <c r="R1977" s="12" t="s">
        <v>5164</v>
      </c>
      <c r="S1977" s="12" t="s">
        <v>25</v>
      </c>
      <c r="T1977" s="12" t="s">
        <v>25</v>
      </c>
    </row>
    <row r="1978" spans="1:20" hidden="1" x14ac:dyDescent="0.3">
      <c r="A1978" s="13">
        <v>43979.708333333336</v>
      </c>
      <c r="B1978" s="12" t="s">
        <v>22</v>
      </c>
      <c r="C1978" s="303">
        <v>21</v>
      </c>
      <c r="D1978" s="12" t="s">
        <v>44</v>
      </c>
      <c r="E1978" s="303">
        <v>4649933453</v>
      </c>
      <c r="F1978" s="303">
        <v>1135662422</v>
      </c>
      <c r="G1978" s="303">
        <v>16</v>
      </c>
      <c r="H1978" s="303">
        <v>5</v>
      </c>
      <c r="I1978" s="303">
        <v>21</v>
      </c>
      <c r="J1978" s="303">
        <v>136</v>
      </c>
      <c r="K1978" s="303">
        <v>157</v>
      </c>
      <c r="L1978" s="303">
        <v>-14</v>
      </c>
      <c r="M1978" s="303">
        <v>2</v>
      </c>
      <c r="N1978" s="303">
        <v>2147</v>
      </c>
      <c r="O1978" s="303">
        <v>291</v>
      </c>
      <c r="P1978" s="303">
        <v>2595</v>
      </c>
      <c r="Q1978" s="303">
        <v>63289</v>
      </c>
      <c r="R1978" s="12" t="s">
        <v>5144</v>
      </c>
      <c r="S1978" s="12" t="s">
        <v>25</v>
      </c>
      <c r="T1978" s="12" t="s">
        <v>25</v>
      </c>
    </row>
    <row r="1979" spans="1:20" hidden="1" x14ac:dyDescent="0.3">
      <c r="A1979" s="13">
        <v>43979.708333333336</v>
      </c>
      <c r="B1979" s="12" t="s">
        <v>22</v>
      </c>
      <c r="C1979" s="303">
        <v>18</v>
      </c>
      <c r="D1979" s="12" t="s">
        <v>45</v>
      </c>
      <c r="E1979" s="303">
        <v>3890597598</v>
      </c>
      <c r="F1979" s="303">
        <v>1659440194</v>
      </c>
      <c r="G1979" s="303">
        <v>31</v>
      </c>
      <c r="H1979" s="303">
        <v>1</v>
      </c>
      <c r="I1979" s="303">
        <v>32</v>
      </c>
      <c r="J1979" s="303">
        <v>138</v>
      </c>
      <c r="K1979" s="303">
        <v>170</v>
      </c>
      <c r="L1979" s="303">
        <v>-20</v>
      </c>
      <c r="M1979" s="303">
        <v>0</v>
      </c>
      <c r="N1979" s="303">
        <v>892</v>
      </c>
      <c r="O1979" s="303">
        <v>96</v>
      </c>
      <c r="P1979" s="303">
        <v>1158</v>
      </c>
      <c r="Q1979" s="303">
        <v>66956</v>
      </c>
      <c r="R1979" s="12" t="s">
        <v>5165</v>
      </c>
      <c r="S1979" s="12" t="s">
        <v>25</v>
      </c>
      <c r="T1979" s="12" t="s">
        <v>25</v>
      </c>
    </row>
    <row r="1980" spans="1:20" hidden="1" x14ac:dyDescent="0.3">
      <c r="A1980" s="13">
        <v>43979.708333333336</v>
      </c>
      <c r="B1980" s="12" t="s">
        <v>22</v>
      </c>
      <c r="C1980" s="303">
        <v>15</v>
      </c>
      <c r="D1980" s="12" t="s">
        <v>46</v>
      </c>
      <c r="E1980" s="303">
        <v>4083956555</v>
      </c>
      <c r="F1980" s="303">
        <v>1425084984</v>
      </c>
      <c r="G1980" s="303">
        <v>260</v>
      </c>
      <c r="H1980" s="303">
        <v>6</v>
      </c>
      <c r="I1980" s="303">
        <v>266</v>
      </c>
      <c r="J1980" s="303">
        <v>746</v>
      </c>
      <c r="K1980" s="303">
        <v>1012</v>
      </c>
      <c r="L1980" s="303">
        <v>-134</v>
      </c>
      <c r="M1980" s="303">
        <v>4</v>
      </c>
      <c r="N1980" s="303">
        <v>3355</v>
      </c>
      <c r="O1980" s="303">
        <v>410</v>
      </c>
      <c r="P1980" s="303">
        <v>4777</v>
      </c>
      <c r="Q1980" s="303">
        <v>189068</v>
      </c>
      <c r="R1980" s="12" t="s">
        <v>5166</v>
      </c>
      <c r="S1980" s="12" t="s">
        <v>25</v>
      </c>
      <c r="T1980" s="12" t="s">
        <v>25</v>
      </c>
    </row>
    <row r="1981" spans="1:20" hidden="1" x14ac:dyDescent="0.3">
      <c r="A1981" s="13">
        <v>43979.708333333336</v>
      </c>
      <c r="B1981" s="12" t="s">
        <v>22</v>
      </c>
      <c r="C1981" s="303">
        <v>8</v>
      </c>
      <c r="D1981" s="12" t="s">
        <v>95</v>
      </c>
      <c r="E1981" s="303">
        <v>4449436681</v>
      </c>
      <c r="F1981" s="303">
        <v>113417208</v>
      </c>
      <c r="G1981" s="303">
        <v>449</v>
      </c>
      <c r="H1981" s="303">
        <v>77</v>
      </c>
      <c r="I1981" s="303">
        <v>526</v>
      </c>
      <c r="J1981" s="303">
        <v>3224</v>
      </c>
      <c r="K1981" s="303">
        <v>3750</v>
      </c>
      <c r="L1981" s="303">
        <v>-248</v>
      </c>
      <c r="M1981" s="303">
        <v>74</v>
      </c>
      <c r="N1981" s="303">
        <v>19857</v>
      </c>
      <c r="O1981" s="303">
        <v>4094</v>
      </c>
      <c r="P1981" s="303">
        <v>27701</v>
      </c>
      <c r="Q1981" s="303">
        <v>310696</v>
      </c>
      <c r="R1981" s="12" t="s">
        <v>5167</v>
      </c>
      <c r="S1981" s="12" t="s">
        <v>25</v>
      </c>
      <c r="T1981" s="12" t="s">
        <v>25</v>
      </c>
    </row>
    <row r="1982" spans="1:20" hidden="1" x14ac:dyDescent="0.3">
      <c r="A1982" s="13">
        <v>43979.708333333336</v>
      </c>
      <c r="B1982" s="12" t="s">
        <v>22</v>
      </c>
      <c r="C1982" s="303">
        <v>6</v>
      </c>
      <c r="D1982" s="12" t="s">
        <v>47</v>
      </c>
      <c r="E1982" s="303">
        <v>456494354</v>
      </c>
      <c r="F1982" s="303">
        <v>1376813649</v>
      </c>
      <c r="G1982" s="303">
        <v>51</v>
      </c>
      <c r="H1982" s="303">
        <v>1</v>
      </c>
      <c r="I1982" s="303">
        <v>52</v>
      </c>
      <c r="J1982" s="303">
        <v>284</v>
      </c>
      <c r="K1982" s="303">
        <v>336</v>
      </c>
      <c r="L1982" s="303">
        <v>-20</v>
      </c>
      <c r="M1982" s="303">
        <v>7</v>
      </c>
      <c r="N1982" s="303">
        <v>2593</v>
      </c>
      <c r="O1982" s="303">
        <v>333</v>
      </c>
      <c r="P1982" s="303">
        <v>3262</v>
      </c>
      <c r="Q1982" s="303">
        <v>126015</v>
      </c>
      <c r="R1982" s="12" t="s">
        <v>5168</v>
      </c>
      <c r="S1982" s="12" t="s">
        <v>25</v>
      </c>
      <c r="T1982" s="12" t="s">
        <v>25</v>
      </c>
    </row>
    <row r="1983" spans="1:20" hidden="1" x14ac:dyDescent="0.3">
      <c r="A1983" s="13">
        <v>43979.708333333336</v>
      </c>
      <c r="B1983" s="12" t="s">
        <v>22</v>
      </c>
      <c r="C1983" s="303">
        <v>12</v>
      </c>
      <c r="D1983" s="12" t="s">
        <v>48</v>
      </c>
      <c r="E1983" s="303">
        <v>4189277044</v>
      </c>
      <c r="F1983" s="303">
        <v>1248366722</v>
      </c>
      <c r="G1983" s="303">
        <v>1035</v>
      </c>
      <c r="H1983" s="303">
        <v>64</v>
      </c>
      <c r="I1983" s="303">
        <v>1099</v>
      </c>
      <c r="J1983" s="303">
        <v>2306</v>
      </c>
      <c r="K1983" s="303">
        <v>3405</v>
      </c>
      <c r="L1983" s="303">
        <v>-83</v>
      </c>
      <c r="M1983" s="303">
        <v>21</v>
      </c>
      <c r="N1983" s="303">
        <v>3580</v>
      </c>
      <c r="O1983" s="303">
        <v>708</v>
      </c>
      <c r="P1983" s="303">
        <v>7693</v>
      </c>
      <c r="Q1983" s="303">
        <v>245993</v>
      </c>
      <c r="R1983" s="12" t="s">
        <v>5169</v>
      </c>
      <c r="S1983" s="12" t="s">
        <v>25</v>
      </c>
      <c r="T1983" s="12" t="s">
        <v>25</v>
      </c>
    </row>
    <row r="1984" spans="1:20" x14ac:dyDescent="0.3">
      <c r="A1984" s="13">
        <v>43979.708333333336</v>
      </c>
      <c r="B1984" s="12" t="s">
        <v>22</v>
      </c>
      <c r="C1984" s="303">
        <v>7</v>
      </c>
      <c r="D1984" s="12" t="s">
        <v>49</v>
      </c>
      <c r="E1984" s="303">
        <v>4441149315</v>
      </c>
      <c r="F1984" s="303">
        <v>89326992</v>
      </c>
      <c r="G1984" s="303">
        <v>198</v>
      </c>
      <c r="H1984" s="303">
        <v>13</v>
      </c>
      <c r="I1984" s="303">
        <v>211</v>
      </c>
      <c r="J1984" s="303">
        <v>934</v>
      </c>
      <c r="K1984" s="303">
        <v>1145</v>
      </c>
      <c r="L1984" s="303">
        <v>-124</v>
      </c>
      <c r="M1984" s="303">
        <v>16</v>
      </c>
      <c r="N1984" s="303">
        <v>7015</v>
      </c>
      <c r="O1984" s="303">
        <v>1445</v>
      </c>
      <c r="P1984" s="303">
        <v>9605</v>
      </c>
      <c r="Q1984" s="303">
        <v>100625</v>
      </c>
      <c r="R1984" s="12" t="s">
        <v>5170</v>
      </c>
      <c r="S1984" s="12" t="s">
        <v>25</v>
      </c>
      <c r="T1984" s="12" t="s">
        <v>25</v>
      </c>
    </row>
    <row r="1985" spans="1:20" hidden="1" x14ac:dyDescent="0.3">
      <c r="A1985" s="13">
        <v>43979.708333333336</v>
      </c>
      <c r="B1985" s="12" t="s">
        <v>22</v>
      </c>
      <c r="C1985" s="303">
        <v>3</v>
      </c>
      <c r="D1985" s="12" t="s">
        <v>50</v>
      </c>
      <c r="E1985" s="303">
        <v>4546679409</v>
      </c>
      <c r="F1985" s="303">
        <v>9190347404</v>
      </c>
      <c r="G1985" s="303">
        <v>3470</v>
      </c>
      <c r="H1985" s="303">
        <v>173</v>
      </c>
      <c r="I1985" s="303">
        <v>3643</v>
      </c>
      <c r="J1985" s="303">
        <v>19270</v>
      </c>
      <c r="K1985" s="303">
        <v>22913</v>
      </c>
      <c r="L1985" s="303">
        <v>-1124</v>
      </c>
      <c r="M1985" s="303">
        <v>382</v>
      </c>
      <c r="N1985" s="303">
        <v>49296</v>
      </c>
      <c r="O1985" s="303">
        <v>15974</v>
      </c>
      <c r="P1985" s="303">
        <v>88183</v>
      </c>
      <c r="Q1985" s="303">
        <v>713068</v>
      </c>
      <c r="R1985" s="12" t="s">
        <v>5171</v>
      </c>
      <c r="S1985" s="12" t="s">
        <v>25</v>
      </c>
      <c r="T1985" s="12" t="s">
        <v>25</v>
      </c>
    </row>
    <row r="1986" spans="1:20" hidden="1" x14ac:dyDescent="0.3">
      <c r="A1986" s="13">
        <v>43979.708333333336</v>
      </c>
      <c r="B1986" s="12" t="s">
        <v>22</v>
      </c>
      <c r="C1986" s="303">
        <v>11</v>
      </c>
      <c r="D1986" s="12" t="s">
        <v>51</v>
      </c>
      <c r="E1986" s="303">
        <v>4361675973</v>
      </c>
      <c r="F1986" s="303">
        <v>135188753</v>
      </c>
      <c r="G1986" s="303">
        <v>79</v>
      </c>
      <c r="H1986" s="303">
        <v>13</v>
      </c>
      <c r="I1986" s="303">
        <v>92</v>
      </c>
      <c r="J1986" s="303">
        <v>1254</v>
      </c>
      <c r="K1986" s="303">
        <v>1346</v>
      </c>
      <c r="L1986" s="303">
        <v>-104</v>
      </c>
      <c r="M1986" s="303">
        <v>1</v>
      </c>
      <c r="N1986" s="303">
        <v>4376</v>
      </c>
      <c r="O1986" s="303">
        <v>997</v>
      </c>
      <c r="P1986" s="303">
        <v>6719</v>
      </c>
      <c r="Q1986" s="303">
        <v>100110</v>
      </c>
      <c r="R1986" s="12" t="s">
        <v>5172</v>
      </c>
      <c r="S1986" s="12" t="s">
        <v>25</v>
      </c>
      <c r="T1986" s="12" t="s">
        <v>25</v>
      </c>
    </row>
    <row r="1987" spans="1:20" hidden="1" x14ac:dyDescent="0.3">
      <c r="A1987" s="13">
        <v>43979.708333333336</v>
      </c>
      <c r="B1987" s="12" t="s">
        <v>22</v>
      </c>
      <c r="C1987" s="303">
        <v>14</v>
      </c>
      <c r="D1987" s="12" t="s">
        <v>52</v>
      </c>
      <c r="E1987" s="303">
        <v>4155774754</v>
      </c>
      <c r="F1987" s="303">
        <v>1465916051</v>
      </c>
      <c r="G1987" s="303">
        <v>3</v>
      </c>
      <c r="H1987" s="303">
        <v>2</v>
      </c>
      <c r="I1987" s="303">
        <v>5</v>
      </c>
      <c r="J1987" s="303">
        <v>158</v>
      </c>
      <c r="K1987" s="303">
        <v>163</v>
      </c>
      <c r="L1987" s="303">
        <v>-3</v>
      </c>
      <c r="M1987" s="303">
        <v>1</v>
      </c>
      <c r="N1987" s="303">
        <v>250</v>
      </c>
      <c r="O1987" s="303">
        <v>22</v>
      </c>
      <c r="P1987" s="303">
        <v>435</v>
      </c>
      <c r="Q1987" s="303">
        <v>13847</v>
      </c>
      <c r="R1987" s="12" t="s">
        <v>5173</v>
      </c>
      <c r="S1987" s="12" t="s">
        <v>25</v>
      </c>
      <c r="T1987" s="12" t="s">
        <v>25</v>
      </c>
    </row>
    <row r="1988" spans="1:20" hidden="1" x14ac:dyDescent="0.3">
      <c r="A1988" s="13">
        <v>43979.708333333336</v>
      </c>
      <c r="B1988" s="12" t="s">
        <v>22</v>
      </c>
      <c r="C1988" s="303">
        <v>1</v>
      </c>
      <c r="D1988" s="12" t="s">
        <v>53</v>
      </c>
      <c r="E1988" s="303">
        <v>450732745</v>
      </c>
      <c r="F1988" s="303">
        <v>7680687483</v>
      </c>
      <c r="G1988" s="303">
        <v>1058</v>
      </c>
      <c r="H1988" s="303">
        <v>64</v>
      </c>
      <c r="I1988" s="303">
        <v>1122</v>
      </c>
      <c r="J1988" s="303">
        <v>4950</v>
      </c>
      <c r="K1988" s="303">
        <v>6072</v>
      </c>
      <c r="L1988" s="303">
        <v>-392</v>
      </c>
      <c r="M1988" s="303">
        <v>58</v>
      </c>
      <c r="N1988" s="303">
        <v>20535</v>
      </c>
      <c r="O1988" s="303">
        <v>3838</v>
      </c>
      <c r="P1988" s="303">
        <v>30445</v>
      </c>
      <c r="Q1988" s="303">
        <v>304358</v>
      </c>
      <c r="R1988" s="12" t="s">
        <v>5174</v>
      </c>
      <c r="S1988" s="12" t="s">
        <v>25</v>
      </c>
      <c r="T1988" s="12" t="s">
        <v>25</v>
      </c>
    </row>
    <row r="1989" spans="1:20" hidden="1" x14ac:dyDescent="0.3">
      <c r="A1989" s="13">
        <v>43979.708333333336</v>
      </c>
      <c r="B1989" s="12" t="s">
        <v>22</v>
      </c>
      <c r="C1989" s="303">
        <v>16</v>
      </c>
      <c r="D1989" s="12" t="s">
        <v>54</v>
      </c>
      <c r="E1989" s="303">
        <v>4112559576</v>
      </c>
      <c r="F1989" s="303">
        <v>1686736689</v>
      </c>
      <c r="G1989" s="303">
        <v>164</v>
      </c>
      <c r="H1989" s="303">
        <v>16</v>
      </c>
      <c r="I1989" s="303">
        <v>180</v>
      </c>
      <c r="J1989" s="303">
        <v>1215</v>
      </c>
      <c r="K1989" s="303">
        <v>1395</v>
      </c>
      <c r="L1989" s="303">
        <v>-118</v>
      </c>
      <c r="M1989" s="303">
        <v>2</v>
      </c>
      <c r="N1989" s="303">
        <v>2590</v>
      </c>
      <c r="O1989" s="303">
        <v>496</v>
      </c>
      <c r="P1989" s="303">
        <v>4481</v>
      </c>
      <c r="Q1989" s="303">
        <v>111946</v>
      </c>
      <c r="R1989" s="12" t="s">
        <v>5175</v>
      </c>
      <c r="S1989" s="12" t="s">
        <v>25</v>
      </c>
      <c r="T1989" s="12" t="s">
        <v>25</v>
      </c>
    </row>
    <row r="1990" spans="1:20" hidden="1" x14ac:dyDescent="0.3">
      <c r="A1990" s="13">
        <v>43979.708333333336</v>
      </c>
      <c r="B1990" s="12" t="s">
        <v>22</v>
      </c>
      <c r="C1990" s="303">
        <v>20</v>
      </c>
      <c r="D1990" s="12" t="s">
        <v>55</v>
      </c>
      <c r="E1990" s="303">
        <v>3921531192</v>
      </c>
      <c r="F1990" s="303">
        <v>9110616306</v>
      </c>
      <c r="G1990" s="303">
        <v>38</v>
      </c>
      <c r="H1990" s="303">
        <v>2</v>
      </c>
      <c r="I1990" s="303">
        <v>40</v>
      </c>
      <c r="J1990" s="303">
        <v>160</v>
      </c>
      <c r="K1990" s="303">
        <v>200</v>
      </c>
      <c r="L1990" s="303">
        <v>-15</v>
      </c>
      <c r="M1990" s="303">
        <v>0</v>
      </c>
      <c r="N1990" s="303">
        <v>1025</v>
      </c>
      <c r="O1990" s="303">
        <v>130</v>
      </c>
      <c r="P1990" s="303">
        <v>1355</v>
      </c>
      <c r="Q1990" s="303">
        <v>54587</v>
      </c>
      <c r="R1990" s="12" t="s">
        <v>5176</v>
      </c>
      <c r="S1990" s="12" t="s">
        <v>25</v>
      </c>
      <c r="T1990" s="12" t="s">
        <v>25</v>
      </c>
    </row>
    <row r="1991" spans="1:20" hidden="1" x14ac:dyDescent="0.3">
      <c r="A1991" s="13">
        <v>43979.708333333336</v>
      </c>
      <c r="B1991" s="12" t="s">
        <v>22</v>
      </c>
      <c r="C1991" s="303">
        <v>19</v>
      </c>
      <c r="D1991" s="12" t="s">
        <v>56</v>
      </c>
      <c r="E1991" s="303">
        <v>3811569725</v>
      </c>
      <c r="F1991" s="303">
        <v>133623567</v>
      </c>
      <c r="G1991" s="303">
        <v>72</v>
      </c>
      <c r="H1991" s="303">
        <v>8</v>
      </c>
      <c r="I1991" s="303">
        <v>80</v>
      </c>
      <c r="J1991" s="303">
        <v>1065</v>
      </c>
      <c r="K1991" s="303">
        <v>1145</v>
      </c>
      <c r="L1991" s="303">
        <v>-173</v>
      </c>
      <c r="M1991" s="303">
        <v>3</v>
      </c>
      <c r="N1991" s="303">
        <v>2021</v>
      </c>
      <c r="O1991" s="303">
        <v>272</v>
      </c>
      <c r="P1991" s="303">
        <v>3438</v>
      </c>
      <c r="Q1991" s="303">
        <v>142516</v>
      </c>
      <c r="R1991" s="12" t="s">
        <v>5177</v>
      </c>
      <c r="S1991" s="12" t="s">
        <v>25</v>
      </c>
      <c r="T1991" s="12" t="s">
        <v>25</v>
      </c>
    </row>
    <row r="1992" spans="1:20" hidden="1" x14ac:dyDescent="0.3">
      <c r="A1992" s="13">
        <v>43979.708333333336</v>
      </c>
      <c r="B1992" s="12" t="s">
        <v>22</v>
      </c>
      <c r="C1992" s="303">
        <v>9</v>
      </c>
      <c r="D1992" s="12" t="s">
        <v>57</v>
      </c>
      <c r="E1992" s="303">
        <v>4376923077</v>
      </c>
      <c r="F1992" s="303">
        <v>1125588885</v>
      </c>
      <c r="G1992" s="303">
        <v>126</v>
      </c>
      <c r="H1992" s="303">
        <v>27</v>
      </c>
      <c r="I1992" s="303">
        <v>153</v>
      </c>
      <c r="J1992" s="303">
        <v>1227</v>
      </c>
      <c r="K1992" s="303">
        <v>1380</v>
      </c>
      <c r="L1992" s="303">
        <v>-80</v>
      </c>
      <c r="M1992" s="303">
        <v>4</v>
      </c>
      <c r="N1992" s="303">
        <v>7677</v>
      </c>
      <c r="O1992" s="303">
        <v>1029</v>
      </c>
      <c r="P1992" s="303">
        <v>10086</v>
      </c>
      <c r="Q1992" s="303">
        <v>242687</v>
      </c>
      <c r="R1992" s="12" t="s">
        <v>5178</v>
      </c>
      <c r="S1992" s="12" t="s">
        <v>25</v>
      </c>
      <c r="T1992" s="12" t="s">
        <v>25</v>
      </c>
    </row>
    <row r="1993" spans="1:20" hidden="1" x14ac:dyDescent="0.3">
      <c r="A1993" s="13">
        <v>43979.708333333336</v>
      </c>
      <c r="B1993" s="12" t="s">
        <v>22</v>
      </c>
      <c r="C1993" s="303">
        <v>22</v>
      </c>
      <c r="D1993" s="12" t="s">
        <v>58</v>
      </c>
      <c r="E1993" s="303">
        <v>4606893511</v>
      </c>
      <c r="F1993" s="303">
        <v>1112123097</v>
      </c>
      <c r="G1993" s="303">
        <v>17</v>
      </c>
      <c r="H1993" s="303">
        <v>3</v>
      </c>
      <c r="I1993" s="303">
        <v>20</v>
      </c>
      <c r="J1993" s="303">
        <v>438</v>
      </c>
      <c r="K1993" s="303">
        <v>458</v>
      </c>
      <c r="L1993" s="303">
        <v>-19</v>
      </c>
      <c r="M1993" s="303">
        <v>3</v>
      </c>
      <c r="N1993" s="303">
        <v>3505</v>
      </c>
      <c r="O1993" s="303">
        <v>462</v>
      </c>
      <c r="P1993" s="303">
        <v>4425</v>
      </c>
      <c r="Q1993" s="303">
        <v>83018</v>
      </c>
      <c r="R1993" s="12" t="s">
        <v>5179</v>
      </c>
      <c r="S1993" s="12" t="s">
        <v>25</v>
      </c>
      <c r="T1993" s="12" t="s">
        <v>25</v>
      </c>
    </row>
    <row r="1994" spans="1:20" hidden="1" x14ac:dyDescent="0.3">
      <c r="A1994" s="13">
        <v>43979.708333333336</v>
      </c>
      <c r="B1994" s="12" t="s">
        <v>22</v>
      </c>
      <c r="C1994" s="303">
        <v>10</v>
      </c>
      <c r="D1994" s="12" t="s">
        <v>59</v>
      </c>
      <c r="E1994" s="303">
        <v>4310675841</v>
      </c>
      <c r="F1994" s="303">
        <v>1238824698</v>
      </c>
      <c r="G1994" s="303">
        <v>14</v>
      </c>
      <c r="H1994" s="303">
        <v>2</v>
      </c>
      <c r="I1994" s="303">
        <v>16</v>
      </c>
      <c r="J1994" s="303">
        <v>17</v>
      </c>
      <c r="K1994" s="303">
        <v>33</v>
      </c>
      <c r="L1994" s="303">
        <v>1</v>
      </c>
      <c r="M1994" s="303">
        <v>0</v>
      </c>
      <c r="N1994" s="303">
        <v>1323</v>
      </c>
      <c r="O1994" s="303">
        <v>75</v>
      </c>
      <c r="P1994" s="303">
        <v>1431</v>
      </c>
      <c r="Q1994" s="303">
        <v>67458</v>
      </c>
      <c r="R1994" s="12" t="s">
        <v>5180</v>
      </c>
      <c r="S1994" s="12" t="s">
        <v>25</v>
      </c>
      <c r="T1994" s="12" t="s">
        <v>25</v>
      </c>
    </row>
    <row r="1995" spans="1:20" hidden="1" x14ac:dyDescent="0.3">
      <c r="A1995" s="13">
        <v>43979.708333333336</v>
      </c>
      <c r="B1995" s="12" t="s">
        <v>22</v>
      </c>
      <c r="C1995" s="303">
        <v>2</v>
      </c>
      <c r="D1995" s="12" t="s">
        <v>60</v>
      </c>
      <c r="E1995" s="303">
        <v>4573750286</v>
      </c>
      <c r="F1995" s="303">
        <v>7320149366</v>
      </c>
      <c r="G1995" s="303">
        <v>16</v>
      </c>
      <c r="H1995" s="303">
        <v>0</v>
      </c>
      <c r="I1995" s="303">
        <v>16</v>
      </c>
      <c r="J1995" s="303">
        <v>7</v>
      </c>
      <c r="K1995" s="303">
        <v>23</v>
      </c>
      <c r="L1995" s="303">
        <v>-4</v>
      </c>
      <c r="M1995" s="303">
        <v>1</v>
      </c>
      <c r="N1995" s="303">
        <v>1016</v>
      </c>
      <c r="O1995" s="303">
        <v>143</v>
      </c>
      <c r="P1995" s="303">
        <v>1182</v>
      </c>
      <c r="Q1995" s="303">
        <v>14653</v>
      </c>
      <c r="R1995" s="12" t="s">
        <v>2741</v>
      </c>
      <c r="S1995" s="12" t="s">
        <v>25</v>
      </c>
      <c r="T1995" s="12" t="s">
        <v>25</v>
      </c>
    </row>
    <row r="1996" spans="1:20" hidden="1" x14ac:dyDescent="0.3">
      <c r="A1996" s="13">
        <v>43979.708333333336</v>
      </c>
      <c r="B1996" s="12" t="s">
        <v>22</v>
      </c>
      <c r="C1996" s="303">
        <v>5</v>
      </c>
      <c r="D1996" s="12" t="s">
        <v>61</v>
      </c>
      <c r="E1996" s="303">
        <v>4543490485</v>
      </c>
      <c r="F1996" s="303">
        <v>1233845213</v>
      </c>
      <c r="G1996" s="303">
        <v>148</v>
      </c>
      <c r="H1996" s="303">
        <v>9</v>
      </c>
      <c r="I1996" s="303">
        <v>157</v>
      </c>
      <c r="J1996" s="303">
        <v>1868</v>
      </c>
      <c r="K1996" s="303">
        <v>2025</v>
      </c>
      <c r="L1996" s="303">
        <v>-262</v>
      </c>
      <c r="M1996" s="303">
        <v>12</v>
      </c>
      <c r="N1996" s="303">
        <v>15202</v>
      </c>
      <c r="O1996" s="303">
        <v>1898</v>
      </c>
      <c r="P1996" s="303">
        <v>19125</v>
      </c>
      <c r="Q1996" s="303">
        <v>632124</v>
      </c>
      <c r="R1996" s="12" t="s">
        <v>5181</v>
      </c>
      <c r="S1996" s="12" t="s">
        <v>25</v>
      </c>
      <c r="T1996" s="12" t="s">
        <v>25</v>
      </c>
    </row>
    <row r="1997" spans="1:20" hidden="1" x14ac:dyDescent="0.3">
      <c r="A1997" s="13">
        <v>43980.708333333336</v>
      </c>
      <c r="B1997" s="12" t="s">
        <v>22</v>
      </c>
      <c r="C1997" s="303">
        <v>13</v>
      </c>
      <c r="D1997" s="12" t="s">
        <v>42</v>
      </c>
      <c r="E1997" s="303">
        <v>4235122196</v>
      </c>
      <c r="F1997" s="303">
        <v>1339843823</v>
      </c>
      <c r="G1997" s="303">
        <v>122</v>
      </c>
      <c r="H1997" s="303">
        <v>3</v>
      </c>
      <c r="I1997" s="303">
        <v>125</v>
      </c>
      <c r="J1997" s="303">
        <v>645</v>
      </c>
      <c r="K1997" s="303">
        <v>770</v>
      </c>
      <c r="L1997" s="303">
        <v>-54</v>
      </c>
      <c r="M1997" s="303">
        <v>0</v>
      </c>
      <c r="N1997" s="303">
        <v>2063</v>
      </c>
      <c r="O1997" s="303">
        <v>404</v>
      </c>
      <c r="P1997" s="303">
        <v>3237</v>
      </c>
      <c r="Q1997" s="303">
        <v>73301</v>
      </c>
      <c r="R1997" s="12" t="s">
        <v>5182</v>
      </c>
      <c r="S1997" s="12" t="s">
        <v>25</v>
      </c>
      <c r="T1997" s="12" t="s">
        <v>25</v>
      </c>
    </row>
    <row r="1998" spans="1:20" hidden="1" x14ac:dyDescent="0.3">
      <c r="A1998" s="13">
        <v>43980.708333333336</v>
      </c>
      <c r="B1998" s="12" t="s">
        <v>22</v>
      </c>
      <c r="C1998" s="303">
        <v>17</v>
      </c>
      <c r="D1998" s="12" t="s">
        <v>43</v>
      </c>
      <c r="E1998" s="303">
        <v>4063947052</v>
      </c>
      <c r="F1998" s="303">
        <v>1580514834</v>
      </c>
      <c r="G1998" s="303">
        <v>5</v>
      </c>
      <c r="H1998" s="303">
        <v>0</v>
      </c>
      <c r="I1998" s="303">
        <v>5</v>
      </c>
      <c r="J1998" s="303">
        <v>28</v>
      </c>
      <c r="K1998" s="303">
        <v>33</v>
      </c>
      <c r="L1998" s="303">
        <v>-1</v>
      </c>
      <c r="M1998" s="303">
        <v>0</v>
      </c>
      <c r="N1998" s="303">
        <v>339</v>
      </c>
      <c r="O1998" s="303">
        <v>27</v>
      </c>
      <c r="P1998" s="303">
        <v>399</v>
      </c>
      <c r="Q1998" s="303">
        <v>28909</v>
      </c>
      <c r="R1998" s="12" t="s">
        <v>5183</v>
      </c>
      <c r="S1998" s="12" t="s">
        <v>25</v>
      </c>
      <c r="T1998" s="12" t="s">
        <v>25</v>
      </c>
    </row>
    <row r="1999" spans="1:20" hidden="1" x14ac:dyDescent="0.3">
      <c r="A1999" s="13">
        <v>43980.708333333336</v>
      </c>
      <c r="B1999" s="12" t="s">
        <v>22</v>
      </c>
      <c r="C1999" s="303">
        <v>21</v>
      </c>
      <c r="D1999" s="12" t="s">
        <v>44</v>
      </c>
      <c r="E1999" s="303">
        <v>4649933453</v>
      </c>
      <c r="F1999" s="303">
        <v>1135662422</v>
      </c>
      <c r="G1999" s="303">
        <v>17</v>
      </c>
      <c r="H1999" s="303">
        <v>5</v>
      </c>
      <c r="I1999" s="303">
        <v>22</v>
      </c>
      <c r="J1999" s="303">
        <v>132</v>
      </c>
      <c r="K1999" s="303">
        <v>154</v>
      </c>
      <c r="L1999" s="303">
        <v>-3</v>
      </c>
      <c r="M1999" s="303">
        <v>0</v>
      </c>
      <c r="N1999" s="303">
        <v>2150</v>
      </c>
      <c r="O1999" s="303">
        <v>291</v>
      </c>
      <c r="P1999" s="303">
        <v>2595</v>
      </c>
      <c r="Q1999" s="303">
        <v>64105</v>
      </c>
      <c r="R1999" s="12" t="s">
        <v>5184</v>
      </c>
      <c r="S1999" s="12" t="s">
        <v>25</v>
      </c>
      <c r="T1999" s="12" t="s">
        <v>25</v>
      </c>
    </row>
    <row r="2000" spans="1:20" hidden="1" x14ac:dyDescent="0.3">
      <c r="A2000" s="13">
        <v>43980.708333333336</v>
      </c>
      <c r="B2000" s="12" t="s">
        <v>22</v>
      </c>
      <c r="C2000" s="303">
        <v>18</v>
      </c>
      <c r="D2000" s="12" t="s">
        <v>45</v>
      </c>
      <c r="E2000" s="303">
        <v>3890597598</v>
      </c>
      <c r="F2000" s="303">
        <v>1659440194</v>
      </c>
      <c r="G2000" s="303">
        <v>25</v>
      </c>
      <c r="H2000" s="303">
        <v>1</v>
      </c>
      <c r="I2000" s="303">
        <v>26</v>
      </c>
      <c r="J2000" s="303">
        <v>133</v>
      </c>
      <c r="K2000" s="303">
        <v>159</v>
      </c>
      <c r="L2000" s="303">
        <v>-11</v>
      </c>
      <c r="M2000" s="303">
        <v>0</v>
      </c>
      <c r="N2000" s="303">
        <v>902</v>
      </c>
      <c r="O2000" s="303">
        <v>97</v>
      </c>
      <c r="P2000" s="303">
        <v>1158</v>
      </c>
      <c r="Q2000" s="303">
        <v>68131</v>
      </c>
      <c r="R2000" s="12" t="s">
        <v>5185</v>
      </c>
      <c r="S2000" s="12" t="s">
        <v>25</v>
      </c>
      <c r="T2000" s="12" t="s">
        <v>25</v>
      </c>
    </row>
    <row r="2001" spans="1:20" hidden="1" x14ac:dyDescent="0.3">
      <c r="A2001" s="13">
        <v>43980.708333333336</v>
      </c>
      <c r="B2001" s="12" t="s">
        <v>22</v>
      </c>
      <c r="C2001" s="303">
        <v>15</v>
      </c>
      <c r="D2001" s="12" t="s">
        <v>46</v>
      </c>
      <c r="E2001" s="303">
        <v>4083956555</v>
      </c>
      <c r="F2001" s="303">
        <v>1425084984</v>
      </c>
      <c r="G2001" s="303">
        <v>236</v>
      </c>
      <c r="H2001" s="303">
        <v>7</v>
      </c>
      <c r="I2001" s="303">
        <v>243</v>
      </c>
      <c r="J2001" s="303">
        <v>743</v>
      </c>
      <c r="K2001" s="303">
        <v>986</v>
      </c>
      <c r="L2001" s="303">
        <v>-26</v>
      </c>
      <c r="M2001" s="303">
        <v>10</v>
      </c>
      <c r="N2001" s="303">
        <v>3390</v>
      </c>
      <c r="O2001" s="303">
        <v>411</v>
      </c>
      <c r="P2001" s="303">
        <v>4787</v>
      </c>
      <c r="Q2001" s="303">
        <v>193669</v>
      </c>
      <c r="R2001" s="12" t="s">
        <v>5186</v>
      </c>
      <c r="S2001" s="12" t="s">
        <v>25</v>
      </c>
      <c r="T2001" s="12" t="s">
        <v>25</v>
      </c>
    </row>
    <row r="2002" spans="1:20" hidden="1" x14ac:dyDescent="0.3">
      <c r="A2002" s="13">
        <v>43980.708333333336</v>
      </c>
      <c r="B2002" s="12" t="s">
        <v>22</v>
      </c>
      <c r="C2002" s="303">
        <v>8</v>
      </c>
      <c r="D2002" s="12" t="s">
        <v>95</v>
      </c>
      <c r="E2002" s="303">
        <v>4449436681</v>
      </c>
      <c r="F2002" s="303">
        <v>113417208</v>
      </c>
      <c r="G2002" s="303">
        <v>429</v>
      </c>
      <c r="H2002" s="303">
        <v>76</v>
      </c>
      <c r="I2002" s="303">
        <v>505</v>
      </c>
      <c r="J2002" s="303">
        <v>3059</v>
      </c>
      <c r="K2002" s="303">
        <v>3564</v>
      </c>
      <c r="L2002" s="303">
        <v>-186</v>
      </c>
      <c r="M2002" s="303">
        <v>38</v>
      </c>
      <c r="N2002" s="303">
        <v>20073</v>
      </c>
      <c r="O2002" s="303">
        <v>4102</v>
      </c>
      <c r="P2002" s="303">
        <v>27739</v>
      </c>
      <c r="Q2002" s="303">
        <v>316909</v>
      </c>
      <c r="R2002" s="12" t="s">
        <v>5187</v>
      </c>
      <c r="S2002" s="12" t="s">
        <v>25</v>
      </c>
      <c r="T2002" s="12" t="s">
        <v>25</v>
      </c>
    </row>
    <row r="2003" spans="1:20" hidden="1" x14ac:dyDescent="0.3">
      <c r="A2003" s="13">
        <v>43980.708333333336</v>
      </c>
      <c r="B2003" s="12" t="s">
        <v>22</v>
      </c>
      <c r="C2003" s="303">
        <v>6</v>
      </c>
      <c r="D2003" s="12" t="s">
        <v>47</v>
      </c>
      <c r="E2003" s="303">
        <v>456494354</v>
      </c>
      <c r="F2003" s="303">
        <v>1376813649</v>
      </c>
      <c r="G2003" s="303">
        <v>45</v>
      </c>
      <c r="H2003" s="303">
        <v>2</v>
      </c>
      <c r="I2003" s="303">
        <v>47</v>
      </c>
      <c r="J2003" s="303">
        <v>276</v>
      </c>
      <c r="K2003" s="303">
        <v>323</v>
      </c>
      <c r="L2003" s="303">
        <v>-13</v>
      </c>
      <c r="M2003" s="303">
        <v>5</v>
      </c>
      <c r="N2003" s="303">
        <v>2611</v>
      </c>
      <c r="O2003" s="303">
        <v>333</v>
      </c>
      <c r="P2003" s="303">
        <v>3267</v>
      </c>
      <c r="Q2003" s="303">
        <v>130838</v>
      </c>
      <c r="R2003" s="12" t="s">
        <v>5188</v>
      </c>
      <c r="S2003" s="12" t="s">
        <v>25</v>
      </c>
      <c r="T2003" s="12" t="s">
        <v>25</v>
      </c>
    </row>
    <row r="2004" spans="1:20" hidden="1" x14ac:dyDescent="0.3">
      <c r="A2004" s="13">
        <v>43980.708333333336</v>
      </c>
      <c r="B2004" s="12" t="s">
        <v>22</v>
      </c>
      <c r="C2004" s="303">
        <v>12</v>
      </c>
      <c r="D2004" s="12" t="s">
        <v>48</v>
      </c>
      <c r="E2004" s="303">
        <v>4189277044</v>
      </c>
      <c r="F2004" s="303">
        <v>1248366722</v>
      </c>
      <c r="G2004" s="303">
        <v>817</v>
      </c>
      <c r="H2004" s="303">
        <v>59</v>
      </c>
      <c r="I2004" s="303">
        <v>876</v>
      </c>
      <c r="J2004" s="303">
        <v>2287</v>
      </c>
      <c r="K2004" s="303">
        <v>3163</v>
      </c>
      <c r="L2004" s="303">
        <v>-242</v>
      </c>
      <c r="M2004" s="303">
        <v>16</v>
      </c>
      <c r="N2004" s="303">
        <v>3825</v>
      </c>
      <c r="O2004" s="303">
        <v>721</v>
      </c>
      <c r="P2004" s="303">
        <v>7709</v>
      </c>
      <c r="Q2004" s="303">
        <v>249267</v>
      </c>
      <c r="R2004" s="12" t="s">
        <v>5189</v>
      </c>
      <c r="S2004" s="12" t="s">
        <v>25</v>
      </c>
      <c r="T2004" s="12" t="s">
        <v>25</v>
      </c>
    </row>
    <row r="2005" spans="1:20" x14ac:dyDescent="0.3">
      <c r="A2005" s="13">
        <v>43980.708333333336</v>
      </c>
      <c r="B2005" s="12" t="s">
        <v>22</v>
      </c>
      <c r="C2005" s="303">
        <v>7</v>
      </c>
      <c r="D2005" s="12" t="s">
        <v>49</v>
      </c>
      <c r="E2005" s="303">
        <v>4441149315</v>
      </c>
      <c r="F2005" s="303">
        <v>89326992</v>
      </c>
      <c r="G2005" s="303">
        <v>192</v>
      </c>
      <c r="H2005" s="303">
        <v>13</v>
      </c>
      <c r="I2005" s="303">
        <v>205</v>
      </c>
      <c r="J2005" s="303">
        <v>789</v>
      </c>
      <c r="K2005" s="303">
        <v>994</v>
      </c>
      <c r="L2005" s="303">
        <v>-151</v>
      </c>
      <c r="M2005" s="303">
        <v>14</v>
      </c>
      <c r="N2005" s="303">
        <v>7173</v>
      </c>
      <c r="O2005" s="303">
        <v>1452</v>
      </c>
      <c r="P2005" s="303">
        <v>9619</v>
      </c>
      <c r="Q2005" s="303">
        <v>102173</v>
      </c>
      <c r="R2005" s="12" t="s">
        <v>5190</v>
      </c>
      <c r="S2005" s="12" t="s">
        <v>25</v>
      </c>
      <c r="T2005" s="12" t="s">
        <v>25</v>
      </c>
    </row>
    <row r="2006" spans="1:20" hidden="1" x14ac:dyDescent="0.3">
      <c r="A2006" s="13">
        <v>43980.708333333336</v>
      </c>
      <c r="B2006" s="12" t="s">
        <v>22</v>
      </c>
      <c r="C2006" s="303">
        <v>3</v>
      </c>
      <c r="D2006" s="12" t="s">
        <v>50</v>
      </c>
      <c r="E2006" s="303">
        <v>4546679409</v>
      </c>
      <c r="F2006" s="303">
        <v>9190347404</v>
      </c>
      <c r="G2006" s="303">
        <v>3552</v>
      </c>
      <c r="H2006" s="303">
        <v>173</v>
      </c>
      <c r="I2006" s="303">
        <v>3725</v>
      </c>
      <c r="J2006" s="303">
        <v>18958</v>
      </c>
      <c r="K2006" s="303">
        <v>22683</v>
      </c>
      <c r="L2006" s="303">
        <v>-230</v>
      </c>
      <c r="M2006" s="303">
        <v>354</v>
      </c>
      <c r="N2006" s="303">
        <v>49842</v>
      </c>
      <c r="O2006" s="303">
        <v>16012</v>
      </c>
      <c r="P2006" s="303">
        <v>88537</v>
      </c>
      <c r="Q2006" s="303">
        <v>727146</v>
      </c>
      <c r="R2006" s="12" t="s">
        <v>5191</v>
      </c>
      <c r="S2006" s="12" t="s">
        <v>25</v>
      </c>
      <c r="T2006" s="12" t="s">
        <v>25</v>
      </c>
    </row>
    <row r="2007" spans="1:20" hidden="1" x14ac:dyDescent="0.3">
      <c r="A2007" s="13">
        <v>43980.708333333336</v>
      </c>
      <c r="B2007" s="12" t="s">
        <v>22</v>
      </c>
      <c r="C2007" s="303">
        <v>11</v>
      </c>
      <c r="D2007" s="12" t="s">
        <v>51</v>
      </c>
      <c r="E2007" s="303">
        <v>4361675973</v>
      </c>
      <c r="F2007" s="303">
        <v>135188753</v>
      </c>
      <c r="G2007" s="303">
        <v>69</v>
      </c>
      <c r="H2007" s="303">
        <v>9</v>
      </c>
      <c r="I2007" s="303">
        <v>78</v>
      </c>
      <c r="J2007" s="303">
        <v>1274</v>
      </c>
      <c r="K2007" s="303">
        <v>1352</v>
      </c>
      <c r="L2007" s="303">
        <v>6</v>
      </c>
      <c r="M2007" s="303">
        <v>4</v>
      </c>
      <c r="N2007" s="303">
        <v>4385</v>
      </c>
      <c r="O2007" s="303">
        <v>986</v>
      </c>
      <c r="P2007" s="303">
        <v>6723</v>
      </c>
      <c r="Q2007" s="303">
        <v>101389</v>
      </c>
      <c r="R2007" s="12" t="s">
        <v>5192</v>
      </c>
      <c r="S2007" s="12" t="s">
        <v>5193</v>
      </c>
      <c r="T2007" s="12" t="s">
        <v>5194</v>
      </c>
    </row>
    <row r="2008" spans="1:20" hidden="1" x14ac:dyDescent="0.3">
      <c r="A2008" s="13">
        <v>43980.708333333336</v>
      </c>
      <c r="B2008" s="12" t="s">
        <v>22</v>
      </c>
      <c r="C2008" s="303">
        <v>14</v>
      </c>
      <c r="D2008" s="12" t="s">
        <v>52</v>
      </c>
      <c r="E2008" s="303">
        <v>4155774754</v>
      </c>
      <c r="F2008" s="303">
        <v>1465916051</v>
      </c>
      <c r="G2008" s="303">
        <v>3</v>
      </c>
      <c r="H2008" s="303">
        <v>2</v>
      </c>
      <c r="I2008" s="303">
        <v>5</v>
      </c>
      <c r="J2008" s="303">
        <v>157</v>
      </c>
      <c r="K2008" s="303">
        <v>162</v>
      </c>
      <c r="L2008" s="303">
        <v>-1</v>
      </c>
      <c r="M2008" s="303">
        <v>1</v>
      </c>
      <c r="N2008" s="303">
        <v>252</v>
      </c>
      <c r="O2008" s="303">
        <v>22</v>
      </c>
      <c r="P2008" s="303">
        <v>436</v>
      </c>
      <c r="Q2008" s="303">
        <v>14109</v>
      </c>
      <c r="R2008" s="12" t="s">
        <v>5195</v>
      </c>
      <c r="S2008" s="12" t="s">
        <v>25</v>
      </c>
      <c r="T2008" s="12" t="s">
        <v>25</v>
      </c>
    </row>
    <row r="2009" spans="1:20" hidden="1" x14ac:dyDescent="0.3">
      <c r="A2009" s="13">
        <v>43980.708333333336</v>
      </c>
      <c r="B2009" s="12" t="s">
        <v>22</v>
      </c>
      <c r="C2009" s="303">
        <v>1</v>
      </c>
      <c r="D2009" s="12" t="s">
        <v>53</v>
      </c>
      <c r="E2009" s="303">
        <v>450732745</v>
      </c>
      <c r="F2009" s="303">
        <v>7680687483</v>
      </c>
      <c r="G2009" s="303">
        <v>1029</v>
      </c>
      <c r="H2009" s="303">
        <v>61</v>
      </c>
      <c r="I2009" s="303">
        <v>1090</v>
      </c>
      <c r="J2009" s="303">
        <v>4568</v>
      </c>
      <c r="K2009" s="303">
        <v>5658</v>
      </c>
      <c r="L2009" s="303">
        <v>-414</v>
      </c>
      <c r="M2009" s="303">
        <v>56</v>
      </c>
      <c r="N2009" s="303">
        <v>20992</v>
      </c>
      <c r="O2009" s="303">
        <v>3851</v>
      </c>
      <c r="P2009" s="303">
        <v>30501</v>
      </c>
      <c r="Q2009" s="303">
        <v>309497</v>
      </c>
      <c r="R2009" s="12" t="s">
        <v>5196</v>
      </c>
      <c r="S2009" s="12" t="s">
        <v>25</v>
      </c>
      <c r="T2009" s="12" t="s">
        <v>25</v>
      </c>
    </row>
    <row r="2010" spans="1:20" hidden="1" x14ac:dyDescent="0.3">
      <c r="A2010" s="13">
        <v>43980.708333333336</v>
      </c>
      <c r="B2010" s="12" t="s">
        <v>22</v>
      </c>
      <c r="C2010" s="303">
        <v>16</v>
      </c>
      <c r="D2010" s="12" t="s">
        <v>54</v>
      </c>
      <c r="E2010" s="303">
        <v>4112559576</v>
      </c>
      <c r="F2010" s="303">
        <v>1686736689</v>
      </c>
      <c r="G2010" s="303">
        <v>158</v>
      </c>
      <c r="H2010" s="303">
        <v>12</v>
      </c>
      <c r="I2010" s="303">
        <v>170</v>
      </c>
      <c r="J2010" s="303">
        <v>1113</v>
      </c>
      <c r="K2010" s="303">
        <v>1283</v>
      </c>
      <c r="L2010" s="303">
        <v>-112</v>
      </c>
      <c r="M2010" s="303">
        <v>1</v>
      </c>
      <c r="N2010" s="303">
        <v>2699</v>
      </c>
      <c r="O2010" s="303">
        <v>500</v>
      </c>
      <c r="P2010" s="303">
        <v>4482</v>
      </c>
      <c r="Q2010" s="303">
        <v>114588</v>
      </c>
      <c r="R2010" s="12" t="s">
        <v>5197</v>
      </c>
      <c r="S2010" s="12" t="s">
        <v>25</v>
      </c>
      <c r="T2010" s="12" t="s">
        <v>25</v>
      </c>
    </row>
    <row r="2011" spans="1:20" hidden="1" x14ac:dyDescent="0.3">
      <c r="A2011" s="13">
        <v>43980.708333333336</v>
      </c>
      <c r="B2011" s="12" t="s">
        <v>22</v>
      </c>
      <c r="C2011" s="303">
        <v>20</v>
      </c>
      <c r="D2011" s="12" t="s">
        <v>55</v>
      </c>
      <c r="E2011" s="303">
        <v>3921531192</v>
      </c>
      <c r="F2011" s="303">
        <v>9110616306</v>
      </c>
      <c r="G2011" s="303">
        <v>37</v>
      </c>
      <c r="H2011" s="303">
        <v>2</v>
      </c>
      <c r="I2011" s="303">
        <v>39</v>
      </c>
      <c r="J2011" s="303">
        <v>151</v>
      </c>
      <c r="K2011" s="303">
        <v>190</v>
      </c>
      <c r="L2011" s="303">
        <v>-10</v>
      </c>
      <c r="M2011" s="303">
        <v>1</v>
      </c>
      <c r="N2011" s="303">
        <v>1036</v>
      </c>
      <c r="O2011" s="303">
        <v>130</v>
      </c>
      <c r="P2011" s="303">
        <v>1356</v>
      </c>
      <c r="Q2011" s="303">
        <v>55831</v>
      </c>
      <c r="R2011" s="12" t="s">
        <v>5198</v>
      </c>
      <c r="S2011" s="12" t="s">
        <v>25</v>
      </c>
      <c r="T2011" s="12" t="s">
        <v>25</v>
      </c>
    </row>
    <row r="2012" spans="1:20" hidden="1" x14ac:dyDescent="0.3">
      <c r="A2012" s="13">
        <v>43980.708333333336</v>
      </c>
      <c r="B2012" s="12" t="s">
        <v>22</v>
      </c>
      <c r="C2012" s="303">
        <v>19</v>
      </c>
      <c r="D2012" s="12" t="s">
        <v>56</v>
      </c>
      <c r="E2012" s="303">
        <v>3811569725</v>
      </c>
      <c r="F2012" s="303">
        <v>133623567</v>
      </c>
      <c r="G2012" s="303">
        <v>67</v>
      </c>
      <c r="H2012" s="303">
        <v>7</v>
      </c>
      <c r="I2012" s="303">
        <v>74</v>
      </c>
      <c r="J2012" s="303">
        <v>1063</v>
      </c>
      <c r="K2012" s="303">
        <v>1137</v>
      </c>
      <c r="L2012" s="303">
        <v>-8</v>
      </c>
      <c r="M2012" s="303">
        <v>2</v>
      </c>
      <c r="N2012" s="303">
        <v>2031</v>
      </c>
      <c r="O2012" s="303">
        <v>272</v>
      </c>
      <c r="P2012" s="303">
        <v>3440</v>
      </c>
      <c r="Q2012" s="303">
        <v>145979</v>
      </c>
      <c r="R2012" s="12" t="s">
        <v>5199</v>
      </c>
      <c r="S2012" s="12" t="s">
        <v>25</v>
      </c>
      <c r="T2012" s="12" t="s">
        <v>25</v>
      </c>
    </row>
    <row r="2013" spans="1:20" hidden="1" x14ac:dyDescent="0.3">
      <c r="A2013" s="13">
        <v>43980.708333333336</v>
      </c>
      <c r="B2013" s="12" t="s">
        <v>22</v>
      </c>
      <c r="C2013" s="303">
        <v>9</v>
      </c>
      <c r="D2013" s="12" t="s">
        <v>57</v>
      </c>
      <c r="E2013" s="303">
        <v>4376923077</v>
      </c>
      <c r="F2013" s="303">
        <v>1125588885</v>
      </c>
      <c r="G2013" s="303">
        <v>111</v>
      </c>
      <c r="H2013" s="303">
        <v>31</v>
      </c>
      <c r="I2013" s="303">
        <v>142</v>
      </c>
      <c r="J2013" s="303">
        <v>1113</v>
      </c>
      <c r="K2013" s="303">
        <v>1255</v>
      </c>
      <c r="L2013" s="303">
        <v>-125</v>
      </c>
      <c r="M2013" s="303">
        <v>2</v>
      </c>
      <c r="N2013" s="303">
        <v>7802</v>
      </c>
      <c r="O2013" s="303">
        <v>1031</v>
      </c>
      <c r="P2013" s="303">
        <v>10088</v>
      </c>
      <c r="Q2013" s="303">
        <v>246052</v>
      </c>
      <c r="R2013" s="12" t="s">
        <v>5200</v>
      </c>
      <c r="S2013" s="12" t="s">
        <v>25</v>
      </c>
      <c r="T2013" s="12" t="s">
        <v>25</v>
      </c>
    </row>
    <row r="2014" spans="1:20" hidden="1" x14ac:dyDescent="0.3">
      <c r="A2014" s="13">
        <v>43980.708333333336</v>
      </c>
      <c r="B2014" s="12" t="s">
        <v>22</v>
      </c>
      <c r="C2014" s="303">
        <v>22</v>
      </c>
      <c r="D2014" s="12" t="s">
        <v>58</v>
      </c>
      <c r="E2014" s="303">
        <v>4606893511</v>
      </c>
      <c r="F2014" s="303">
        <v>1112123097</v>
      </c>
      <c r="G2014" s="303">
        <v>16</v>
      </c>
      <c r="H2014" s="303">
        <v>3</v>
      </c>
      <c r="I2014" s="303">
        <v>19</v>
      </c>
      <c r="J2014" s="303">
        <v>391</v>
      </c>
      <c r="K2014" s="303">
        <v>410</v>
      </c>
      <c r="L2014" s="303">
        <v>-48</v>
      </c>
      <c r="M2014" s="303">
        <v>3</v>
      </c>
      <c r="N2014" s="303">
        <v>3556</v>
      </c>
      <c r="O2014" s="303">
        <v>462</v>
      </c>
      <c r="P2014" s="303">
        <v>4428</v>
      </c>
      <c r="Q2014" s="303">
        <v>84805</v>
      </c>
      <c r="R2014" s="12" t="s">
        <v>5201</v>
      </c>
      <c r="S2014" s="12" t="s">
        <v>25</v>
      </c>
      <c r="T2014" s="12" t="s">
        <v>25</v>
      </c>
    </row>
    <row r="2015" spans="1:20" hidden="1" x14ac:dyDescent="0.3">
      <c r="A2015" s="13">
        <v>43980.708333333336</v>
      </c>
      <c r="B2015" s="12" t="s">
        <v>22</v>
      </c>
      <c r="C2015" s="303">
        <v>10</v>
      </c>
      <c r="D2015" s="12" t="s">
        <v>59</v>
      </c>
      <c r="E2015" s="303">
        <v>4310675841</v>
      </c>
      <c r="F2015" s="303">
        <v>1238824698</v>
      </c>
      <c r="G2015" s="303">
        <v>15</v>
      </c>
      <c r="H2015" s="303">
        <v>2</v>
      </c>
      <c r="I2015" s="303">
        <v>17</v>
      </c>
      <c r="J2015" s="303">
        <v>14</v>
      </c>
      <c r="K2015" s="303">
        <v>31</v>
      </c>
      <c r="L2015" s="303">
        <v>-2</v>
      </c>
      <c r="M2015" s="303">
        <v>0</v>
      </c>
      <c r="N2015" s="303">
        <v>1324</v>
      </c>
      <c r="O2015" s="303">
        <v>76</v>
      </c>
      <c r="P2015" s="303">
        <v>1431</v>
      </c>
      <c r="Q2015" s="303">
        <v>68773</v>
      </c>
      <c r="R2015" s="12" t="s">
        <v>5202</v>
      </c>
      <c r="S2015" s="12" t="s">
        <v>25</v>
      </c>
      <c r="T2015" s="12" t="s">
        <v>25</v>
      </c>
    </row>
    <row r="2016" spans="1:20" hidden="1" x14ac:dyDescent="0.3">
      <c r="A2016" s="13">
        <v>43980.708333333336</v>
      </c>
      <c r="B2016" s="12" t="s">
        <v>22</v>
      </c>
      <c r="C2016" s="303">
        <v>2</v>
      </c>
      <c r="D2016" s="12" t="s">
        <v>60</v>
      </c>
      <c r="E2016" s="303">
        <v>4573750286</v>
      </c>
      <c r="F2016" s="303">
        <v>7320149366</v>
      </c>
      <c r="G2016" s="303">
        <v>12</v>
      </c>
      <c r="H2016" s="303">
        <v>0</v>
      </c>
      <c r="I2016" s="303">
        <v>12</v>
      </c>
      <c r="J2016" s="303">
        <v>7</v>
      </c>
      <c r="K2016" s="303">
        <v>19</v>
      </c>
      <c r="L2016" s="303">
        <v>-4</v>
      </c>
      <c r="M2016" s="303">
        <v>0</v>
      </c>
      <c r="N2016" s="303">
        <v>1020</v>
      </c>
      <c r="O2016" s="303">
        <v>143</v>
      </c>
      <c r="P2016" s="303">
        <v>1182</v>
      </c>
      <c r="Q2016" s="303">
        <v>14759</v>
      </c>
      <c r="R2016" s="12" t="s">
        <v>5203</v>
      </c>
      <c r="S2016" s="12" t="s">
        <v>25</v>
      </c>
      <c r="T2016" s="12" t="s">
        <v>25</v>
      </c>
    </row>
    <row r="2017" spans="1:20" hidden="1" x14ac:dyDescent="0.3">
      <c r="A2017" s="13">
        <v>43980.708333333336</v>
      </c>
      <c r="B2017" s="12" t="s">
        <v>22</v>
      </c>
      <c r="C2017" s="303">
        <v>5</v>
      </c>
      <c r="D2017" s="12" t="s">
        <v>61</v>
      </c>
      <c r="E2017" s="303">
        <v>4543490485</v>
      </c>
      <c r="F2017" s="303">
        <v>1233845213</v>
      </c>
      <c r="G2017" s="303">
        <v>137</v>
      </c>
      <c r="H2017" s="303">
        <v>7</v>
      </c>
      <c r="I2017" s="303">
        <v>144</v>
      </c>
      <c r="J2017" s="303">
        <v>1705</v>
      </c>
      <c r="K2017" s="303">
        <v>1849</v>
      </c>
      <c r="L2017" s="303">
        <v>-176</v>
      </c>
      <c r="M2017" s="303">
        <v>9</v>
      </c>
      <c r="N2017" s="303">
        <v>15379</v>
      </c>
      <c r="O2017" s="303">
        <v>1906</v>
      </c>
      <c r="P2017" s="303">
        <v>19134</v>
      </c>
      <c r="Q2017" s="303">
        <v>645049</v>
      </c>
      <c r="R2017" s="12" t="s">
        <v>5204</v>
      </c>
      <c r="S2017" s="12" t="s">
        <v>25</v>
      </c>
      <c r="T2017" s="12" t="s">
        <v>25</v>
      </c>
    </row>
    <row r="2018" spans="1:20" hidden="1" x14ac:dyDescent="0.3">
      <c r="A2018" s="13">
        <v>43981.708333333336</v>
      </c>
      <c r="B2018" s="12" t="s">
        <v>22</v>
      </c>
      <c r="C2018" s="303">
        <v>13</v>
      </c>
      <c r="D2018" s="12" t="s">
        <v>42</v>
      </c>
      <c r="E2018" s="303">
        <v>4235122196</v>
      </c>
      <c r="F2018" s="303">
        <v>1339843823</v>
      </c>
      <c r="G2018" s="303">
        <v>122</v>
      </c>
      <c r="H2018" s="303">
        <v>3</v>
      </c>
      <c r="I2018" s="303">
        <v>125</v>
      </c>
      <c r="J2018" s="303">
        <v>645</v>
      </c>
      <c r="K2018" s="303">
        <v>770</v>
      </c>
      <c r="L2018" s="303">
        <v>0</v>
      </c>
      <c r="M2018" s="303">
        <v>0</v>
      </c>
      <c r="N2018" s="303">
        <v>2063</v>
      </c>
      <c r="O2018" s="303">
        <v>404</v>
      </c>
      <c r="P2018" s="303">
        <v>3237</v>
      </c>
      <c r="Q2018" s="303">
        <v>73301</v>
      </c>
      <c r="R2018" s="12" t="s">
        <v>5182</v>
      </c>
      <c r="S2018" s="12" t="s">
        <v>5205</v>
      </c>
      <c r="T2018" s="12" t="s">
        <v>5206</v>
      </c>
    </row>
    <row r="2019" spans="1:20" hidden="1" x14ac:dyDescent="0.3">
      <c r="A2019" s="13">
        <v>43981.708333333336</v>
      </c>
      <c r="B2019" s="12" t="s">
        <v>22</v>
      </c>
      <c r="C2019" s="303">
        <v>17</v>
      </c>
      <c r="D2019" s="12" t="s">
        <v>43</v>
      </c>
      <c r="E2019" s="303">
        <v>4063947052</v>
      </c>
      <c r="F2019" s="303">
        <v>1580514834</v>
      </c>
      <c r="G2019" s="303">
        <v>5</v>
      </c>
      <c r="H2019" s="303">
        <v>0</v>
      </c>
      <c r="I2019" s="303">
        <v>5</v>
      </c>
      <c r="J2019" s="303">
        <v>26</v>
      </c>
      <c r="K2019" s="303">
        <v>31</v>
      </c>
      <c r="L2019" s="303">
        <v>-2</v>
      </c>
      <c r="M2019" s="303">
        <v>0</v>
      </c>
      <c r="N2019" s="303">
        <v>341</v>
      </c>
      <c r="O2019" s="303">
        <v>27</v>
      </c>
      <c r="P2019" s="303">
        <v>399</v>
      </c>
      <c r="Q2019" s="303">
        <v>29421</v>
      </c>
      <c r="R2019" s="12" t="s">
        <v>5207</v>
      </c>
      <c r="S2019" s="12" t="s">
        <v>25</v>
      </c>
      <c r="T2019" s="12" t="s">
        <v>25</v>
      </c>
    </row>
    <row r="2020" spans="1:20" hidden="1" x14ac:dyDescent="0.3">
      <c r="A2020" s="13">
        <v>43981.708333333336</v>
      </c>
      <c r="B2020" s="12" t="s">
        <v>22</v>
      </c>
      <c r="C2020" s="303">
        <v>21</v>
      </c>
      <c r="D2020" s="12" t="s">
        <v>44</v>
      </c>
      <c r="E2020" s="303">
        <v>4649933453</v>
      </c>
      <c r="F2020" s="303">
        <v>1135662422</v>
      </c>
      <c r="G2020" s="303">
        <v>13</v>
      </c>
      <c r="H2020" s="303">
        <v>4</v>
      </c>
      <c r="I2020" s="303">
        <v>17</v>
      </c>
      <c r="J2020" s="303">
        <v>120</v>
      </c>
      <c r="K2020" s="303">
        <v>137</v>
      </c>
      <c r="L2020" s="303">
        <v>-17</v>
      </c>
      <c r="M2020" s="303">
        <v>1</v>
      </c>
      <c r="N2020" s="303">
        <v>2168</v>
      </c>
      <c r="O2020" s="303">
        <v>291</v>
      </c>
      <c r="P2020" s="303">
        <v>2596</v>
      </c>
      <c r="Q2020" s="303">
        <v>65405</v>
      </c>
      <c r="R2020" s="12" t="s">
        <v>5208</v>
      </c>
      <c r="S2020" s="12" t="s">
        <v>25</v>
      </c>
      <c r="T2020" s="12" t="s">
        <v>25</v>
      </c>
    </row>
    <row r="2021" spans="1:20" hidden="1" x14ac:dyDescent="0.3">
      <c r="A2021" s="13">
        <v>43981.708333333336</v>
      </c>
      <c r="B2021" s="12" t="s">
        <v>22</v>
      </c>
      <c r="C2021" s="303">
        <v>18</v>
      </c>
      <c r="D2021" s="12" t="s">
        <v>45</v>
      </c>
      <c r="E2021" s="303">
        <v>3890597598</v>
      </c>
      <c r="F2021" s="303">
        <v>1659440194</v>
      </c>
      <c r="G2021" s="303">
        <v>23</v>
      </c>
      <c r="H2021" s="303">
        <v>1</v>
      </c>
      <c r="I2021" s="303">
        <v>24</v>
      </c>
      <c r="J2021" s="303">
        <v>127</v>
      </c>
      <c r="K2021" s="303">
        <v>151</v>
      </c>
      <c r="L2021" s="303">
        <v>-8</v>
      </c>
      <c r="M2021" s="303">
        <v>0</v>
      </c>
      <c r="N2021" s="303">
        <v>910</v>
      </c>
      <c r="O2021" s="303">
        <v>97</v>
      </c>
      <c r="P2021" s="303">
        <v>1158</v>
      </c>
      <c r="Q2021" s="303">
        <v>69334</v>
      </c>
      <c r="R2021" s="12" t="s">
        <v>5209</v>
      </c>
      <c r="S2021" s="12" t="s">
        <v>25</v>
      </c>
      <c r="T2021" s="12" t="s">
        <v>25</v>
      </c>
    </row>
    <row r="2022" spans="1:20" hidden="1" x14ac:dyDescent="0.3">
      <c r="A2022" s="13">
        <v>43981.708333333336</v>
      </c>
      <c r="B2022" s="12" t="s">
        <v>22</v>
      </c>
      <c r="C2022" s="303">
        <v>15</v>
      </c>
      <c r="D2022" s="12" t="s">
        <v>46</v>
      </c>
      <c r="E2022" s="303">
        <v>4083956555</v>
      </c>
      <c r="F2022" s="303">
        <v>1425084984</v>
      </c>
      <c r="G2022" s="303">
        <v>236</v>
      </c>
      <c r="H2022" s="303">
        <v>7</v>
      </c>
      <c r="I2022" s="303">
        <v>243</v>
      </c>
      <c r="J2022" s="303">
        <v>738</v>
      </c>
      <c r="K2022" s="303">
        <v>981</v>
      </c>
      <c r="L2022" s="303">
        <v>-5</v>
      </c>
      <c r="M2022" s="303">
        <v>10</v>
      </c>
      <c r="N2022" s="303">
        <v>3405</v>
      </c>
      <c r="O2022" s="303">
        <v>411</v>
      </c>
      <c r="P2022" s="303">
        <v>4797</v>
      </c>
      <c r="Q2022" s="303">
        <v>198033</v>
      </c>
      <c r="R2022" s="12" t="s">
        <v>5210</v>
      </c>
      <c r="S2022" s="12" t="s">
        <v>25</v>
      </c>
      <c r="T2022" s="12" t="s">
        <v>25</v>
      </c>
    </row>
    <row r="2023" spans="1:20" hidden="1" x14ac:dyDescent="0.3">
      <c r="A2023" s="13">
        <v>43981.708333333336</v>
      </c>
      <c r="B2023" s="12" t="s">
        <v>22</v>
      </c>
      <c r="C2023" s="303">
        <v>8</v>
      </c>
      <c r="D2023" s="12" t="s">
        <v>95</v>
      </c>
      <c r="E2023" s="303">
        <v>4449436681</v>
      </c>
      <c r="F2023" s="303">
        <v>113417208</v>
      </c>
      <c r="G2023" s="303">
        <v>398</v>
      </c>
      <c r="H2023" s="303">
        <v>65</v>
      </c>
      <c r="I2023" s="303">
        <v>463</v>
      </c>
      <c r="J2023" s="303">
        <v>2816</v>
      </c>
      <c r="K2023" s="303">
        <v>3279</v>
      </c>
      <c r="L2023" s="303">
        <v>-285</v>
      </c>
      <c r="M2023" s="303">
        <v>20</v>
      </c>
      <c r="N2023" s="303">
        <v>20373</v>
      </c>
      <c r="O2023" s="303">
        <v>4107</v>
      </c>
      <c r="P2023" s="303">
        <v>27759</v>
      </c>
      <c r="Q2023" s="303">
        <v>321373</v>
      </c>
      <c r="R2023" s="12" t="s">
        <v>5211</v>
      </c>
      <c r="S2023" s="12" t="s">
        <v>25</v>
      </c>
      <c r="T2023" s="12" t="s">
        <v>25</v>
      </c>
    </row>
    <row r="2024" spans="1:20" hidden="1" x14ac:dyDescent="0.3">
      <c r="A2024" s="13">
        <v>43981.708333333336</v>
      </c>
      <c r="B2024" s="12" t="s">
        <v>22</v>
      </c>
      <c r="C2024" s="303">
        <v>6</v>
      </c>
      <c r="D2024" s="12" t="s">
        <v>47</v>
      </c>
      <c r="E2024" s="303">
        <v>456494354</v>
      </c>
      <c r="F2024" s="303">
        <v>1376813649</v>
      </c>
      <c r="G2024" s="303">
        <v>45</v>
      </c>
      <c r="H2024" s="303">
        <v>1</v>
      </c>
      <c r="I2024" s="303">
        <v>46</v>
      </c>
      <c r="J2024" s="303">
        <v>259</v>
      </c>
      <c r="K2024" s="303">
        <v>305</v>
      </c>
      <c r="L2024" s="303">
        <v>-18</v>
      </c>
      <c r="M2024" s="303">
        <v>4</v>
      </c>
      <c r="N2024" s="303">
        <v>2633</v>
      </c>
      <c r="O2024" s="303">
        <v>333</v>
      </c>
      <c r="P2024" s="303">
        <v>3271</v>
      </c>
      <c r="Q2024" s="303">
        <v>131976</v>
      </c>
      <c r="R2024" s="12" t="s">
        <v>5212</v>
      </c>
      <c r="S2024" s="12" t="s">
        <v>25</v>
      </c>
      <c r="T2024" s="12" t="s">
        <v>25</v>
      </c>
    </row>
    <row r="2025" spans="1:20" hidden="1" x14ac:dyDescent="0.3">
      <c r="A2025" s="13">
        <v>43981.708333333336</v>
      </c>
      <c r="B2025" s="12" t="s">
        <v>22</v>
      </c>
      <c r="C2025" s="303">
        <v>12</v>
      </c>
      <c r="D2025" s="12" t="s">
        <v>48</v>
      </c>
      <c r="E2025" s="303">
        <v>4189277044</v>
      </c>
      <c r="F2025" s="303">
        <v>1248366722</v>
      </c>
      <c r="G2025" s="303">
        <v>769</v>
      </c>
      <c r="H2025" s="303">
        <v>58</v>
      </c>
      <c r="I2025" s="303">
        <v>827</v>
      </c>
      <c r="J2025" s="303">
        <v>2228</v>
      </c>
      <c r="K2025" s="303">
        <v>3055</v>
      </c>
      <c r="L2025" s="303">
        <v>-108</v>
      </c>
      <c r="M2025" s="303">
        <v>6</v>
      </c>
      <c r="N2025" s="303">
        <v>3932</v>
      </c>
      <c r="O2025" s="303">
        <v>728</v>
      </c>
      <c r="P2025" s="303">
        <v>7715</v>
      </c>
      <c r="Q2025" s="303">
        <v>253388</v>
      </c>
      <c r="R2025" s="12" t="s">
        <v>5213</v>
      </c>
      <c r="S2025" s="12" t="s">
        <v>25</v>
      </c>
      <c r="T2025" s="12" t="s">
        <v>25</v>
      </c>
    </row>
    <row r="2026" spans="1:20" x14ac:dyDescent="0.3">
      <c r="A2026" s="13">
        <v>43981.708333333336</v>
      </c>
      <c r="B2026" s="12" t="s">
        <v>22</v>
      </c>
      <c r="C2026" s="303">
        <v>7</v>
      </c>
      <c r="D2026" s="12" t="s">
        <v>49</v>
      </c>
      <c r="E2026" s="303">
        <v>4441149315</v>
      </c>
      <c r="F2026" s="303">
        <v>89326992</v>
      </c>
      <c r="G2026" s="303">
        <v>186</v>
      </c>
      <c r="H2026" s="303">
        <v>9</v>
      </c>
      <c r="I2026" s="303">
        <v>195</v>
      </c>
      <c r="J2026" s="303">
        <v>586</v>
      </c>
      <c r="K2026" s="303">
        <v>781</v>
      </c>
      <c r="L2026" s="303">
        <v>-213</v>
      </c>
      <c r="M2026" s="303">
        <v>32</v>
      </c>
      <c r="N2026" s="303">
        <v>7411</v>
      </c>
      <c r="O2026" s="303">
        <v>1459</v>
      </c>
      <c r="P2026" s="303">
        <v>9651</v>
      </c>
      <c r="Q2026" s="303">
        <v>104892</v>
      </c>
      <c r="R2026" s="12" t="s">
        <v>5214</v>
      </c>
      <c r="S2026" s="12" t="s">
        <v>25</v>
      </c>
      <c r="T2026" s="12" t="s">
        <v>25</v>
      </c>
    </row>
    <row r="2027" spans="1:20" hidden="1" x14ac:dyDescent="0.3">
      <c r="A2027" s="13">
        <v>43981.708333333336</v>
      </c>
      <c r="B2027" s="12" t="s">
        <v>22</v>
      </c>
      <c r="C2027" s="303">
        <v>3</v>
      </c>
      <c r="D2027" s="12" t="s">
        <v>50</v>
      </c>
      <c r="E2027" s="303">
        <v>4546679409</v>
      </c>
      <c r="F2027" s="303">
        <v>9190347404</v>
      </c>
      <c r="G2027" s="303">
        <v>3307</v>
      </c>
      <c r="H2027" s="303">
        <v>172</v>
      </c>
      <c r="I2027" s="303">
        <v>3479</v>
      </c>
      <c r="J2027" s="303">
        <v>18330</v>
      </c>
      <c r="K2027" s="303">
        <v>21809</v>
      </c>
      <c r="L2027" s="303">
        <v>-874</v>
      </c>
      <c r="M2027" s="303">
        <v>221</v>
      </c>
      <c r="N2027" s="303">
        <v>50870</v>
      </c>
      <c r="O2027" s="303">
        <v>16079</v>
      </c>
      <c r="P2027" s="303">
        <v>88758</v>
      </c>
      <c r="Q2027" s="303">
        <v>741447</v>
      </c>
      <c r="R2027" s="12" t="s">
        <v>5215</v>
      </c>
      <c r="S2027" s="12" t="s">
        <v>25</v>
      </c>
      <c r="T2027" s="12" t="s">
        <v>25</v>
      </c>
    </row>
    <row r="2028" spans="1:20" hidden="1" x14ac:dyDescent="0.3">
      <c r="A2028" s="13">
        <v>43981.708333333336</v>
      </c>
      <c r="B2028" s="12" t="s">
        <v>22</v>
      </c>
      <c r="C2028" s="303">
        <v>11</v>
      </c>
      <c r="D2028" s="12" t="s">
        <v>51</v>
      </c>
      <c r="E2028" s="303">
        <v>4361675973</v>
      </c>
      <c r="F2028" s="303">
        <v>135188753</v>
      </c>
      <c r="G2028" s="303">
        <v>66</v>
      </c>
      <c r="H2028" s="303">
        <v>9</v>
      </c>
      <c r="I2028" s="303">
        <v>75</v>
      </c>
      <c r="J2028" s="303">
        <v>1272</v>
      </c>
      <c r="K2028" s="303">
        <v>1347</v>
      </c>
      <c r="L2028" s="303">
        <v>-5</v>
      </c>
      <c r="M2028" s="303">
        <v>4</v>
      </c>
      <c r="N2028" s="303">
        <v>4393</v>
      </c>
      <c r="O2028" s="303">
        <v>987</v>
      </c>
      <c r="P2028" s="303">
        <v>6727</v>
      </c>
      <c r="Q2028" s="303">
        <v>102484</v>
      </c>
      <c r="R2028" s="12" t="s">
        <v>5216</v>
      </c>
      <c r="S2028" s="12" t="s">
        <v>25</v>
      </c>
      <c r="T2028" s="12" t="s">
        <v>25</v>
      </c>
    </row>
    <row r="2029" spans="1:20" hidden="1" x14ac:dyDescent="0.3">
      <c r="A2029" s="13">
        <v>43981.708333333336</v>
      </c>
      <c r="B2029" s="12" t="s">
        <v>22</v>
      </c>
      <c r="C2029" s="303">
        <v>14</v>
      </c>
      <c r="D2029" s="12" t="s">
        <v>52</v>
      </c>
      <c r="E2029" s="303">
        <v>4155774754</v>
      </c>
      <c r="F2029" s="303">
        <v>1465916051</v>
      </c>
      <c r="G2029" s="303">
        <v>3</v>
      </c>
      <c r="H2029" s="303">
        <v>2</v>
      </c>
      <c r="I2029" s="303">
        <v>5</v>
      </c>
      <c r="J2029" s="303">
        <v>151</v>
      </c>
      <c r="K2029" s="303">
        <v>156</v>
      </c>
      <c r="L2029" s="303">
        <v>-6</v>
      </c>
      <c r="M2029" s="303">
        <v>0</v>
      </c>
      <c r="N2029" s="303">
        <v>258</v>
      </c>
      <c r="O2029" s="303">
        <v>22</v>
      </c>
      <c r="P2029" s="303">
        <v>436</v>
      </c>
      <c r="Q2029" s="303">
        <v>14371</v>
      </c>
      <c r="R2029" s="12" t="s">
        <v>5217</v>
      </c>
      <c r="S2029" s="12" t="s">
        <v>25</v>
      </c>
      <c r="T2029" s="12" t="s">
        <v>25</v>
      </c>
    </row>
    <row r="2030" spans="1:20" hidden="1" x14ac:dyDescent="0.3">
      <c r="A2030" s="13">
        <v>43981.708333333336</v>
      </c>
      <c r="B2030" s="12" t="s">
        <v>22</v>
      </c>
      <c r="C2030" s="303">
        <v>1</v>
      </c>
      <c r="D2030" s="12" t="s">
        <v>53</v>
      </c>
      <c r="E2030" s="303">
        <v>450732745</v>
      </c>
      <c r="F2030" s="303">
        <v>7680687483</v>
      </c>
      <c r="G2030" s="303">
        <v>988</v>
      </c>
      <c r="H2030" s="303">
        <v>60</v>
      </c>
      <c r="I2030" s="303">
        <v>1048</v>
      </c>
      <c r="J2030" s="303">
        <v>4242</v>
      </c>
      <c r="K2030" s="303">
        <v>5290</v>
      </c>
      <c r="L2030" s="303">
        <v>-368</v>
      </c>
      <c r="M2030" s="303">
        <v>82</v>
      </c>
      <c r="N2030" s="303">
        <v>21435</v>
      </c>
      <c r="O2030" s="303">
        <v>3858</v>
      </c>
      <c r="P2030" s="303">
        <v>30583</v>
      </c>
      <c r="Q2030" s="303">
        <v>315828</v>
      </c>
      <c r="R2030" s="12" t="s">
        <v>5218</v>
      </c>
      <c r="S2030" s="12" t="s">
        <v>25</v>
      </c>
      <c r="T2030" s="12" t="s">
        <v>25</v>
      </c>
    </row>
    <row r="2031" spans="1:20" hidden="1" x14ac:dyDescent="0.3">
      <c r="A2031" s="13">
        <v>43981.708333333336</v>
      </c>
      <c r="B2031" s="12" t="s">
        <v>22</v>
      </c>
      <c r="C2031" s="303">
        <v>16</v>
      </c>
      <c r="D2031" s="12" t="s">
        <v>54</v>
      </c>
      <c r="E2031" s="303">
        <v>4112559576</v>
      </c>
      <c r="F2031" s="303">
        <v>1686736689</v>
      </c>
      <c r="G2031" s="303">
        <v>150</v>
      </c>
      <c r="H2031" s="303">
        <v>12</v>
      </c>
      <c r="I2031" s="303">
        <v>162</v>
      </c>
      <c r="J2031" s="303">
        <v>1060</v>
      </c>
      <c r="K2031" s="303">
        <v>1222</v>
      </c>
      <c r="L2031" s="303">
        <v>-61</v>
      </c>
      <c r="M2031" s="303">
        <v>8</v>
      </c>
      <c r="N2031" s="303">
        <v>2768</v>
      </c>
      <c r="O2031" s="303">
        <v>500</v>
      </c>
      <c r="P2031" s="303">
        <v>4490</v>
      </c>
      <c r="Q2031" s="303">
        <v>116765</v>
      </c>
      <c r="R2031" s="12" t="s">
        <v>5219</v>
      </c>
      <c r="S2031" s="12" t="s">
        <v>25</v>
      </c>
      <c r="T2031" s="12" t="s">
        <v>25</v>
      </c>
    </row>
    <row r="2032" spans="1:20" hidden="1" x14ac:dyDescent="0.3">
      <c r="A2032" s="13">
        <v>43981.708333333336</v>
      </c>
      <c r="B2032" s="12" t="s">
        <v>22</v>
      </c>
      <c r="C2032" s="303">
        <v>20</v>
      </c>
      <c r="D2032" s="12" t="s">
        <v>55</v>
      </c>
      <c r="E2032" s="303">
        <v>3921531192</v>
      </c>
      <c r="F2032" s="303">
        <v>9110616306</v>
      </c>
      <c r="G2032" s="303">
        <v>34</v>
      </c>
      <c r="H2032" s="303">
        <v>2</v>
      </c>
      <c r="I2032" s="303">
        <v>36</v>
      </c>
      <c r="J2032" s="303">
        <v>150</v>
      </c>
      <c r="K2032" s="303">
        <v>186</v>
      </c>
      <c r="L2032" s="303">
        <v>-4</v>
      </c>
      <c r="M2032" s="303">
        <v>0</v>
      </c>
      <c r="N2032" s="303">
        <v>1040</v>
      </c>
      <c r="O2032" s="303">
        <v>130</v>
      </c>
      <c r="P2032" s="303">
        <v>1356</v>
      </c>
      <c r="Q2032" s="303">
        <v>56580</v>
      </c>
      <c r="R2032" s="12" t="s">
        <v>5220</v>
      </c>
      <c r="S2032" s="12" t="s">
        <v>25</v>
      </c>
      <c r="T2032" s="12" t="s">
        <v>25</v>
      </c>
    </row>
    <row r="2033" spans="1:20" hidden="1" x14ac:dyDescent="0.3">
      <c r="A2033" s="13">
        <v>43981.708333333336</v>
      </c>
      <c r="B2033" s="12" t="s">
        <v>22</v>
      </c>
      <c r="C2033" s="303">
        <v>19</v>
      </c>
      <c r="D2033" s="12" t="s">
        <v>56</v>
      </c>
      <c r="E2033" s="303">
        <v>3811569725</v>
      </c>
      <c r="F2033" s="303">
        <v>133623567</v>
      </c>
      <c r="G2033" s="303">
        <v>67</v>
      </c>
      <c r="H2033" s="303">
        <v>7</v>
      </c>
      <c r="I2033" s="303">
        <v>74</v>
      </c>
      <c r="J2033" s="303">
        <v>925</v>
      </c>
      <c r="K2033" s="303">
        <v>999</v>
      </c>
      <c r="L2033" s="303">
        <v>-138</v>
      </c>
      <c r="M2033" s="303">
        <v>2</v>
      </c>
      <c r="N2033" s="303">
        <v>2170</v>
      </c>
      <c r="O2033" s="303">
        <v>273</v>
      </c>
      <c r="P2033" s="303">
        <v>3442</v>
      </c>
      <c r="Q2033" s="303">
        <v>148871</v>
      </c>
      <c r="R2033" s="12" t="s">
        <v>5221</v>
      </c>
      <c r="S2033" s="12" t="s">
        <v>25</v>
      </c>
      <c r="T2033" s="12" t="s">
        <v>25</v>
      </c>
    </row>
    <row r="2034" spans="1:20" hidden="1" x14ac:dyDescent="0.3">
      <c r="A2034" s="13">
        <v>43981.708333333336</v>
      </c>
      <c r="B2034" s="12" t="s">
        <v>22</v>
      </c>
      <c r="C2034" s="303">
        <v>9</v>
      </c>
      <c r="D2034" s="12" t="s">
        <v>57</v>
      </c>
      <c r="E2034" s="303">
        <v>4376923077</v>
      </c>
      <c r="F2034" s="303">
        <v>1125588885</v>
      </c>
      <c r="G2034" s="303">
        <v>106</v>
      </c>
      <c r="H2034" s="303">
        <v>27</v>
      </c>
      <c r="I2034" s="303">
        <v>133</v>
      </c>
      <c r="J2034" s="303">
        <v>1033</v>
      </c>
      <c r="K2034" s="303">
        <v>1166</v>
      </c>
      <c r="L2034" s="303">
        <v>-89</v>
      </c>
      <c r="M2034" s="303">
        <v>12</v>
      </c>
      <c r="N2034" s="303">
        <v>7897</v>
      </c>
      <c r="O2034" s="303">
        <v>1037</v>
      </c>
      <c r="P2034" s="303">
        <v>10100</v>
      </c>
      <c r="Q2034" s="303">
        <v>249441</v>
      </c>
      <c r="R2034" s="12" t="s">
        <v>5222</v>
      </c>
      <c r="S2034" s="12" t="s">
        <v>25</v>
      </c>
      <c r="T2034" s="12" t="s">
        <v>25</v>
      </c>
    </row>
    <row r="2035" spans="1:20" hidden="1" x14ac:dyDescent="0.3">
      <c r="A2035" s="13">
        <v>43981.708333333336</v>
      </c>
      <c r="B2035" s="12" t="s">
        <v>22</v>
      </c>
      <c r="C2035" s="303">
        <v>22</v>
      </c>
      <c r="D2035" s="12" t="s">
        <v>58</v>
      </c>
      <c r="E2035" s="303">
        <v>4606893511</v>
      </c>
      <c r="F2035" s="303">
        <v>1112123097</v>
      </c>
      <c r="G2035" s="303">
        <v>13</v>
      </c>
      <c r="H2035" s="303">
        <v>3</v>
      </c>
      <c r="I2035" s="303">
        <v>16</v>
      </c>
      <c r="J2035" s="303">
        <v>350</v>
      </c>
      <c r="K2035" s="303">
        <v>366</v>
      </c>
      <c r="L2035" s="303">
        <v>-44</v>
      </c>
      <c r="M2035" s="303">
        <v>1</v>
      </c>
      <c r="N2035" s="303">
        <v>3601</v>
      </c>
      <c r="O2035" s="303">
        <v>462</v>
      </c>
      <c r="P2035" s="303">
        <v>4429</v>
      </c>
      <c r="Q2035" s="303">
        <v>86565</v>
      </c>
      <c r="R2035" s="12" t="s">
        <v>5223</v>
      </c>
      <c r="S2035" s="12" t="s">
        <v>25</v>
      </c>
      <c r="T2035" s="12" t="s">
        <v>25</v>
      </c>
    </row>
    <row r="2036" spans="1:20" hidden="1" x14ac:dyDescent="0.3">
      <c r="A2036" s="13">
        <v>43981.708333333336</v>
      </c>
      <c r="B2036" s="12" t="s">
        <v>22</v>
      </c>
      <c r="C2036" s="303">
        <v>10</v>
      </c>
      <c r="D2036" s="12" t="s">
        <v>59</v>
      </c>
      <c r="E2036" s="303">
        <v>4310675841</v>
      </c>
      <c r="F2036" s="303">
        <v>1238824698</v>
      </c>
      <c r="G2036" s="303">
        <v>16</v>
      </c>
      <c r="H2036" s="303">
        <v>1</v>
      </c>
      <c r="I2036" s="303">
        <v>17</v>
      </c>
      <c r="J2036" s="303">
        <v>14</v>
      </c>
      <c r="K2036" s="303">
        <v>31</v>
      </c>
      <c r="L2036" s="303">
        <v>0</v>
      </c>
      <c r="M2036" s="303">
        <v>0</v>
      </c>
      <c r="N2036" s="303">
        <v>1324</v>
      </c>
      <c r="O2036" s="303">
        <v>76</v>
      </c>
      <c r="P2036" s="303">
        <v>1431</v>
      </c>
      <c r="Q2036" s="303">
        <v>70023</v>
      </c>
      <c r="R2036" s="12" t="s">
        <v>5224</v>
      </c>
      <c r="S2036" s="12" t="s">
        <v>25</v>
      </c>
      <c r="T2036" s="12" t="s">
        <v>25</v>
      </c>
    </row>
    <row r="2037" spans="1:20" hidden="1" x14ac:dyDescent="0.3">
      <c r="A2037" s="13">
        <v>43981.708333333336</v>
      </c>
      <c r="B2037" s="12" t="s">
        <v>22</v>
      </c>
      <c r="C2037" s="303">
        <v>2</v>
      </c>
      <c r="D2037" s="12" t="s">
        <v>60</v>
      </c>
      <c r="E2037" s="303">
        <v>4573750286</v>
      </c>
      <c r="F2037" s="303">
        <v>7320149366</v>
      </c>
      <c r="G2037" s="303">
        <v>13</v>
      </c>
      <c r="H2037" s="303">
        <v>0</v>
      </c>
      <c r="I2037" s="303">
        <v>13</v>
      </c>
      <c r="J2037" s="303">
        <v>4</v>
      </c>
      <c r="K2037" s="303">
        <v>17</v>
      </c>
      <c r="L2037" s="303">
        <v>-2</v>
      </c>
      <c r="M2037" s="303">
        <v>1</v>
      </c>
      <c r="N2037" s="303">
        <v>1023</v>
      </c>
      <c r="O2037" s="303">
        <v>143</v>
      </c>
      <c r="P2037" s="303">
        <v>1183</v>
      </c>
      <c r="Q2037" s="303">
        <v>14972</v>
      </c>
      <c r="R2037" s="12" t="s">
        <v>5225</v>
      </c>
      <c r="S2037" s="12" t="s">
        <v>25</v>
      </c>
      <c r="T2037" s="12" t="s">
        <v>25</v>
      </c>
    </row>
    <row r="2038" spans="1:20" hidden="1" x14ac:dyDescent="0.3">
      <c r="A2038" s="13">
        <v>43981.708333333336</v>
      </c>
      <c r="B2038" s="12" t="s">
        <v>22</v>
      </c>
      <c r="C2038" s="303">
        <v>5</v>
      </c>
      <c r="D2038" s="12" t="s">
        <v>61</v>
      </c>
      <c r="E2038" s="303">
        <v>4543490485</v>
      </c>
      <c r="F2038" s="303">
        <v>1233845213</v>
      </c>
      <c r="G2038" s="303">
        <v>120</v>
      </c>
      <c r="H2038" s="303">
        <v>7</v>
      </c>
      <c r="I2038" s="303">
        <v>127</v>
      </c>
      <c r="J2038" s="303">
        <v>1485</v>
      </c>
      <c r="K2038" s="303">
        <v>1612</v>
      </c>
      <c r="L2038" s="303">
        <v>-237</v>
      </c>
      <c r="M2038" s="303">
        <v>12</v>
      </c>
      <c r="N2038" s="303">
        <v>15618</v>
      </c>
      <c r="O2038" s="303">
        <v>1916</v>
      </c>
      <c r="P2038" s="303">
        <v>19146</v>
      </c>
      <c r="Q2038" s="303">
        <v>660151</v>
      </c>
      <c r="R2038" s="12" t="s">
        <v>5226</v>
      </c>
      <c r="S2038" s="12" t="s">
        <v>25</v>
      </c>
      <c r="T2038" s="12" t="s">
        <v>25</v>
      </c>
    </row>
    <row r="2039" spans="1:20" hidden="1" x14ac:dyDescent="0.3">
      <c r="A2039" s="13">
        <v>43982.708333333336</v>
      </c>
      <c r="B2039" s="12" t="s">
        <v>22</v>
      </c>
      <c r="C2039" s="303">
        <v>13</v>
      </c>
      <c r="D2039" s="12" t="s">
        <v>42</v>
      </c>
      <c r="E2039" s="303">
        <v>4235122196</v>
      </c>
      <c r="F2039" s="303">
        <v>1339843823</v>
      </c>
      <c r="G2039" s="303">
        <v>104</v>
      </c>
      <c r="H2039" s="303">
        <v>4</v>
      </c>
      <c r="I2039" s="303">
        <v>108</v>
      </c>
      <c r="J2039" s="303">
        <v>667</v>
      </c>
      <c r="K2039" s="303">
        <v>775</v>
      </c>
      <c r="L2039" s="303">
        <v>5</v>
      </c>
      <c r="M2039" s="303">
        <v>7</v>
      </c>
      <c r="N2039" s="303">
        <v>2064</v>
      </c>
      <c r="O2039" s="303">
        <v>405</v>
      </c>
      <c r="P2039" s="303">
        <v>3244</v>
      </c>
      <c r="Q2039" s="303">
        <v>75652</v>
      </c>
      <c r="R2039" s="12" t="s">
        <v>5227</v>
      </c>
      <c r="S2039" s="12" t="s">
        <v>5228</v>
      </c>
      <c r="T2039" s="12" t="s">
        <v>5229</v>
      </c>
    </row>
    <row r="2040" spans="1:20" hidden="1" x14ac:dyDescent="0.3">
      <c r="A2040" s="13">
        <v>43982.708333333336</v>
      </c>
      <c r="B2040" s="12" t="s">
        <v>22</v>
      </c>
      <c r="C2040" s="303">
        <v>17</v>
      </c>
      <c r="D2040" s="12" t="s">
        <v>43</v>
      </c>
      <c r="E2040" s="303">
        <v>4063947052</v>
      </c>
      <c r="F2040" s="303">
        <v>1580514834</v>
      </c>
      <c r="G2040" s="303">
        <v>4</v>
      </c>
      <c r="H2040" s="303">
        <v>0</v>
      </c>
      <c r="I2040" s="303">
        <v>4</v>
      </c>
      <c r="J2040" s="303">
        <v>25</v>
      </c>
      <c r="K2040" s="303">
        <v>29</v>
      </c>
      <c r="L2040" s="303">
        <v>-2</v>
      </c>
      <c r="M2040" s="303">
        <v>0</v>
      </c>
      <c r="N2040" s="303">
        <v>343</v>
      </c>
      <c r="O2040" s="303">
        <v>27</v>
      </c>
      <c r="P2040" s="303">
        <v>399</v>
      </c>
      <c r="Q2040" s="303">
        <v>29880</v>
      </c>
      <c r="R2040" s="12" t="s">
        <v>5230</v>
      </c>
      <c r="S2040" s="12" t="s">
        <v>25</v>
      </c>
      <c r="T2040" s="12" t="s">
        <v>25</v>
      </c>
    </row>
    <row r="2041" spans="1:20" hidden="1" x14ac:dyDescent="0.3">
      <c r="A2041" s="13">
        <v>43982.708333333336</v>
      </c>
      <c r="B2041" s="12" t="s">
        <v>22</v>
      </c>
      <c r="C2041" s="303">
        <v>21</v>
      </c>
      <c r="D2041" s="12" t="s">
        <v>44</v>
      </c>
      <c r="E2041" s="303">
        <v>4649933453</v>
      </c>
      <c r="F2041" s="303">
        <v>1135662422</v>
      </c>
      <c r="G2041" s="303">
        <v>13</v>
      </c>
      <c r="H2041" s="303">
        <v>4</v>
      </c>
      <c r="I2041" s="303">
        <v>17</v>
      </c>
      <c r="J2041" s="303">
        <v>110</v>
      </c>
      <c r="K2041" s="303">
        <v>127</v>
      </c>
      <c r="L2041" s="303">
        <v>-10</v>
      </c>
      <c r="M2041" s="303">
        <v>1</v>
      </c>
      <c r="N2041" s="303">
        <v>2179</v>
      </c>
      <c r="O2041" s="303">
        <v>291</v>
      </c>
      <c r="P2041" s="303">
        <v>2597</v>
      </c>
      <c r="Q2041" s="303">
        <v>66247</v>
      </c>
      <c r="R2041" s="12" t="s">
        <v>5231</v>
      </c>
      <c r="S2041" s="12" t="s">
        <v>25</v>
      </c>
      <c r="T2041" s="12" t="s">
        <v>25</v>
      </c>
    </row>
    <row r="2042" spans="1:20" hidden="1" x14ac:dyDescent="0.3">
      <c r="A2042" s="13">
        <v>43982.708333333336</v>
      </c>
      <c r="B2042" s="12" t="s">
        <v>22</v>
      </c>
      <c r="C2042" s="303">
        <v>18</v>
      </c>
      <c r="D2042" s="12" t="s">
        <v>45</v>
      </c>
      <c r="E2042" s="303">
        <v>3890597598</v>
      </c>
      <c r="F2042" s="303">
        <v>1659440194</v>
      </c>
      <c r="G2042" s="303">
        <v>22</v>
      </c>
      <c r="H2042" s="303">
        <v>1</v>
      </c>
      <c r="I2042" s="303">
        <v>23</v>
      </c>
      <c r="J2042" s="303">
        <v>121</v>
      </c>
      <c r="K2042" s="303">
        <v>144</v>
      </c>
      <c r="L2042" s="303">
        <v>-7</v>
      </c>
      <c r="M2042" s="303">
        <v>0</v>
      </c>
      <c r="N2042" s="303">
        <v>917</v>
      </c>
      <c r="O2042" s="303">
        <v>97</v>
      </c>
      <c r="P2042" s="303">
        <v>1158</v>
      </c>
      <c r="Q2042" s="303">
        <v>70274</v>
      </c>
      <c r="R2042" s="12" t="s">
        <v>5232</v>
      </c>
      <c r="S2042" s="12" t="s">
        <v>25</v>
      </c>
      <c r="T2042" s="12" t="s">
        <v>25</v>
      </c>
    </row>
    <row r="2043" spans="1:20" hidden="1" x14ac:dyDescent="0.3">
      <c r="A2043" s="13">
        <v>43982.708333333336</v>
      </c>
      <c r="B2043" s="12" t="s">
        <v>22</v>
      </c>
      <c r="C2043" s="303">
        <v>15</v>
      </c>
      <c r="D2043" s="12" t="s">
        <v>46</v>
      </c>
      <c r="E2043" s="303">
        <v>4083956555</v>
      </c>
      <c r="F2043" s="303">
        <v>1425084984</v>
      </c>
      <c r="G2043" s="303">
        <v>227</v>
      </c>
      <c r="H2043" s="303">
        <v>5</v>
      </c>
      <c r="I2043" s="303">
        <v>232</v>
      </c>
      <c r="J2043" s="303">
        <v>748</v>
      </c>
      <c r="K2043" s="303">
        <v>980</v>
      </c>
      <c r="L2043" s="303">
        <v>-1</v>
      </c>
      <c r="M2043" s="303">
        <v>5</v>
      </c>
      <c r="N2043" s="303">
        <v>3410</v>
      </c>
      <c r="O2043" s="303">
        <v>412</v>
      </c>
      <c r="P2043" s="303">
        <v>4802</v>
      </c>
      <c r="Q2043" s="303">
        <v>201543</v>
      </c>
      <c r="R2043" s="12" t="s">
        <v>5233</v>
      </c>
      <c r="S2043" s="12" t="s">
        <v>25</v>
      </c>
      <c r="T2043" s="12" t="s">
        <v>25</v>
      </c>
    </row>
    <row r="2044" spans="1:20" hidden="1" x14ac:dyDescent="0.3">
      <c r="A2044" s="13">
        <v>43982.708333333336</v>
      </c>
      <c r="B2044" s="12" t="s">
        <v>22</v>
      </c>
      <c r="C2044" s="303">
        <v>8</v>
      </c>
      <c r="D2044" s="12" t="s">
        <v>95</v>
      </c>
      <c r="E2044" s="303">
        <v>4449436681</v>
      </c>
      <c r="F2044" s="303">
        <v>113417208</v>
      </c>
      <c r="G2044" s="303">
        <v>393</v>
      </c>
      <c r="H2044" s="303">
        <v>57</v>
      </c>
      <c r="I2044" s="303">
        <v>450</v>
      </c>
      <c r="J2044" s="303">
        <v>2713</v>
      </c>
      <c r="K2044" s="303">
        <v>3163</v>
      </c>
      <c r="L2044" s="303">
        <v>-116</v>
      </c>
      <c r="M2044" s="303">
        <v>31</v>
      </c>
      <c r="N2044" s="303">
        <v>20513</v>
      </c>
      <c r="O2044" s="303">
        <v>4114</v>
      </c>
      <c r="P2044" s="303">
        <v>27790</v>
      </c>
      <c r="Q2044" s="303">
        <v>325482</v>
      </c>
      <c r="R2044" s="12" t="s">
        <v>5234</v>
      </c>
      <c r="S2044" s="12" t="s">
        <v>25</v>
      </c>
      <c r="T2044" s="12" t="s">
        <v>25</v>
      </c>
    </row>
    <row r="2045" spans="1:20" hidden="1" x14ac:dyDescent="0.3">
      <c r="A2045" s="13">
        <v>43982.708333333336</v>
      </c>
      <c r="B2045" s="12" t="s">
        <v>22</v>
      </c>
      <c r="C2045" s="303">
        <v>6</v>
      </c>
      <c r="D2045" s="12" t="s">
        <v>47</v>
      </c>
      <c r="E2045" s="303">
        <v>456494354</v>
      </c>
      <c r="F2045" s="303">
        <v>1376813649</v>
      </c>
      <c r="G2045" s="303">
        <v>41</v>
      </c>
      <c r="H2045" s="303">
        <v>1</v>
      </c>
      <c r="I2045" s="303">
        <v>42</v>
      </c>
      <c r="J2045" s="303">
        <v>236</v>
      </c>
      <c r="K2045" s="303">
        <v>278</v>
      </c>
      <c r="L2045" s="303">
        <v>-27</v>
      </c>
      <c r="M2045" s="303">
        <v>2</v>
      </c>
      <c r="N2045" s="303">
        <v>2662</v>
      </c>
      <c r="O2045" s="303">
        <v>333</v>
      </c>
      <c r="P2045" s="303">
        <v>3273</v>
      </c>
      <c r="Q2045" s="303">
        <v>134378</v>
      </c>
      <c r="R2045" s="12" t="s">
        <v>5235</v>
      </c>
      <c r="S2045" s="12" t="s">
        <v>25</v>
      </c>
      <c r="T2045" s="12" t="s">
        <v>25</v>
      </c>
    </row>
    <row r="2046" spans="1:20" hidden="1" x14ac:dyDescent="0.3">
      <c r="A2046" s="13">
        <v>43982.708333333336</v>
      </c>
      <c r="B2046" s="12" t="s">
        <v>22</v>
      </c>
      <c r="C2046" s="303">
        <v>12</v>
      </c>
      <c r="D2046" s="12" t="s">
        <v>48</v>
      </c>
      <c r="E2046" s="303">
        <v>4189277044</v>
      </c>
      <c r="F2046" s="303">
        <v>1248366722</v>
      </c>
      <c r="G2046" s="303">
        <v>730</v>
      </c>
      <c r="H2046" s="303">
        <v>57</v>
      </c>
      <c r="I2046" s="303">
        <v>787</v>
      </c>
      <c r="J2046" s="303">
        <v>2196</v>
      </c>
      <c r="K2046" s="303">
        <v>2983</v>
      </c>
      <c r="L2046" s="303">
        <v>-72</v>
      </c>
      <c r="M2046" s="303">
        <v>13</v>
      </c>
      <c r="N2046" s="303">
        <v>4010</v>
      </c>
      <c r="O2046" s="303">
        <v>735</v>
      </c>
      <c r="P2046" s="303">
        <v>7728</v>
      </c>
      <c r="Q2046" s="303">
        <v>255474</v>
      </c>
      <c r="R2046" s="12" t="s">
        <v>5236</v>
      </c>
      <c r="S2046" s="12" t="s">
        <v>25</v>
      </c>
      <c r="T2046" s="12" t="s">
        <v>25</v>
      </c>
    </row>
    <row r="2047" spans="1:20" x14ac:dyDescent="0.3">
      <c r="A2047" s="13">
        <v>43982.708333333336</v>
      </c>
      <c r="B2047" s="12" t="s">
        <v>22</v>
      </c>
      <c r="C2047" s="303">
        <v>7</v>
      </c>
      <c r="D2047" s="12" t="s">
        <v>49</v>
      </c>
      <c r="E2047" s="303">
        <v>4441149315</v>
      </c>
      <c r="F2047" s="303">
        <v>89326992</v>
      </c>
      <c r="G2047" s="303">
        <v>195</v>
      </c>
      <c r="H2047" s="303">
        <v>8</v>
      </c>
      <c r="I2047" s="303">
        <v>203</v>
      </c>
      <c r="J2047" s="303">
        <v>466</v>
      </c>
      <c r="K2047" s="303">
        <v>669</v>
      </c>
      <c r="L2047" s="303">
        <v>-112</v>
      </c>
      <c r="M2047" s="303">
        <v>12</v>
      </c>
      <c r="N2047" s="303">
        <v>7529</v>
      </c>
      <c r="O2047" s="303">
        <v>1465</v>
      </c>
      <c r="P2047" s="303">
        <v>9663</v>
      </c>
      <c r="Q2047" s="303">
        <v>106363</v>
      </c>
      <c r="R2047" s="12" t="s">
        <v>5237</v>
      </c>
      <c r="S2047" s="12" t="s">
        <v>25</v>
      </c>
      <c r="T2047" s="12" t="s">
        <v>25</v>
      </c>
    </row>
    <row r="2048" spans="1:20" hidden="1" x14ac:dyDescent="0.3">
      <c r="A2048" s="13">
        <v>43982.708333333336</v>
      </c>
      <c r="B2048" s="12" t="s">
        <v>22</v>
      </c>
      <c r="C2048" s="303">
        <v>3</v>
      </c>
      <c r="D2048" s="12" t="s">
        <v>50</v>
      </c>
      <c r="E2048" s="303">
        <v>4546679409</v>
      </c>
      <c r="F2048" s="303">
        <v>9190347404</v>
      </c>
      <c r="G2048" s="303">
        <v>3131</v>
      </c>
      <c r="H2048" s="303">
        <v>170</v>
      </c>
      <c r="I2048" s="303">
        <v>3301</v>
      </c>
      <c r="J2048" s="303">
        <v>17695</v>
      </c>
      <c r="K2048" s="303">
        <v>20996</v>
      </c>
      <c r="L2048" s="303">
        <v>-813</v>
      </c>
      <c r="M2048" s="303">
        <v>210</v>
      </c>
      <c r="N2048" s="303">
        <v>51860</v>
      </c>
      <c r="O2048" s="303">
        <v>16112</v>
      </c>
      <c r="P2048" s="303">
        <v>88968</v>
      </c>
      <c r="Q2048" s="303">
        <v>753874</v>
      </c>
      <c r="R2048" s="12" t="s">
        <v>5238</v>
      </c>
      <c r="S2048" s="12" t="s">
        <v>25</v>
      </c>
      <c r="T2048" s="12" t="s">
        <v>25</v>
      </c>
    </row>
    <row r="2049" spans="1:20" hidden="1" x14ac:dyDescent="0.3">
      <c r="A2049" s="13">
        <v>43982.708333333336</v>
      </c>
      <c r="B2049" s="12" t="s">
        <v>22</v>
      </c>
      <c r="C2049" s="303">
        <v>11</v>
      </c>
      <c r="D2049" s="12" t="s">
        <v>51</v>
      </c>
      <c r="E2049" s="303">
        <v>4361675973</v>
      </c>
      <c r="F2049" s="303">
        <v>135188753</v>
      </c>
      <c r="G2049" s="303">
        <v>62</v>
      </c>
      <c r="H2049" s="303">
        <v>9</v>
      </c>
      <c r="I2049" s="303">
        <v>71</v>
      </c>
      <c r="J2049" s="303">
        <v>1267</v>
      </c>
      <c r="K2049" s="303">
        <v>1338</v>
      </c>
      <c r="L2049" s="303">
        <v>-9</v>
      </c>
      <c r="M2049" s="303">
        <v>3</v>
      </c>
      <c r="N2049" s="303">
        <v>4405</v>
      </c>
      <c r="O2049" s="303">
        <v>987</v>
      </c>
      <c r="P2049" s="303">
        <v>6730</v>
      </c>
      <c r="Q2049" s="303">
        <v>103634</v>
      </c>
      <c r="R2049" s="12" t="s">
        <v>5239</v>
      </c>
      <c r="S2049" s="12" t="s">
        <v>25</v>
      </c>
      <c r="T2049" s="12" t="s">
        <v>25</v>
      </c>
    </row>
    <row r="2050" spans="1:20" hidden="1" x14ac:dyDescent="0.3">
      <c r="A2050" s="13">
        <v>43982.708333333336</v>
      </c>
      <c r="B2050" s="12" t="s">
        <v>22</v>
      </c>
      <c r="C2050" s="303">
        <v>14</v>
      </c>
      <c r="D2050" s="12" t="s">
        <v>52</v>
      </c>
      <c r="E2050" s="303">
        <v>4155774754</v>
      </c>
      <c r="F2050" s="303">
        <v>1465916051</v>
      </c>
      <c r="G2050" s="303">
        <v>2</v>
      </c>
      <c r="H2050" s="303">
        <v>2</v>
      </c>
      <c r="I2050" s="303">
        <v>4</v>
      </c>
      <c r="J2050" s="303">
        <v>141</v>
      </c>
      <c r="K2050" s="303">
        <v>145</v>
      </c>
      <c r="L2050" s="303">
        <v>-11</v>
      </c>
      <c r="M2050" s="303">
        <v>0</v>
      </c>
      <c r="N2050" s="303">
        <v>269</v>
      </c>
      <c r="O2050" s="303">
        <v>22</v>
      </c>
      <c r="P2050" s="303">
        <v>436</v>
      </c>
      <c r="Q2050" s="303">
        <v>14631</v>
      </c>
      <c r="R2050" s="12" t="s">
        <v>5240</v>
      </c>
      <c r="S2050" s="12" t="s">
        <v>25</v>
      </c>
      <c r="T2050" s="12" t="s">
        <v>25</v>
      </c>
    </row>
    <row r="2051" spans="1:20" hidden="1" x14ac:dyDescent="0.3">
      <c r="A2051" s="13">
        <v>43982.708333333336</v>
      </c>
      <c r="B2051" s="12" t="s">
        <v>22</v>
      </c>
      <c r="C2051" s="303">
        <v>1</v>
      </c>
      <c r="D2051" s="12" t="s">
        <v>53</v>
      </c>
      <c r="E2051" s="303">
        <v>450732745</v>
      </c>
      <c r="F2051" s="303">
        <v>7680687483</v>
      </c>
      <c r="G2051" s="303">
        <v>973</v>
      </c>
      <c r="H2051" s="303">
        <v>58</v>
      </c>
      <c r="I2051" s="303">
        <v>1031</v>
      </c>
      <c r="J2051" s="303">
        <v>4130</v>
      </c>
      <c r="K2051" s="303">
        <v>5161</v>
      </c>
      <c r="L2051" s="303">
        <v>-129</v>
      </c>
      <c r="M2051" s="303">
        <v>54</v>
      </c>
      <c r="N2051" s="303">
        <v>21609</v>
      </c>
      <c r="O2051" s="303">
        <v>3867</v>
      </c>
      <c r="P2051" s="303">
        <v>30637</v>
      </c>
      <c r="Q2051" s="303">
        <v>319133</v>
      </c>
      <c r="R2051" s="12" t="s">
        <v>5241</v>
      </c>
      <c r="S2051" s="12" t="s">
        <v>25</v>
      </c>
      <c r="T2051" s="12" t="s">
        <v>25</v>
      </c>
    </row>
    <row r="2052" spans="1:20" hidden="1" x14ac:dyDescent="0.3">
      <c r="A2052" s="13">
        <v>43982.708333333336</v>
      </c>
      <c r="B2052" s="12" t="s">
        <v>22</v>
      </c>
      <c r="C2052" s="303">
        <v>16</v>
      </c>
      <c r="D2052" s="12" t="s">
        <v>54</v>
      </c>
      <c r="E2052" s="303">
        <v>4112559576</v>
      </c>
      <c r="F2052" s="303">
        <v>1686736689</v>
      </c>
      <c r="G2052" s="303">
        <v>143</v>
      </c>
      <c r="H2052" s="303">
        <v>11</v>
      </c>
      <c r="I2052" s="303">
        <v>154</v>
      </c>
      <c r="J2052" s="303">
        <v>1023</v>
      </c>
      <c r="K2052" s="303">
        <v>1177</v>
      </c>
      <c r="L2052" s="303">
        <v>-45</v>
      </c>
      <c r="M2052" s="303">
        <v>4</v>
      </c>
      <c r="N2052" s="303">
        <v>2813</v>
      </c>
      <c r="O2052" s="303">
        <v>504</v>
      </c>
      <c r="P2052" s="303">
        <v>4494</v>
      </c>
      <c r="Q2052" s="303">
        <v>118652</v>
      </c>
      <c r="R2052" s="12" t="s">
        <v>5242</v>
      </c>
      <c r="S2052" s="12" t="s">
        <v>25</v>
      </c>
      <c r="T2052" s="12" t="s">
        <v>25</v>
      </c>
    </row>
    <row r="2053" spans="1:20" hidden="1" x14ac:dyDescent="0.3">
      <c r="A2053" s="13">
        <v>43982.708333333336</v>
      </c>
      <c r="B2053" s="12" t="s">
        <v>22</v>
      </c>
      <c r="C2053" s="303">
        <v>20</v>
      </c>
      <c r="D2053" s="12" t="s">
        <v>55</v>
      </c>
      <c r="E2053" s="303">
        <v>3921531192</v>
      </c>
      <c r="F2053" s="303">
        <v>9110616306</v>
      </c>
      <c r="G2053" s="303">
        <v>33</v>
      </c>
      <c r="H2053" s="303">
        <v>2</v>
      </c>
      <c r="I2053" s="303">
        <v>35</v>
      </c>
      <c r="J2053" s="303">
        <v>150</v>
      </c>
      <c r="K2053" s="303">
        <v>185</v>
      </c>
      <c r="L2053" s="303">
        <v>-1</v>
      </c>
      <c r="M2053" s="303">
        <v>0</v>
      </c>
      <c r="N2053" s="303">
        <v>1041</v>
      </c>
      <c r="O2053" s="303">
        <v>130</v>
      </c>
      <c r="P2053" s="303">
        <v>1356</v>
      </c>
      <c r="Q2053" s="303">
        <v>57296</v>
      </c>
      <c r="R2053" s="12" t="s">
        <v>5243</v>
      </c>
      <c r="S2053" s="12" t="s">
        <v>25</v>
      </c>
      <c r="T2053" s="12" t="s">
        <v>25</v>
      </c>
    </row>
    <row r="2054" spans="1:20" hidden="1" x14ac:dyDescent="0.3">
      <c r="A2054" s="13">
        <v>43982.708333333336</v>
      </c>
      <c r="B2054" s="12" t="s">
        <v>22</v>
      </c>
      <c r="C2054" s="303">
        <v>19</v>
      </c>
      <c r="D2054" s="12" t="s">
        <v>56</v>
      </c>
      <c r="E2054" s="303">
        <v>3811569725</v>
      </c>
      <c r="F2054" s="303">
        <v>133623567</v>
      </c>
      <c r="G2054" s="303">
        <v>65</v>
      </c>
      <c r="H2054" s="303">
        <v>7</v>
      </c>
      <c r="I2054" s="303">
        <v>72</v>
      </c>
      <c r="J2054" s="303">
        <v>914</v>
      </c>
      <c r="K2054" s="303">
        <v>986</v>
      </c>
      <c r="L2054" s="303">
        <v>-13</v>
      </c>
      <c r="M2054" s="303">
        <v>1</v>
      </c>
      <c r="N2054" s="303">
        <v>2183</v>
      </c>
      <c r="O2054" s="303">
        <v>274</v>
      </c>
      <c r="P2054" s="303">
        <v>3443</v>
      </c>
      <c r="Q2054" s="303">
        <v>150054</v>
      </c>
      <c r="R2054" s="12" t="s">
        <v>5244</v>
      </c>
      <c r="S2054" s="12" t="s">
        <v>25</v>
      </c>
      <c r="T2054" s="12" t="s">
        <v>25</v>
      </c>
    </row>
    <row r="2055" spans="1:20" hidden="1" x14ac:dyDescent="0.3">
      <c r="A2055" s="13">
        <v>43982.708333333336</v>
      </c>
      <c r="B2055" s="12" t="s">
        <v>22</v>
      </c>
      <c r="C2055" s="303">
        <v>9</v>
      </c>
      <c r="D2055" s="12" t="s">
        <v>57</v>
      </c>
      <c r="E2055" s="303">
        <v>4376923077</v>
      </c>
      <c r="F2055" s="303">
        <v>1125588885</v>
      </c>
      <c r="G2055" s="303">
        <v>97</v>
      </c>
      <c r="H2055" s="303">
        <v>28</v>
      </c>
      <c r="I2055" s="303">
        <v>125</v>
      </c>
      <c r="J2055" s="303">
        <v>986</v>
      </c>
      <c r="K2055" s="303">
        <v>1111</v>
      </c>
      <c r="L2055" s="303">
        <v>-55</v>
      </c>
      <c r="M2055" s="303">
        <v>4</v>
      </c>
      <c r="N2055" s="303">
        <v>7952</v>
      </c>
      <c r="O2055" s="303">
        <v>1041</v>
      </c>
      <c r="P2055" s="303">
        <v>10104</v>
      </c>
      <c r="Q2055" s="303">
        <v>252090</v>
      </c>
      <c r="R2055" s="12" t="s">
        <v>5245</v>
      </c>
      <c r="S2055" s="12" t="s">
        <v>25</v>
      </c>
      <c r="T2055" s="12" t="s">
        <v>25</v>
      </c>
    </row>
    <row r="2056" spans="1:20" hidden="1" x14ac:dyDescent="0.3">
      <c r="A2056" s="13">
        <v>43982.708333333336</v>
      </c>
      <c r="B2056" s="12" t="s">
        <v>22</v>
      </c>
      <c r="C2056" s="303">
        <v>22</v>
      </c>
      <c r="D2056" s="12" t="s">
        <v>58</v>
      </c>
      <c r="E2056" s="303">
        <v>4606893511</v>
      </c>
      <c r="F2056" s="303">
        <v>1112123097</v>
      </c>
      <c r="G2056" s="303">
        <v>13</v>
      </c>
      <c r="H2056" s="303">
        <v>3</v>
      </c>
      <c r="I2056" s="303">
        <v>16</v>
      </c>
      <c r="J2056" s="303">
        <v>288</v>
      </c>
      <c r="K2056" s="303">
        <v>304</v>
      </c>
      <c r="L2056" s="303">
        <v>-62</v>
      </c>
      <c r="M2056" s="303">
        <v>1</v>
      </c>
      <c r="N2056" s="303">
        <v>3664</v>
      </c>
      <c r="O2056" s="303">
        <v>462</v>
      </c>
      <c r="P2056" s="303">
        <v>4430</v>
      </c>
      <c r="Q2056" s="303">
        <v>88558</v>
      </c>
      <c r="R2056" s="12" t="s">
        <v>5246</v>
      </c>
      <c r="S2056" s="12" t="s">
        <v>25</v>
      </c>
      <c r="T2056" s="12" t="s">
        <v>25</v>
      </c>
    </row>
    <row r="2057" spans="1:20" hidden="1" x14ac:dyDescent="0.3">
      <c r="A2057" s="13">
        <v>43982.708333333336</v>
      </c>
      <c r="B2057" s="12" t="s">
        <v>22</v>
      </c>
      <c r="C2057" s="303">
        <v>10</v>
      </c>
      <c r="D2057" s="12" t="s">
        <v>59</v>
      </c>
      <c r="E2057" s="303">
        <v>4310675841</v>
      </c>
      <c r="F2057" s="303">
        <v>1238824698</v>
      </c>
      <c r="G2057" s="303">
        <v>15</v>
      </c>
      <c r="H2057" s="303">
        <v>2</v>
      </c>
      <c r="I2057" s="303">
        <v>17</v>
      </c>
      <c r="J2057" s="303">
        <v>14</v>
      </c>
      <c r="K2057" s="303">
        <v>31</v>
      </c>
      <c r="L2057" s="303">
        <v>0</v>
      </c>
      <c r="M2057" s="303">
        <v>0</v>
      </c>
      <c r="N2057" s="303">
        <v>1324</v>
      </c>
      <c r="O2057" s="303">
        <v>76</v>
      </c>
      <c r="P2057" s="303">
        <v>1431</v>
      </c>
      <c r="Q2057" s="303">
        <v>70553</v>
      </c>
      <c r="R2057" s="12" t="s">
        <v>5247</v>
      </c>
      <c r="S2057" s="12" t="s">
        <v>25</v>
      </c>
      <c r="T2057" s="12" t="s">
        <v>25</v>
      </c>
    </row>
    <row r="2058" spans="1:20" hidden="1" x14ac:dyDescent="0.3">
      <c r="A2058" s="13">
        <v>43982.708333333336</v>
      </c>
      <c r="B2058" s="12" t="s">
        <v>22</v>
      </c>
      <c r="C2058" s="303">
        <v>2</v>
      </c>
      <c r="D2058" s="12" t="s">
        <v>60</v>
      </c>
      <c r="E2058" s="303">
        <v>4573750286</v>
      </c>
      <c r="F2058" s="303">
        <v>7320149366</v>
      </c>
      <c r="G2058" s="303">
        <v>12</v>
      </c>
      <c r="H2058" s="303">
        <v>0</v>
      </c>
      <c r="I2058" s="303">
        <v>12</v>
      </c>
      <c r="J2058" s="303">
        <v>3</v>
      </c>
      <c r="K2058" s="303">
        <v>15</v>
      </c>
      <c r="L2058" s="303">
        <v>-2</v>
      </c>
      <c r="M2058" s="303">
        <v>1</v>
      </c>
      <c r="N2058" s="303">
        <v>1026</v>
      </c>
      <c r="O2058" s="303">
        <v>143</v>
      </c>
      <c r="P2058" s="303">
        <v>1184</v>
      </c>
      <c r="Q2058" s="303">
        <v>15203</v>
      </c>
      <c r="R2058" s="12" t="s">
        <v>5248</v>
      </c>
      <c r="S2058" s="12" t="s">
        <v>25</v>
      </c>
      <c r="T2058" s="12" t="s">
        <v>25</v>
      </c>
    </row>
    <row r="2059" spans="1:20" hidden="1" x14ac:dyDescent="0.3">
      <c r="A2059" s="13">
        <v>43982.708333333336</v>
      </c>
      <c r="B2059" s="12" t="s">
        <v>22</v>
      </c>
      <c r="C2059" s="303">
        <v>5</v>
      </c>
      <c r="D2059" s="12" t="s">
        <v>61</v>
      </c>
      <c r="E2059" s="303">
        <v>4543490485</v>
      </c>
      <c r="F2059" s="303">
        <v>1233845213</v>
      </c>
      <c r="G2059" s="303">
        <v>112</v>
      </c>
      <c r="H2059" s="303">
        <v>6</v>
      </c>
      <c r="I2059" s="303">
        <v>118</v>
      </c>
      <c r="J2059" s="303">
        <v>1382</v>
      </c>
      <c r="K2059" s="303">
        <v>1500</v>
      </c>
      <c r="L2059" s="303">
        <v>-112</v>
      </c>
      <c r="M2059" s="303">
        <v>6</v>
      </c>
      <c r="N2059" s="303">
        <v>15734</v>
      </c>
      <c r="O2059" s="303">
        <v>1918</v>
      </c>
      <c r="P2059" s="303">
        <v>19152</v>
      </c>
      <c r="Q2059" s="303">
        <v>669768</v>
      </c>
      <c r="R2059" s="12" t="s">
        <v>5249</v>
      </c>
      <c r="S2059" s="12" t="s">
        <v>25</v>
      </c>
      <c r="T2059" s="12" t="s">
        <v>25</v>
      </c>
    </row>
    <row r="2060" spans="1:20" hidden="1" x14ac:dyDescent="0.3">
      <c r="A2060" s="13">
        <v>43983.708333333336</v>
      </c>
      <c r="B2060" s="12" t="s">
        <v>22</v>
      </c>
      <c r="C2060" s="303">
        <v>13</v>
      </c>
      <c r="D2060" s="12" t="s">
        <v>42</v>
      </c>
      <c r="E2060" s="303">
        <v>4235122196</v>
      </c>
      <c r="F2060" s="303">
        <v>1339843823</v>
      </c>
      <c r="G2060" s="303">
        <v>113</v>
      </c>
      <c r="H2060" s="303">
        <v>6</v>
      </c>
      <c r="I2060" s="303">
        <v>119</v>
      </c>
      <c r="J2060" s="303">
        <v>625</v>
      </c>
      <c r="K2060" s="303">
        <v>744</v>
      </c>
      <c r="L2060" s="303">
        <v>-31</v>
      </c>
      <c r="M2060" s="303">
        <v>1</v>
      </c>
      <c r="N2060" s="303">
        <v>2093</v>
      </c>
      <c r="O2060" s="303">
        <v>408</v>
      </c>
      <c r="P2060" s="303">
        <v>3245</v>
      </c>
      <c r="Q2060" s="303">
        <v>76924</v>
      </c>
      <c r="R2060" s="12" t="s">
        <v>5250</v>
      </c>
      <c r="S2060" s="12" t="s">
        <v>25</v>
      </c>
      <c r="T2060" s="12" t="s">
        <v>25</v>
      </c>
    </row>
    <row r="2061" spans="1:20" hidden="1" x14ac:dyDescent="0.3">
      <c r="A2061" s="13">
        <v>43983.708333333336</v>
      </c>
      <c r="B2061" s="12" t="s">
        <v>22</v>
      </c>
      <c r="C2061" s="303">
        <v>17</v>
      </c>
      <c r="D2061" s="12" t="s">
        <v>43</v>
      </c>
      <c r="E2061" s="303">
        <v>4063947052</v>
      </c>
      <c r="F2061" s="303">
        <v>1580514834</v>
      </c>
      <c r="G2061" s="303">
        <v>4</v>
      </c>
      <c r="H2061" s="303">
        <v>0</v>
      </c>
      <c r="I2061" s="303">
        <v>4</v>
      </c>
      <c r="J2061" s="303">
        <v>24</v>
      </c>
      <c r="K2061" s="303">
        <v>28</v>
      </c>
      <c r="L2061" s="303">
        <v>-1</v>
      </c>
      <c r="M2061" s="303">
        <v>0</v>
      </c>
      <c r="N2061" s="303">
        <v>344</v>
      </c>
      <c r="O2061" s="303">
        <v>27</v>
      </c>
      <c r="P2061" s="303">
        <v>399</v>
      </c>
      <c r="Q2061" s="303">
        <v>29956</v>
      </c>
      <c r="R2061" s="12" t="s">
        <v>5251</v>
      </c>
      <c r="S2061" s="12" t="s">
        <v>25</v>
      </c>
      <c r="T2061" s="12" t="s">
        <v>25</v>
      </c>
    </row>
    <row r="2062" spans="1:20" hidden="1" x14ac:dyDescent="0.3">
      <c r="A2062" s="13">
        <v>43983.708333333336</v>
      </c>
      <c r="B2062" s="12" t="s">
        <v>22</v>
      </c>
      <c r="C2062" s="303">
        <v>21</v>
      </c>
      <c r="D2062" s="12" t="s">
        <v>44</v>
      </c>
      <c r="E2062" s="303">
        <v>4649933453</v>
      </c>
      <c r="F2062" s="303">
        <v>1135662422</v>
      </c>
      <c r="G2062" s="303">
        <v>13</v>
      </c>
      <c r="H2062" s="303">
        <v>4</v>
      </c>
      <c r="I2062" s="303">
        <v>17</v>
      </c>
      <c r="J2062" s="303">
        <v>106</v>
      </c>
      <c r="K2062" s="303">
        <v>123</v>
      </c>
      <c r="L2062" s="303">
        <v>-4</v>
      </c>
      <c r="M2062" s="303">
        <v>1</v>
      </c>
      <c r="N2062" s="303">
        <v>2184</v>
      </c>
      <c r="O2062" s="303">
        <v>291</v>
      </c>
      <c r="P2062" s="303">
        <v>2598</v>
      </c>
      <c r="Q2062" s="303">
        <v>67121</v>
      </c>
      <c r="R2062" s="12" t="s">
        <v>5252</v>
      </c>
      <c r="S2062" s="12" t="s">
        <v>25</v>
      </c>
      <c r="T2062" s="12" t="s">
        <v>25</v>
      </c>
    </row>
    <row r="2063" spans="1:20" hidden="1" x14ac:dyDescent="0.3">
      <c r="A2063" s="13">
        <v>43983.708333333336</v>
      </c>
      <c r="B2063" s="12" t="s">
        <v>22</v>
      </c>
      <c r="C2063" s="303">
        <v>18</v>
      </c>
      <c r="D2063" s="12" t="s">
        <v>45</v>
      </c>
      <c r="E2063" s="303">
        <v>3890597598</v>
      </c>
      <c r="F2063" s="303">
        <v>1659440194</v>
      </c>
      <c r="G2063" s="303">
        <v>20</v>
      </c>
      <c r="H2063" s="303">
        <v>1</v>
      </c>
      <c r="I2063" s="303">
        <v>21</v>
      </c>
      <c r="J2063" s="303">
        <v>114</v>
      </c>
      <c r="K2063" s="303">
        <v>135</v>
      </c>
      <c r="L2063" s="303">
        <v>-9</v>
      </c>
      <c r="M2063" s="303">
        <v>0</v>
      </c>
      <c r="N2063" s="303">
        <v>926</v>
      </c>
      <c r="O2063" s="303">
        <v>97</v>
      </c>
      <c r="P2063" s="303">
        <v>1158</v>
      </c>
      <c r="Q2063" s="303">
        <v>70892</v>
      </c>
      <c r="R2063" s="12" t="s">
        <v>5253</v>
      </c>
      <c r="S2063" s="12" t="s">
        <v>25</v>
      </c>
      <c r="T2063" s="12" t="s">
        <v>25</v>
      </c>
    </row>
    <row r="2064" spans="1:20" hidden="1" x14ac:dyDescent="0.3">
      <c r="A2064" s="13">
        <v>43983.708333333336</v>
      </c>
      <c r="B2064" s="12" t="s">
        <v>22</v>
      </c>
      <c r="C2064" s="303">
        <v>15</v>
      </c>
      <c r="D2064" s="12" t="s">
        <v>46</v>
      </c>
      <c r="E2064" s="303">
        <v>4083956555</v>
      </c>
      <c r="F2064" s="303">
        <v>1425084984</v>
      </c>
      <c r="G2064" s="303">
        <v>224</v>
      </c>
      <c r="H2064" s="303">
        <v>6</v>
      </c>
      <c r="I2064" s="303">
        <v>230</v>
      </c>
      <c r="J2064" s="303">
        <v>709</v>
      </c>
      <c r="K2064" s="303">
        <v>939</v>
      </c>
      <c r="L2064" s="303">
        <v>-41</v>
      </c>
      <c r="M2064" s="303">
        <v>4</v>
      </c>
      <c r="N2064" s="303">
        <v>3454</v>
      </c>
      <c r="O2064" s="303">
        <v>413</v>
      </c>
      <c r="P2064" s="303">
        <v>4806</v>
      </c>
      <c r="Q2064" s="303">
        <v>203858</v>
      </c>
      <c r="R2064" s="12" t="s">
        <v>5254</v>
      </c>
      <c r="S2064" s="12" t="s">
        <v>25</v>
      </c>
      <c r="T2064" s="12" t="s">
        <v>25</v>
      </c>
    </row>
    <row r="2065" spans="1:20" hidden="1" x14ac:dyDescent="0.3">
      <c r="A2065" s="13">
        <v>43983.708333333336</v>
      </c>
      <c r="B2065" s="12" t="s">
        <v>22</v>
      </c>
      <c r="C2065" s="303">
        <v>8</v>
      </c>
      <c r="D2065" s="12" t="s">
        <v>95</v>
      </c>
      <c r="E2065" s="303">
        <v>4449436681</v>
      </c>
      <c r="F2065" s="303">
        <v>113417208</v>
      </c>
      <c r="G2065" s="303">
        <v>383</v>
      </c>
      <c r="H2065" s="303">
        <v>54</v>
      </c>
      <c r="I2065" s="303">
        <v>437</v>
      </c>
      <c r="J2065" s="303">
        <v>2631</v>
      </c>
      <c r="K2065" s="303">
        <v>3068</v>
      </c>
      <c r="L2065" s="303">
        <v>-95</v>
      </c>
      <c r="M2065" s="303">
        <v>19</v>
      </c>
      <c r="N2065" s="303">
        <v>20617</v>
      </c>
      <c r="O2065" s="303">
        <v>4124</v>
      </c>
      <c r="P2065" s="303">
        <v>27809</v>
      </c>
      <c r="Q2065" s="303">
        <v>329358</v>
      </c>
      <c r="R2065" s="12" t="s">
        <v>5255</v>
      </c>
      <c r="S2065" s="12" t="s">
        <v>25</v>
      </c>
      <c r="T2065" s="12" t="s">
        <v>25</v>
      </c>
    </row>
    <row r="2066" spans="1:20" hidden="1" x14ac:dyDescent="0.3">
      <c r="A2066" s="13">
        <v>43983.708333333336</v>
      </c>
      <c r="B2066" s="12" t="s">
        <v>22</v>
      </c>
      <c r="C2066" s="303">
        <v>6</v>
      </c>
      <c r="D2066" s="12" t="s">
        <v>47</v>
      </c>
      <c r="E2066" s="303">
        <v>456494354</v>
      </c>
      <c r="F2066" s="303">
        <v>1376813649</v>
      </c>
      <c r="G2066" s="303">
        <v>40</v>
      </c>
      <c r="H2066" s="303">
        <v>2</v>
      </c>
      <c r="I2066" s="303">
        <v>42</v>
      </c>
      <c r="J2066" s="303">
        <v>224</v>
      </c>
      <c r="K2066" s="303">
        <v>266</v>
      </c>
      <c r="L2066" s="303">
        <v>-12</v>
      </c>
      <c r="M2066" s="303">
        <v>1</v>
      </c>
      <c r="N2066" s="303">
        <v>2673</v>
      </c>
      <c r="O2066" s="303">
        <v>335</v>
      </c>
      <c r="P2066" s="303">
        <v>3274</v>
      </c>
      <c r="Q2066" s="303">
        <v>135431</v>
      </c>
      <c r="R2066" s="12" t="s">
        <v>5256</v>
      </c>
      <c r="S2066" s="12" t="s">
        <v>25</v>
      </c>
      <c r="T2066" s="12" t="s">
        <v>25</v>
      </c>
    </row>
    <row r="2067" spans="1:20" hidden="1" x14ac:dyDescent="0.3">
      <c r="A2067" s="13">
        <v>43983.708333333336</v>
      </c>
      <c r="B2067" s="12" t="s">
        <v>22</v>
      </c>
      <c r="C2067" s="303">
        <v>12</v>
      </c>
      <c r="D2067" s="12" t="s">
        <v>48</v>
      </c>
      <c r="E2067" s="303">
        <v>4189277044</v>
      </c>
      <c r="F2067" s="303">
        <v>1248366722</v>
      </c>
      <c r="G2067" s="303">
        <v>594</v>
      </c>
      <c r="H2067" s="303">
        <v>56</v>
      </c>
      <c r="I2067" s="303">
        <v>650</v>
      </c>
      <c r="J2067" s="303">
        <v>2244</v>
      </c>
      <c r="K2067" s="303">
        <v>2894</v>
      </c>
      <c r="L2067" s="303">
        <v>-89</v>
      </c>
      <c r="M2067" s="303">
        <v>10</v>
      </c>
      <c r="N2067" s="303">
        <v>4105</v>
      </c>
      <c r="O2067" s="303">
        <v>739</v>
      </c>
      <c r="P2067" s="303">
        <v>7738</v>
      </c>
      <c r="Q2067" s="303">
        <v>257563</v>
      </c>
      <c r="R2067" s="12" t="s">
        <v>5257</v>
      </c>
      <c r="S2067" s="12" t="s">
        <v>25</v>
      </c>
      <c r="T2067" s="12" t="s">
        <v>25</v>
      </c>
    </row>
    <row r="2068" spans="1:20" x14ac:dyDescent="0.3">
      <c r="A2068" s="13">
        <v>43983.708333333336</v>
      </c>
      <c r="B2068" s="12" t="s">
        <v>22</v>
      </c>
      <c r="C2068" s="303">
        <v>7</v>
      </c>
      <c r="D2068" s="12" t="s">
        <v>49</v>
      </c>
      <c r="E2068" s="303">
        <v>4441149315</v>
      </c>
      <c r="F2068" s="303">
        <v>89326992</v>
      </c>
      <c r="G2068" s="303">
        <v>191</v>
      </c>
      <c r="H2068" s="303">
        <v>7</v>
      </c>
      <c r="I2068" s="303">
        <v>198</v>
      </c>
      <c r="J2068" s="303">
        <v>413</v>
      </c>
      <c r="K2068" s="303">
        <v>611</v>
      </c>
      <c r="L2068" s="303">
        <v>-58</v>
      </c>
      <c r="M2068" s="303">
        <v>56</v>
      </c>
      <c r="N2068" s="303">
        <v>7641</v>
      </c>
      <c r="O2068" s="303">
        <v>1467</v>
      </c>
      <c r="P2068" s="303">
        <v>9719</v>
      </c>
      <c r="Q2068" s="303">
        <v>107787</v>
      </c>
      <c r="R2068" s="12" t="s">
        <v>5258</v>
      </c>
      <c r="S2068" s="12" t="s">
        <v>25</v>
      </c>
      <c r="T2068" s="12" t="s">
        <v>25</v>
      </c>
    </row>
    <row r="2069" spans="1:20" hidden="1" x14ac:dyDescent="0.3">
      <c r="A2069" s="13">
        <v>43983.708333333336</v>
      </c>
      <c r="B2069" s="12" t="s">
        <v>22</v>
      </c>
      <c r="C2069" s="303">
        <v>3</v>
      </c>
      <c r="D2069" s="12" t="s">
        <v>50</v>
      </c>
      <c r="E2069" s="303">
        <v>4546679409</v>
      </c>
      <c r="F2069" s="303">
        <v>9190347404</v>
      </c>
      <c r="G2069" s="303">
        <v>3085</v>
      </c>
      <c r="H2069" s="303">
        <v>167</v>
      </c>
      <c r="I2069" s="303">
        <v>3252</v>
      </c>
      <c r="J2069" s="303">
        <v>17609</v>
      </c>
      <c r="K2069" s="303">
        <v>20861</v>
      </c>
      <c r="L2069" s="303">
        <v>-135</v>
      </c>
      <c r="M2069" s="303">
        <v>50</v>
      </c>
      <c r="N2069" s="303">
        <v>52026</v>
      </c>
      <c r="O2069" s="303">
        <v>16131</v>
      </c>
      <c r="P2069" s="303">
        <v>89018</v>
      </c>
      <c r="Q2069" s="303">
        <v>757446</v>
      </c>
      <c r="R2069" s="12" t="s">
        <v>5259</v>
      </c>
      <c r="S2069" s="12" t="s">
        <v>25</v>
      </c>
      <c r="T2069" s="12" t="s">
        <v>25</v>
      </c>
    </row>
    <row r="2070" spans="1:20" hidden="1" x14ac:dyDescent="0.3">
      <c r="A2070" s="13">
        <v>43983.708333333336</v>
      </c>
      <c r="B2070" s="12" t="s">
        <v>22</v>
      </c>
      <c r="C2070" s="303">
        <v>11</v>
      </c>
      <c r="D2070" s="12" t="s">
        <v>51</v>
      </c>
      <c r="E2070" s="303">
        <v>4361675973</v>
      </c>
      <c r="F2070" s="303">
        <v>135188753</v>
      </c>
      <c r="G2070" s="303">
        <v>63</v>
      </c>
      <c r="H2070" s="303">
        <v>9</v>
      </c>
      <c r="I2070" s="303">
        <v>72</v>
      </c>
      <c r="J2070" s="303">
        <v>1255</v>
      </c>
      <c r="K2070" s="303">
        <v>1327</v>
      </c>
      <c r="L2070" s="303">
        <v>-11</v>
      </c>
      <c r="M2070" s="303">
        <v>0</v>
      </c>
      <c r="N2070" s="303">
        <v>4416</v>
      </c>
      <c r="O2070" s="303">
        <v>987</v>
      </c>
      <c r="P2070" s="303">
        <v>6730</v>
      </c>
      <c r="Q2070" s="303">
        <v>103994</v>
      </c>
      <c r="R2070" s="12" t="s">
        <v>5260</v>
      </c>
      <c r="S2070" s="12" t="s">
        <v>25</v>
      </c>
      <c r="T2070" s="12" t="s">
        <v>25</v>
      </c>
    </row>
    <row r="2071" spans="1:20" hidden="1" x14ac:dyDescent="0.3">
      <c r="A2071" s="13">
        <v>43983.708333333336</v>
      </c>
      <c r="B2071" s="12" t="s">
        <v>22</v>
      </c>
      <c r="C2071" s="303">
        <v>14</v>
      </c>
      <c r="D2071" s="12" t="s">
        <v>52</v>
      </c>
      <c r="E2071" s="303">
        <v>4155774754</v>
      </c>
      <c r="F2071" s="303">
        <v>1465916051</v>
      </c>
      <c r="G2071" s="303">
        <v>2</v>
      </c>
      <c r="H2071" s="303">
        <v>2</v>
      </c>
      <c r="I2071" s="303">
        <v>4</v>
      </c>
      <c r="J2071" s="303">
        <v>131</v>
      </c>
      <c r="K2071" s="303">
        <v>135</v>
      </c>
      <c r="L2071" s="303">
        <v>-10</v>
      </c>
      <c r="M2071" s="303">
        <v>0</v>
      </c>
      <c r="N2071" s="303">
        <v>279</v>
      </c>
      <c r="O2071" s="303">
        <v>22</v>
      </c>
      <c r="P2071" s="303">
        <v>436</v>
      </c>
      <c r="Q2071" s="303">
        <v>14819</v>
      </c>
      <c r="R2071" s="12" t="s">
        <v>5261</v>
      </c>
      <c r="S2071" s="12" t="s">
        <v>25</v>
      </c>
      <c r="T2071" s="12" t="s">
        <v>25</v>
      </c>
    </row>
    <row r="2072" spans="1:20" hidden="1" x14ac:dyDescent="0.3">
      <c r="A2072" s="13">
        <v>43983.708333333336</v>
      </c>
      <c r="B2072" s="12" t="s">
        <v>22</v>
      </c>
      <c r="C2072" s="303">
        <v>1</v>
      </c>
      <c r="D2072" s="12" t="s">
        <v>53</v>
      </c>
      <c r="E2072" s="303">
        <v>450732745</v>
      </c>
      <c r="F2072" s="303">
        <v>7680687483</v>
      </c>
      <c r="G2072" s="303">
        <v>904</v>
      </c>
      <c r="H2072" s="303">
        <v>54</v>
      </c>
      <c r="I2072" s="303">
        <v>958</v>
      </c>
      <c r="J2072" s="303">
        <v>4104</v>
      </c>
      <c r="K2072" s="303">
        <v>5062</v>
      </c>
      <c r="L2072" s="303">
        <v>-99</v>
      </c>
      <c r="M2072" s="303">
        <v>21</v>
      </c>
      <c r="N2072" s="303">
        <v>21720</v>
      </c>
      <c r="O2072" s="303">
        <v>3876</v>
      </c>
      <c r="P2072" s="303">
        <v>30658</v>
      </c>
      <c r="Q2072" s="303">
        <v>321476</v>
      </c>
      <c r="R2072" s="12" t="s">
        <v>5262</v>
      </c>
      <c r="S2072" s="12" t="s">
        <v>25</v>
      </c>
      <c r="T2072" s="12" t="s">
        <v>25</v>
      </c>
    </row>
    <row r="2073" spans="1:20" hidden="1" x14ac:dyDescent="0.3">
      <c r="A2073" s="13">
        <v>43983.708333333336</v>
      </c>
      <c r="B2073" s="12" t="s">
        <v>22</v>
      </c>
      <c r="C2073" s="303">
        <v>16</v>
      </c>
      <c r="D2073" s="12" t="s">
        <v>54</v>
      </c>
      <c r="E2073" s="303">
        <v>4112559576</v>
      </c>
      <c r="F2073" s="303">
        <v>1686736689</v>
      </c>
      <c r="G2073" s="303">
        <v>140</v>
      </c>
      <c r="H2073" s="303">
        <v>11</v>
      </c>
      <c r="I2073" s="303">
        <v>151</v>
      </c>
      <c r="J2073" s="303">
        <v>1004</v>
      </c>
      <c r="K2073" s="303">
        <v>1155</v>
      </c>
      <c r="L2073" s="303">
        <v>-22</v>
      </c>
      <c r="M2073" s="303">
        <v>4</v>
      </c>
      <c r="N2073" s="303">
        <v>2837</v>
      </c>
      <c r="O2073" s="303">
        <v>506</v>
      </c>
      <c r="P2073" s="303">
        <v>4498</v>
      </c>
      <c r="Q2073" s="303">
        <v>119650</v>
      </c>
      <c r="R2073" s="12" t="s">
        <v>5263</v>
      </c>
      <c r="S2073" s="12" t="s">
        <v>25</v>
      </c>
      <c r="T2073" s="12" t="s">
        <v>25</v>
      </c>
    </row>
    <row r="2074" spans="1:20" hidden="1" x14ac:dyDescent="0.3">
      <c r="A2074" s="13">
        <v>43983.708333333336</v>
      </c>
      <c r="B2074" s="12" t="s">
        <v>22</v>
      </c>
      <c r="C2074" s="303">
        <v>20</v>
      </c>
      <c r="D2074" s="12" t="s">
        <v>55</v>
      </c>
      <c r="E2074" s="303">
        <v>3921531192</v>
      </c>
      <c r="F2074" s="303">
        <v>9110616306</v>
      </c>
      <c r="G2074" s="303">
        <v>23</v>
      </c>
      <c r="H2074" s="303">
        <v>1</v>
      </c>
      <c r="I2074" s="303">
        <v>24</v>
      </c>
      <c r="J2074" s="303">
        <v>137</v>
      </c>
      <c r="K2074" s="303">
        <v>161</v>
      </c>
      <c r="L2074" s="303">
        <v>-24</v>
      </c>
      <c r="M2074" s="303">
        <v>1</v>
      </c>
      <c r="N2074" s="303">
        <v>1065</v>
      </c>
      <c r="O2074" s="303">
        <v>131</v>
      </c>
      <c r="P2074" s="303">
        <v>1357</v>
      </c>
      <c r="Q2074" s="303">
        <v>57687</v>
      </c>
      <c r="R2074" s="12" t="s">
        <v>5264</v>
      </c>
      <c r="S2074" s="12" t="s">
        <v>25</v>
      </c>
      <c r="T2074" s="12" t="s">
        <v>25</v>
      </c>
    </row>
    <row r="2075" spans="1:20" hidden="1" x14ac:dyDescent="0.3">
      <c r="A2075" s="13">
        <v>43983.708333333336</v>
      </c>
      <c r="B2075" s="12" t="s">
        <v>22</v>
      </c>
      <c r="C2075" s="303">
        <v>19</v>
      </c>
      <c r="D2075" s="12" t="s">
        <v>56</v>
      </c>
      <c r="E2075" s="303">
        <v>3811569725</v>
      </c>
      <c r="F2075" s="303">
        <v>133623567</v>
      </c>
      <c r="G2075" s="303">
        <v>65</v>
      </c>
      <c r="H2075" s="303">
        <v>8</v>
      </c>
      <c r="I2075" s="303">
        <v>73</v>
      </c>
      <c r="J2075" s="303">
        <v>894</v>
      </c>
      <c r="K2075" s="303">
        <v>967</v>
      </c>
      <c r="L2075" s="303">
        <v>-19</v>
      </c>
      <c r="M2075" s="303">
        <v>0</v>
      </c>
      <c r="N2075" s="303">
        <v>2202</v>
      </c>
      <c r="O2075" s="303">
        <v>274</v>
      </c>
      <c r="P2075" s="303">
        <v>3443</v>
      </c>
      <c r="Q2075" s="303">
        <v>151186</v>
      </c>
      <c r="R2075" s="12" t="s">
        <v>5265</v>
      </c>
      <c r="S2075" s="12" t="s">
        <v>25</v>
      </c>
      <c r="T2075" s="12" t="s">
        <v>25</v>
      </c>
    </row>
    <row r="2076" spans="1:20" hidden="1" x14ac:dyDescent="0.3">
      <c r="A2076" s="13">
        <v>43983.708333333336</v>
      </c>
      <c r="B2076" s="12" t="s">
        <v>22</v>
      </c>
      <c r="C2076" s="303">
        <v>9</v>
      </c>
      <c r="D2076" s="12" t="s">
        <v>57</v>
      </c>
      <c r="E2076" s="303">
        <v>4376923077</v>
      </c>
      <c r="F2076" s="303">
        <v>1125588885</v>
      </c>
      <c r="G2076" s="303">
        <v>85</v>
      </c>
      <c r="H2076" s="303">
        <v>25</v>
      </c>
      <c r="I2076" s="303">
        <v>110</v>
      </c>
      <c r="J2076" s="303">
        <v>972</v>
      </c>
      <c r="K2076" s="303">
        <v>1082</v>
      </c>
      <c r="L2076" s="303">
        <v>-29</v>
      </c>
      <c r="M2076" s="303">
        <v>3</v>
      </c>
      <c r="N2076" s="303">
        <v>7977</v>
      </c>
      <c r="O2076" s="303">
        <v>1048</v>
      </c>
      <c r="P2076" s="303">
        <v>10107</v>
      </c>
      <c r="Q2076" s="303">
        <v>253845</v>
      </c>
      <c r="R2076" s="12" t="s">
        <v>5266</v>
      </c>
      <c r="S2076" s="12" t="s">
        <v>25</v>
      </c>
      <c r="T2076" s="12" t="s">
        <v>25</v>
      </c>
    </row>
    <row r="2077" spans="1:20" hidden="1" x14ac:dyDescent="0.3">
      <c r="A2077" s="13">
        <v>43983.708333333336</v>
      </c>
      <c r="B2077" s="12" t="s">
        <v>22</v>
      </c>
      <c r="C2077" s="303">
        <v>22</v>
      </c>
      <c r="D2077" s="12" t="s">
        <v>58</v>
      </c>
      <c r="E2077" s="303">
        <v>4606893511</v>
      </c>
      <c r="F2077" s="303">
        <v>1112123097</v>
      </c>
      <c r="G2077" s="303">
        <v>14</v>
      </c>
      <c r="H2077" s="303">
        <v>3</v>
      </c>
      <c r="I2077" s="303">
        <v>17</v>
      </c>
      <c r="J2077" s="303">
        <v>276</v>
      </c>
      <c r="K2077" s="303">
        <v>293</v>
      </c>
      <c r="L2077" s="303">
        <v>-11</v>
      </c>
      <c r="M2077" s="303">
        <v>2</v>
      </c>
      <c r="N2077" s="303">
        <v>3677</v>
      </c>
      <c r="O2077" s="303">
        <v>462</v>
      </c>
      <c r="P2077" s="303">
        <v>4432</v>
      </c>
      <c r="Q2077" s="303">
        <v>89235</v>
      </c>
      <c r="R2077" s="12" t="s">
        <v>5267</v>
      </c>
      <c r="S2077" s="12" t="s">
        <v>25</v>
      </c>
      <c r="T2077" s="12" t="s">
        <v>25</v>
      </c>
    </row>
    <row r="2078" spans="1:20" hidden="1" x14ac:dyDescent="0.3">
      <c r="A2078" s="13">
        <v>43983.708333333336</v>
      </c>
      <c r="B2078" s="12" t="s">
        <v>22</v>
      </c>
      <c r="C2078" s="303">
        <v>10</v>
      </c>
      <c r="D2078" s="12" t="s">
        <v>59</v>
      </c>
      <c r="E2078" s="303">
        <v>4310675841</v>
      </c>
      <c r="F2078" s="303">
        <v>1238824698</v>
      </c>
      <c r="G2078" s="303">
        <v>15</v>
      </c>
      <c r="H2078" s="303">
        <v>2</v>
      </c>
      <c r="I2078" s="303">
        <v>17</v>
      </c>
      <c r="J2078" s="303">
        <v>14</v>
      </c>
      <c r="K2078" s="303">
        <v>31</v>
      </c>
      <c r="L2078" s="303">
        <v>0</v>
      </c>
      <c r="M2078" s="303">
        <v>0</v>
      </c>
      <c r="N2078" s="303">
        <v>1324</v>
      </c>
      <c r="O2078" s="303">
        <v>76</v>
      </c>
      <c r="P2078" s="303">
        <v>1431</v>
      </c>
      <c r="Q2078" s="303">
        <v>70741</v>
      </c>
      <c r="R2078" s="12" t="s">
        <v>5268</v>
      </c>
      <c r="S2078" s="12" t="s">
        <v>25</v>
      </c>
      <c r="T2078" s="12" t="s">
        <v>25</v>
      </c>
    </row>
    <row r="2079" spans="1:20" hidden="1" x14ac:dyDescent="0.3">
      <c r="A2079" s="13">
        <v>43983.708333333336</v>
      </c>
      <c r="B2079" s="12" t="s">
        <v>22</v>
      </c>
      <c r="C2079" s="303">
        <v>2</v>
      </c>
      <c r="D2079" s="12" t="s">
        <v>60</v>
      </c>
      <c r="E2079" s="303">
        <v>4573750286</v>
      </c>
      <c r="F2079" s="303">
        <v>7320149366</v>
      </c>
      <c r="G2079" s="303">
        <v>11</v>
      </c>
      <c r="H2079" s="303">
        <v>0</v>
      </c>
      <c r="I2079" s="303">
        <v>11</v>
      </c>
      <c r="J2079" s="303">
        <v>6</v>
      </c>
      <c r="K2079" s="303">
        <v>17</v>
      </c>
      <c r="L2079" s="303">
        <v>2</v>
      </c>
      <c r="M2079" s="303">
        <v>3</v>
      </c>
      <c r="N2079" s="303">
        <v>1027</v>
      </c>
      <c r="O2079" s="303">
        <v>143</v>
      </c>
      <c r="P2079" s="303">
        <v>1187</v>
      </c>
      <c r="Q2079" s="303">
        <v>15230</v>
      </c>
      <c r="R2079" s="12" t="s">
        <v>5269</v>
      </c>
      <c r="S2079" s="12" t="s">
        <v>25</v>
      </c>
      <c r="T2079" s="12" t="s">
        <v>25</v>
      </c>
    </row>
    <row r="2080" spans="1:20" hidden="1" x14ac:dyDescent="0.3">
      <c r="A2080" s="13">
        <v>43983.708333333336</v>
      </c>
      <c r="B2080" s="12" t="s">
        <v>22</v>
      </c>
      <c r="C2080" s="304">
        <v>5</v>
      </c>
      <c r="D2080" s="12" t="s">
        <v>61</v>
      </c>
      <c r="E2080" s="304">
        <v>4543490485</v>
      </c>
      <c r="F2080" s="304">
        <v>1233845213</v>
      </c>
      <c r="G2080" s="304">
        <v>110</v>
      </c>
      <c r="H2080" s="304">
        <v>6</v>
      </c>
      <c r="I2080" s="304">
        <v>116</v>
      </c>
      <c r="J2080" s="304">
        <v>1352</v>
      </c>
      <c r="K2080" s="304">
        <v>1468</v>
      </c>
      <c r="L2080" s="304">
        <v>-32</v>
      </c>
      <c r="M2080" s="304">
        <v>2</v>
      </c>
      <c r="N2080" s="304">
        <v>15768</v>
      </c>
      <c r="O2080" s="304">
        <v>1918</v>
      </c>
      <c r="P2080" s="304">
        <v>19154</v>
      </c>
      <c r="Q2080" s="304">
        <v>675934</v>
      </c>
      <c r="R2080" s="12" t="s">
        <v>5270</v>
      </c>
      <c r="S2080" s="12" t="s">
        <v>25</v>
      </c>
      <c r="T2080" s="12" t="s">
        <v>25</v>
      </c>
    </row>
    <row r="2081" spans="1:20" hidden="1" x14ac:dyDescent="0.3">
      <c r="A2081" s="13">
        <v>43984.708333333336</v>
      </c>
      <c r="B2081" s="12" t="s">
        <v>22</v>
      </c>
      <c r="C2081" s="304">
        <v>13</v>
      </c>
      <c r="D2081" s="12" t="s">
        <v>42</v>
      </c>
      <c r="E2081" s="304">
        <v>4235122196</v>
      </c>
      <c r="F2081" s="304">
        <v>1339843823</v>
      </c>
      <c r="G2081" s="304">
        <v>113</v>
      </c>
      <c r="H2081" s="304">
        <v>6</v>
      </c>
      <c r="I2081" s="304">
        <v>119</v>
      </c>
      <c r="J2081" s="304">
        <v>624</v>
      </c>
      <c r="K2081" s="304">
        <v>743</v>
      </c>
      <c r="L2081" s="304">
        <v>-1</v>
      </c>
      <c r="M2081" s="304">
        <v>4</v>
      </c>
      <c r="N2081" s="304">
        <v>2093</v>
      </c>
      <c r="O2081" s="304">
        <v>413</v>
      </c>
      <c r="P2081" s="304">
        <v>3249</v>
      </c>
      <c r="Q2081" s="304">
        <v>77892</v>
      </c>
      <c r="R2081" s="12" t="s">
        <v>5282</v>
      </c>
      <c r="S2081" s="12" t="s">
        <v>25</v>
      </c>
      <c r="T2081" s="12" t="s">
        <v>25</v>
      </c>
    </row>
    <row r="2082" spans="1:20" hidden="1" x14ac:dyDescent="0.3">
      <c r="A2082" s="13">
        <v>43984.708333333336</v>
      </c>
      <c r="B2082" s="12" t="s">
        <v>22</v>
      </c>
      <c r="C2082" s="304">
        <v>17</v>
      </c>
      <c r="D2082" s="12" t="s">
        <v>43</v>
      </c>
      <c r="E2082" s="304">
        <v>4063947052</v>
      </c>
      <c r="F2082" s="304">
        <v>1580514834</v>
      </c>
      <c r="G2082" s="304">
        <v>4</v>
      </c>
      <c r="H2082" s="304">
        <v>0</v>
      </c>
      <c r="I2082" s="304">
        <v>4</v>
      </c>
      <c r="J2082" s="304">
        <v>20</v>
      </c>
      <c r="K2082" s="304">
        <v>24</v>
      </c>
      <c r="L2082" s="304">
        <v>-4</v>
      </c>
      <c r="M2082" s="304">
        <v>0</v>
      </c>
      <c r="N2082" s="304">
        <v>348</v>
      </c>
      <c r="O2082" s="304">
        <v>27</v>
      </c>
      <c r="P2082" s="304">
        <v>399</v>
      </c>
      <c r="Q2082" s="304">
        <v>30424</v>
      </c>
      <c r="R2082" s="12" t="s">
        <v>5283</v>
      </c>
      <c r="S2082" s="12" t="s">
        <v>25</v>
      </c>
      <c r="T2082" s="12" t="s">
        <v>25</v>
      </c>
    </row>
    <row r="2083" spans="1:20" hidden="1" x14ac:dyDescent="0.3">
      <c r="A2083" s="13">
        <v>43984.708333333336</v>
      </c>
      <c r="B2083" s="12" t="s">
        <v>22</v>
      </c>
      <c r="C2083" s="304">
        <v>21</v>
      </c>
      <c r="D2083" s="12" t="s">
        <v>44</v>
      </c>
      <c r="E2083" s="304">
        <v>4649933453</v>
      </c>
      <c r="F2083" s="304">
        <v>1135662422</v>
      </c>
      <c r="G2083" s="304">
        <v>13</v>
      </c>
      <c r="H2083" s="304">
        <v>3</v>
      </c>
      <c r="I2083" s="304">
        <v>16</v>
      </c>
      <c r="J2083" s="304">
        <v>104</v>
      </c>
      <c r="K2083" s="304">
        <v>120</v>
      </c>
      <c r="L2083" s="304">
        <v>-3</v>
      </c>
      <c r="M2083" s="304">
        <v>0</v>
      </c>
      <c r="N2083" s="304">
        <v>2187</v>
      </c>
      <c r="O2083" s="304">
        <v>291</v>
      </c>
      <c r="P2083" s="304">
        <v>2598</v>
      </c>
      <c r="Q2083" s="304">
        <v>67643</v>
      </c>
      <c r="R2083" s="12" t="s">
        <v>5284</v>
      </c>
      <c r="S2083" s="12" t="s">
        <v>25</v>
      </c>
      <c r="T2083" s="12" t="s">
        <v>25</v>
      </c>
    </row>
    <row r="2084" spans="1:20" hidden="1" x14ac:dyDescent="0.3">
      <c r="A2084" s="13">
        <v>43984.708333333336</v>
      </c>
      <c r="B2084" s="12" t="s">
        <v>22</v>
      </c>
      <c r="C2084" s="304">
        <v>18</v>
      </c>
      <c r="D2084" s="12" t="s">
        <v>45</v>
      </c>
      <c r="E2084" s="304">
        <v>3890597598</v>
      </c>
      <c r="F2084" s="304">
        <v>1659440194</v>
      </c>
      <c r="G2084" s="304">
        <v>20</v>
      </c>
      <c r="H2084" s="304">
        <v>1</v>
      </c>
      <c r="I2084" s="304">
        <v>21</v>
      </c>
      <c r="J2084" s="304">
        <v>91</v>
      </c>
      <c r="K2084" s="304">
        <v>112</v>
      </c>
      <c r="L2084" s="304">
        <v>-23</v>
      </c>
      <c r="M2084" s="304">
        <v>0</v>
      </c>
      <c r="N2084" s="304">
        <v>949</v>
      </c>
      <c r="O2084" s="304">
        <v>97</v>
      </c>
      <c r="P2084" s="304">
        <v>1158</v>
      </c>
      <c r="Q2084" s="304">
        <v>71617</v>
      </c>
      <c r="R2084" s="12" t="s">
        <v>5285</v>
      </c>
      <c r="S2084" s="12" t="s">
        <v>25</v>
      </c>
      <c r="T2084" s="12" t="s">
        <v>25</v>
      </c>
    </row>
    <row r="2085" spans="1:20" hidden="1" x14ac:dyDescent="0.3">
      <c r="A2085" s="13">
        <v>43984.708333333336</v>
      </c>
      <c r="B2085" s="12" t="s">
        <v>22</v>
      </c>
      <c r="C2085" s="304">
        <v>15</v>
      </c>
      <c r="D2085" s="12" t="s">
        <v>46</v>
      </c>
      <c r="E2085" s="304">
        <v>4083956555</v>
      </c>
      <c r="F2085" s="304">
        <v>1425084984</v>
      </c>
      <c r="G2085" s="304">
        <v>236</v>
      </c>
      <c r="H2085" s="304">
        <v>7</v>
      </c>
      <c r="I2085" s="304">
        <v>243</v>
      </c>
      <c r="J2085" s="304">
        <v>647</v>
      </c>
      <c r="K2085" s="304">
        <v>890</v>
      </c>
      <c r="L2085" s="304">
        <v>-49</v>
      </c>
      <c r="M2085" s="304">
        <v>3</v>
      </c>
      <c r="N2085" s="304">
        <v>3504</v>
      </c>
      <c r="O2085" s="304">
        <v>415</v>
      </c>
      <c r="P2085" s="304">
        <v>4809</v>
      </c>
      <c r="Q2085" s="304">
        <v>206834</v>
      </c>
      <c r="R2085" s="12" t="s">
        <v>5286</v>
      </c>
      <c r="S2085" s="12" t="s">
        <v>25</v>
      </c>
      <c r="T2085" s="12" t="s">
        <v>25</v>
      </c>
    </row>
    <row r="2086" spans="1:20" hidden="1" x14ac:dyDescent="0.3">
      <c r="A2086" s="13">
        <v>43984.708333333336</v>
      </c>
      <c r="B2086" s="12" t="s">
        <v>22</v>
      </c>
      <c r="C2086" s="304">
        <v>8</v>
      </c>
      <c r="D2086" s="12" t="s">
        <v>95</v>
      </c>
      <c r="E2086" s="304">
        <v>4449436681</v>
      </c>
      <c r="F2086" s="304">
        <v>113417208</v>
      </c>
      <c r="G2086" s="304">
        <v>358</v>
      </c>
      <c r="H2086" s="304">
        <v>50</v>
      </c>
      <c r="I2086" s="304">
        <v>408</v>
      </c>
      <c r="J2086" s="304">
        <v>2504</v>
      </c>
      <c r="K2086" s="304">
        <v>2912</v>
      </c>
      <c r="L2086" s="304">
        <v>-156</v>
      </c>
      <c r="M2086" s="304">
        <v>19</v>
      </c>
      <c r="N2086" s="304">
        <v>20780</v>
      </c>
      <c r="O2086" s="304">
        <v>4136</v>
      </c>
      <c r="P2086" s="304">
        <v>27828</v>
      </c>
      <c r="Q2086" s="304">
        <v>333629</v>
      </c>
      <c r="R2086" s="12" t="s">
        <v>5287</v>
      </c>
      <c r="S2086" s="12" t="s">
        <v>25</v>
      </c>
      <c r="T2086" s="12" t="s">
        <v>25</v>
      </c>
    </row>
    <row r="2087" spans="1:20" hidden="1" x14ac:dyDescent="0.3">
      <c r="A2087" s="13">
        <v>43984.708333333336</v>
      </c>
      <c r="B2087" s="12" t="s">
        <v>22</v>
      </c>
      <c r="C2087" s="304">
        <v>6</v>
      </c>
      <c r="D2087" s="12" t="s">
        <v>47</v>
      </c>
      <c r="E2087" s="304">
        <v>456494354</v>
      </c>
      <c r="F2087" s="304">
        <v>1376813649</v>
      </c>
      <c r="G2087" s="304">
        <v>40</v>
      </c>
      <c r="H2087" s="304">
        <v>2</v>
      </c>
      <c r="I2087" s="304">
        <v>42</v>
      </c>
      <c r="J2087" s="304">
        <v>202</v>
      </c>
      <c r="K2087" s="304">
        <v>244</v>
      </c>
      <c r="L2087" s="304">
        <v>-22</v>
      </c>
      <c r="M2087" s="304">
        <v>2</v>
      </c>
      <c r="N2087" s="304">
        <v>2696</v>
      </c>
      <c r="O2087" s="304">
        <v>336</v>
      </c>
      <c r="P2087" s="304">
        <v>3276</v>
      </c>
      <c r="Q2087" s="304">
        <v>136524</v>
      </c>
      <c r="R2087" s="12" t="s">
        <v>5288</v>
      </c>
      <c r="S2087" s="12" t="s">
        <v>25</v>
      </c>
      <c r="T2087" s="12" t="s">
        <v>25</v>
      </c>
    </row>
    <row r="2088" spans="1:20" hidden="1" x14ac:dyDescent="0.3">
      <c r="A2088" s="13">
        <v>43984.708333333336</v>
      </c>
      <c r="B2088" s="12" t="s">
        <v>22</v>
      </c>
      <c r="C2088" s="304">
        <v>12</v>
      </c>
      <c r="D2088" s="12" t="s">
        <v>48</v>
      </c>
      <c r="E2088" s="304">
        <v>4189277044</v>
      </c>
      <c r="F2088" s="304">
        <v>1248366722</v>
      </c>
      <c r="G2088" s="304">
        <v>580</v>
      </c>
      <c r="H2088" s="304">
        <v>56</v>
      </c>
      <c r="I2088" s="304">
        <v>636</v>
      </c>
      <c r="J2088" s="304">
        <v>2211</v>
      </c>
      <c r="K2088" s="304">
        <v>2847</v>
      </c>
      <c r="L2088" s="304">
        <v>-47</v>
      </c>
      <c r="M2088" s="304">
        <v>5</v>
      </c>
      <c r="N2088" s="304">
        <v>4155</v>
      </c>
      <c r="O2088" s="304">
        <v>741</v>
      </c>
      <c r="P2088" s="304">
        <v>7743</v>
      </c>
      <c r="Q2088" s="304">
        <v>260102</v>
      </c>
      <c r="R2088" s="12" t="s">
        <v>5289</v>
      </c>
      <c r="S2088" s="12" t="s">
        <v>25</v>
      </c>
      <c r="T2088" s="12" t="s">
        <v>25</v>
      </c>
    </row>
    <row r="2089" spans="1:20" x14ac:dyDescent="0.3">
      <c r="A2089" s="13">
        <v>43984.708333333336</v>
      </c>
      <c r="B2089" s="12" t="s">
        <v>22</v>
      </c>
      <c r="C2089" s="304">
        <v>7</v>
      </c>
      <c r="D2089" s="12" t="s">
        <v>49</v>
      </c>
      <c r="E2089" s="304">
        <v>4441149315</v>
      </c>
      <c r="F2089" s="304">
        <v>89326992</v>
      </c>
      <c r="G2089" s="304">
        <v>175</v>
      </c>
      <c r="H2089" s="304">
        <v>7</v>
      </c>
      <c r="I2089" s="304">
        <v>182</v>
      </c>
      <c r="J2089" s="304">
        <v>364</v>
      </c>
      <c r="K2089" s="304">
        <v>546</v>
      </c>
      <c r="L2089" s="304">
        <v>-65</v>
      </c>
      <c r="M2089" s="304">
        <v>15</v>
      </c>
      <c r="N2089" s="304">
        <v>7720</v>
      </c>
      <c r="O2089" s="304">
        <v>1468</v>
      </c>
      <c r="P2089" s="304">
        <v>9734</v>
      </c>
      <c r="Q2089" s="304">
        <v>109060</v>
      </c>
      <c r="R2089" s="12" t="s">
        <v>5290</v>
      </c>
      <c r="S2089" s="12" t="s">
        <v>25</v>
      </c>
      <c r="T2089" s="12" t="s">
        <v>25</v>
      </c>
    </row>
    <row r="2090" spans="1:20" hidden="1" x14ac:dyDescent="0.3">
      <c r="A2090" s="13">
        <v>43984.708333333336</v>
      </c>
      <c r="B2090" s="12" t="s">
        <v>22</v>
      </c>
      <c r="C2090" s="304">
        <v>3</v>
      </c>
      <c r="D2090" s="12" t="s">
        <v>50</v>
      </c>
      <c r="E2090" s="304">
        <v>4546679409</v>
      </c>
      <c r="F2090" s="304">
        <v>9190347404</v>
      </c>
      <c r="G2090" s="304">
        <v>3021</v>
      </c>
      <c r="H2090" s="304">
        <v>166</v>
      </c>
      <c r="I2090" s="304">
        <v>3187</v>
      </c>
      <c r="J2090" s="304">
        <v>17068</v>
      </c>
      <c r="K2090" s="304">
        <v>20255</v>
      </c>
      <c r="L2090" s="304">
        <v>-606</v>
      </c>
      <c r="M2090" s="304">
        <v>187</v>
      </c>
      <c r="N2090" s="304">
        <v>52807</v>
      </c>
      <c r="O2090" s="304">
        <v>16143</v>
      </c>
      <c r="P2090" s="304">
        <v>89205</v>
      </c>
      <c r="Q2090" s="304">
        <v>766122</v>
      </c>
      <c r="R2090" s="12" t="s">
        <v>5291</v>
      </c>
      <c r="S2090" s="12" t="s">
        <v>25</v>
      </c>
      <c r="T2090" s="12" t="s">
        <v>25</v>
      </c>
    </row>
    <row r="2091" spans="1:20" hidden="1" x14ac:dyDescent="0.3">
      <c r="A2091" s="13">
        <v>43984.708333333336</v>
      </c>
      <c r="B2091" s="12" t="s">
        <v>22</v>
      </c>
      <c r="C2091" s="304">
        <v>11</v>
      </c>
      <c r="D2091" s="12" t="s">
        <v>51</v>
      </c>
      <c r="E2091" s="304">
        <v>4361675973</v>
      </c>
      <c r="F2091" s="304">
        <v>135188753</v>
      </c>
      <c r="G2091" s="304">
        <v>60</v>
      </c>
      <c r="H2091" s="304">
        <v>9</v>
      </c>
      <c r="I2091" s="304">
        <v>69</v>
      </c>
      <c r="J2091" s="304">
        <v>1257</v>
      </c>
      <c r="K2091" s="304">
        <v>1326</v>
      </c>
      <c r="L2091" s="304">
        <v>-1</v>
      </c>
      <c r="M2091" s="304">
        <v>4</v>
      </c>
      <c r="N2091" s="304">
        <v>4421</v>
      </c>
      <c r="O2091" s="304">
        <v>987</v>
      </c>
      <c r="P2091" s="304">
        <v>6734</v>
      </c>
      <c r="Q2091" s="304">
        <v>104968</v>
      </c>
      <c r="R2091" s="12" t="s">
        <v>5292</v>
      </c>
      <c r="S2091" s="12" t="s">
        <v>25</v>
      </c>
      <c r="T2091" s="12" t="s">
        <v>25</v>
      </c>
    </row>
    <row r="2092" spans="1:20" hidden="1" x14ac:dyDescent="0.3">
      <c r="A2092" s="13">
        <v>43984.708333333336</v>
      </c>
      <c r="B2092" s="12" t="s">
        <v>22</v>
      </c>
      <c r="C2092" s="304">
        <v>14</v>
      </c>
      <c r="D2092" s="12" t="s">
        <v>52</v>
      </c>
      <c r="E2092" s="304">
        <v>4155774754</v>
      </c>
      <c r="F2092" s="304">
        <v>1465916051</v>
      </c>
      <c r="G2092" s="304">
        <v>3</v>
      </c>
      <c r="H2092" s="304">
        <v>2</v>
      </c>
      <c r="I2092" s="304">
        <v>5</v>
      </c>
      <c r="J2092" s="304">
        <v>128</v>
      </c>
      <c r="K2092" s="304">
        <v>133</v>
      </c>
      <c r="L2092" s="304">
        <v>-2</v>
      </c>
      <c r="M2092" s="304">
        <v>0</v>
      </c>
      <c r="N2092" s="304">
        <v>281</v>
      </c>
      <c r="O2092" s="304">
        <v>22</v>
      </c>
      <c r="P2092" s="304">
        <v>436</v>
      </c>
      <c r="Q2092" s="304">
        <v>14951</v>
      </c>
      <c r="R2092" s="12" t="s">
        <v>5293</v>
      </c>
      <c r="S2092" s="12" t="s">
        <v>25</v>
      </c>
      <c r="T2092" s="12" t="s">
        <v>25</v>
      </c>
    </row>
    <row r="2093" spans="1:20" hidden="1" x14ac:dyDescent="0.3">
      <c r="A2093" s="13">
        <v>43984.708333333336</v>
      </c>
      <c r="B2093" s="12" t="s">
        <v>22</v>
      </c>
      <c r="C2093" s="304">
        <v>1</v>
      </c>
      <c r="D2093" s="12" t="s">
        <v>53</v>
      </c>
      <c r="E2093" s="304">
        <v>450732745</v>
      </c>
      <c r="F2093" s="304">
        <v>7680687483</v>
      </c>
      <c r="G2093" s="304">
        <v>849</v>
      </c>
      <c r="H2093" s="304">
        <v>46</v>
      </c>
      <c r="I2093" s="304">
        <v>895</v>
      </c>
      <c r="J2093" s="304">
        <v>3933</v>
      </c>
      <c r="K2093" s="304">
        <v>4828</v>
      </c>
      <c r="L2093" s="304">
        <v>-234</v>
      </c>
      <c r="M2093" s="304">
        <v>57</v>
      </c>
      <c r="N2093" s="304">
        <v>22003</v>
      </c>
      <c r="O2093" s="304">
        <v>3884</v>
      </c>
      <c r="P2093" s="304">
        <v>30715</v>
      </c>
      <c r="Q2093" s="304">
        <v>325097</v>
      </c>
      <c r="R2093" s="12" t="s">
        <v>5294</v>
      </c>
      <c r="S2093" s="12" t="s">
        <v>25</v>
      </c>
      <c r="T2093" s="12" t="s">
        <v>25</v>
      </c>
    </row>
    <row r="2094" spans="1:20" hidden="1" x14ac:dyDescent="0.3">
      <c r="A2094" s="13">
        <v>43984.708333333336</v>
      </c>
      <c r="B2094" s="12" t="s">
        <v>22</v>
      </c>
      <c r="C2094" s="304">
        <v>16</v>
      </c>
      <c r="D2094" s="12" t="s">
        <v>54</v>
      </c>
      <c r="E2094" s="304">
        <v>4112559576</v>
      </c>
      <c r="F2094" s="304">
        <v>1686736689</v>
      </c>
      <c r="G2094" s="304">
        <v>134</v>
      </c>
      <c r="H2094" s="304">
        <v>11</v>
      </c>
      <c r="I2094" s="304">
        <v>145</v>
      </c>
      <c r="J2094" s="304">
        <v>906</v>
      </c>
      <c r="K2094" s="304">
        <v>1051</v>
      </c>
      <c r="L2094" s="304">
        <v>-104</v>
      </c>
      <c r="M2094" s="304">
        <v>0</v>
      </c>
      <c r="N2094" s="304">
        <v>2939</v>
      </c>
      <c r="O2094" s="304">
        <v>508</v>
      </c>
      <c r="P2094" s="304">
        <v>4498</v>
      </c>
      <c r="Q2094" s="304">
        <v>121460</v>
      </c>
      <c r="R2094" s="12" t="s">
        <v>5295</v>
      </c>
      <c r="S2094" s="12" t="s">
        <v>25</v>
      </c>
      <c r="T2094" s="12" t="s">
        <v>25</v>
      </c>
    </row>
    <row r="2095" spans="1:20" hidden="1" x14ac:dyDescent="0.3">
      <c r="A2095" s="13">
        <v>43984.708333333336</v>
      </c>
      <c r="B2095" s="12" t="s">
        <v>22</v>
      </c>
      <c r="C2095" s="304">
        <v>20</v>
      </c>
      <c r="D2095" s="12" t="s">
        <v>55</v>
      </c>
      <c r="E2095" s="304">
        <v>3921531192</v>
      </c>
      <c r="F2095" s="304">
        <v>9110616306</v>
      </c>
      <c r="G2095" s="304">
        <v>21</v>
      </c>
      <c r="H2095" s="304">
        <v>1</v>
      </c>
      <c r="I2095" s="304">
        <v>22</v>
      </c>
      <c r="J2095" s="304">
        <v>133</v>
      </c>
      <c r="K2095" s="304">
        <v>155</v>
      </c>
      <c r="L2095" s="304">
        <v>-6</v>
      </c>
      <c r="M2095" s="304">
        <v>0</v>
      </c>
      <c r="N2095" s="304">
        <v>1071</v>
      </c>
      <c r="O2095" s="304">
        <v>131</v>
      </c>
      <c r="P2095" s="304">
        <v>1357</v>
      </c>
      <c r="Q2095" s="304">
        <v>58224</v>
      </c>
      <c r="R2095" s="12" t="s">
        <v>5296</v>
      </c>
      <c r="S2095" s="12" t="s">
        <v>25</v>
      </c>
      <c r="T2095" s="12" t="s">
        <v>25</v>
      </c>
    </row>
    <row r="2096" spans="1:20" hidden="1" x14ac:dyDescent="0.3">
      <c r="A2096" s="13">
        <v>43984.708333333336</v>
      </c>
      <c r="B2096" s="12" t="s">
        <v>22</v>
      </c>
      <c r="C2096" s="304">
        <v>19</v>
      </c>
      <c r="D2096" s="12" t="s">
        <v>56</v>
      </c>
      <c r="E2096" s="304">
        <v>3811569725</v>
      </c>
      <c r="F2096" s="304">
        <v>133623567</v>
      </c>
      <c r="G2096" s="304">
        <v>62</v>
      </c>
      <c r="H2096" s="304">
        <v>7</v>
      </c>
      <c r="I2096" s="304">
        <v>69</v>
      </c>
      <c r="J2096" s="304">
        <v>897</v>
      </c>
      <c r="K2096" s="304">
        <v>966</v>
      </c>
      <c r="L2096" s="304">
        <v>-1</v>
      </c>
      <c r="M2096" s="304">
        <v>4</v>
      </c>
      <c r="N2096" s="304">
        <v>2206</v>
      </c>
      <c r="O2096" s="304">
        <v>275</v>
      </c>
      <c r="P2096" s="304">
        <v>3447</v>
      </c>
      <c r="Q2096" s="304">
        <v>153417</v>
      </c>
      <c r="R2096" s="12" t="s">
        <v>5297</v>
      </c>
      <c r="S2096" s="12" t="s">
        <v>25</v>
      </c>
      <c r="T2096" s="12" t="s">
        <v>25</v>
      </c>
    </row>
    <row r="2097" spans="1:20" hidden="1" x14ac:dyDescent="0.3">
      <c r="A2097" s="13">
        <v>43984.708333333336</v>
      </c>
      <c r="B2097" s="12" t="s">
        <v>22</v>
      </c>
      <c r="C2097" s="304">
        <v>9</v>
      </c>
      <c r="D2097" s="12" t="s">
        <v>57</v>
      </c>
      <c r="E2097" s="304">
        <v>4376923077</v>
      </c>
      <c r="F2097" s="304">
        <v>1125588885</v>
      </c>
      <c r="G2097" s="304">
        <v>85</v>
      </c>
      <c r="H2097" s="304">
        <v>25</v>
      </c>
      <c r="I2097" s="304">
        <v>110</v>
      </c>
      <c r="J2097" s="304">
        <v>901</v>
      </c>
      <c r="K2097" s="304">
        <v>1011</v>
      </c>
      <c r="L2097" s="304">
        <v>-71</v>
      </c>
      <c r="M2097" s="304">
        <v>10</v>
      </c>
      <c r="N2097" s="304">
        <v>8053</v>
      </c>
      <c r="O2097" s="304">
        <v>1053</v>
      </c>
      <c r="P2097" s="304">
        <v>10117</v>
      </c>
      <c r="Q2097" s="304">
        <v>257178</v>
      </c>
      <c r="R2097" s="12" t="s">
        <v>5298</v>
      </c>
      <c r="S2097" s="12" t="s">
        <v>25</v>
      </c>
      <c r="T2097" s="12" t="s">
        <v>25</v>
      </c>
    </row>
    <row r="2098" spans="1:20" hidden="1" x14ac:dyDescent="0.3">
      <c r="A2098" s="13">
        <v>43984.708333333336</v>
      </c>
      <c r="B2098" s="12" t="s">
        <v>22</v>
      </c>
      <c r="C2098" s="304">
        <v>22</v>
      </c>
      <c r="D2098" s="12" t="s">
        <v>58</v>
      </c>
      <c r="E2098" s="304">
        <v>4606893511</v>
      </c>
      <c r="F2098" s="304">
        <v>1112123097</v>
      </c>
      <c r="G2098" s="304">
        <v>14</v>
      </c>
      <c r="H2098" s="304">
        <v>2</v>
      </c>
      <c r="I2098" s="304">
        <v>16</v>
      </c>
      <c r="J2098" s="304">
        <v>267</v>
      </c>
      <c r="K2098" s="304">
        <v>283</v>
      </c>
      <c r="L2098" s="304">
        <v>-10</v>
      </c>
      <c r="M2098" s="304">
        <v>0</v>
      </c>
      <c r="N2098" s="304">
        <v>3686</v>
      </c>
      <c r="O2098" s="304">
        <v>463</v>
      </c>
      <c r="P2098" s="304">
        <v>4432</v>
      </c>
      <c r="Q2098" s="304">
        <v>89787</v>
      </c>
      <c r="R2098" s="12" t="s">
        <v>5299</v>
      </c>
      <c r="S2098" s="12" t="s">
        <v>25</v>
      </c>
      <c r="T2098" s="12" t="s">
        <v>25</v>
      </c>
    </row>
    <row r="2099" spans="1:20" hidden="1" x14ac:dyDescent="0.3">
      <c r="A2099" s="13">
        <v>43984.708333333336</v>
      </c>
      <c r="B2099" s="12" t="s">
        <v>22</v>
      </c>
      <c r="C2099" s="304">
        <v>10</v>
      </c>
      <c r="D2099" s="12" t="s">
        <v>59</v>
      </c>
      <c r="E2099" s="304">
        <v>4310675841</v>
      </c>
      <c r="F2099" s="304">
        <v>1238824698</v>
      </c>
      <c r="G2099" s="304">
        <v>15</v>
      </c>
      <c r="H2099" s="304">
        <v>2</v>
      </c>
      <c r="I2099" s="304">
        <v>17</v>
      </c>
      <c r="J2099" s="304">
        <v>14</v>
      </c>
      <c r="K2099" s="304">
        <v>31</v>
      </c>
      <c r="L2099" s="304">
        <v>0</v>
      </c>
      <c r="M2099" s="304">
        <v>0</v>
      </c>
      <c r="N2099" s="304">
        <v>1324</v>
      </c>
      <c r="O2099" s="304">
        <v>76</v>
      </c>
      <c r="P2099" s="304">
        <v>1431</v>
      </c>
      <c r="Q2099" s="304">
        <v>71769</v>
      </c>
      <c r="R2099" s="12" t="s">
        <v>5300</v>
      </c>
      <c r="S2099" s="12" t="s">
        <v>25</v>
      </c>
      <c r="T2099" s="12" t="s">
        <v>25</v>
      </c>
    </row>
    <row r="2100" spans="1:20" hidden="1" x14ac:dyDescent="0.3">
      <c r="A2100" s="13">
        <v>43984.708333333336</v>
      </c>
      <c r="B2100" s="12" t="s">
        <v>22</v>
      </c>
      <c r="C2100" s="304">
        <v>2</v>
      </c>
      <c r="D2100" s="12" t="s">
        <v>60</v>
      </c>
      <c r="E2100" s="304">
        <v>4573750286</v>
      </c>
      <c r="F2100" s="304">
        <v>7320149366</v>
      </c>
      <c r="G2100" s="304">
        <v>10</v>
      </c>
      <c r="H2100" s="304">
        <v>0</v>
      </c>
      <c r="I2100" s="304">
        <v>10</v>
      </c>
      <c r="J2100" s="304">
        <v>3</v>
      </c>
      <c r="K2100" s="304">
        <v>13</v>
      </c>
      <c r="L2100" s="304">
        <v>-4</v>
      </c>
      <c r="M2100" s="304">
        <v>0</v>
      </c>
      <c r="N2100" s="304">
        <v>1031</v>
      </c>
      <c r="O2100" s="304">
        <v>143</v>
      </c>
      <c r="P2100" s="304">
        <v>1187</v>
      </c>
      <c r="Q2100" s="304">
        <v>15327</v>
      </c>
      <c r="R2100" s="12" t="s">
        <v>5301</v>
      </c>
      <c r="S2100" s="12" t="s">
        <v>25</v>
      </c>
      <c r="T2100" s="12" t="s">
        <v>25</v>
      </c>
    </row>
    <row r="2101" spans="1:20" hidden="1" x14ac:dyDescent="0.3">
      <c r="A2101" s="13">
        <v>43984.708333333336</v>
      </c>
      <c r="B2101" s="12" t="s">
        <v>22</v>
      </c>
      <c r="C2101" s="304">
        <v>5</v>
      </c>
      <c r="D2101" s="12" t="s">
        <v>61</v>
      </c>
      <c r="E2101" s="304">
        <v>4543490485</v>
      </c>
      <c r="F2101" s="304">
        <v>1233845213</v>
      </c>
      <c r="G2101" s="304">
        <v>103</v>
      </c>
      <c r="H2101" s="304">
        <v>5</v>
      </c>
      <c r="I2101" s="304">
        <v>108</v>
      </c>
      <c r="J2101" s="304">
        <v>1295</v>
      </c>
      <c r="K2101" s="304">
        <v>1403</v>
      </c>
      <c r="L2101" s="304">
        <v>-65</v>
      </c>
      <c r="M2101" s="304">
        <v>8</v>
      </c>
      <c r="N2101" s="304">
        <v>15838</v>
      </c>
      <c r="O2101" s="304">
        <v>1921</v>
      </c>
      <c r="P2101" s="304">
        <v>19162</v>
      </c>
      <c r="Q2101" s="304">
        <v>690267</v>
      </c>
      <c r="R2101" s="12" t="s">
        <v>5302</v>
      </c>
      <c r="S2101" s="12" t="s">
        <v>25</v>
      </c>
      <c r="T2101" s="12" t="s">
        <v>25</v>
      </c>
    </row>
    <row r="2102" spans="1:20" hidden="1" x14ac:dyDescent="0.3">
      <c r="A2102" s="13">
        <v>43985.708333333336</v>
      </c>
      <c r="B2102" s="12" t="s">
        <v>22</v>
      </c>
      <c r="C2102" s="304">
        <v>13</v>
      </c>
      <c r="D2102" s="12" t="s">
        <v>42</v>
      </c>
      <c r="E2102" s="304">
        <v>4235122196</v>
      </c>
      <c r="F2102" s="304">
        <v>1339843823</v>
      </c>
      <c r="G2102" s="304">
        <v>112</v>
      </c>
      <c r="H2102" s="304">
        <v>3</v>
      </c>
      <c r="I2102" s="304">
        <v>115</v>
      </c>
      <c r="J2102" s="304">
        <v>621</v>
      </c>
      <c r="K2102" s="304">
        <v>736</v>
      </c>
      <c r="L2102" s="304">
        <v>-7</v>
      </c>
      <c r="M2102" s="304">
        <v>3</v>
      </c>
      <c r="N2102" s="304">
        <v>2102</v>
      </c>
      <c r="O2102" s="304">
        <v>414</v>
      </c>
      <c r="P2102" s="304">
        <v>3252</v>
      </c>
      <c r="Q2102" s="304">
        <v>78356</v>
      </c>
      <c r="R2102" s="12" t="s">
        <v>5303</v>
      </c>
      <c r="S2102" s="12" t="s">
        <v>25</v>
      </c>
      <c r="T2102" s="12" t="s">
        <v>25</v>
      </c>
    </row>
    <row r="2103" spans="1:20" hidden="1" x14ac:dyDescent="0.3">
      <c r="A2103" s="13">
        <v>43985.708333333336</v>
      </c>
      <c r="B2103" s="12" t="s">
        <v>22</v>
      </c>
      <c r="C2103" s="304">
        <v>17</v>
      </c>
      <c r="D2103" s="12" t="s">
        <v>43</v>
      </c>
      <c r="E2103" s="304">
        <v>4063947052</v>
      </c>
      <c r="F2103" s="304">
        <v>1580514834</v>
      </c>
      <c r="G2103" s="304">
        <v>4</v>
      </c>
      <c r="H2103" s="304">
        <v>0</v>
      </c>
      <c r="I2103" s="304">
        <v>4</v>
      </c>
      <c r="J2103" s="304">
        <v>19</v>
      </c>
      <c r="K2103" s="304">
        <v>23</v>
      </c>
      <c r="L2103" s="304">
        <v>-1</v>
      </c>
      <c r="M2103" s="304">
        <v>0</v>
      </c>
      <c r="N2103" s="304">
        <v>349</v>
      </c>
      <c r="O2103" s="304">
        <v>27</v>
      </c>
      <c r="P2103" s="304">
        <v>399</v>
      </c>
      <c r="Q2103" s="304">
        <v>30708</v>
      </c>
      <c r="R2103" s="12" t="s">
        <v>5304</v>
      </c>
      <c r="S2103" s="12" t="s">
        <v>25</v>
      </c>
      <c r="T2103" s="12" t="s">
        <v>25</v>
      </c>
    </row>
    <row r="2104" spans="1:20" hidden="1" x14ac:dyDescent="0.3">
      <c r="A2104" s="13">
        <v>43985.708333333336</v>
      </c>
      <c r="B2104" s="12" t="s">
        <v>22</v>
      </c>
      <c r="C2104" s="304">
        <v>21</v>
      </c>
      <c r="D2104" s="12" t="s">
        <v>44</v>
      </c>
      <c r="E2104" s="304">
        <v>4649933453</v>
      </c>
      <c r="F2104" s="304">
        <v>1135662422</v>
      </c>
      <c r="G2104" s="304">
        <v>13</v>
      </c>
      <c r="H2104" s="304">
        <v>3</v>
      </c>
      <c r="I2104" s="304">
        <v>16</v>
      </c>
      <c r="J2104" s="304">
        <v>104</v>
      </c>
      <c r="K2104" s="304">
        <v>120</v>
      </c>
      <c r="L2104" s="304">
        <v>0</v>
      </c>
      <c r="M2104" s="304">
        <v>0</v>
      </c>
      <c r="N2104" s="304">
        <v>2187</v>
      </c>
      <c r="O2104" s="304">
        <v>291</v>
      </c>
      <c r="P2104" s="304">
        <v>2598</v>
      </c>
      <c r="Q2104" s="304">
        <v>67965</v>
      </c>
      <c r="R2104" s="12" t="s">
        <v>5305</v>
      </c>
      <c r="S2104" s="12" t="s">
        <v>25</v>
      </c>
      <c r="T2104" s="12" t="s">
        <v>25</v>
      </c>
    </row>
    <row r="2105" spans="1:20" hidden="1" x14ac:dyDescent="0.3">
      <c r="A2105" s="13">
        <v>43985.708333333336</v>
      </c>
      <c r="B2105" s="12" t="s">
        <v>22</v>
      </c>
      <c r="C2105" s="304">
        <v>18</v>
      </c>
      <c r="D2105" s="12" t="s">
        <v>45</v>
      </c>
      <c r="E2105" s="304">
        <v>3890597598</v>
      </c>
      <c r="F2105" s="304">
        <v>1659440194</v>
      </c>
      <c r="G2105" s="304">
        <v>20</v>
      </c>
      <c r="H2105" s="304">
        <v>0</v>
      </c>
      <c r="I2105" s="304">
        <v>20</v>
      </c>
      <c r="J2105" s="304">
        <v>90</v>
      </c>
      <c r="K2105" s="304">
        <v>110</v>
      </c>
      <c r="L2105" s="304">
        <v>-2</v>
      </c>
      <c r="M2105" s="304">
        <v>0</v>
      </c>
      <c r="N2105" s="304">
        <v>951</v>
      </c>
      <c r="O2105" s="304">
        <v>97</v>
      </c>
      <c r="P2105" s="304">
        <v>1158</v>
      </c>
      <c r="Q2105" s="304">
        <v>72237</v>
      </c>
      <c r="R2105" s="12" t="s">
        <v>5306</v>
      </c>
      <c r="S2105" s="12" t="s">
        <v>25</v>
      </c>
      <c r="T2105" s="12" t="s">
        <v>25</v>
      </c>
    </row>
    <row r="2106" spans="1:20" hidden="1" x14ac:dyDescent="0.3">
      <c r="A2106" s="13">
        <v>43985.708333333336</v>
      </c>
      <c r="B2106" s="12" t="s">
        <v>22</v>
      </c>
      <c r="C2106" s="304">
        <v>15</v>
      </c>
      <c r="D2106" s="12" t="s">
        <v>46</v>
      </c>
      <c r="E2106" s="304">
        <v>4083956555</v>
      </c>
      <c r="F2106" s="304">
        <v>1425084984</v>
      </c>
      <c r="G2106" s="304">
        <v>206</v>
      </c>
      <c r="H2106" s="304">
        <v>4</v>
      </c>
      <c r="I2106" s="304">
        <v>210</v>
      </c>
      <c r="J2106" s="304">
        <v>659</v>
      </c>
      <c r="K2106" s="304">
        <v>869</v>
      </c>
      <c r="L2106" s="304">
        <v>-21</v>
      </c>
      <c r="M2106" s="304">
        <v>12</v>
      </c>
      <c r="N2106" s="304">
        <v>3537</v>
      </c>
      <c r="O2106" s="304">
        <v>415</v>
      </c>
      <c r="P2106" s="304">
        <v>4821</v>
      </c>
      <c r="Q2106" s="304">
        <v>208854</v>
      </c>
      <c r="R2106" s="12" t="s">
        <v>5307</v>
      </c>
      <c r="S2106" s="12" t="s">
        <v>25</v>
      </c>
      <c r="T2106" s="12" t="s">
        <v>25</v>
      </c>
    </row>
    <row r="2107" spans="1:20" hidden="1" x14ac:dyDescent="0.3">
      <c r="A2107" s="13">
        <v>43985.708333333336</v>
      </c>
      <c r="B2107" s="12" t="s">
        <v>22</v>
      </c>
      <c r="C2107" s="304">
        <v>8</v>
      </c>
      <c r="D2107" s="12" t="s">
        <v>95</v>
      </c>
      <c r="E2107" s="304">
        <v>4449436681</v>
      </c>
      <c r="F2107" s="304">
        <v>113417208</v>
      </c>
      <c r="G2107" s="304">
        <v>342</v>
      </c>
      <c r="H2107" s="304">
        <v>50</v>
      </c>
      <c r="I2107" s="304">
        <v>392</v>
      </c>
      <c r="J2107" s="304">
        <v>2447</v>
      </c>
      <c r="K2107" s="304">
        <v>2839</v>
      </c>
      <c r="L2107" s="304">
        <v>-73</v>
      </c>
      <c r="M2107" s="304">
        <v>14</v>
      </c>
      <c r="N2107" s="304">
        <v>20856</v>
      </c>
      <c r="O2107" s="304">
        <v>4147</v>
      </c>
      <c r="P2107" s="304">
        <v>27842</v>
      </c>
      <c r="Q2107" s="304">
        <v>336630</v>
      </c>
      <c r="R2107" s="12" t="s">
        <v>5308</v>
      </c>
      <c r="S2107" s="12" t="s">
        <v>25</v>
      </c>
      <c r="T2107" s="12" t="s">
        <v>25</v>
      </c>
    </row>
    <row r="2108" spans="1:20" hidden="1" x14ac:dyDescent="0.3">
      <c r="A2108" s="13">
        <v>43985.708333333336</v>
      </c>
      <c r="B2108" s="12" t="s">
        <v>22</v>
      </c>
      <c r="C2108" s="304">
        <v>6</v>
      </c>
      <c r="D2108" s="12" t="s">
        <v>47</v>
      </c>
      <c r="E2108" s="304">
        <v>456494354</v>
      </c>
      <c r="F2108" s="304">
        <v>1376813649</v>
      </c>
      <c r="G2108" s="304">
        <v>39</v>
      </c>
      <c r="H2108" s="304">
        <v>2</v>
      </c>
      <c r="I2108" s="304">
        <v>41</v>
      </c>
      <c r="J2108" s="304">
        <v>192</v>
      </c>
      <c r="K2108" s="304">
        <v>233</v>
      </c>
      <c r="L2108" s="304">
        <v>-11</v>
      </c>
      <c r="M2108" s="304">
        <v>0</v>
      </c>
      <c r="N2108" s="304">
        <v>2707</v>
      </c>
      <c r="O2108" s="304">
        <v>336</v>
      </c>
      <c r="P2108" s="304">
        <v>3276</v>
      </c>
      <c r="Q2108" s="304">
        <v>138250</v>
      </c>
      <c r="R2108" s="12" t="s">
        <v>5309</v>
      </c>
      <c r="S2108" s="12" t="s">
        <v>25</v>
      </c>
      <c r="T2108" s="12" t="s">
        <v>25</v>
      </c>
    </row>
    <row r="2109" spans="1:20" hidden="1" x14ac:dyDescent="0.3">
      <c r="A2109" s="13">
        <v>43985.708333333336</v>
      </c>
      <c r="B2109" s="12" t="s">
        <v>22</v>
      </c>
      <c r="C2109" s="304">
        <v>12</v>
      </c>
      <c r="D2109" s="12" t="s">
        <v>48</v>
      </c>
      <c r="E2109" s="304">
        <v>4189277044</v>
      </c>
      <c r="F2109" s="304">
        <v>1248366722</v>
      </c>
      <c r="G2109" s="304">
        <v>519</v>
      </c>
      <c r="H2109" s="304">
        <v>51</v>
      </c>
      <c r="I2109" s="304">
        <v>570</v>
      </c>
      <c r="J2109" s="304">
        <v>2248</v>
      </c>
      <c r="K2109" s="304">
        <v>2818</v>
      </c>
      <c r="L2109" s="304">
        <v>-29</v>
      </c>
      <c r="M2109" s="304">
        <v>10</v>
      </c>
      <c r="N2109" s="304">
        <v>4188</v>
      </c>
      <c r="O2109" s="304">
        <v>747</v>
      </c>
      <c r="P2109" s="304">
        <v>7753</v>
      </c>
      <c r="Q2109" s="304">
        <v>262461</v>
      </c>
      <c r="R2109" s="12" t="s">
        <v>5310</v>
      </c>
      <c r="S2109" s="12" t="s">
        <v>25</v>
      </c>
      <c r="T2109" s="12" t="s">
        <v>25</v>
      </c>
    </row>
    <row r="2110" spans="1:20" x14ac:dyDescent="0.3">
      <c r="A2110" s="13">
        <v>43985.708333333336</v>
      </c>
      <c r="B2110" s="12" t="s">
        <v>22</v>
      </c>
      <c r="C2110" s="304">
        <v>7</v>
      </c>
      <c r="D2110" s="12" t="s">
        <v>49</v>
      </c>
      <c r="E2110" s="304">
        <v>4441149315</v>
      </c>
      <c r="F2110" s="304">
        <v>89326992</v>
      </c>
      <c r="G2110" s="304">
        <v>169</v>
      </c>
      <c r="H2110" s="304">
        <v>6</v>
      </c>
      <c r="I2110" s="304">
        <v>175</v>
      </c>
      <c r="J2110" s="304">
        <v>339</v>
      </c>
      <c r="K2110" s="304">
        <v>514</v>
      </c>
      <c r="L2110" s="304">
        <v>-32</v>
      </c>
      <c r="M2110" s="304">
        <v>17</v>
      </c>
      <c r="N2110" s="304">
        <v>7764</v>
      </c>
      <c r="O2110" s="304">
        <v>1473</v>
      </c>
      <c r="P2110" s="304">
        <v>9751</v>
      </c>
      <c r="Q2110" s="304">
        <v>110006</v>
      </c>
      <c r="R2110" s="12" t="s">
        <v>5311</v>
      </c>
      <c r="S2110" s="12" t="s">
        <v>25</v>
      </c>
      <c r="T2110" s="12" t="s">
        <v>25</v>
      </c>
    </row>
    <row r="2111" spans="1:20" hidden="1" x14ac:dyDescent="0.3">
      <c r="A2111" s="13">
        <v>43985.708333333336</v>
      </c>
      <c r="B2111" s="12" t="s">
        <v>22</v>
      </c>
      <c r="C2111" s="304">
        <v>3</v>
      </c>
      <c r="D2111" s="12" t="s">
        <v>50</v>
      </c>
      <c r="E2111" s="304">
        <v>4546679409</v>
      </c>
      <c r="F2111" s="304">
        <v>9190347404</v>
      </c>
      <c r="G2111" s="304">
        <v>2995</v>
      </c>
      <c r="H2111" s="304">
        <v>131</v>
      </c>
      <c r="I2111" s="304">
        <v>3126</v>
      </c>
      <c r="J2111" s="304">
        <v>17098</v>
      </c>
      <c r="K2111" s="304">
        <v>20224</v>
      </c>
      <c r="L2111" s="304">
        <v>-31</v>
      </c>
      <c r="M2111" s="304">
        <v>237</v>
      </c>
      <c r="N2111" s="304">
        <v>53046</v>
      </c>
      <c r="O2111" s="304">
        <v>16172</v>
      </c>
      <c r="P2111" s="304">
        <v>89442</v>
      </c>
      <c r="Q2111" s="304">
        <v>777477</v>
      </c>
      <c r="R2111" s="12" t="s">
        <v>5312</v>
      </c>
      <c r="S2111" s="12" t="s">
        <v>25</v>
      </c>
      <c r="T2111" s="12" t="s">
        <v>25</v>
      </c>
    </row>
    <row r="2112" spans="1:20" hidden="1" x14ac:dyDescent="0.3">
      <c r="A2112" s="13">
        <v>43985.708333333336</v>
      </c>
      <c r="B2112" s="12" t="s">
        <v>22</v>
      </c>
      <c r="C2112" s="304">
        <v>11</v>
      </c>
      <c r="D2112" s="12" t="s">
        <v>51</v>
      </c>
      <c r="E2112" s="304">
        <v>4361675973</v>
      </c>
      <c r="F2112" s="304">
        <v>135188753</v>
      </c>
      <c r="G2112" s="304">
        <v>57</v>
      </c>
      <c r="H2112" s="304">
        <v>8</v>
      </c>
      <c r="I2112" s="304">
        <v>65</v>
      </c>
      <c r="J2112" s="304">
        <v>1245</v>
      </c>
      <c r="K2112" s="304">
        <v>1310</v>
      </c>
      <c r="L2112" s="304">
        <v>-16</v>
      </c>
      <c r="M2112" s="304">
        <v>1</v>
      </c>
      <c r="N2112" s="304">
        <v>4438</v>
      </c>
      <c r="O2112" s="304">
        <v>987</v>
      </c>
      <c r="P2112" s="304">
        <v>6735</v>
      </c>
      <c r="Q2112" s="304">
        <v>105679</v>
      </c>
      <c r="R2112" s="12" t="s">
        <v>5313</v>
      </c>
      <c r="S2112" s="12" t="s">
        <v>25</v>
      </c>
      <c r="T2112" s="12" t="s">
        <v>25</v>
      </c>
    </row>
    <row r="2113" spans="1:20" hidden="1" x14ac:dyDescent="0.3">
      <c r="A2113" s="13">
        <v>43985.708333333336</v>
      </c>
      <c r="B2113" s="12" t="s">
        <v>22</v>
      </c>
      <c r="C2113" s="304">
        <v>14</v>
      </c>
      <c r="D2113" s="12" t="s">
        <v>52</v>
      </c>
      <c r="E2113" s="304">
        <v>4155774754</v>
      </c>
      <c r="F2113" s="304">
        <v>1465916051</v>
      </c>
      <c r="G2113" s="304">
        <v>1</v>
      </c>
      <c r="H2113" s="304">
        <v>2</v>
      </c>
      <c r="I2113" s="304">
        <v>3</v>
      </c>
      <c r="J2113" s="304">
        <v>124</v>
      </c>
      <c r="K2113" s="304">
        <v>127</v>
      </c>
      <c r="L2113" s="304">
        <v>-6</v>
      </c>
      <c r="M2113" s="304">
        <v>0</v>
      </c>
      <c r="N2113" s="304">
        <v>287</v>
      </c>
      <c r="O2113" s="304">
        <v>22</v>
      </c>
      <c r="P2113" s="304">
        <v>436</v>
      </c>
      <c r="Q2113" s="304">
        <v>15123</v>
      </c>
      <c r="R2113" s="12" t="s">
        <v>5314</v>
      </c>
      <c r="S2113" s="12" t="s">
        <v>25</v>
      </c>
      <c r="T2113" s="12" t="s">
        <v>25</v>
      </c>
    </row>
    <row r="2114" spans="1:20" hidden="1" x14ac:dyDescent="0.3">
      <c r="A2114" s="13">
        <v>43985.708333333336</v>
      </c>
      <c r="B2114" s="12" t="s">
        <v>22</v>
      </c>
      <c r="C2114" s="304">
        <v>1</v>
      </c>
      <c r="D2114" s="12" t="s">
        <v>53</v>
      </c>
      <c r="E2114" s="304">
        <v>450732745</v>
      </c>
      <c r="F2114" s="304">
        <v>7680687483</v>
      </c>
      <c r="G2114" s="304">
        <v>841</v>
      </c>
      <c r="H2114" s="304">
        <v>44</v>
      </c>
      <c r="I2114" s="304">
        <v>885</v>
      </c>
      <c r="J2114" s="304">
        <v>3801</v>
      </c>
      <c r="K2114" s="304">
        <v>4686</v>
      </c>
      <c r="L2114" s="304">
        <v>-142</v>
      </c>
      <c r="M2114" s="304">
        <v>19</v>
      </c>
      <c r="N2114" s="304">
        <v>22150</v>
      </c>
      <c r="O2114" s="304">
        <v>3898</v>
      </c>
      <c r="P2114" s="304">
        <v>30734</v>
      </c>
      <c r="Q2114" s="304">
        <v>327206</v>
      </c>
      <c r="R2114" s="12" t="s">
        <v>5315</v>
      </c>
      <c r="S2114" s="12" t="s">
        <v>25</v>
      </c>
      <c r="T2114" s="12" t="s">
        <v>25</v>
      </c>
    </row>
    <row r="2115" spans="1:20" hidden="1" x14ac:dyDescent="0.3">
      <c r="A2115" s="13">
        <v>43985.708333333336</v>
      </c>
      <c r="B2115" s="12" t="s">
        <v>22</v>
      </c>
      <c r="C2115" s="304">
        <v>16</v>
      </c>
      <c r="D2115" s="12" t="s">
        <v>54</v>
      </c>
      <c r="E2115" s="304">
        <v>4112559576</v>
      </c>
      <c r="F2115" s="304">
        <v>1686736689</v>
      </c>
      <c r="G2115" s="304">
        <v>131</v>
      </c>
      <c r="H2115" s="304">
        <v>10</v>
      </c>
      <c r="I2115" s="304">
        <v>141</v>
      </c>
      <c r="J2115" s="304">
        <v>895</v>
      </c>
      <c r="K2115" s="304">
        <v>1036</v>
      </c>
      <c r="L2115" s="304">
        <v>-15</v>
      </c>
      <c r="M2115" s="304">
        <v>1</v>
      </c>
      <c r="N2115" s="304">
        <v>2952</v>
      </c>
      <c r="O2115" s="304">
        <v>511</v>
      </c>
      <c r="P2115" s="304">
        <v>4499</v>
      </c>
      <c r="Q2115" s="304">
        <v>122506</v>
      </c>
      <c r="R2115" s="12" t="s">
        <v>5316</v>
      </c>
      <c r="S2115" s="12" t="s">
        <v>25</v>
      </c>
      <c r="T2115" s="12" t="s">
        <v>25</v>
      </c>
    </row>
    <row r="2116" spans="1:20" hidden="1" x14ac:dyDescent="0.3">
      <c r="A2116" s="13">
        <v>43985.708333333336</v>
      </c>
      <c r="B2116" s="12" t="s">
        <v>22</v>
      </c>
      <c r="C2116" s="304">
        <v>20</v>
      </c>
      <c r="D2116" s="12" t="s">
        <v>55</v>
      </c>
      <c r="E2116" s="304">
        <v>3921531192</v>
      </c>
      <c r="F2116" s="304">
        <v>9110616306</v>
      </c>
      <c r="G2116" s="304">
        <v>12</v>
      </c>
      <c r="H2116" s="304">
        <v>1</v>
      </c>
      <c r="I2116" s="304">
        <v>13</v>
      </c>
      <c r="J2116" s="304">
        <v>133</v>
      </c>
      <c r="K2116" s="304">
        <v>146</v>
      </c>
      <c r="L2116" s="304">
        <v>-9</v>
      </c>
      <c r="M2116" s="304">
        <v>0</v>
      </c>
      <c r="N2116" s="304">
        <v>1080</v>
      </c>
      <c r="O2116" s="304">
        <v>131</v>
      </c>
      <c r="P2116" s="304">
        <v>1357</v>
      </c>
      <c r="Q2116" s="304">
        <v>58605</v>
      </c>
      <c r="R2116" s="12" t="s">
        <v>5317</v>
      </c>
      <c r="S2116" s="12" t="s">
        <v>25</v>
      </c>
      <c r="T2116" s="12" t="s">
        <v>25</v>
      </c>
    </row>
    <row r="2117" spans="1:20" hidden="1" x14ac:dyDescent="0.3">
      <c r="A2117" s="13">
        <v>43985.708333333336</v>
      </c>
      <c r="B2117" s="12" t="s">
        <v>22</v>
      </c>
      <c r="C2117" s="304">
        <v>19</v>
      </c>
      <c r="D2117" s="12" t="s">
        <v>56</v>
      </c>
      <c r="E2117" s="304">
        <v>3811569725</v>
      </c>
      <c r="F2117" s="304">
        <v>133623567</v>
      </c>
      <c r="G2117" s="304">
        <v>60</v>
      </c>
      <c r="H2117" s="304">
        <v>7</v>
      </c>
      <c r="I2117" s="304">
        <v>67</v>
      </c>
      <c r="J2117" s="304">
        <v>813</v>
      </c>
      <c r="K2117" s="304">
        <v>880</v>
      </c>
      <c r="L2117" s="304">
        <v>-86</v>
      </c>
      <c r="M2117" s="304">
        <v>0</v>
      </c>
      <c r="N2117" s="304">
        <v>2292</v>
      </c>
      <c r="O2117" s="304">
        <v>275</v>
      </c>
      <c r="P2117" s="304">
        <v>3447</v>
      </c>
      <c r="Q2117" s="304">
        <v>154873</v>
      </c>
      <c r="R2117" s="12" t="s">
        <v>5318</v>
      </c>
      <c r="S2117" s="12" t="s">
        <v>25</v>
      </c>
      <c r="T2117" s="12" t="s">
        <v>25</v>
      </c>
    </row>
    <row r="2118" spans="1:20" hidden="1" x14ac:dyDescent="0.3">
      <c r="A2118" s="13">
        <v>43985.708333333336</v>
      </c>
      <c r="B2118" s="12" t="s">
        <v>22</v>
      </c>
      <c r="C2118" s="304">
        <v>9</v>
      </c>
      <c r="D2118" s="12" t="s">
        <v>57</v>
      </c>
      <c r="E2118" s="304">
        <v>4376923077</v>
      </c>
      <c r="F2118" s="304">
        <v>1125588885</v>
      </c>
      <c r="G2118" s="304">
        <v>76</v>
      </c>
      <c r="H2118" s="304">
        <v>25</v>
      </c>
      <c r="I2118" s="304">
        <v>101</v>
      </c>
      <c r="J2118" s="304">
        <v>872</v>
      </c>
      <c r="K2118" s="304">
        <v>973</v>
      </c>
      <c r="L2118" s="304">
        <v>-38</v>
      </c>
      <c r="M2118" s="304">
        <v>4</v>
      </c>
      <c r="N2118" s="304">
        <v>8093</v>
      </c>
      <c r="O2118" s="304">
        <v>1055</v>
      </c>
      <c r="P2118" s="304">
        <v>10121</v>
      </c>
      <c r="Q2118" s="304">
        <v>259167</v>
      </c>
      <c r="R2118" s="12" t="s">
        <v>5319</v>
      </c>
      <c r="S2118" s="12" t="s">
        <v>25</v>
      </c>
      <c r="T2118" s="12" t="s">
        <v>25</v>
      </c>
    </row>
    <row r="2119" spans="1:20" hidden="1" x14ac:dyDescent="0.3">
      <c r="A2119" s="13">
        <v>43985.708333333336</v>
      </c>
      <c r="B2119" s="12" t="s">
        <v>22</v>
      </c>
      <c r="C2119" s="304">
        <v>22</v>
      </c>
      <c r="D2119" s="12" t="s">
        <v>58</v>
      </c>
      <c r="E2119" s="304">
        <v>4606893511</v>
      </c>
      <c r="F2119" s="304">
        <v>1112123097</v>
      </c>
      <c r="G2119" s="304">
        <v>15</v>
      </c>
      <c r="H2119" s="304">
        <v>2</v>
      </c>
      <c r="I2119" s="304">
        <v>17</v>
      </c>
      <c r="J2119" s="304">
        <v>205</v>
      </c>
      <c r="K2119" s="304">
        <v>222</v>
      </c>
      <c r="L2119" s="304">
        <v>-61</v>
      </c>
      <c r="M2119" s="304">
        <v>1</v>
      </c>
      <c r="N2119" s="304">
        <v>3748</v>
      </c>
      <c r="O2119" s="304">
        <v>463</v>
      </c>
      <c r="P2119" s="304">
        <v>4433</v>
      </c>
      <c r="Q2119" s="304">
        <v>91021</v>
      </c>
      <c r="R2119" s="12" t="s">
        <v>5320</v>
      </c>
      <c r="S2119" s="12" t="s">
        <v>25</v>
      </c>
      <c r="T2119" s="12" t="s">
        <v>25</v>
      </c>
    </row>
    <row r="2120" spans="1:20" hidden="1" x14ac:dyDescent="0.3">
      <c r="A2120" s="13">
        <v>43985.708333333336</v>
      </c>
      <c r="B2120" s="12" t="s">
        <v>22</v>
      </c>
      <c r="C2120" s="304">
        <v>10</v>
      </c>
      <c r="D2120" s="12" t="s">
        <v>59</v>
      </c>
      <c r="E2120" s="304">
        <v>4310675841</v>
      </c>
      <c r="F2120" s="304">
        <v>1238824698</v>
      </c>
      <c r="G2120" s="304">
        <v>15</v>
      </c>
      <c r="H2120" s="304">
        <v>2</v>
      </c>
      <c r="I2120" s="304">
        <v>17</v>
      </c>
      <c r="J2120" s="304">
        <v>14</v>
      </c>
      <c r="K2120" s="304">
        <v>31</v>
      </c>
      <c r="L2120" s="304">
        <v>0</v>
      </c>
      <c r="M2120" s="304">
        <v>0</v>
      </c>
      <c r="N2120" s="304">
        <v>1324</v>
      </c>
      <c r="O2120" s="304">
        <v>76</v>
      </c>
      <c r="P2120" s="304">
        <v>1431</v>
      </c>
      <c r="Q2120" s="304">
        <v>72001</v>
      </c>
      <c r="R2120" s="12" t="s">
        <v>5321</v>
      </c>
      <c r="S2120" s="12" t="s">
        <v>25</v>
      </c>
      <c r="T2120" s="12" t="s">
        <v>25</v>
      </c>
    </row>
    <row r="2121" spans="1:20" hidden="1" x14ac:dyDescent="0.3">
      <c r="A2121" s="13">
        <v>43985.708333333336</v>
      </c>
      <c r="B2121" s="12" t="s">
        <v>22</v>
      </c>
      <c r="C2121" s="304">
        <v>2</v>
      </c>
      <c r="D2121" s="12" t="s">
        <v>60</v>
      </c>
      <c r="E2121" s="304">
        <v>4573750286</v>
      </c>
      <c r="F2121" s="304">
        <v>7320149366</v>
      </c>
      <c r="G2121" s="304">
        <v>9</v>
      </c>
      <c r="H2121" s="304">
        <v>0</v>
      </c>
      <c r="I2121" s="304">
        <v>9</v>
      </c>
      <c r="J2121" s="304">
        <v>4</v>
      </c>
      <c r="K2121" s="304">
        <v>13</v>
      </c>
      <c r="L2121" s="304">
        <v>0</v>
      </c>
      <c r="M2121" s="304">
        <v>0</v>
      </c>
      <c r="N2121" s="304">
        <v>1031</v>
      </c>
      <c r="O2121" s="304">
        <v>143</v>
      </c>
      <c r="P2121" s="304">
        <v>1187</v>
      </c>
      <c r="Q2121" s="304">
        <v>15413</v>
      </c>
      <c r="R2121" s="12" t="s">
        <v>5322</v>
      </c>
      <c r="S2121" s="12" t="s">
        <v>25</v>
      </c>
      <c r="T2121" s="12" t="s">
        <v>25</v>
      </c>
    </row>
    <row r="2122" spans="1:20" hidden="1" x14ac:dyDescent="0.3">
      <c r="A2122" s="13">
        <v>43985.708333333336</v>
      </c>
      <c r="B2122" s="12" t="s">
        <v>22</v>
      </c>
      <c r="C2122" s="305">
        <v>5</v>
      </c>
      <c r="D2122" s="12" t="s">
        <v>61</v>
      </c>
      <c r="E2122" s="305">
        <v>4543490485</v>
      </c>
      <c r="F2122" s="305">
        <v>1233845213</v>
      </c>
      <c r="G2122" s="305">
        <v>106</v>
      </c>
      <c r="H2122" s="305">
        <v>2</v>
      </c>
      <c r="I2122" s="305">
        <v>108</v>
      </c>
      <c r="J2122" s="305">
        <v>1279</v>
      </c>
      <c r="K2122" s="305">
        <v>1387</v>
      </c>
      <c r="L2122" s="305">
        <v>-16</v>
      </c>
      <c r="M2122" s="305">
        <v>2</v>
      </c>
      <c r="N2122" s="305">
        <v>15856</v>
      </c>
      <c r="O2122" s="305">
        <v>1921</v>
      </c>
      <c r="P2122" s="305">
        <v>19164</v>
      </c>
      <c r="Q2122" s="305">
        <v>695053</v>
      </c>
      <c r="R2122" s="12" t="s">
        <v>5323</v>
      </c>
      <c r="S2122" s="12" t="s">
        <v>25</v>
      </c>
      <c r="T2122" s="12" t="s">
        <v>25</v>
      </c>
    </row>
    <row r="2123" spans="1:20" hidden="1" x14ac:dyDescent="0.3">
      <c r="A2123" s="13">
        <v>43986.708333333336</v>
      </c>
      <c r="B2123" s="12" t="s">
        <v>22</v>
      </c>
      <c r="C2123" s="305">
        <v>13</v>
      </c>
      <c r="D2123" s="12" t="s">
        <v>42</v>
      </c>
      <c r="E2123" s="305">
        <v>4235122196</v>
      </c>
      <c r="F2123" s="305">
        <v>1339843823</v>
      </c>
      <c r="G2123" s="305">
        <v>109</v>
      </c>
      <c r="H2123" s="305">
        <v>3</v>
      </c>
      <c r="I2123" s="305">
        <v>112</v>
      </c>
      <c r="J2123" s="305">
        <v>592</v>
      </c>
      <c r="K2123" s="305">
        <v>704</v>
      </c>
      <c r="L2123" s="305">
        <v>-32</v>
      </c>
      <c r="M2123" s="305">
        <v>3</v>
      </c>
      <c r="N2123" s="305">
        <v>2136</v>
      </c>
      <c r="O2123" s="305">
        <v>415</v>
      </c>
      <c r="P2123" s="305">
        <v>3255</v>
      </c>
      <c r="Q2123" s="305">
        <v>79720</v>
      </c>
      <c r="R2123" s="12" t="s">
        <v>5327</v>
      </c>
      <c r="S2123" s="12" t="s">
        <v>25</v>
      </c>
      <c r="T2123" s="12" t="s">
        <v>25</v>
      </c>
    </row>
    <row r="2124" spans="1:20" hidden="1" x14ac:dyDescent="0.3">
      <c r="A2124" s="13">
        <v>43986.708333333336</v>
      </c>
      <c r="B2124" s="12" t="s">
        <v>22</v>
      </c>
      <c r="C2124" s="305">
        <v>17</v>
      </c>
      <c r="D2124" s="12" t="s">
        <v>43</v>
      </c>
      <c r="E2124" s="305">
        <v>4063947052</v>
      </c>
      <c r="F2124" s="305">
        <v>1580514834</v>
      </c>
      <c r="G2124" s="305">
        <v>3</v>
      </c>
      <c r="H2124" s="305">
        <v>0</v>
      </c>
      <c r="I2124" s="305">
        <v>3</v>
      </c>
      <c r="J2124" s="305">
        <v>17</v>
      </c>
      <c r="K2124" s="305">
        <v>20</v>
      </c>
      <c r="L2124" s="305">
        <v>-3</v>
      </c>
      <c r="M2124" s="305">
        <v>0</v>
      </c>
      <c r="N2124" s="305">
        <v>352</v>
      </c>
      <c r="O2124" s="305">
        <v>27</v>
      </c>
      <c r="P2124" s="305">
        <v>399</v>
      </c>
      <c r="Q2124" s="305">
        <v>31096</v>
      </c>
      <c r="R2124" s="12" t="s">
        <v>5328</v>
      </c>
      <c r="S2124" s="12" t="s">
        <v>25</v>
      </c>
      <c r="T2124" s="12" t="s">
        <v>25</v>
      </c>
    </row>
    <row r="2125" spans="1:20" hidden="1" x14ac:dyDescent="0.3">
      <c r="A2125" s="13">
        <v>43986.708333333336</v>
      </c>
      <c r="B2125" s="12" t="s">
        <v>22</v>
      </c>
      <c r="C2125" s="305">
        <v>21</v>
      </c>
      <c r="D2125" s="12" t="s">
        <v>44</v>
      </c>
      <c r="E2125" s="305">
        <v>4649933453</v>
      </c>
      <c r="F2125" s="305">
        <v>1135662422</v>
      </c>
      <c r="G2125" s="305">
        <v>7</v>
      </c>
      <c r="H2125" s="305">
        <v>2</v>
      </c>
      <c r="I2125" s="305">
        <v>9</v>
      </c>
      <c r="J2125" s="305">
        <v>103</v>
      </c>
      <c r="K2125" s="305">
        <v>112</v>
      </c>
      <c r="L2125" s="305">
        <v>-8</v>
      </c>
      <c r="M2125" s="305">
        <v>0</v>
      </c>
      <c r="N2125" s="305">
        <v>2194</v>
      </c>
      <c r="O2125" s="305">
        <v>292</v>
      </c>
      <c r="P2125" s="305">
        <v>2598</v>
      </c>
      <c r="Q2125" s="305">
        <v>68513</v>
      </c>
      <c r="R2125" s="12" t="s">
        <v>5329</v>
      </c>
      <c r="S2125" s="12" t="s">
        <v>25</v>
      </c>
      <c r="T2125" s="12" t="s">
        <v>25</v>
      </c>
    </row>
    <row r="2126" spans="1:20" hidden="1" x14ac:dyDescent="0.3">
      <c r="A2126" s="13">
        <v>43986.708333333336</v>
      </c>
      <c r="B2126" s="12" t="s">
        <v>22</v>
      </c>
      <c r="C2126" s="305">
        <v>18</v>
      </c>
      <c r="D2126" s="12" t="s">
        <v>45</v>
      </c>
      <c r="E2126" s="305">
        <v>3890597598</v>
      </c>
      <c r="F2126" s="305">
        <v>1659440194</v>
      </c>
      <c r="G2126" s="305">
        <v>19</v>
      </c>
      <c r="H2126" s="305">
        <v>0</v>
      </c>
      <c r="I2126" s="305">
        <v>19</v>
      </c>
      <c r="J2126" s="305">
        <v>83</v>
      </c>
      <c r="K2126" s="305">
        <v>102</v>
      </c>
      <c r="L2126" s="305">
        <v>-8</v>
      </c>
      <c r="M2126" s="305">
        <v>0</v>
      </c>
      <c r="N2126" s="305">
        <v>959</v>
      </c>
      <c r="O2126" s="305">
        <v>97</v>
      </c>
      <c r="P2126" s="305">
        <v>1158</v>
      </c>
      <c r="Q2126" s="305">
        <v>73072</v>
      </c>
      <c r="R2126" s="12" t="s">
        <v>5330</v>
      </c>
      <c r="S2126" s="12" t="s">
        <v>25</v>
      </c>
      <c r="T2126" s="12" t="s">
        <v>25</v>
      </c>
    </row>
    <row r="2127" spans="1:20" hidden="1" x14ac:dyDescent="0.3">
      <c r="A2127" s="13">
        <v>43986.708333333336</v>
      </c>
      <c r="B2127" s="12" t="s">
        <v>22</v>
      </c>
      <c r="C2127" s="305">
        <v>15</v>
      </c>
      <c r="D2127" s="12" t="s">
        <v>46</v>
      </c>
      <c r="E2127" s="305">
        <v>4083956555</v>
      </c>
      <c r="F2127" s="305">
        <v>1425084984</v>
      </c>
      <c r="G2127" s="305">
        <v>160</v>
      </c>
      <c r="H2127" s="305">
        <v>5</v>
      </c>
      <c r="I2127" s="305">
        <v>165</v>
      </c>
      <c r="J2127" s="305">
        <v>665</v>
      </c>
      <c r="K2127" s="305">
        <v>830</v>
      </c>
      <c r="L2127" s="305">
        <v>-39</v>
      </c>
      <c r="M2127" s="305">
        <v>1</v>
      </c>
      <c r="N2127" s="305">
        <v>3572</v>
      </c>
      <c r="O2127" s="305">
        <v>420</v>
      </c>
      <c r="P2127" s="305">
        <v>4822</v>
      </c>
      <c r="Q2127" s="305">
        <v>210001</v>
      </c>
      <c r="R2127" s="12" t="s">
        <v>5331</v>
      </c>
      <c r="S2127" s="12" t="s">
        <v>25</v>
      </c>
      <c r="T2127" s="12" t="s">
        <v>25</v>
      </c>
    </row>
    <row r="2128" spans="1:20" hidden="1" x14ac:dyDescent="0.3">
      <c r="A2128" s="13">
        <v>43986.708333333336</v>
      </c>
      <c r="B2128" s="12" t="s">
        <v>22</v>
      </c>
      <c r="C2128" s="305">
        <v>8</v>
      </c>
      <c r="D2128" s="12" t="s">
        <v>95</v>
      </c>
      <c r="E2128" s="305">
        <v>4449436681</v>
      </c>
      <c r="F2128" s="305">
        <v>113417208</v>
      </c>
      <c r="G2128" s="305">
        <v>320</v>
      </c>
      <c r="H2128" s="305">
        <v>49</v>
      </c>
      <c r="I2128" s="305">
        <v>369</v>
      </c>
      <c r="J2128" s="305">
        <v>2319</v>
      </c>
      <c r="K2128" s="305">
        <v>2688</v>
      </c>
      <c r="L2128" s="305">
        <v>-151</v>
      </c>
      <c r="M2128" s="305">
        <v>18</v>
      </c>
      <c r="N2128" s="305">
        <v>21018</v>
      </c>
      <c r="O2128" s="305">
        <v>4154</v>
      </c>
      <c r="P2128" s="305">
        <v>27860</v>
      </c>
      <c r="Q2128" s="305">
        <v>341710</v>
      </c>
      <c r="R2128" s="12" t="s">
        <v>5332</v>
      </c>
      <c r="S2128" s="12" t="s">
        <v>25</v>
      </c>
      <c r="T2128" s="12" t="s">
        <v>25</v>
      </c>
    </row>
    <row r="2129" spans="1:20" hidden="1" x14ac:dyDescent="0.3">
      <c r="A2129" s="13">
        <v>43986.708333333336</v>
      </c>
      <c r="B2129" s="12" t="s">
        <v>22</v>
      </c>
      <c r="C2129" s="305">
        <v>6</v>
      </c>
      <c r="D2129" s="12" t="s">
        <v>47</v>
      </c>
      <c r="E2129" s="305">
        <v>456494354</v>
      </c>
      <c r="F2129" s="305">
        <v>1376813649</v>
      </c>
      <c r="G2129" s="305">
        <v>34</v>
      </c>
      <c r="H2129" s="305">
        <v>2</v>
      </c>
      <c r="I2129" s="305">
        <v>36</v>
      </c>
      <c r="J2129" s="305">
        <v>177</v>
      </c>
      <c r="K2129" s="305">
        <v>213</v>
      </c>
      <c r="L2129" s="305">
        <v>-20</v>
      </c>
      <c r="M2129" s="305">
        <v>3</v>
      </c>
      <c r="N2129" s="305">
        <v>2730</v>
      </c>
      <c r="O2129" s="305">
        <v>336</v>
      </c>
      <c r="P2129" s="305">
        <v>3279</v>
      </c>
      <c r="Q2129" s="305">
        <v>138942</v>
      </c>
      <c r="R2129" s="12" t="s">
        <v>5333</v>
      </c>
      <c r="S2129" s="12" t="s">
        <v>25</v>
      </c>
      <c r="T2129" s="12" t="s">
        <v>25</v>
      </c>
    </row>
    <row r="2130" spans="1:20" hidden="1" x14ac:dyDescent="0.3">
      <c r="A2130" s="13">
        <v>43986.708333333336</v>
      </c>
      <c r="B2130" s="12" t="s">
        <v>22</v>
      </c>
      <c r="C2130" s="305">
        <v>12</v>
      </c>
      <c r="D2130" s="12" t="s">
        <v>48</v>
      </c>
      <c r="E2130" s="305">
        <v>4189277044</v>
      </c>
      <c r="F2130" s="305">
        <v>1248366722</v>
      </c>
      <c r="G2130" s="305">
        <v>488</v>
      </c>
      <c r="H2130" s="305">
        <v>51</v>
      </c>
      <c r="I2130" s="305">
        <v>539</v>
      </c>
      <c r="J2130" s="305">
        <v>2215</v>
      </c>
      <c r="K2130" s="305">
        <v>2754</v>
      </c>
      <c r="L2130" s="305">
        <v>-64</v>
      </c>
      <c r="M2130" s="305">
        <v>11</v>
      </c>
      <c r="N2130" s="305">
        <v>4260</v>
      </c>
      <c r="O2130" s="305">
        <v>750</v>
      </c>
      <c r="P2130" s="305">
        <v>7764</v>
      </c>
      <c r="Q2130" s="305">
        <v>265380</v>
      </c>
      <c r="R2130" s="12" t="s">
        <v>5334</v>
      </c>
      <c r="S2130" s="12" t="s">
        <v>25</v>
      </c>
      <c r="T2130" s="12" t="s">
        <v>25</v>
      </c>
    </row>
    <row r="2131" spans="1:20" x14ac:dyDescent="0.3">
      <c r="A2131" s="13">
        <v>43986.708333333336</v>
      </c>
      <c r="B2131" s="12" t="s">
        <v>22</v>
      </c>
      <c r="C2131" s="305">
        <v>7</v>
      </c>
      <c r="D2131" s="12" t="s">
        <v>49</v>
      </c>
      <c r="E2131" s="305">
        <v>4441149315</v>
      </c>
      <c r="F2131" s="305">
        <v>89326992</v>
      </c>
      <c r="G2131" s="305">
        <v>149</v>
      </c>
      <c r="H2131" s="305">
        <v>6</v>
      </c>
      <c r="I2131" s="305">
        <v>155</v>
      </c>
      <c r="J2131" s="305">
        <v>239</v>
      </c>
      <c r="K2131" s="305">
        <v>394</v>
      </c>
      <c r="L2131" s="305">
        <v>-120</v>
      </c>
      <c r="M2131" s="305">
        <v>21</v>
      </c>
      <c r="N2131" s="305">
        <v>7899</v>
      </c>
      <c r="O2131" s="305">
        <v>1479</v>
      </c>
      <c r="P2131" s="305">
        <v>9772</v>
      </c>
      <c r="Q2131" s="305">
        <v>111587</v>
      </c>
      <c r="R2131" s="12" t="s">
        <v>5335</v>
      </c>
      <c r="S2131" s="12" t="s">
        <v>25</v>
      </c>
      <c r="T2131" s="12" t="s">
        <v>25</v>
      </c>
    </row>
    <row r="2132" spans="1:20" hidden="1" x14ac:dyDescent="0.3">
      <c r="A2132" s="13">
        <v>43986.708333333336</v>
      </c>
      <c r="B2132" s="12" t="s">
        <v>22</v>
      </c>
      <c r="C2132" s="305">
        <v>3</v>
      </c>
      <c r="D2132" s="12" t="s">
        <v>50</v>
      </c>
      <c r="E2132" s="305">
        <v>4546679409</v>
      </c>
      <c r="F2132" s="305">
        <v>9190347404</v>
      </c>
      <c r="G2132" s="305">
        <v>2954</v>
      </c>
      <c r="H2132" s="305">
        <v>125</v>
      </c>
      <c r="I2132" s="305">
        <v>3079</v>
      </c>
      <c r="J2132" s="305">
        <v>17145</v>
      </c>
      <c r="K2132" s="305">
        <v>20224</v>
      </c>
      <c r="L2132" s="305">
        <v>0</v>
      </c>
      <c r="M2132" s="305">
        <v>84</v>
      </c>
      <c r="N2132" s="305">
        <v>53101</v>
      </c>
      <c r="O2132" s="305">
        <v>16201</v>
      </c>
      <c r="P2132" s="305">
        <v>89526</v>
      </c>
      <c r="Q2132" s="305">
        <v>780887</v>
      </c>
      <c r="R2132" s="12" t="s">
        <v>5336</v>
      </c>
      <c r="S2132" s="12" t="s">
        <v>25</v>
      </c>
      <c r="T2132" s="12" t="s">
        <v>25</v>
      </c>
    </row>
    <row r="2133" spans="1:20" hidden="1" x14ac:dyDescent="0.3">
      <c r="A2133" s="13">
        <v>43986.708333333336</v>
      </c>
      <c r="B2133" s="12" t="s">
        <v>22</v>
      </c>
      <c r="C2133" s="305">
        <v>11</v>
      </c>
      <c r="D2133" s="12" t="s">
        <v>51</v>
      </c>
      <c r="E2133" s="305">
        <v>4361675973</v>
      </c>
      <c r="F2133" s="305">
        <v>135188753</v>
      </c>
      <c r="G2133" s="305">
        <v>52</v>
      </c>
      <c r="H2133" s="305">
        <v>5</v>
      </c>
      <c r="I2133" s="305">
        <v>57</v>
      </c>
      <c r="J2133" s="305">
        <v>1246</v>
      </c>
      <c r="K2133" s="305">
        <v>1303</v>
      </c>
      <c r="L2133" s="305">
        <v>-7</v>
      </c>
      <c r="M2133" s="305">
        <v>3</v>
      </c>
      <c r="N2133" s="305">
        <v>4447</v>
      </c>
      <c r="O2133" s="305">
        <v>988</v>
      </c>
      <c r="P2133" s="305">
        <v>6738</v>
      </c>
      <c r="Q2133" s="305">
        <v>110077</v>
      </c>
      <c r="R2133" s="12" t="s">
        <v>5337</v>
      </c>
      <c r="S2133" s="12" t="s">
        <v>5338</v>
      </c>
      <c r="T2133" s="12" t="s">
        <v>5338</v>
      </c>
    </row>
    <row r="2134" spans="1:20" hidden="1" x14ac:dyDescent="0.3">
      <c r="A2134" s="13">
        <v>43986.708333333336</v>
      </c>
      <c r="B2134" s="12" t="s">
        <v>22</v>
      </c>
      <c r="C2134" s="305">
        <v>14</v>
      </c>
      <c r="D2134" s="12" t="s">
        <v>52</v>
      </c>
      <c r="E2134" s="305">
        <v>4155774754</v>
      </c>
      <c r="F2134" s="305">
        <v>1465916051</v>
      </c>
      <c r="G2134" s="305">
        <v>0</v>
      </c>
      <c r="H2134" s="305">
        <v>2</v>
      </c>
      <c r="I2134" s="305">
        <v>2</v>
      </c>
      <c r="J2134" s="305">
        <v>123</v>
      </c>
      <c r="K2134" s="305">
        <v>125</v>
      </c>
      <c r="L2134" s="305">
        <v>-2</v>
      </c>
      <c r="M2134" s="305">
        <v>0</v>
      </c>
      <c r="N2134" s="305">
        <v>288</v>
      </c>
      <c r="O2134" s="305">
        <v>23</v>
      </c>
      <c r="P2134" s="305">
        <v>436</v>
      </c>
      <c r="Q2134" s="305">
        <v>15261</v>
      </c>
      <c r="R2134" s="12" t="s">
        <v>5339</v>
      </c>
      <c r="S2134" s="12" t="s">
        <v>25</v>
      </c>
      <c r="T2134" s="12" t="s">
        <v>25</v>
      </c>
    </row>
    <row r="2135" spans="1:20" hidden="1" x14ac:dyDescent="0.3">
      <c r="A2135" s="13">
        <v>43986.708333333336</v>
      </c>
      <c r="B2135" s="12" t="s">
        <v>22</v>
      </c>
      <c r="C2135" s="305">
        <v>1</v>
      </c>
      <c r="D2135" s="12" t="s">
        <v>53</v>
      </c>
      <c r="E2135" s="305">
        <v>450732745</v>
      </c>
      <c r="F2135" s="305">
        <v>7680687483</v>
      </c>
      <c r="G2135" s="305">
        <v>808</v>
      </c>
      <c r="H2135" s="305">
        <v>43</v>
      </c>
      <c r="I2135" s="305">
        <v>851</v>
      </c>
      <c r="J2135" s="305">
        <v>3705</v>
      </c>
      <c r="K2135" s="305">
        <v>4556</v>
      </c>
      <c r="L2135" s="305">
        <v>-130</v>
      </c>
      <c r="M2135" s="305">
        <v>24</v>
      </c>
      <c r="N2135" s="305">
        <v>22292</v>
      </c>
      <c r="O2135" s="305">
        <v>3910</v>
      </c>
      <c r="P2135" s="305">
        <v>30758</v>
      </c>
      <c r="Q2135" s="305">
        <v>331241</v>
      </c>
      <c r="R2135" s="12" t="s">
        <v>5340</v>
      </c>
      <c r="S2135" s="12" t="s">
        <v>25</v>
      </c>
      <c r="T2135" s="12" t="s">
        <v>25</v>
      </c>
    </row>
    <row r="2136" spans="1:20" hidden="1" x14ac:dyDescent="0.3">
      <c r="A2136" s="13">
        <v>43986.708333333336</v>
      </c>
      <c r="B2136" s="12" t="s">
        <v>22</v>
      </c>
      <c r="C2136" s="305">
        <v>16</v>
      </c>
      <c r="D2136" s="12" t="s">
        <v>54</v>
      </c>
      <c r="E2136" s="305">
        <v>4112559576</v>
      </c>
      <c r="F2136" s="305">
        <v>1686736689</v>
      </c>
      <c r="G2136" s="305">
        <v>131</v>
      </c>
      <c r="H2136" s="305">
        <v>9</v>
      </c>
      <c r="I2136" s="305">
        <v>140</v>
      </c>
      <c r="J2136" s="305">
        <v>827</v>
      </c>
      <c r="K2136" s="305">
        <v>967</v>
      </c>
      <c r="L2136" s="305">
        <v>-69</v>
      </c>
      <c r="M2136" s="305">
        <v>4</v>
      </c>
      <c r="N2136" s="305">
        <v>3022</v>
      </c>
      <c r="O2136" s="305">
        <v>514</v>
      </c>
      <c r="P2136" s="305">
        <v>4503</v>
      </c>
      <c r="Q2136" s="305">
        <v>125049</v>
      </c>
      <c r="R2136" s="12" t="s">
        <v>5341</v>
      </c>
      <c r="S2136" s="12" t="s">
        <v>25</v>
      </c>
      <c r="T2136" s="12" t="s">
        <v>25</v>
      </c>
    </row>
    <row r="2137" spans="1:20" hidden="1" x14ac:dyDescent="0.3">
      <c r="A2137" s="13">
        <v>43986.708333333336</v>
      </c>
      <c r="B2137" s="12" t="s">
        <v>22</v>
      </c>
      <c r="C2137" s="305">
        <v>20</v>
      </c>
      <c r="D2137" s="12" t="s">
        <v>55</v>
      </c>
      <c r="E2137" s="305">
        <v>3921531192</v>
      </c>
      <c r="F2137" s="305">
        <v>9110616306</v>
      </c>
      <c r="G2137" s="305">
        <v>12</v>
      </c>
      <c r="H2137" s="305">
        <v>1</v>
      </c>
      <c r="I2137" s="305">
        <v>13</v>
      </c>
      <c r="J2137" s="305">
        <v>95</v>
      </c>
      <c r="K2137" s="305">
        <v>108</v>
      </c>
      <c r="L2137" s="305">
        <v>-38</v>
      </c>
      <c r="M2137" s="305">
        <v>0</v>
      </c>
      <c r="N2137" s="305">
        <v>1118</v>
      </c>
      <c r="O2137" s="305">
        <v>131</v>
      </c>
      <c r="P2137" s="305">
        <v>1357</v>
      </c>
      <c r="Q2137" s="305">
        <v>59556</v>
      </c>
      <c r="R2137" s="12" t="s">
        <v>5342</v>
      </c>
      <c r="S2137" s="12" t="s">
        <v>25</v>
      </c>
      <c r="T2137" s="12" t="s">
        <v>25</v>
      </c>
    </row>
    <row r="2138" spans="1:20" hidden="1" x14ac:dyDescent="0.3">
      <c r="A2138" s="13">
        <v>43986.708333333336</v>
      </c>
      <c r="B2138" s="12" t="s">
        <v>22</v>
      </c>
      <c r="C2138" s="305">
        <v>19</v>
      </c>
      <c r="D2138" s="12" t="s">
        <v>56</v>
      </c>
      <c r="E2138" s="305">
        <v>3811569725</v>
      </c>
      <c r="F2138" s="305">
        <v>133623567</v>
      </c>
      <c r="G2138" s="305">
        <v>57</v>
      </c>
      <c r="H2138" s="305">
        <v>6</v>
      </c>
      <c r="I2138" s="305">
        <v>63</v>
      </c>
      <c r="J2138" s="305">
        <v>816</v>
      </c>
      <c r="K2138" s="305">
        <v>879</v>
      </c>
      <c r="L2138" s="305">
        <v>-1</v>
      </c>
      <c r="M2138" s="305">
        <v>0</v>
      </c>
      <c r="N2138" s="305">
        <v>2292</v>
      </c>
      <c r="O2138" s="305">
        <v>276</v>
      </c>
      <c r="P2138" s="305">
        <v>3447</v>
      </c>
      <c r="Q2138" s="305">
        <v>157868</v>
      </c>
      <c r="R2138" s="12" t="s">
        <v>5343</v>
      </c>
      <c r="S2138" s="12" t="s">
        <v>25</v>
      </c>
      <c r="T2138" s="12" t="s">
        <v>25</v>
      </c>
    </row>
    <row r="2139" spans="1:20" hidden="1" x14ac:dyDescent="0.3">
      <c r="A2139" s="13">
        <v>43986.708333333336</v>
      </c>
      <c r="B2139" s="12" t="s">
        <v>22</v>
      </c>
      <c r="C2139" s="305">
        <v>9</v>
      </c>
      <c r="D2139" s="12" t="s">
        <v>57</v>
      </c>
      <c r="E2139" s="305">
        <v>4376923077</v>
      </c>
      <c r="F2139" s="305">
        <v>1125588885</v>
      </c>
      <c r="G2139" s="305">
        <v>65</v>
      </c>
      <c r="H2139" s="305">
        <v>24</v>
      </c>
      <c r="I2139" s="305">
        <v>89</v>
      </c>
      <c r="J2139" s="305">
        <v>794</v>
      </c>
      <c r="K2139" s="305">
        <v>883</v>
      </c>
      <c r="L2139" s="305">
        <v>-90</v>
      </c>
      <c r="M2139" s="305">
        <v>1</v>
      </c>
      <c r="N2139" s="305">
        <v>8180</v>
      </c>
      <c r="O2139" s="305">
        <v>1059</v>
      </c>
      <c r="P2139" s="305">
        <v>10122</v>
      </c>
      <c r="Q2139" s="305">
        <v>262762</v>
      </c>
      <c r="R2139" s="12" t="s">
        <v>5344</v>
      </c>
      <c r="S2139" s="12" t="s">
        <v>25</v>
      </c>
      <c r="T2139" s="12" t="s">
        <v>25</v>
      </c>
    </row>
    <row r="2140" spans="1:20" hidden="1" x14ac:dyDescent="0.3">
      <c r="A2140" s="13">
        <v>43986.708333333336</v>
      </c>
      <c r="B2140" s="12" t="s">
        <v>22</v>
      </c>
      <c r="C2140" s="305">
        <v>22</v>
      </c>
      <c r="D2140" s="12" t="s">
        <v>58</v>
      </c>
      <c r="E2140" s="305">
        <v>4606893511</v>
      </c>
      <c r="F2140" s="305">
        <v>1112123097</v>
      </c>
      <c r="G2140" s="305">
        <v>14</v>
      </c>
      <c r="H2140" s="305">
        <v>1</v>
      </c>
      <c r="I2140" s="305">
        <v>15</v>
      </c>
      <c r="J2140" s="305">
        <v>192</v>
      </c>
      <c r="K2140" s="305">
        <v>207</v>
      </c>
      <c r="L2140" s="305">
        <v>-15</v>
      </c>
      <c r="M2140" s="305">
        <v>0</v>
      </c>
      <c r="N2140" s="305">
        <v>3762</v>
      </c>
      <c r="O2140" s="305">
        <v>464</v>
      </c>
      <c r="P2140" s="305">
        <v>4433</v>
      </c>
      <c r="Q2140" s="305">
        <v>91631</v>
      </c>
      <c r="R2140" s="12" t="s">
        <v>5345</v>
      </c>
      <c r="S2140" s="12" t="s">
        <v>25</v>
      </c>
      <c r="T2140" s="12" t="s">
        <v>25</v>
      </c>
    </row>
    <row r="2141" spans="1:20" hidden="1" x14ac:dyDescent="0.3">
      <c r="A2141" s="13">
        <v>43986.708333333336</v>
      </c>
      <c r="B2141" s="12" t="s">
        <v>22</v>
      </c>
      <c r="C2141" s="305">
        <v>10</v>
      </c>
      <c r="D2141" s="12" t="s">
        <v>59</v>
      </c>
      <c r="E2141" s="305">
        <v>4310675841</v>
      </c>
      <c r="F2141" s="305">
        <v>1238824698</v>
      </c>
      <c r="G2141" s="305">
        <v>15</v>
      </c>
      <c r="H2141" s="305">
        <v>2</v>
      </c>
      <c r="I2141" s="305">
        <v>17</v>
      </c>
      <c r="J2141" s="305">
        <v>14</v>
      </c>
      <c r="K2141" s="305">
        <v>31</v>
      </c>
      <c r="L2141" s="305">
        <v>0</v>
      </c>
      <c r="M2141" s="305">
        <v>0</v>
      </c>
      <c r="N2141" s="305">
        <v>1324</v>
      </c>
      <c r="O2141" s="305">
        <v>76</v>
      </c>
      <c r="P2141" s="305">
        <v>1431</v>
      </c>
      <c r="Q2141" s="305">
        <v>73204</v>
      </c>
      <c r="R2141" s="12" t="s">
        <v>5346</v>
      </c>
      <c r="S2141" s="12" t="s">
        <v>25</v>
      </c>
      <c r="T2141" s="12" t="s">
        <v>25</v>
      </c>
    </row>
    <row r="2142" spans="1:20" hidden="1" x14ac:dyDescent="0.3">
      <c r="A2142" s="13">
        <v>43986.708333333336</v>
      </c>
      <c r="B2142" s="12" t="s">
        <v>22</v>
      </c>
      <c r="C2142" s="305">
        <v>2</v>
      </c>
      <c r="D2142" s="12" t="s">
        <v>60</v>
      </c>
      <c r="E2142" s="305">
        <v>4573750286</v>
      </c>
      <c r="F2142" s="305">
        <v>7320149366</v>
      </c>
      <c r="G2142" s="305">
        <v>9</v>
      </c>
      <c r="H2142" s="305">
        <v>0</v>
      </c>
      <c r="I2142" s="305">
        <v>9</v>
      </c>
      <c r="J2142" s="305">
        <v>1</v>
      </c>
      <c r="K2142" s="305">
        <v>10</v>
      </c>
      <c r="L2142" s="305">
        <v>-3</v>
      </c>
      <c r="M2142" s="305">
        <v>0</v>
      </c>
      <c r="N2142" s="305">
        <v>1034</v>
      </c>
      <c r="O2142" s="305">
        <v>143</v>
      </c>
      <c r="P2142" s="305">
        <v>1187</v>
      </c>
      <c r="Q2142" s="305">
        <v>15512</v>
      </c>
      <c r="R2142" s="12" t="s">
        <v>5347</v>
      </c>
      <c r="S2142" s="12" t="s">
        <v>25</v>
      </c>
      <c r="T2142" s="12" t="s">
        <v>25</v>
      </c>
    </row>
    <row r="2143" spans="1:20" hidden="1" x14ac:dyDescent="0.3">
      <c r="A2143" s="13">
        <v>43986.708333333336</v>
      </c>
      <c r="B2143" s="12" t="s">
        <v>22</v>
      </c>
      <c r="C2143" s="305">
        <v>5</v>
      </c>
      <c r="D2143" s="12" t="s">
        <v>61</v>
      </c>
      <c r="E2143" s="305">
        <v>4543490485</v>
      </c>
      <c r="F2143" s="305">
        <v>1233845213</v>
      </c>
      <c r="G2143" s="305">
        <v>97</v>
      </c>
      <c r="H2143" s="305">
        <v>2</v>
      </c>
      <c r="I2143" s="305">
        <v>99</v>
      </c>
      <c r="J2143" s="305">
        <v>1220</v>
      </c>
      <c r="K2143" s="305">
        <v>1319</v>
      </c>
      <c r="L2143" s="305">
        <v>-68</v>
      </c>
      <c r="M2143" s="305">
        <v>4</v>
      </c>
      <c r="N2143" s="305">
        <v>15915</v>
      </c>
      <c r="O2143" s="305">
        <v>1934</v>
      </c>
      <c r="P2143" s="305">
        <v>19168</v>
      </c>
      <c r="Q2143" s="305">
        <v>706475</v>
      </c>
      <c r="R2143" s="12" t="s">
        <v>5348</v>
      </c>
      <c r="S2143" s="12" t="s">
        <v>25</v>
      </c>
      <c r="T2143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topLeftCell="G1" zoomScale="70" zoomScaleNormal="70" workbookViewId="0"/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86" customWidth="1"/>
    <col min="8" max="8" width="16.21875" style="2" bestFit="1" customWidth="1"/>
    <col min="9" max="9" width="9.33203125" style="2" customWidth="1"/>
    <col min="10" max="10" width="9.33203125" style="86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86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86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2.21875" style="2" bestFit="1" customWidth="1"/>
    <col min="30" max="30" width="23.44140625" style="2" bestFit="1" customWidth="1"/>
    <col min="31" max="31" width="17.88671875" style="2" bestFit="1" customWidth="1"/>
    <col min="32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59" customWidth="1"/>
    <col min="54" max="54" width="4.5546875" style="59" bestFit="1" customWidth="1"/>
    <col min="55" max="55" width="4.5546875" style="2" bestFit="1" customWidth="1"/>
    <col min="56" max="56" width="17.109375" style="59" customWidth="1"/>
    <col min="57" max="57" width="4.5546875" style="59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31"/>
      <c r="W1" s="131"/>
      <c r="AX1" s="315"/>
      <c r="AY1" s="315"/>
      <c r="BA1" s="316"/>
      <c r="BB1" s="316"/>
      <c r="BD1" s="307"/>
      <c r="BE1" s="307"/>
    </row>
    <row r="2" spans="2:65" ht="24" thickBot="1" x14ac:dyDescent="0.5">
      <c r="B2" s="322" t="s">
        <v>11</v>
      </c>
      <c r="C2" s="322"/>
      <c r="D2" s="322"/>
      <c r="E2" s="322"/>
      <c r="F2" s="322"/>
      <c r="G2" s="322"/>
      <c r="H2" s="322"/>
      <c r="I2" s="322"/>
      <c r="J2" s="322"/>
      <c r="K2" s="322"/>
      <c r="P2" s="131"/>
      <c r="S2" s="53"/>
      <c r="W2" s="131"/>
      <c r="AE2" s="56"/>
      <c r="AF2" s="325"/>
      <c r="AG2" s="325"/>
      <c r="AH2" s="325"/>
      <c r="AI2" s="325"/>
      <c r="AJ2" s="325"/>
      <c r="AX2" s="315"/>
      <c r="AY2" s="315"/>
      <c r="BA2" s="316"/>
      <c r="BB2" s="316"/>
      <c r="BD2" s="307"/>
      <c r="BE2" s="307"/>
    </row>
    <row r="3" spans="2:65" ht="17.399999999999999" customHeight="1" thickBot="1" x14ac:dyDescent="0.65">
      <c r="B3" s="11"/>
      <c r="I3" s="326"/>
      <c r="J3" s="326"/>
      <c r="K3" s="326"/>
      <c r="L3" s="326"/>
      <c r="O3" s="70"/>
      <c r="P3" s="131"/>
      <c r="Q3" s="69"/>
      <c r="S3" s="53"/>
      <c r="W3" s="131"/>
      <c r="Y3" s="19"/>
      <c r="AA3" s="296" t="s">
        <v>4813</v>
      </c>
      <c r="AB3" s="297"/>
      <c r="AC3" s="298" t="s">
        <v>4814</v>
      </c>
      <c r="AD3" s="299" t="s">
        <v>4816</v>
      </c>
      <c r="AE3" s="84" t="s">
        <v>0</v>
      </c>
      <c r="AF3" s="323" t="s">
        <v>115</v>
      </c>
      <c r="AG3" s="323"/>
      <c r="AH3" s="323"/>
      <c r="AI3" s="323"/>
      <c r="AJ3" s="323"/>
      <c r="AX3" s="318"/>
      <c r="AY3" s="318"/>
      <c r="BA3" s="317"/>
      <c r="BB3" s="317"/>
      <c r="BD3" s="319"/>
      <c r="BE3" s="319"/>
    </row>
    <row r="4" spans="2:65" ht="20.399999999999999" thickBot="1" x14ac:dyDescent="0.45">
      <c r="B4" s="324" t="s">
        <v>4773</v>
      </c>
      <c r="C4" s="324"/>
      <c r="D4" s="324"/>
      <c r="E4" s="324"/>
      <c r="F4" s="324"/>
      <c r="G4" s="324"/>
      <c r="H4" s="324"/>
      <c r="I4" s="326"/>
      <c r="J4" s="326"/>
      <c r="K4" s="326"/>
      <c r="L4" s="326"/>
      <c r="P4" s="131"/>
      <c r="S4" s="53"/>
      <c r="W4" s="131"/>
      <c r="Y4" s="37"/>
      <c r="AA4" s="309" t="s">
        <v>4815</v>
      </c>
      <c r="AB4" s="310"/>
      <c r="AC4" s="310"/>
      <c r="AD4" s="311"/>
      <c r="AE4" s="84" t="s">
        <v>4737</v>
      </c>
      <c r="AF4" s="323" t="s">
        <v>115</v>
      </c>
      <c r="AG4" s="323"/>
      <c r="AH4" s="323"/>
      <c r="AI4" s="323"/>
      <c r="AJ4" s="323"/>
      <c r="AX4" s="315"/>
      <c r="AY4" s="315"/>
      <c r="BA4" s="316"/>
      <c r="BB4" s="316"/>
      <c r="BD4" s="307"/>
      <c r="BE4" s="307"/>
    </row>
    <row r="5" spans="2:65" ht="18.600000000000001" thickTop="1" thickBot="1" x14ac:dyDescent="0.4">
      <c r="B5" s="328" t="s">
        <v>132</v>
      </c>
      <c r="C5" s="328"/>
      <c r="D5" s="328"/>
      <c r="E5" s="328"/>
      <c r="F5" s="328"/>
      <c r="G5" s="328"/>
      <c r="H5" s="118">
        <f>Start_data+pt</f>
        <v>43899.480394693652</v>
      </c>
      <c r="I5" s="326"/>
      <c r="J5" s="326"/>
      <c r="K5" s="326"/>
      <c r="L5" s="326"/>
      <c r="M5" s="308" t="s">
        <v>4770</v>
      </c>
      <c r="N5" s="308"/>
      <c r="O5" s="308"/>
      <c r="P5" s="308"/>
      <c r="Q5" s="329"/>
      <c r="R5" s="118">
        <f>Start_data+pr</f>
        <v>43907.356483051342</v>
      </c>
      <c r="S5" s="330" t="s">
        <v>4772</v>
      </c>
      <c r="T5" s="308"/>
      <c r="U5" s="308"/>
      <c r="V5" s="308"/>
      <c r="W5" s="308"/>
      <c r="X5" s="329"/>
      <c r="Y5" s="118">
        <f>Start_data+po</f>
        <v>43898.882529907642</v>
      </c>
      <c r="AA5" s="294">
        <f>1+(2*psi_r/(1/18))*TANH(phi_r)</f>
        <v>1.5800959869161924</v>
      </c>
      <c r="AC5" s="295">
        <f>_xlfn.XLOOKUP(ROUND(pr,0),Tabella8[Day],Tabella8[Date])</f>
        <v>43906</v>
      </c>
      <c r="AD5" s="63"/>
      <c r="AE5" s="84" t="s">
        <v>4738</v>
      </c>
      <c r="AF5" s="323" t="s">
        <v>4739</v>
      </c>
      <c r="AG5" s="323"/>
      <c r="AH5" s="323"/>
      <c r="AI5" s="323"/>
      <c r="AJ5" s="323"/>
      <c r="AX5" s="315"/>
      <c r="AY5" s="315"/>
      <c r="BA5" s="316"/>
      <c r="BB5" s="316"/>
      <c r="BD5" s="307"/>
      <c r="BE5" s="307"/>
    </row>
    <row r="6" spans="2:65" ht="19.2" thickTop="1" thickBot="1" x14ac:dyDescent="0.4">
      <c r="B6" s="110">
        <f ca="1">TODAY()</f>
        <v>43987</v>
      </c>
      <c r="C6" s="111">
        <f ca="1">Oggi-Start_data+1</f>
        <v>157</v>
      </c>
      <c r="D6" s="327" t="s">
        <v>304</v>
      </c>
      <c r="E6" s="327"/>
      <c r="F6" s="111">
        <v>0</v>
      </c>
      <c r="G6" s="111">
        <v>1</v>
      </c>
      <c r="H6" s="119">
        <f>pt</f>
        <v>68.480394693650979</v>
      </c>
      <c r="I6" s="326"/>
      <c r="J6" s="326"/>
      <c r="K6" s="326"/>
      <c r="L6" s="326"/>
      <c r="M6" s="308" t="s">
        <v>4771</v>
      </c>
      <c r="N6" s="308"/>
      <c r="O6" s="308"/>
      <c r="P6" s="308"/>
      <c r="Q6" s="308"/>
      <c r="R6" s="119">
        <f>pr</f>
        <v>76.356483051343162</v>
      </c>
      <c r="S6" s="308" t="s">
        <v>4771</v>
      </c>
      <c r="T6" s="308"/>
      <c r="U6" s="308"/>
      <c r="V6" s="308"/>
      <c r="W6" s="308"/>
      <c r="X6" s="308"/>
      <c r="Y6" s="119">
        <f>po</f>
        <v>67.882529907638357</v>
      </c>
      <c r="AE6" s="269" t="s">
        <v>356</v>
      </c>
      <c r="AF6" s="323" t="s">
        <v>115</v>
      </c>
      <c r="AG6" s="323"/>
      <c r="AH6" s="323"/>
      <c r="AI6" s="323"/>
      <c r="AJ6" s="323"/>
      <c r="AX6" s="306"/>
      <c r="AY6" s="306"/>
      <c r="BA6" s="320"/>
      <c r="BB6" s="320"/>
      <c r="BD6" s="321"/>
      <c r="BE6" s="321"/>
      <c r="BM6" s="80"/>
    </row>
    <row r="7" spans="2:65" ht="43.2" x14ac:dyDescent="0.3">
      <c r="B7" s="4" t="s">
        <v>9</v>
      </c>
      <c r="C7" s="4" t="s">
        <v>10</v>
      </c>
      <c r="D7" s="4" t="s">
        <v>84</v>
      </c>
      <c r="E7" s="4" t="s">
        <v>100</v>
      </c>
      <c r="F7" s="8" t="s">
        <v>291</v>
      </c>
      <c r="G7" s="8" t="s">
        <v>301</v>
      </c>
      <c r="H7" s="8" t="s">
        <v>101</v>
      </c>
      <c r="I7" s="8" t="s">
        <v>85</v>
      </c>
      <c r="J7" s="8" t="s">
        <v>302</v>
      </c>
      <c r="K7" s="8" t="s">
        <v>102</v>
      </c>
      <c r="L7" s="8" t="s">
        <v>7</v>
      </c>
      <c r="M7" s="8" t="s">
        <v>8</v>
      </c>
      <c r="N7" s="4" t="s">
        <v>4740</v>
      </c>
      <c r="O7" s="4" t="s">
        <v>103</v>
      </c>
      <c r="P7" s="8" t="s">
        <v>4741</v>
      </c>
      <c r="Q7" s="8" t="s">
        <v>4742</v>
      </c>
      <c r="R7" s="8" t="s">
        <v>104</v>
      </c>
      <c r="S7" s="8" t="s">
        <v>79</v>
      </c>
      <c r="T7" s="8" t="s">
        <v>80</v>
      </c>
      <c r="U7" s="4" t="s">
        <v>118</v>
      </c>
      <c r="V7" s="4" t="s">
        <v>105</v>
      </c>
      <c r="W7" s="8" t="s">
        <v>119</v>
      </c>
      <c r="X7" s="8" t="s">
        <v>303</v>
      </c>
      <c r="Y7" s="8" t="s">
        <v>106</v>
      </c>
      <c r="Z7" s="8" t="s">
        <v>81</v>
      </c>
      <c r="AA7" s="8" t="s">
        <v>82</v>
      </c>
      <c r="AB7" s="8"/>
      <c r="AC7" s="20" t="s">
        <v>120</v>
      </c>
      <c r="AD7" s="21" t="s">
        <v>116</v>
      </c>
      <c r="AE7" s="3"/>
      <c r="AR7" s="282" t="s">
        <v>99</v>
      </c>
      <c r="AX7" s="64"/>
      <c r="AY7" s="64"/>
      <c r="BA7" s="66"/>
      <c r="BB7" s="66"/>
      <c r="BD7" s="67"/>
      <c r="BE7" s="67"/>
      <c r="BM7" s="80"/>
    </row>
    <row r="8" spans="2:65" x14ac:dyDescent="0.3">
      <c r="B8" s="135">
        <v>43831</v>
      </c>
      <c r="C8" s="4">
        <v>1</v>
      </c>
      <c r="D8" s="141"/>
      <c r="E8" s="10">
        <f>Tabella8[[#This Row],[Italy cumulative]]*NOT(ISBLANK(Tabella8[[#This Row],[Italy cumulative]]))</f>
        <v>0</v>
      </c>
      <c r="F8" s="10">
        <f>Tabella8[[#This Row],[region fit]]+Tabella8[[#This Row],[rest of Italy fit]]</f>
        <v>0</v>
      </c>
      <c r="G8" s="72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32">
        <f>MAX(Kt*(TANH(psi_t*(Tabella8[[#This Row],[Day]]-pt)-phi_t)+TANH(phi_t))/(1+TANH(phi_t)),0)</f>
        <v>0</v>
      </c>
      <c r="J8" s="133">
        <f>Tabella8[[#This Row],[Italy fit]]/Kt</f>
        <v>0</v>
      </c>
      <c r="K8" s="22">
        <f>Tabella8[[#This Row],[Italy fit]]*NOT(ISBLANK(Tabella8[[#This Row],[Italy cumulative]]))</f>
        <v>0</v>
      </c>
      <c r="L8" s="10">
        <f>Tabella8[[#This Row],[Italy sum of regions]]+CI</f>
        <v>2757.9323654779196</v>
      </c>
      <c r="M8" s="10">
        <f>MAX(Tabella8[[#This Row],[Italy sum of regions]]-CI,0)</f>
        <v>0</v>
      </c>
      <c r="N8" s="139"/>
      <c r="O8" s="10">
        <f>Tabella8[[#This Row],[region data]]*NOT(ISBLANK(Tabella8[[#This Row],[region data]]))</f>
        <v>0</v>
      </c>
      <c r="P8" s="132">
        <f>MAX(Kr*(TANH(psi_r*(Tabella8[[#This Row],[Day]]-pr)-phi_r)+TANH(phi_r))/(1+TANH(phi_r)),0)</f>
        <v>0</v>
      </c>
      <c r="Q8" s="107">
        <f>Tabella8[[#This Row],[region fit]]/Kr</f>
        <v>0</v>
      </c>
      <c r="R8" s="10">
        <f>Tabella8[[#This Row],[region fit]]*NOT(ISBLANK(Tabella8[[#This Row],[region data]]))</f>
        <v>0</v>
      </c>
      <c r="S8" s="10">
        <f>Tabella8[[#This Row],[region fit]]+CIr</f>
        <v>169.91071626612398</v>
      </c>
      <c r="T8" s="10">
        <f>MAX(Tabella8[[#This Row],[region fit]]-CIr,0)</f>
        <v>0</v>
      </c>
      <c r="U8" s="141"/>
      <c r="V8" s="10">
        <f>Tabella8[[#This Row],[rest of Italy ]]*NOT(ISBLANK(Tabella8[[#This Row],[rest of Italy ]]))</f>
        <v>0</v>
      </c>
      <c r="W8" s="132">
        <f>MAX(Ko*(TANH(psi_o*(Tabella8[[#This Row],[Day]]-po)-phi_o)+TANH(phi_o))/(1+TANH(phi_o)),0)</f>
        <v>0</v>
      </c>
      <c r="X8" s="108">
        <f>Tabella8[[#This Row],[rest of Italy fit]]/Ko</f>
        <v>0</v>
      </c>
      <c r="Y8" s="22">
        <f>Tabella8[[#This Row],[rest of Italy fit]]*NOT(ISBLANK(Tabella8[[#This Row],[rest of Italy ]]))</f>
        <v>0</v>
      </c>
      <c r="Z8" s="10">
        <f>Tabella8[[#This Row],[rest of Italy fit]]+CIo</f>
        <v>2813.9722047844634</v>
      </c>
      <c r="AA8" s="10">
        <f>MAX(Tabella8[[#This Row],[rest of Italy fit]]-CIo,0)</f>
        <v>0</v>
      </c>
      <c r="AB8" s="1"/>
      <c r="AC8" s="23"/>
      <c r="AD8" s="24"/>
      <c r="AR8" s="312"/>
      <c r="AX8" s="65"/>
      <c r="AY8" s="65"/>
      <c r="BA8" s="32"/>
      <c r="BB8" s="32"/>
      <c r="BD8" s="68"/>
      <c r="BE8" s="68"/>
    </row>
    <row r="9" spans="2:65" x14ac:dyDescent="0.3">
      <c r="B9" s="135">
        <v>43832</v>
      </c>
      <c r="C9" s="4">
        <v>2</v>
      </c>
      <c r="D9" s="141"/>
      <c r="E9" s="10">
        <f>Tabella8[[#This Row],[Italy cumulative]]*NOT(ISBLANK(Tabella8[[#This Row],[Italy cumulative]]))</f>
        <v>0</v>
      </c>
      <c r="F9" s="10">
        <f>Tabella8[[#This Row],[region fit]]+Tabella8[[#This Row],[rest of Italy fit]]</f>
        <v>0</v>
      </c>
      <c r="G9" s="72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32">
        <f>MAX(Kt*(TANH(psi_t*(Tabella8[[#This Row],[Day]]-pt)-phi_t)+TANH(phi_t))/(1+TANH(phi_t)),0)</f>
        <v>0</v>
      </c>
      <c r="J9" s="133">
        <f>Tabella8[[#This Row],[Italy fit]]/Kt</f>
        <v>0</v>
      </c>
      <c r="K9" s="22">
        <f>Tabella8[[#This Row],[Italy fit]]*NOT(ISBLANK(Tabella8[[#This Row],[Italy cumulative]]))</f>
        <v>0</v>
      </c>
      <c r="L9" s="10">
        <f>Tabella8[[#This Row],[Italy sum of regions]]+CI</f>
        <v>2757.9323654779196</v>
      </c>
      <c r="M9" s="10">
        <f>MAX(Tabella8[[#This Row],[Italy sum of regions]]-CI,0)</f>
        <v>0</v>
      </c>
      <c r="N9" s="139"/>
      <c r="O9" s="10">
        <f>Tabella8[[#This Row],[region data]]*NOT(ISBLANK(Tabella8[[#This Row],[region data]]))</f>
        <v>0</v>
      </c>
      <c r="P9" s="107">
        <f>MAX(Kr*(TANH(psi_r*(Tabella8[[#This Row],[Day]]-pr)-phi_r)+TANH(phi_r))/(1+TANH(phi_r)),0)</f>
        <v>0</v>
      </c>
      <c r="Q9" s="107">
        <f>Tabella8[[#This Row],[region fit]]/Kr</f>
        <v>0</v>
      </c>
      <c r="R9" s="10">
        <f>Tabella8[[#This Row],[region fit]]*NOT(ISBLANK(Tabella8[[#This Row],[region data]]))</f>
        <v>0</v>
      </c>
      <c r="S9" s="10">
        <f>Tabella8[[#This Row],[region fit]]+CIr</f>
        <v>169.91071626612398</v>
      </c>
      <c r="T9" s="10">
        <f>MAX(Tabella8[[#This Row],[region fit]]-CIr,0)</f>
        <v>0</v>
      </c>
      <c r="U9" s="141"/>
      <c r="V9" s="10">
        <f>Tabella8[[#This Row],[rest of Italy ]]*NOT(ISBLANK(Tabella8[[#This Row],[rest of Italy ]]))</f>
        <v>0</v>
      </c>
      <c r="W9" s="108">
        <f>MAX(Ko*(TANH(psi_o*(Tabella8[[#This Row],[Day]]-po)-phi_o)+TANH(phi_o))/(1+TANH(phi_o)),0)</f>
        <v>0</v>
      </c>
      <c r="X9" s="108">
        <f>Tabella8[[#This Row],[rest of Italy fit]]/Ko</f>
        <v>0</v>
      </c>
      <c r="Y9" s="22">
        <f>Tabella8[[#This Row],[rest of Italy fit]]*NOT(ISBLANK(Tabella8[[#This Row],[rest of Italy ]]))</f>
        <v>0</v>
      </c>
      <c r="Z9" s="10">
        <f>Tabella8[[#This Row],[rest of Italy fit]]+CIo</f>
        <v>2813.9722047844634</v>
      </c>
      <c r="AA9" s="10">
        <f>MAX(Tabella8[[#This Row],[rest of Italy fit]]-CIo,0)</f>
        <v>0</v>
      </c>
      <c r="AB9" s="1"/>
      <c r="AC9" s="23"/>
      <c r="AD9" s="24"/>
      <c r="AR9" s="313"/>
      <c r="AX9" s="65"/>
      <c r="AY9" s="65"/>
      <c r="BA9" s="32"/>
      <c r="BB9" s="32"/>
      <c r="BD9" s="68"/>
      <c r="BE9" s="68"/>
    </row>
    <row r="10" spans="2:65" x14ac:dyDescent="0.3">
      <c r="B10" s="135">
        <v>43833</v>
      </c>
      <c r="C10" s="4">
        <v>3</v>
      </c>
      <c r="D10" s="141"/>
      <c r="E10" s="10">
        <f>Tabella8[[#This Row],[Italy cumulative]]*NOT(ISBLANK(Tabella8[[#This Row],[Italy cumulative]]))</f>
        <v>0</v>
      </c>
      <c r="F10" s="10">
        <f>Tabella8[[#This Row],[region fit]]+Tabella8[[#This Row],[rest of Italy fit]]</f>
        <v>0</v>
      </c>
      <c r="G10" s="72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32">
        <f>MAX(Kt*(TANH(psi_t*(Tabella8[[#This Row],[Day]]-pt)-phi_t)+TANH(phi_t))/(1+TANH(phi_t)),0)</f>
        <v>0</v>
      </c>
      <c r="J10" s="133">
        <f>Tabella8[[#This Row],[Italy fit]]/Kt</f>
        <v>0</v>
      </c>
      <c r="K10" s="22">
        <f>Tabella8[[#This Row],[Italy fit]]*NOT(ISBLANK(Tabella8[[#This Row],[Italy cumulative]]))</f>
        <v>0</v>
      </c>
      <c r="L10" s="10">
        <f>Tabella8[[#This Row],[Italy sum of regions]]+CI</f>
        <v>2757.9323654779196</v>
      </c>
      <c r="M10" s="10">
        <f>MAX(Tabella8[[#This Row],[Italy sum of regions]]-CI,0)</f>
        <v>0</v>
      </c>
      <c r="N10" s="139"/>
      <c r="O10" s="10">
        <f>Tabella8[[#This Row],[region data]]*NOT(ISBLANK(Tabella8[[#This Row],[region data]]))</f>
        <v>0</v>
      </c>
      <c r="P10" s="107">
        <f>MAX(Kr*(TANH(psi_r*(Tabella8[[#This Row],[Day]]-pr)-phi_r)+TANH(phi_r))/(1+TANH(phi_r)),0)</f>
        <v>0</v>
      </c>
      <c r="Q10" s="107">
        <f>Tabella8[[#This Row],[region fit]]/Kr</f>
        <v>0</v>
      </c>
      <c r="R10" s="10">
        <f>Tabella8[[#This Row],[region fit]]*NOT(ISBLANK(Tabella8[[#This Row],[region data]]))</f>
        <v>0</v>
      </c>
      <c r="S10" s="10">
        <f>Tabella8[[#This Row],[region fit]]+CIr</f>
        <v>169.91071626612398</v>
      </c>
      <c r="T10" s="10">
        <f>MAX(Tabella8[[#This Row],[region fit]]-CIr,0)</f>
        <v>0</v>
      </c>
      <c r="U10" s="141"/>
      <c r="V10" s="10">
        <f>Tabella8[[#This Row],[rest of Italy ]]*NOT(ISBLANK(Tabella8[[#This Row],[rest of Italy ]]))</f>
        <v>0</v>
      </c>
      <c r="W10" s="108">
        <f>MAX(Ko*(TANH(psi_o*(Tabella8[[#This Row],[Day]]-po)-phi_o)+TANH(phi_o))/(1+TANH(phi_o)),0)</f>
        <v>0</v>
      </c>
      <c r="X10" s="108">
        <f>Tabella8[[#This Row],[rest of Italy fit]]/Ko</f>
        <v>0</v>
      </c>
      <c r="Y10" s="22">
        <f>Tabella8[[#This Row],[rest of Italy fit]]*NOT(ISBLANK(Tabella8[[#This Row],[rest of Italy ]]))</f>
        <v>0</v>
      </c>
      <c r="Z10" s="10">
        <f>Tabella8[[#This Row],[rest of Italy fit]]+CIo</f>
        <v>2813.9722047844634</v>
      </c>
      <c r="AA10" s="10">
        <f>MAX(Tabella8[[#This Row],[rest of Italy fit]]-CIo,0)</f>
        <v>0</v>
      </c>
      <c r="AB10" s="1"/>
      <c r="AC10" s="23"/>
      <c r="AD10" s="24"/>
      <c r="AR10" s="313"/>
      <c r="AX10" s="65"/>
      <c r="AY10" s="65"/>
      <c r="BA10" s="32"/>
      <c r="BB10" s="32"/>
      <c r="BD10" s="68"/>
      <c r="BE10" s="68"/>
    </row>
    <row r="11" spans="2:65" x14ac:dyDescent="0.3">
      <c r="B11" s="135">
        <v>43834</v>
      </c>
      <c r="C11" s="4">
        <v>4</v>
      </c>
      <c r="D11" s="141"/>
      <c r="E11" s="10">
        <f>Tabella8[[#This Row],[Italy cumulative]]*NOT(ISBLANK(Tabella8[[#This Row],[Italy cumulative]]))</f>
        <v>0</v>
      </c>
      <c r="F11" s="10">
        <f>Tabella8[[#This Row],[region fit]]+Tabella8[[#This Row],[rest of Italy fit]]</f>
        <v>0</v>
      </c>
      <c r="G11" s="72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32">
        <f>MAX(Kt*(TANH(psi_t*(Tabella8[[#This Row],[Day]]-pt)-phi_t)+TANH(phi_t))/(1+TANH(phi_t)),0)</f>
        <v>0</v>
      </c>
      <c r="J11" s="133">
        <f>Tabella8[[#This Row],[Italy fit]]/Kt</f>
        <v>0</v>
      </c>
      <c r="K11" s="22">
        <f>Tabella8[[#This Row],[Italy fit]]*NOT(ISBLANK(Tabella8[[#This Row],[Italy cumulative]]))</f>
        <v>0</v>
      </c>
      <c r="L11" s="10">
        <f>Tabella8[[#This Row],[Italy sum of regions]]+CI</f>
        <v>2757.9323654779196</v>
      </c>
      <c r="M11" s="10">
        <f>MAX(Tabella8[[#This Row],[Italy sum of regions]]-CI,0)</f>
        <v>0</v>
      </c>
      <c r="N11" s="139"/>
      <c r="O11" s="10">
        <f>Tabella8[[#This Row],[region data]]*NOT(ISBLANK(Tabella8[[#This Row],[region data]]))</f>
        <v>0</v>
      </c>
      <c r="P11" s="107">
        <f>MAX(Kr*(TANH(psi_r*(Tabella8[[#This Row],[Day]]-pr)-phi_r)+TANH(phi_r))/(1+TANH(phi_r)),0)</f>
        <v>0</v>
      </c>
      <c r="Q11" s="107">
        <f>Tabella8[[#This Row],[region fit]]/Kr</f>
        <v>0</v>
      </c>
      <c r="R11" s="10">
        <f>Tabella8[[#This Row],[region fit]]*NOT(ISBLANK(Tabella8[[#This Row],[region data]]))</f>
        <v>0</v>
      </c>
      <c r="S11" s="10">
        <f>Tabella8[[#This Row],[region fit]]+CIr</f>
        <v>169.91071626612398</v>
      </c>
      <c r="T11" s="10">
        <f>MAX(Tabella8[[#This Row],[region fit]]-CIr,0)</f>
        <v>0</v>
      </c>
      <c r="U11" s="141"/>
      <c r="V11" s="10">
        <f>Tabella8[[#This Row],[rest of Italy ]]*NOT(ISBLANK(Tabella8[[#This Row],[rest of Italy ]]))</f>
        <v>0</v>
      </c>
      <c r="W11" s="108">
        <f>MAX(Ko*(TANH(psi_o*(Tabella8[[#This Row],[Day]]-po)-phi_o)+TANH(phi_o))/(1+TANH(phi_o)),0)</f>
        <v>0</v>
      </c>
      <c r="X11" s="108">
        <f>Tabella8[[#This Row],[rest of Italy fit]]/Ko</f>
        <v>0</v>
      </c>
      <c r="Y11" s="22">
        <f>Tabella8[[#This Row],[rest of Italy fit]]*NOT(ISBLANK(Tabella8[[#This Row],[rest of Italy ]]))</f>
        <v>0</v>
      </c>
      <c r="Z11" s="10">
        <f>Tabella8[[#This Row],[rest of Italy fit]]+CIo</f>
        <v>2813.9722047844634</v>
      </c>
      <c r="AA11" s="10">
        <f>MAX(Tabella8[[#This Row],[rest of Italy fit]]-CIo,0)</f>
        <v>0</v>
      </c>
      <c r="AB11" s="1"/>
      <c r="AC11" s="25" t="s">
        <v>1</v>
      </c>
      <c r="AD11" s="26">
        <f>AVERAGE(Tabella8[Italy cumulative])</f>
        <v>74804.784313725497</v>
      </c>
      <c r="AR11" s="313"/>
      <c r="AX11" s="65"/>
      <c r="AY11" s="65"/>
      <c r="BA11" s="32"/>
      <c r="BB11" s="32"/>
      <c r="BD11" s="68"/>
      <c r="BE11" s="68"/>
    </row>
    <row r="12" spans="2:65" x14ac:dyDescent="0.3">
      <c r="B12" s="135">
        <v>43835</v>
      </c>
      <c r="C12" s="4">
        <v>5</v>
      </c>
      <c r="D12" s="141"/>
      <c r="E12" s="10">
        <f>Tabella8[[#This Row],[Italy cumulative]]*NOT(ISBLANK(Tabella8[[#This Row],[Italy cumulative]]))</f>
        <v>0</v>
      </c>
      <c r="F12" s="10">
        <f>Tabella8[[#This Row],[region fit]]+Tabella8[[#This Row],[rest of Italy fit]]</f>
        <v>0</v>
      </c>
      <c r="G12" s="72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32">
        <f>MAX(Kt*(TANH(psi_t*(Tabella8[[#This Row],[Day]]-pt)-phi_t)+TANH(phi_t))/(1+TANH(phi_t)),0)</f>
        <v>0</v>
      </c>
      <c r="J12" s="133">
        <f>Tabella8[[#This Row],[Italy fit]]/Kt</f>
        <v>0</v>
      </c>
      <c r="K12" s="22">
        <f>Tabella8[[#This Row],[Italy fit]]*NOT(ISBLANK(Tabella8[[#This Row],[Italy cumulative]]))</f>
        <v>0</v>
      </c>
      <c r="L12" s="10">
        <f>Tabella8[[#This Row],[Italy sum of regions]]+CI</f>
        <v>2757.9323654779196</v>
      </c>
      <c r="M12" s="10">
        <f>MAX(Tabella8[[#This Row],[Italy sum of regions]]-CI,0)</f>
        <v>0</v>
      </c>
      <c r="N12" s="139"/>
      <c r="O12" s="10">
        <f>Tabella8[[#This Row],[region data]]*NOT(ISBLANK(Tabella8[[#This Row],[region data]]))</f>
        <v>0</v>
      </c>
      <c r="P12" s="107">
        <f>MAX(Kr*(TANH(psi_r*(Tabella8[[#This Row],[Day]]-pr)-phi_r)+TANH(phi_r))/(1+TANH(phi_r)),0)</f>
        <v>0</v>
      </c>
      <c r="Q12" s="107">
        <f>Tabella8[[#This Row],[region fit]]/Kr</f>
        <v>0</v>
      </c>
      <c r="R12" s="10">
        <f>Tabella8[[#This Row],[region fit]]*NOT(ISBLANK(Tabella8[[#This Row],[region data]]))</f>
        <v>0</v>
      </c>
      <c r="S12" s="10">
        <f>Tabella8[[#This Row],[region fit]]+CIr</f>
        <v>169.91071626612398</v>
      </c>
      <c r="T12" s="10">
        <f>MAX(Tabella8[[#This Row],[region fit]]-CIr,0)</f>
        <v>0</v>
      </c>
      <c r="U12" s="141"/>
      <c r="V12" s="10">
        <f>Tabella8[[#This Row],[rest of Italy ]]*NOT(ISBLANK(Tabella8[[#This Row],[rest of Italy ]]))</f>
        <v>0</v>
      </c>
      <c r="W12" s="108">
        <f>MAX(Ko*(TANH(psi_o*(Tabella8[[#This Row],[Day]]-po)-phi_o)+TANH(phi_o))/(1+TANH(phi_o)),0)</f>
        <v>0</v>
      </c>
      <c r="X12" s="108">
        <f>Tabella8[[#This Row],[rest of Italy fit]]/Ko</f>
        <v>0</v>
      </c>
      <c r="Y12" s="22">
        <f>Tabella8[[#This Row],[rest of Italy fit]]*NOT(ISBLANK(Tabella8[[#This Row],[rest of Italy ]]))</f>
        <v>0</v>
      </c>
      <c r="Z12" s="10">
        <f>Tabella8[[#This Row],[rest of Italy fit]]+CIo</f>
        <v>2813.9722047844634</v>
      </c>
      <c r="AA12" s="10">
        <f>MAX(Tabella8[[#This Row],[rest of Italy fit]]-CIo,0)</f>
        <v>0</v>
      </c>
      <c r="AB12" s="1"/>
      <c r="AC12" s="25" t="s">
        <v>2</v>
      </c>
      <c r="AD12" s="26">
        <f>COUNT(Tabella8[Italy cumulative])-COUNT(AD8:AD10)</f>
        <v>102</v>
      </c>
      <c r="AR12" s="313"/>
      <c r="AX12" s="65"/>
      <c r="AY12" s="65"/>
      <c r="BA12" s="32"/>
      <c r="BB12" s="32"/>
      <c r="BD12" s="68"/>
      <c r="BE12" s="68"/>
    </row>
    <row r="13" spans="2:65" x14ac:dyDescent="0.3">
      <c r="B13" s="135">
        <v>43836</v>
      </c>
      <c r="C13" s="4">
        <v>6</v>
      </c>
      <c r="D13" s="141"/>
      <c r="E13" s="10">
        <f>Tabella8[[#This Row],[Italy cumulative]]*NOT(ISBLANK(Tabella8[[#This Row],[Italy cumulative]]))</f>
        <v>0</v>
      </c>
      <c r="F13" s="10">
        <f>Tabella8[[#This Row],[region fit]]+Tabella8[[#This Row],[rest of Italy fit]]</f>
        <v>0</v>
      </c>
      <c r="G13" s="72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32">
        <f>MAX(Kt*(TANH(psi_t*(Tabella8[[#This Row],[Day]]-pt)-phi_t)+TANH(phi_t))/(1+TANH(phi_t)),0)</f>
        <v>0</v>
      </c>
      <c r="J13" s="133">
        <f>Tabella8[[#This Row],[Italy fit]]/Kt</f>
        <v>0</v>
      </c>
      <c r="K13" s="22">
        <f>Tabella8[[#This Row],[Italy fit]]*NOT(ISBLANK(Tabella8[[#This Row],[Italy cumulative]]))</f>
        <v>0</v>
      </c>
      <c r="L13" s="10">
        <f>Tabella8[[#This Row],[Italy sum of regions]]+CI</f>
        <v>2757.9323654779196</v>
      </c>
      <c r="M13" s="10">
        <f>MAX(Tabella8[[#This Row],[Italy sum of regions]]-CI,0)</f>
        <v>0</v>
      </c>
      <c r="N13" s="139"/>
      <c r="O13" s="10">
        <f>Tabella8[[#This Row],[region data]]*NOT(ISBLANK(Tabella8[[#This Row],[region data]]))</f>
        <v>0</v>
      </c>
      <c r="P13" s="107">
        <f>MAX(Kr*(TANH(psi_r*(Tabella8[[#This Row],[Day]]-pr)-phi_r)+TANH(phi_r))/(1+TANH(phi_r)),0)</f>
        <v>0</v>
      </c>
      <c r="Q13" s="107">
        <f>Tabella8[[#This Row],[region fit]]/Kr</f>
        <v>0</v>
      </c>
      <c r="R13" s="10">
        <f>Tabella8[[#This Row],[region fit]]*NOT(ISBLANK(Tabella8[[#This Row],[region data]]))</f>
        <v>0</v>
      </c>
      <c r="S13" s="10">
        <f>Tabella8[[#This Row],[region fit]]+CIr</f>
        <v>169.91071626612398</v>
      </c>
      <c r="T13" s="10">
        <f>MAX(Tabella8[[#This Row],[region fit]]-CIr,0)</f>
        <v>0</v>
      </c>
      <c r="U13" s="141"/>
      <c r="V13" s="10">
        <f>Tabella8[[#This Row],[rest of Italy ]]*NOT(ISBLANK(Tabella8[[#This Row],[rest of Italy ]]))</f>
        <v>0</v>
      </c>
      <c r="W13" s="108">
        <f>MAX(Ko*(TANH(psi_o*(Tabella8[[#This Row],[Day]]-po)-phi_o)+TANH(phi_o))/(1+TANH(phi_o)),0)</f>
        <v>0</v>
      </c>
      <c r="X13" s="108">
        <f>Tabella8[[#This Row],[rest of Italy fit]]/Ko</f>
        <v>0</v>
      </c>
      <c r="Y13" s="22">
        <f>Tabella8[[#This Row],[rest of Italy fit]]*NOT(ISBLANK(Tabella8[[#This Row],[rest of Italy ]]))</f>
        <v>0</v>
      </c>
      <c r="Z13" s="10">
        <f>Tabella8[[#This Row],[rest of Italy fit]]+CIo</f>
        <v>2813.9722047844634</v>
      </c>
      <c r="AA13" s="10">
        <f>MAX(Tabella8[[#This Row],[rest of Italy fit]]-CIo,0)</f>
        <v>0</v>
      </c>
      <c r="AB13" s="1"/>
      <c r="AC13" s="25" t="s">
        <v>3</v>
      </c>
      <c r="AD13" s="27" cm="1">
        <f t="array" ref="AD13">SQRT(SUM((Tabella8[Colonna1]-Tabella8[Colonna2])^2)/df)</f>
        <v>1390.4406141490592</v>
      </c>
      <c r="AR13" s="313"/>
      <c r="AX13" s="65"/>
      <c r="AY13" s="65"/>
      <c r="BA13" s="32"/>
      <c r="BB13" s="32"/>
      <c r="BD13" s="68"/>
      <c r="BE13" s="68"/>
    </row>
    <row r="14" spans="2:65" ht="16.2" x14ac:dyDescent="0.3">
      <c r="B14" s="135">
        <v>43837</v>
      </c>
      <c r="C14" s="4">
        <v>7</v>
      </c>
      <c r="D14" s="141"/>
      <c r="E14" s="10">
        <f>Tabella8[[#This Row],[Italy cumulative]]*NOT(ISBLANK(Tabella8[[#This Row],[Italy cumulative]]))</f>
        <v>0</v>
      </c>
      <c r="F14" s="10">
        <f>Tabella8[[#This Row],[region fit]]+Tabella8[[#This Row],[rest of Italy fit]]</f>
        <v>0</v>
      </c>
      <c r="G14" s="72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32">
        <f>MAX(Kt*(TANH(psi_t*(Tabella8[[#This Row],[Day]]-pt)-phi_t)+TANH(phi_t))/(1+TANH(phi_t)),0)</f>
        <v>0</v>
      </c>
      <c r="J14" s="133">
        <f>Tabella8[[#This Row],[Italy fit]]/Kt</f>
        <v>0</v>
      </c>
      <c r="K14" s="22">
        <f>Tabella8[[#This Row],[Italy fit]]*NOT(ISBLANK(Tabella8[[#This Row],[Italy cumulative]]))</f>
        <v>0</v>
      </c>
      <c r="L14" s="10">
        <f>Tabella8[[#This Row],[Italy sum of regions]]+CI</f>
        <v>2757.9323654779196</v>
      </c>
      <c r="M14" s="10">
        <f>MAX(Tabella8[[#This Row],[Italy sum of regions]]-CI,0)</f>
        <v>0</v>
      </c>
      <c r="N14" s="139"/>
      <c r="O14" s="10">
        <f>Tabella8[[#This Row],[region data]]*NOT(ISBLANK(Tabella8[[#This Row],[region data]]))</f>
        <v>0</v>
      </c>
      <c r="P14" s="107">
        <f>MAX(Kr*(TANH(psi_r*(Tabella8[[#This Row],[Day]]-pr)-phi_r)+TANH(phi_r))/(1+TANH(phi_r)),0)</f>
        <v>0</v>
      </c>
      <c r="Q14" s="107">
        <f>Tabella8[[#This Row],[region fit]]/Kr</f>
        <v>0</v>
      </c>
      <c r="R14" s="10">
        <f>Tabella8[[#This Row],[region fit]]*NOT(ISBLANK(Tabella8[[#This Row],[region data]]))</f>
        <v>0</v>
      </c>
      <c r="S14" s="10">
        <f>Tabella8[[#This Row],[region fit]]+CIr</f>
        <v>169.91071626612398</v>
      </c>
      <c r="T14" s="10">
        <f>MAX(Tabella8[[#This Row],[region fit]]-CIr,0)</f>
        <v>0</v>
      </c>
      <c r="U14" s="141"/>
      <c r="V14" s="10">
        <f>Tabella8[[#This Row],[rest of Italy ]]*NOT(ISBLANK(Tabella8[[#This Row],[rest of Italy ]]))</f>
        <v>0</v>
      </c>
      <c r="W14" s="108">
        <f>MAX(Ko*(TANH(psi_o*(Tabella8[[#This Row],[Day]]-po)-phi_o)+TANH(phi_o))/(1+TANH(phi_o)),0)</f>
        <v>0</v>
      </c>
      <c r="X14" s="108">
        <f>Tabella8[[#This Row],[rest of Italy fit]]/Ko</f>
        <v>0</v>
      </c>
      <c r="Y14" s="22">
        <f>Tabella8[[#This Row],[rest of Italy fit]]*NOT(ISBLANK(Tabella8[[#This Row],[rest of Italy ]]))</f>
        <v>0</v>
      </c>
      <c r="Z14" s="10">
        <f>Tabella8[[#This Row],[rest of Italy fit]]+CIo</f>
        <v>2813.9722047844634</v>
      </c>
      <c r="AA14" s="10">
        <f>MAX(Tabella8[[#This Row],[rest of Italy fit]]-CIo,0)</f>
        <v>0</v>
      </c>
      <c r="AB14" s="1"/>
      <c r="AC14" s="25" t="s">
        <v>121</v>
      </c>
      <c r="AD14" s="28" cm="1">
        <f t="array" ref="AD14">1-SUM((Tabella8[Colonna1]-Tabella8[Colonna2])^2)/SUM((Tabella8[Colonna1]-Mean_of_y)^2)</f>
        <v>0.99977253337692196</v>
      </c>
      <c r="AR14" s="313"/>
      <c r="AX14" s="65"/>
      <c r="AY14" s="65"/>
      <c r="BA14" s="32"/>
      <c r="BB14" s="32"/>
      <c r="BD14" s="68"/>
      <c r="BE14" s="68"/>
    </row>
    <row r="15" spans="2:65" x14ac:dyDescent="0.3">
      <c r="B15" s="135">
        <v>43838</v>
      </c>
      <c r="C15" s="4">
        <v>8</v>
      </c>
      <c r="D15" s="141"/>
      <c r="E15" s="10">
        <f>Tabella8[[#This Row],[Italy cumulative]]*NOT(ISBLANK(Tabella8[[#This Row],[Italy cumulative]]))</f>
        <v>0</v>
      </c>
      <c r="F15" s="10">
        <f>Tabella8[[#This Row],[region fit]]+Tabella8[[#This Row],[rest of Italy fit]]</f>
        <v>0</v>
      </c>
      <c r="G15" s="72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32">
        <f>MAX(Kt*(TANH(psi_t*(Tabella8[[#This Row],[Day]]-pt)-phi_t)+TANH(phi_t))/(1+TANH(phi_t)),0)</f>
        <v>0</v>
      </c>
      <c r="J15" s="133">
        <f>Tabella8[[#This Row],[Italy fit]]/Kt</f>
        <v>0</v>
      </c>
      <c r="K15" s="22">
        <f>Tabella8[[#This Row],[Italy fit]]*NOT(ISBLANK(Tabella8[[#This Row],[Italy cumulative]]))</f>
        <v>0</v>
      </c>
      <c r="L15" s="10">
        <f>Tabella8[[#This Row],[Italy sum of regions]]+CI</f>
        <v>2757.9323654779196</v>
      </c>
      <c r="M15" s="10">
        <f>MAX(Tabella8[[#This Row],[Italy sum of regions]]-CI,0)</f>
        <v>0</v>
      </c>
      <c r="N15" s="139"/>
      <c r="O15" s="10">
        <f>Tabella8[[#This Row],[region data]]*NOT(ISBLANK(Tabella8[[#This Row],[region data]]))</f>
        <v>0</v>
      </c>
      <c r="P15" s="107">
        <f>MAX(Kr*(TANH(psi_r*(Tabella8[[#This Row],[Day]]-pr)-phi_r)+TANH(phi_r))/(1+TANH(phi_r)),0)</f>
        <v>0</v>
      </c>
      <c r="Q15" s="107">
        <f>Tabella8[[#This Row],[region fit]]/Kr</f>
        <v>0</v>
      </c>
      <c r="R15" s="10">
        <f>Tabella8[[#This Row],[region fit]]*NOT(ISBLANK(Tabella8[[#This Row],[region data]]))</f>
        <v>0</v>
      </c>
      <c r="S15" s="10">
        <f>Tabella8[[#This Row],[region fit]]+CIr</f>
        <v>169.91071626612398</v>
      </c>
      <c r="T15" s="10">
        <f>MAX(Tabella8[[#This Row],[region fit]]-CIr,0)</f>
        <v>0</v>
      </c>
      <c r="U15" s="141"/>
      <c r="V15" s="10">
        <f>Tabella8[[#This Row],[rest of Italy ]]*NOT(ISBLANK(Tabella8[[#This Row],[rest of Italy ]]))</f>
        <v>0</v>
      </c>
      <c r="W15" s="108">
        <f>MAX(Ko*(TANH(psi_o*(Tabella8[[#This Row],[Day]]-po)-phi_o)+TANH(phi_o))/(1+TANH(phi_o)),0)</f>
        <v>0</v>
      </c>
      <c r="X15" s="108">
        <f>Tabella8[[#This Row],[rest of Italy fit]]/Ko</f>
        <v>0</v>
      </c>
      <c r="Y15" s="22">
        <f>Tabella8[[#This Row],[rest of Italy fit]]*NOT(ISBLANK(Tabella8[[#This Row],[rest of Italy ]]))</f>
        <v>0</v>
      </c>
      <c r="Z15" s="10">
        <f>Tabella8[[#This Row],[rest of Italy fit]]+CIo</f>
        <v>2813.9722047844634</v>
      </c>
      <c r="AA15" s="10">
        <f>MAX(Tabella8[[#This Row],[rest of Italy fit]]-CIo,0)</f>
        <v>0</v>
      </c>
      <c r="AB15" s="1"/>
      <c r="AC15" s="25" t="s">
        <v>5</v>
      </c>
      <c r="AD15" s="28">
        <f>TINV(0.05,df)</f>
        <v>1.9834952585628811</v>
      </c>
      <c r="AR15" s="313"/>
      <c r="AX15" s="65"/>
      <c r="AY15" s="65"/>
      <c r="BA15" s="32"/>
      <c r="BB15" s="32"/>
      <c r="BD15" s="68"/>
      <c r="BE15" s="68"/>
    </row>
    <row r="16" spans="2:65" x14ac:dyDescent="0.3">
      <c r="B16" s="135">
        <v>43839</v>
      </c>
      <c r="C16" s="4">
        <v>9</v>
      </c>
      <c r="D16" s="141"/>
      <c r="E16" s="10">
        <f>Tabella8[[#This Row],[Italy cumulative]]*NOT(ISBLANK(Tabella8[[#This Row],[Italy cumulative]]))</f>
        <v>0</v>
      </c>
      <c r="F16" s="10">
        <f>Tabella8[[#This Row],[region fit]]+Tabella8[[#This Row],[rest of Italy fit]]</f>
        <v>0</v>
      </c>
      <c r="G16" s="72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32">
        <f>MAX(Kt*(TANH(psi_t*(Tabella8[[#This Row],[Day]]-pt)-phi_t)+TANH(phi_t))/(1+TANH(phi_t)),0)</f>
        <v>0</v>
      </c>
      <c r="J16" s="133">
        <f>Tabella8[[#This Row],[Italy fit]]/Kt</f>
        <v>0</v>
      </c>
      <c r="K16" s="22">
        <f>Tabella8[[#This Row],[Italy fit]]*NOT(ISBLANK(Tabella8[[#This Row],[Italy cumulative]]))</f>
        <v>0</v>
      </c>
      <c r="L16" s="10">
        <f>Tabella8[[#This Row],[Italy sum of regions]]+CI</f>
        <v>2757.9323654779196</v>
      </c>
      <c r="M16" s="10">
        <f>MAX(Tabella8[[#This Row],[Italy sum of regions]]-CI,0)</f>
        <v>0</v>
      </c>
      <c r="N16" s="139"/>
      <c r="O16" s="10">
        <f>Tabella8[[#This Row],[region data]]*NOT(ISBLANK(Tabella8[[#This Row],[region data]]))</f>
        <v>0</v>
      </c>
      <c r="P16" s="107">
        <f>MAX(Kr*(TANH(psi_r*(Tabella8[[#This Row],[Day]]-pr)-phi_r)+TANH(phi_r))/(1+TANH(phi_r)),0)</f>
        <v>0</v>
      </c>
      <c r="Q16" s="107">
        <f>Tabella8[[#This Row],[region fit]]/Kr</f>
        <v>0</v>
      </c>
      <c r="R16" s="10">
        <f>Tabella8[[#This Row],[region fit]]*NOT(ISBLANK(Tabella8[[#This Row],[region data]]))</f>
        <v>0</v>
      </c>
      <c r="S16" s="10">
        <f>Tabella8[[#This Row],[region fit]]+CIr</f>
        <v>169.91071626612398</v>
      </c>
      <c r="T16" s="10">
        <f>MAX(Tabella8[[#This Row],[region fit]]-CIr,0)</f>
        <v>0</v>
      </c>
      <c r="U16" s="141"/>
      <c r="V16" s="10">
        <f>Tabella8[[#This Row],[rest of Italy ]]*NOT(ISBLANK(Tabella8[[#This Row],[rest of Italy ]]))</f>
        <v>0</v>
      </c>
      <c r="W16" s="108">
        <f>MAX(Ko*(TANH(psi_o*(Tabella8[[#This Row],[Day]]-po)-phi_o)+TANH(phi_o))/(1+TANH(phi_o)),0)</f>
        <v>0</v>
      </c>
      <c r="X16" s="108">
        <f>Tabella8[[#This Row],[rest of Italy fit]]/Ko</f>
        <v>0</v>
      </c>
      <c r="Y16" s="22">
        <f>Tabella8[[#This Row],[rest of Italy fit]]*NOT(ISBLANK(Tabella8[[#This Row],[rest of Italy ]]))</f>
        <v>0</v>
      </c>
      <c r="Z16" s="10">
        <f>Tabella8[[#This Row],[rest of Italy fit]]+CIo</f>
        <v>2813.9722047844634</v>
      </c>
      <c r="AA16" s="10">
        <f>MAX(Tabella8[[#This Row],[rest of Italy fit]]-CIo,0)</f>
        <v>0</v>
      </c>
      <c r="AB16" s="1"/>
      <c r="AC16" s="25" t="s">
        <v>6</v>
      </c>
      <c r="AD16" s="26">
        <f>Critical_t*SE_of_y</f>
        <v>2757.9323654779196</v>
      </c>
      <c r="AR16" s="313"/>
      <c r="AX16" s="65"/>
      <c r="AY16" s="65"/>
      <c r="BA16" s="32"/>
      <c r="BB16" s="32"/>
      <c r="BD16" s="68"/>
      <c r="BE16" s="68"/>
    </row>
    <row r="17" spans="2:57" ht="15" thickBot="1" x14ac:dyDescent="0.35">
      <c r="B17" s="135">
        <v>43840</v>
      </c>
      <c r="C17" s="4">
        <v>10</v>
      </c>
      <c r="D17" s="141"/>
      <c r="E17" s="10">
        <f>Tabella8[[#This Row],[Italy cumulative]]*NOT(ISBLANK(Tabella8[[#This Row],[Italy cumulative]]))</f>
        <v>0</v>
      </c>
      <c r="F17" s="10">
        <f>Tabella8[[#This Row],[region fit]]+Tabella8[[#This Row],[rest of Italy fit]]</f>
        <v>0</v>
      </c>
      <c r="G17" s="72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32">
        <f>MAX(Kt*(TANH(psi_t*(Tabella8[[#This Row],[Day]]-pt)-phi_t)+TANH(phi_t))/(1+TANH(phi_t)),0)</f>
        <v>0</v>
      </c>
      <c r="J17" s="133">
        <f>Tabella8[[#This Row],[Italy fit]]/Kt</f>
        <v>0</v>
      </c>
      <c r="K17" s="22">
        <f>Tabella8[[#This Row],[Italy fit]]*NOT(ISBLANK(Tabella8[[#This Row],[Italy cumulative]]))</f>
        <v>0</v>
      </c>
      <c r="L17" s="10">
        <f>Tabella8[[#This Row],[Italy sum of regions]]+CI</f>
        <v>2757.9323654779196</v>
      </c>
      <c r="M17" s="10">
        <f>MAX(Tabella8[[#This Row],[Italy sum of regions]]-CI,0)</f>
        <v>0</v>
      </c>
      <c r="N17" s="139"/>
      <c r="O17" s="10">
        <f>Tabella8[[#This Row],[region data]]*NOT(ISBLANK(Tabella8[[#This Row],[region data]]))</f>
        <v>0</v>
      </c>
      <c r="P17" s="107">
        <f>MAX(Kr*(TANH(psi_r*(Tabella8[[#This Row],[Day]]-pr)-phi_r)+TANH(phi_r))/(1+TANH(phi_r)),0)</f>
        <v>0</v>
      </c>
      <c r="Q17" s="107">
        <f>Tabella8[[#This Row],[region fit]]/Kr</f>
        <v>0</v>
      </c>
      <c r="R17" s="10">
        <f>Tabella8[[#This Row],[region fit]]*NOT(ISBLANK(Tabella8[[#This Row],[region data]]))</f>
        <v>0</v>
      </c>
      <c r="S17" s="10">
        <f>Tabella8[[#This Row],[region fit]]+CIr</f>
        <v>169.91071626612398</v>
      </c>
      <c r="T17" s="10">
        <f>MAX(Tabella8[[#This Row],[region fit]]-CIr,0)</f>
        <v>0</v>
      </c>
      <c r="U17" s="141"/>
      <c r="V17" s="10">
        <f>Tabella8[[#This Row],[rest of Italy ]]*NOT(ISBLANK(Tabella8[[#This Row],[rest of Italy ]]))</f>
        <v>0</v>
      </c>
      <c r="W17" s="108">
        <f>MAX(Ko*(TANH(psi_o*(Tabella8[[#This Row],[Day]]-po)-phi_o)+TANH(phi_o))/(1+TANH(phi_o)),0)</f>
        <v>0</v>
      </c>
      <c r="X17" s="108">
        <f>Tabella8[[#This Row],[rest of Italy fit]]/Ko</f>
        <v>0</v>
      </c>
      <c r="Y17" s="22">
        <f>Tabella8[[#This Row],[rest of Italy fit]]*NOT(ISBLANK(Tabella8[[#This Row],[rest of Italy ]]))</f>
        <v>0</v>
      </c>
      <c r="Z17" s="10">
        <f>Tabella8[[#This Row],[rest of Italy fit]]+CIo</f>
        <v>2813.9722047844634</v>
      </c>
      <c r="AA17" s="10">
        <f>MAX(Tabella8[[#This Row],[rest of Italy fit]]-CIo,0)</f>
        <v>0</v>
      </c>
      <c r="AB17" s="1"/>
      <c r="AC17" s="25" t="s">
        <v>130</v>
      </c>
      <c r="AD17" s="26">
        <f>Kr+Ko</f>
        <v>235000.00152475009</v>
      </c>
      <c r="AR17" s="314"/>
      <c r="AX17" s="65"/>
      <c r="AY17" s="65"/>
      <c r="BA17" s="32"/>
      <c r="BB17" s="32"/>
      <c r="BD17" s="68"/>
      <c r="BE17" s="68"/>
    </row>
    <row r="18" spans="2:57" x14ac:dyDescent="0.3">
      <c r="B18" s="135">
        <v>43841</v>
      </c>
      <c r="C18" s="4">
        <v>11</v>
      </c>
      <c r="D18" s="141"/>
      <c r="E18" s="10">
        <f>Tabella8[[#This Row],[Italy cumulative]]*NOT(ISBLANK(Tabella8[[#This Row],[Italy cumulative]]))</f>
        <v>0</v>
      </c>
      <c r="F18" s="10">
        <f>Tabella8[[#This Row],[region fit]]+Tabella8[[#This Row],[rest of Italy fit]]</f>
        <v>0</v>
      </c>
      <c r="G18" s="72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32">
        <f>MAX(Kt*(TANH(psi_t*(Tabella8[[#This Row],[Day]]-pt)-phi_t)+TANH(phi_t))/(1+TANH(phi_t)),0)</f>
        <v>0</v>
      </c>
      <c r="J18" s="133">
        <f>Tabella8[[#This Row],[Italy fit]]/Kt</f>
        <v>0</v>
      </c>
      <c r="K18" s="22">
        <f>Tabella8[[#This Row],[Italy fit]]*NOT(ISBLANK(Tabella8[[#This Row],[Italy cumulative]]))</f>
        <v>0</v>
      </c>
      <c r="L18" s="10">
        <f>Tabella8[[#This Row],[Italy sum of regions]]+CI</f>
        <v>2757.9323654779196</v>
      </c>
      <c r="M18" s="10">
        <f>MAX(Tabella8[[#This Row],[Italy sum of regions]]-CI,0)</f>
        <v>0</v>
      </c>
      <c r="N18" s="139"/>
      <c r="O18" s="10">
        <f>Tabella8[[#This Row],[region data]]*NOT(ISBLANK(Tabella8[[#This Row],[region data]]))</f>
        <v>0</v>
      </c>
      <c r="P18" s="107">
        <f>MAX(Kr*(TANH(psi_r*(Tabella8[[#This Row],[Day]]-pr)-phi_r)+TANH(phi_r))/(1+TANH(phi_r)),0)</f>
        <v>0</v>
      </c>
      <c r="Q18" s="107">
        <f>Tabella8[[#This Row],[region fit]]/Kr</f>
        <v>0</v>
      </c>
      <c r="R18" s="10">
        <f>Tabella8[[#This Row],[region fit]]*NOT(ISBLANK(Tabella8[[#This Row],[region data]]))</f>
        <v>0</v>
      </c>
      <c r="S18" s="10">
        <f>Tabella8[[#This Row],[region fit]]+CIr</f>
        <v>169.91071626612398</v>
      </c>
      <c r="T18" s="10">
        <f>MAX(Tabella8[[#This Row],[region fit]]-CIr,0)</f>
        <v>0</v>
      </c>
      <c r="U18" s="141"/>
      <c r="V18" s="10">
        <f>Tabella8[[#This Row],[rest of Italy ]]*NOT(ISBLANK(Tabella8[[#This Row],[rest of Italy ]]))</f>
        <v>0</v>
      </c>
      <c r="W18" s="108">
        <f>MAX(Ko*(TANH(psi_o*(Tabella8[[#This Row],[Day]]-po)-phi_o)+TANH(phi_o))/(1+TANH(phi_o)),0)</f>
        <v>0</v>
      </c>
      <c r="X18" s="108">
        <f>Tabella8[[#This Row],[rest of Italy fit]]/Ko</f>
        <v>0</v>
      </c>
      <c r="Y18" s="22">
        <f>Tabella8[[#This Row],[rest of Italy fit]]*NOT(ISBLANK(Tabella8[[#This Row],[rest of Italy ]]))</f>
        <v>0</v>
      </c>
      <c r="Z18" s="10">
        <f>Tabella8[[#This Row],[rest of Italy fit]]+CIo</f>
        <v>2813.9722047844634</v>
      </c>
      <c r="AA18" s="10">
        <f>MAX(Tabella8[[#This Row],[rest of Italy fit]]-CIo,0)</f>
        <v>0</v>
      </c>
      <c r="AB18" s="1"/>
      <c r="AC18" s="29" t="s">
        <v>78</v>
      </c>
      <c r="AD18" s="2" t="s">
        <v>4741</v>
      </c>
      <c r="AR18" s="271">
        <f>MAX($AD$25)</f>
        <v>0.99958621253771951</v>
      </c>
      <c r="AX18" s="65"/>
      <c r="AY18" s="65"/>
      <c r="BA18" s="32"/>
      <c r="BB18" s="32"/>
      <c r="BD18" s="68"/>
      <c r="BE18" s="68"/>
    </row>
    <row r="19" spans="2:57" x14ac:dyDescent="0.3">
      <c r="B19" s="135">
        <v>43842</v>
      </c>
      <c r="C19" s="4">
        <v>12</v>
      </c>
      <c r="D19" s="141"/>
      <c r="E19" s="10">
        <f>Tabella8[[#This Row],[Italy cumulative]]*NOT(ISBLANK(Tabella8[[#This Row],[Italy cumulative]]))</f>
        <v>0</v>
      </c>
      <c r="F19" s="10">
        <f>Tabella8[[#This Row],[region fit]]+Tabella8[[#This Row],[rest of Italy fit]]</f>
        <v>0</v>
      </c>
      <c r="G19" s="72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32">
        <f>MAX(Kt*(TANH(psi_t*(Tabella8[[#This Row],[Day]]-pt)-phi_t)+TANH(phi_t))/(1+TANH(phi_t)),0)</f>
        <v>0</v>
      </c>
      <c r="J19" s="133">
        <f>Tabella8[[#This Row],[Italy fit]]/Kt</f>
        <v>0</v>
      </c>
      <c r="K19" s="22">
        <f>Tabella8[[#This Row],[Italy fit]]*NOT(ISBLANK(Tabella8[[#This Row],[Italy cumulative]]))</f>
        <v>0</v>
      </c>
      <c r="L19" s="10">
        <f>Tabella8[[#This Row],[Italy sum of regions]]+CI</f>
        <v>2757.9323654779196</v>
      </c>
      <c r="M19" s="10">
        <f>MAX(Tabella8[[#This Row],[Italy sum of regions]]-CI,0)</f>
        <v>0</v>
      </c>
      <c r="N19" s="139"/>
      <c r="O19" s="10">
        <f>Tabella8[[#This Row],[region data]]*NOT(ISBLANK(Tabella8[[#This Row],[region data]]))</f>
        <v>0</v>
      </c>
      <c r="P19" s="107">
        <f>MAX(Kr*(TANH(psi_r*(Tabella8[[#This Row],[Day]]-pr)-phi_r)+TANH(phi_r))/(1+TANH(phi_r)),0)</f>
        <v>0</v>
      </c>
      <c r="Q19" s="107">
        <f>Tabella8[[#This Row],[region fit]]/Kr</f>
        <v>0</v>
      </c>
      <c r="R19" s="10">
        <f>Tabella8[[#This Row],[region fit]]*NOT(ISBLANK(Tabella8[[#This Row],[region data]]))</f>
        <v>0</v>
      </c>
      <c r="S19" s="10">
        <f>Tabella8[[#This Row],[region fit]]+CIr</f>
        <v>169.91071626612398</v>
      </c>
      <c r="T19" s="10">
        <f>MAX(Tabella8[[#This Row],[region fit]]-CIr,0)</f>
        <v>0</v>
      </c>
      <c r="U19" s="141"/>
      <c r="V19" s="10">
        <f>Tabella8[[#This Row],[rest of Italy ]]*NOT(ISBLANK(Tabella8[[#This Row],[rest of Italy ]]))</f>
        <v>0</v>
      </c>
      <c r="W19" s="108">
        <f>MAX(Ko*(TANH(psi_o*(Tabella8[[#This Row],[Day]]-po)-phi_o)+TANH(phi_o))/(1+TANH(phi_o)),0)</f>
        <v>0</v>
      </c>
      <c r="X19" s="108">
        <f>Tabella8[[#This Row],[rest of Italy fit]]/Ko</f>
        <v>0</v>
      </c>
      <c r="Y19" s="22">
        <f>Tabella8[[#This Row],[rest of Italy fit]]*NOT(ISBLANK(Tabella8[[#This Row],[rest of Italy ]]))</f>
        <v>0</v>
      </c>
      <c r="Z19" s="10">
        <f>Tabella8[[#This Row],[rest of Italy fit]]+CIo</f>
        <v>2813.9722047844634</v>
      </c>
      <c r="AA19" s="10">
        <f>MAX(Tabella8[[#This Row],[rest of Italy fit]]-CIo,0)</f>
        <v>0</v>
      </c>
      <c r="AB19" s="1"/>
      <c r="AC19" s="14" t="s">
        <v>0</v>
      </c>
      <c r="AD19" s="5">
        <v>13155.884997422498</v>
      </c>
      <c r="AR19" s="272">
        <f>COUNT($AD$19,$AD$20,$AD$21,$AD$28)</f>
        <v>4</v>
      </c>
      <c r="AX19" s="65"/>
      <c r="AY19" s="65"/>
      <c r="BA19" s="32"/>
      <c r="BB19" s="32"/>
      <c r="BD19" s="68"/>
      <c r="BE19" s="68"/>
    </row>
    <row r="20" spans="2:57" x14ac:dyDescent="0.3">
      <c r="B20" s="135">
        <v>43843</v>
      </c>
      <c r="C20" s="4">
        <v>13</v>
      </c>
      <c r="D20" s="141"/>
      <c r="E20" s="10">
        <f>Tabella8[[#This Row],[Italy cumulative]]*NOT(ISBLANK(Tabella8[[#This Row],[Italy cumulative]]))</f>
        <v>0</v>
      </c>
      <c r="F20" s="10">
        <f>Tabella8[[#This Row],[region fit]]+Tabella8[[#This Row],[rest of Italy fit]]</f>
        <v>0</v>
      </c>
      <c r="G20" s="72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32">
        <f>MAX(Kt*(TANH(psi_t*(Tabella8[[#This Row],[Day]]-pt)-phi_t)+TANH(phi_t))/(1+TANH(phi_t)),0)</f>
        <v>0</v>
      </c>
      <c r="J20" s="133">
        <f>Tabella8[[#This Row],[Italy fit]]/Kt</f>
        <v>0</v>
      </c>
      <c r="K20" s="22">
        <f>Tabella8[[#This Row],[Italy fit]]*NOT(ISBLANK(Tabella8[[#This Row],[Italy cumulative]]))</f>
        <v>0</v>
      </c>
      <c r="L20" s="10">
        <f>Tabella8[[#This Row],[Italy sum of regions]]+CI</f>
        <v>2757.9323654779196</v>
      </c>
      <c r="M20" s="10">
        <f>MAX(Tabella8[[#This Row],[Italy sum of regions]]-CI,0)</f>
        <v>0</v>
      </c>
      <c r="N20" s="139"/>
      <c r="O20" s="10">
        <f>Tabella8[[#This Row],[region data]]*NOT(ISBLANK(Tabella8[[#This Row],[region data]]))</f>
        <v>0</v>
      </c>
      <c r="P20" s="107">
        <f>MAX(Kr*(TANH(psi_r*(Tabella8[[#This Row],[Day]]-pr)-phi_r)+TANH(phi_r))/(1+TANH(phi_r)),0)</f>
        <v>0</v>
      </c>
      <c r="Q20" s="107">
        <f>Tabella8[[#This Row],[region fit]]/Kr</f>
        <v>0</v>
      </c>
      <c r="R20" s="10">
        <f>Tabella8[[#This Row],[region fit]]*NOT(ISBLANK(Tabella8[[#This Row],[region data]]))</f>
        <v>0</v>
      </c>
      <c r="S20" s="10">
        <f>Tabella8[[#This Row],[region fit]]+CIr</f>
        <v>169.91071626612398</v>
      </c>
      <c r="T20" s="10">
        <f>MAX(Tabella8[[#This Row],[region fit]]-CIr,0)</f>
        <v>0</v>
      </c>
      <c r="U20" s="141"/>
      <c r="V20" s="10">
        <f>Tabella8[[#This Row],[rest of Italy ]]*NOT(ISBLANK(Tabella8[[#This Row],[rest of Italy ]]))</f>
        <v>0</v>
      </c>
      <c r="W20" s="108">
        <f>MAX(Ko*(TANH(psi_o*(Tabella8[[#This Row],[Day]]-po)-phi_o)+TANH(phi_o))/(1+TANH(phi_o)),0)</f>
        <v>0</v>
      </c>
      <c r="X20" s="108">
        <f>Tabella8[[#This Row],[rest of Italy fit]]/Ko</f>
        <v>0</v>
      </c>
      <c r="Y20" s="22">
        <f>Tabella8[[#This Row],[rest of Italy fit]]*NOT(ISBLANK(Tabella8[[#This Row],[rest of Italy ]]))</f>
        <v>0</v>
      </c>
      <c r="Z20" s="10">
        <f>Tabella8[[#This Row],[rest of Italy fit]]+CIo</f>
        <v>2813.9722047844634</v>
      </c>
      <c r="AA20" s="10">
        <f>MAX(Tabella8[[#This Row],[rest of Italy fit]]-CIo,0)</f>
        <v>0</v>
      </c>
      <c r="AB20" s="1"/>
      <c r="AC20" s="85" t="s">
        <v>4713</v>
      </c>
      <c r="AD20" s="30">
        <v>1.098415617555788</v>
      </c>
      <c r="AR20" s="272" t="b">
        <f>psi_r&gt;=0.000001</f>
        <v>1</v>
      </c>
      <c r="AX20" s="65"/>
      <c r="AY20" s="65"/>
      <c r="BA20" s="32"/>
      <c r="BB20" s="32"/>
      <c r="BD20" s="68"/>
      <c r="BE20" s="68"/>
    </row>
    <row r="21" spans="2:57" x14ac:dyDescent="0.3">
      <c r="B21" s="135">
        <v>43844</v>
      </c>
      <c r="C21" s="4">
        <v>14</v>
      </c>
      <c r="D21" s="141"/>
      <c r="E21" s="10">
        <f>Tabella8[[#This Row],[Italy cumulative]]*NOT(ISBLANK(Tabella8[[#This Row],[Italy cumulative]]))</f>
        <v>0</v>
      </c>
      <c r="F21" s="10">
        <f>Tabella8[[#This Row],[region fit]]+Tabella8[[#This Row],[rest of Italy fit]]</f>
        <v>0</v>
      </c>
      <c r="G21" s="72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32">
        <f>MAX(Kt*(TANH(psi_t*(Tabella8[[#This Row],[Day]]-pt)-phi_t)+TANH(phi_t))/(1+TANH(phi_t)),0)</f>
        <v>0</v>
      </c>
      <c r="J21" s="133">
        <f>Tabella8[[#This Row],[Italy fit]]/Kt</f>
        <v>0</v>
      </c>
      <c r="K21" s="22">
        <f>Tabella8[[#This Row],[Italy fit]]*NOT(ISBLANK(Tabella8[[#This Row],[Italy cumulative]]))</f>
        <v>0</v>
      </c>
      <c r="L21" s="10">
        <f>Tabella8[[#This Row],[Italy sum of regions]]+CI</f>
        <v>2757.9323654779196</v>
      </c>
      <c r="M21" s="10">
        <f>MAX(Tabella8[[#This Row],[Italy sum of regions]]-CI,0)</f>
        <v>0</v>
      </c>
      <c r="N21" s="139"/>
      <c r="O21" s="10">
        <f>Tabella8[[#This Row],[region data]]*NOT(ISBLANK(Tabella8[[#This Row],[region data]]))</f>
        <v>0</v>
      </c>
      <c r="P21" s="107">
        <f>MAX(Kr*(TANH(psi_r*(Tabella8[[#This Row],[Day]]-pr)-phi_r)+TANH(phi_r))/(1+TANH(phi_r)),0)</f>
        <v>0</v>
      </c>
      <c r="Q21" s="107">
        <f>Tabella8[[#This Row],[region fit]]/Kr</f>
        <v>0</v>
      </c>
      <c r="R21" s="10">
        <f>Tabella8[[#This Row],[region fit]]*NOT(ISBLANK(Tabella8[[#This Row],[region data]]))</f>
        <v>0</v>
      </c>
      <c r="S21" s="10">
        <f>Tabella8[[#This Row],[region fit]]+CIr</f>
        <v>169.91071626612398</v>
      </c>
      <c r="T21" s="10">
        <f>MAX(Tabella8[[#This Row],[region fit]]-CIr,0)</f>
        <v>0</v>
      </c>
      <c r="U21" s="141"/>
      <c r="V21" s="10">
        <f>Tabella8[[#This Row],[rest of Italy ]]*NOT(ISBLANK(Tabella8[[#This Row],[rest of Italy ]]))</f>
        <v>0</v>
      </c>
      <c r="W21" s="108">
        <f>MAX(Ko*(TANH(psi_o*(Tabella8[[#This Row],[Day]]-po)-phi_o)+TANH(phi_o))/(1+TANH(phi_o)),0)</f>
        <v>0</v>
      </c>
      <c r="X21" s="108">
        <f>Tabella8[[#This Row],[rest of Italy fit]]/Ko</f>
        <v>0</v>
      </c>
      <c r="Y21" s="22">
        <f>Tabella8[[#This Row],[rest of Italy fit]]*NOT(ISBLANK(Tabella8[[#This Row],[rest of Italy ]]))</f>
        <v>0</v>
      </c>
      <c r="Z21" s="10">
        <f>Tabella8[[#This Row],[rest of Italy fit]]+CIo</f>
        <v>2813.9722047844634</v>
      </c>
      <c r="AA21" s="10">
        <f>MAX(Tabella8[[#This Row],[rest of Italy fit]]-CIo,0)</f>
        <v>0</v>
      </c>
      <c r="AB21" s="1"/>
      <c r="AC21" s="14" t="s">
        <v>4714</v>
      </c>
      <c r="AD21" s="30">
        <v>2.014400483316901E-2</v>
      </c>
      <c r="AR21" s="272">
        <f>{32767;32767;0.000001;0.01;FALSE;TRUE;FALSE;1;2;1;0.0001;TRUE}</f>
        <v>32767</v>
      </c>
      <c r="AX21" s="65"/>
      <c r="AY21" s="65"/>
      <c r="BA21" s="32"/>
      <c r="BB21" s="32"/>
      <c r="BD21" s="68"/>
      <c r="BE21" s="68"/>
    </row>
    <row r="22" spans="2:57" x14ac:dyDescent="0.3">
      <c r="B22" s="135">
        <v>43845</v>
      </c>
      <c r="C22" s="4">
        <v>15</v>
      </c>
      <c r="D22" s="141"/>
      <c r="E22" s="10">
        <f>Tabella8[[#This Row],[Italy cumulative]]*NOT(ISBLANK(Tabella8[[#This Row],[Italy cumulative]]))</f>
        <v>0</v>
      </c>
      <c r="F22" s="10">
        <f>Tabella8[[#This Row],[region fit]]+Tabella8[[#This Row],[rest of Italy fit]]</f>
        <v>0</v>
      </c>
      <c r="G22" s="72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32">
        <f>MAX(Kt*(TANH(psi_t*(Tabella8[[#This Row],[Day]]-pt)-phi_t)+TANH(phi_t))/(1+TANH(phi_t)),0)</f>
        <v>0</v>
      </c>
      <c r="J22" s="133">
        <f>Tabella8[[#This Row],[Italy fit]]/Kt</f>
        <v>0</v>
      </c>
      <c r="K22" s="22">
        <f>Tabella8[[#This Row],[Italy fit]]*NOT(ISBLANK(Tabella8[[#This Row],[Italy cumulative]]))</f>
        <v>0</v>
      </c>
      <c r="L22" s="10">
        <f>Tabella8[[#This Row],[Italy sum of regions]]+CI</f>
        <v>2757.9323654779196</v>
      </c>
      <c r="M22" s="10">
        <f>MAX(Tabella8[[#This Row],[Italy sum of regions]]-CI,0)</f>
        <v>0</v>
      </c>
      <c r="N22" s="139"/>
      <c r="O22" s="10">
        <f>Tabella8[[#This Row],[region data]]*NOT(ISBLANK(Tabella8[[#This Row],[region data]]))</f>
        <v>0</v>
      </c>
      <c r="P22" s="107">
        <f>MAX(Kr*(TANH(psi_r*(Tabella8[[#This Row],[Day]]-pr)-phi_r)+TANH(phi_r))/(1+TANH(phi_r)),0)</f>
        <v>0</v>
      </c>
      <c r="Q22" s="107">
        <f>Tabella8[[#This Row],[region fit]]/Kr</f>
        <v>0</v>
      </c>
      <c r="R22" s="10">
        <f>Tabella8[[#This Row],[region fit]]*NOT(ISBLANK(Tabella8[[#This Row],[region data]]))</f>
        <v>0</v>
      </c>
      <c r="S22" s="10">
        <f>Tabella8[[#This Row],[region fit]]+CIr</f>
        <v>169.91071626612398</v>
      </c>
      <c r="T22" s="10">
        <f>MAX(Tabella8[[#This Row],[region fit]]-CIr,0)</f>
        <v>0</v>
      </c>
      <c r="U22" s="141"/>
      <c r="V22" s="10">
        <f>Tabella8[[#This Row],[rest of Italy ]]*NOT(ISBLANK(Tabella8[[#This Row],[rest of Italy ]]))</f>
        <v>0</v>
      </c>
      <c r="W22" s="108">
        <f>MAX(Ko*(TANH(psi_o*(Tabella8[[#This Row],[Day]]-po)-phi_o)+TANH(phi_o))/(1+TANH(phi_o)),0)</f>
        <v>0</v>
      </c>
      <c r="X22" s="108">
        <f>Tabella8[[#This Row],[rest of Italy fit]]/Ko</f>
        <v>0</v>
      </c>
      <c r="Y22" s="22">
        <f>Tabella8[[#This Row],[rest of Italy fit]]*NOT(ISBLANK(Tabella8[[#This Row],[rest of Italy ]]))</f>
        <v>0</v>
      </c>
      <c r="Z22" s="10">
        <f>Tabella8[[#This Row],[rest of Italy fit]]+CIo</f>
        <v>2813.9722047844634</v>
      </c>
      <c r="AA22" s="10">
        <f>MAX(Tabella8[[#This Row],[rest of Italy fit]]-CIo,0)</f>
        <v>0</v>
      </c>
      <c r="AB22" s="1"/>
      <c r="AC22" s="2" t="s">
        <v>1</v>
      </c>
      <c r="AD22" s="1">
        <f>AVERAGE(Tabella8[region data])</f>
        <v>3236.1568627450979</v>
      </c>
      <c r="AR22" s="272">
        <f>{0;0;1;200;0;FALSE;FALSE;0.075;0;0;FALSE;30}</f>
        <v>0</v>
      </c>
      <c r="AX22" s="65"/>
      <c r="AY22" s="65"/>
      <c r="BA22" s="32"/>
      <c r="BB22" s="32"/>
      <c r="BD22" s="68"/>
      <c r="BE22" s="68"/>
    </row>
    <row r="23" spans="2:57" x14ac:dyDescent="0.3">
      <c r="B23" s="135">
        <v>43846</v>
      </c>
      <c r="C23" s="4">
        <v>16</v>
      </c>
      <c r="D23" s="141"/>
      <c r="E23" s="10">
        <f>Tabella8[[#This Row],[Italy cumulative]]*NOT(ISBLANK(Tabella8[[#This Row],[Italy cumulative]]))</f>
        <v>0</v>
      </c>
      <c r="F23" s="10">
        <f>Tabella8[[#This Row],[region fit]]+Tabella8[[#This Row],[rest of Italy fit]]</f>
        <v>0</v>
      </c>
      <c r="G23" s="72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32">
        <f>MAX(Kt*(TANH(psi_t*(Tabella8[[#This Row],[Day]]-pt)-phi_t)+TANH(phi_t))/(1+TANH(phi_t)),0)</f>
        <v>0</v>
      </c>
      <c r="J23" s="133">
        <f>Tabella8[[#This Row],[Italy fit]]/Kt</f>
        <v>0</v>
      </c>
      <c r="K23" s="22">
        <f>Tabella8[[#This Row],[Italy fit]]*NOT(ISBLANK(Tabella8[[#This Row],[Italy cumulative]]))</f>
        <v>0</v>
      </c>
      <c r="L23" s="10">
        <f>Tabella8[[#This Row],[Italy sum of regions]]+CI</f>
        <v>2757.9323654779196</v>
      </c>
      <c r="M23" s="10">
        <f>MAX(Tabella8[[#This Row],[Italy sum of regions]]-CI,0)</f>
        <v>0</v>
      </c>
      <c r="N23" s="139"/>
      <c r="O23" s="10">
        <f>Tabella8[[#This Row],[region data]]*NOT(ISBLANK(Tabella8[[#This Row],[region data]]))</f>
        <v>0</v>
      </c>
      <c r="P23" s="107">
        <f>MAX(Kr*(TANH(psi_r*(Tabella8[[#This Row],[Day]]-pr)-phi_r)+TANH(phi_r))/(1+TANH(phi_r)),0)</f>
        <v>0</v>
      </c>
      <c r="Q23" s="107">
        <f>Tabella8[[#This Row],[region fit]]/Kr</f>
        <v>0</v>
      </c>
      <c r="R23" s="10">
        <f>Tabella8[[#This Row],[region fit]]*NOT(ISBLANK(Tabella8[[#This Row],[region data]]))</f>
        <v>0</v>
      </c>
      <c r="S23" s="10">
        <f>Tabella8[[#This Row],[region fit]]+CIr</f>
        <v>169.91071626612398</v>
      </c>
      <c r="T23" s="10">
        <f>MAX(Tabella8[[#This Row],[region fit]]-CIr,0)</f>
        <v>0</v>
      </c>
      <c r="U23" s="141"/>
      <c r="V23" s="10">
        <f>Tabella8[[#This Row],[rest of Italy ]]*NOT(ISBLANK(Tabella8[[#This Row],[rest of Italy ]]))</f>
        <v>0</v>
      </c>
      <c r="W23" s="108">
        <f>MAX(Ko*(TANH(psi_o*(Tabella8[[#This Row],[Day]]-po)-phi_o)+TANH(phi_o))/(1+TANH(phi_o)),0)</f>
        <v>0</v>
      </c>
      <c r="X23" s="108">
        <f>Tabella8[[#This Row],[rest of Italy fit]]/Ko</f>
        <v>0</v>
      </c>
      <c r="Y23" s="22">
        <f>Tabella8[[#This Row],[rest of Italy fit]]*NOT(ISBLANK(Tabella8[[#This Row],[rest of Italy ]]))</f>
        <v>0</v>
      </c>
      <c r="Z23" s="10">
        <f>Tabella8[[#This Row],[rest of Italy fit]]+CIo</f>
        <v>2813.9722047844634</v>
      </c>
      <c r="AA23" s="10">
        <f>MAX(Tabella8[[#This Row],[rest of Italy fit]]-CIo,0)</f>
        <v>0</v>
      </c>
      <c r="AB23" s="1"/>
      <c r="AC23" s="2" t="s">
        <v>2</v>
      </c>
      <c r="AD23" s="1">
        <f>COUNT(Tabella8[region data])-COUNT(AD19:AD21,pr)</f>
        <v>98</v>
      </c>
      <c r="AR23" s="273">
        <f>{0;0;1;200;0;FALSE;FALSE;0.075;0;0;FALSE;30}</f>
        <v>0</v>
      </c>
      <c r="AX23" s="65"/>
      <c r="AY23" s="65"/>
      <c r="BA23" s="32"/>
      <c r="BB23" s="32"/>
      <c r="BD23" s="68"/>
      <c r="BE23" s="68"/>
    </row>
    <row r="24" spans="2:57" x14ac:dyDescent="0.3">
      <c r="B24" s="135">
        <v>43847</v>
      </c>
      <c r="C24" s="4">
        <v>17</v>
      </c>
      <c r="D24" s="141"/>
      <c r="E24" s="10">
        <f>Tabella8[[#This Row],[Italy cumulative]]*NOT(ISBLANK(Tabella8[[#This Row],[Italy cumulative]]))</f>
        <v>0</v>
      </c>
      <c r="F24" s="10">
        <f>Tabella8[[#This Row],[region fit]]+Tabella8[[#This Row],[rest of Italy fit]]</f>
        <v>0</v>
      </c>
      <c r="G24" s="72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32">
        <f>MAX(Kt*(TANH(psi_t*(Tabella8[[#This Row],[Day]]-pt)-phi_t)+TANH(phi_t))/(1+TANH(phi_t)),0)</f>
        <v>0</v>
      </c>
      <c r="J24" s="133">
        <f>Tabella8[[#This Row],[Italy fit]]/Kt</f>
        <v>0</v>
      </c>
      <c r="K24" s="22">
        <f>Tabella8[[#This Row],[Italy fit]]*NOT(ISBLANK(Tabella8[[#This Row],[Italy cumulative]]))</f>
        <v>0</v>
      </c>
      <c r="L24" s="10">
        <f>Tabella8[[#This Row],[Italy sum of regions]]+CI</f>
        <v>2757.9323654779196</v>
      </c>
      <c r="M24" s="10">
        <f>MAX(Tabella8[[#This Row],[Italy sum of regions]]-CI,0)</f>
        <v>0</v>
      </c>
      <c r="N24" s="139"/>
      <c r="O24" s="10">
        <f>Tabella8[[#This Row],[region data]]*NOT(ISBLANK(Tabella8[[#This Row],[region data]]))</f>
        <v>0</v>
      </c>
      <c r="P24" s="107">
        <f>MAX(Kr*(TANH(psi_r*(Tabella8[[#This Row],[Day]]-pr)-phi_r)+TANH(phi_r))/(1+TANH(phi_r)),0)</f>
        <v>0</v>
      </c>
      <c r="Q24" s="107">
        <f>Tabella8[[#This Row],[region fit]]/Kr</f>
        <v>0</v>
      </c>
      <c r="R24" s="10">
        <f>Tabella8[[#This Row],[region fit]]*NOT(ISBLANK(Tabella8[[#This Row],[region data]]))</f>
        <v>0</v>
      </c>
      <c r="S24" s="10">
        <f>Tabella8[[#This Row],[region fit]]+CIr</f>
        <v>169.91071626612398</v>
      </c>
      <c r="T24" s="10">
        <f>MAX(Tabella8[[#This Row],[region fit]]-CIr,0)</f>
        <v>0</v>
      </c>
      <c r="U24" s="141"/>
      <c r="V24" s="10">
        <f>Tabella8[[#This Row],[rest of Italy ]]*NOT(ISBLANK(Tabella8[[#This Row],[rest of Italy ]]))</f>
        <v>0</v>
      </c>
      <c r="W24" s="108">
        <f>MAX(Ko*(TANH(psi_o*(Tabella8[[#This Row],[Day]]-po)-phi_o)+TANH(phi_o))/(1+TANH(phi_o)),0)</f>
        <v>0</v>
      </c>
      <c r="X24" s="108">
        <f>Tabella8[[#This Row],[rest of Italy fit]]/Ko</f>
        <v>0</v>
      </c>
      <c r="Y24" s="22">
        <f>Tabella8[[#This Row],[rest of Italy fit]]*NOT(ISBLANK(Tabella8[[#This Row],[rest of Italy ]]))</f>
        <v>0</v>
      </c>
      <c r="Z24" s="10">
        <f>Tabella8[[#This Row],[rest of Italy fit]]+CIo</f>
        <v>2813.9722047844634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85.620308803808612</v>
      </c>
      <c r="AR24" s="270"/>
      <c r="AX24" s="65"/>
      <c r="AY24" s="65"/>
      <c r="BA24" s="32"/>
      <c r="BB24" s="32"/>
      <c r="BD24" s="68"/>
      <c r="BE24" s="68"/>
    </row>
    <row r="25" spans="2:57" ht="16.2" x14ac:dyDescent="0.3">
      <c r="B25" s="135">
        <v>43848</v>
      </c>
      <c r="C25" s="4">
        <v>18</v>
      </c>
      <c r="D25" s="141"/>
      <c r="E25" s="10">
        <f>Tabella8[[#This Row],[Italy cumulative]]*NOT(ISBLANK(Tabella8[[#This Row],[Italy cumulative]]))</f>
        <v>0</v>
      </c>
      <c r="F25" s="10">
        <f>Tabella8[[#This Row],[region fit]]+Tabella8[[#This Row],[rest of Italy fit]]</f>
        <v>0</v>
      </c>
      <c r="G25" s="72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32">
        <f>MAX(Kt*(TANH(psi_t*(Tabella8[[#This Row],[Day]]-pt)-phi_t)+TANH(phi_t))/(1+TANH(phi_t)),0)</f>
        <v>0</v>
      </c>
      <c r="J25" s="133">
        <f>Tabella8[[#This Row],[Italy fit]]/Kt</f>
        <v>0</v>
      </c>
      <c r="K25" s="22">
        <f>Tabella8[[#This Row],[Italy fit]]*NOT(ISBLANK(Tabella8[[#This Row],[Italy cumulative]]))</f>
        <v>0</v>
      </c>
      <c r="L25" s="10">
        <f>Tabella8[[#This Row],[Italy sum of regions]]+CI</f>
        <v>2757.9323654779196</v>
      </c>
      <c r="M25" s="10">
        <f>MAX(Tabella8[[#This Row],[Italy sum of regions]]-CI,0)</f>
        <v>0</v>
      </c>
      <c r="N25" s="139"/>
      <c r="O25" s="10">
        <f>Tabella8[[#This Row],[region data]]*NOT(ISBLANK(Tabella8[[#This Row],[region data]]))</f>
        <v>0</v>
      </c>
      <c r="P25" s="107">
        <f>MAX(Kr*(TANH(psi_r*(Tabella8[[#This Row],[Day]]-pr)-phi_r)+TANH(phi_r))/(1+TANH(phi_r)),0)</f>
        <v>0</v>
      </c>
      <c r="Q25" s="107">
        <f>Tabella8[[#This Row],[region fit]]/Kr</f>
        <v>0</v>
      </c>
      <c r="R25" s="10">
        <f>Tabella8[[#This Row],[region fit]]*NOT(ISBLANK(Tabella8[[#This Row],[region data]]))</f>
        <v>0</v>
      </c>
      <c r="S25" s="10">
        <f>Tabella8[[#This Row],[region fit]]+CIr</f>
        <v>169.91071626612398</v>
      </c>
      <c r="T25" s="10">
        <f>MAX(Tabella8[[#This Row],[region fit]]-CIr,0)</f>
        <v>0</v>
      </c>
      <c r="U25" s="141"/>
      <c r="V25" s="10">
        <f>Tabella8[[#This Row],[rest of Italy ]]*NOT(ISBLANK(Tabella8[[#This Row],[rest of Italy ]]))</f>
        <v>0</v>
      </c>
      <c r="W25" s="108">
        <f>MAX(Ko*(TANH(psi_o*(Tabella8[[#This Row],[Day]]-po)-phi_o)+TANH(phi_o))/(1+TANH(phi_o)),0)</f>
        <v>0</v>
      </c>
      <c r="X25" s="108">
        <f>Tabella8[[#This Row],[rest of Italy fit]]/Ko</f>
        <v>0</v>
      </c>
      <c r="Y25" s="22">
        <f>Tabella8[[#This Row],[rest of Italy fit]]*NOT(ISBLANK(Tabella8[[#This Row],[rest of Italy ]]))</f>
        <v>0</v>
      </c>
      <c r="Z25" s="10">
        <f>Tabella8[[#This Row],[rest of Italy fit]]+CIo</f>
        <v>2813.9722047844634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0.99958621253771951</v>
      </c>
      <c r="AR25" s="274"/>
      <c r="AX25" s="65"/>
      <c r="AY25" s="65"/>
      <c r="BA25" s="32"/>
      <c r="BB25" s="32"/>
      <c r="BD25" s="68"/>
      <c r="BE25" s="68"/>
    </row>
    <row r="26" spans="2:57" x14ac:dyDescent="0.3">
      <c r="B26" s="135">
        <v>43849</v>
      </c>
      <c r="C26" s="4">
        <v>19</v>
      </c>
      <c r="D26" s="141"/>
      <c r="E26" s="10">
        <f>Tabella8[[#This Row],[Italy cumulative]]*NOT(ISBLANK(Tabella8[[#This Row],[Italy cumulative]]))</f>
        <v>0</v>
      </c>
      <c r="F26" s="10">
        <f>Tabella8[[#This Row],[region fit]]+Tabella8[[#This Row],[rest of Italy fit]]</f>
        <v>0</v>
      </c>
      <c r="G26" s="72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32">
        <f>MAX(Kt*(TANH(psi_t*(Tabella8[[#This Row],[Day]]-pt)-phi_t)+TANH(phi_t))/(1+TANH(phi_t)),0)</f>
        <v>0</v>
      </c>
      <c r="J26" s="133">
        <f>Tabella8[[#This Row],[Italy fit]]/Kt</f>
        <v>0</v>
      </c>
      <c r="K26" s="22">
        <f>Tabella8[[#This Row],[Italy fit]]*NOT(ISBLANK(Tabella8[[#This Row],[Italy cumulative]]))</f>
        <v>0</v>
      </c>
      <c r="L26" s="10">
        <f>Tabella8[[#This Row],[Italy sum of regions]]+CI</f>
        <v>2757.9323654779196</v>
      </c>
      <c r="M26" s="10">
        <f>MAX(Tabella8[[#This Row],[Italy sum of regions]]-CI,0)</f>
        <v>0</v>
      </c>
      <c r="N26" s="139"/>
      <c r="O26" s="10">
        <f>Tabella8[[#This Row],[region data]]*NOT(ISBLANK(Tabella8[[#This Row],[region data]]))</f>
        <v>0</v>
      </c>
      <c r="P26" s="107">
        <f>MAX(Kr*(TANH(psi_r*(Tabella8[[#This Row],[Day]]-pr)-phi_r)+TANH(phi_r))/(1+TANH(phi_r)),0)</f>
        <v>0</v>
      </c>
      <c r="Q26" s="107">
        <f>Tabella8[[#This Row],[region fit]]/Kr</f>
        <v>0</v>
      </c>
      <c r="R26" s="10">
        <f>Tabella8[[#This Row],[region fit]]*NOT(ISBLANK(Tabella8[[#This Row],[region data]]))</f>
        <v>0</v>
      </c>
      <c r="S26" s="10">
        <f>Tabella8[[#This Row],[region fit]]+CIr</f>
        <v>169.91071626612398</v>
      </c>
      <c r="T26" s="10">
        <f>MAX(Tabella8[[#This Row],[region fit]]-CIr,0)</f>
        <v>0</v>
      </c>
      <c r="U26" s="141"/>
      <c r="V26" s="10">
        <f>Tabella8[[#This Row],[rest of Italy ]]*NOT(ISBLANK(Tabella8[[#This Row],[rest of Italy ]]))</f>
        <v>0</v>
      </c>
      <c r="W26" s="108">
        <f>MAX(Ko*(TANH(psi_o*(Tabella8[[#This Row],[Day]]-po)-phi_o)+TANH(phi_o))/(1+TANH(phi_o)),0)</f>
        <v>0</v>
      </c>
      <c r="X26" s="108">
        <f>Tabella8[[#This Row],[rest of Italy fit]]/Ko</f>
        <v>0</v>
      </c>
      <c r="Y26" s="22">
        <f>Tabella8[[#This Row],[rest of Italy fit]]*NOT(ISBLANK(Tabella8[[#This Row],[rest of Italy ]]))</f>
        <v>0</v>
      </c>
      <c r="Z26" s="10">
        <f>Tabella8[[#This Row],[rest of Italy fit]]+CIo</f>
        <v>2813.9722047844634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1.9844674545084788</v>
      </c>
      <c r="AR26" s="274"/>
      <c r="AX26" s="65"/>
      <c r="AY26" s="65"/>
      <c r="BA26" s="32"/>
      <c r="BB26" s="32"/>
      <c r="BD26" s="68"/>
      <c r="BE26" s="68"/>
    </row>
    <row r="27" spans="2:57" ht="15" thickBot="1" x14ac:dyDescent="0.35">
      <c r="B27" s="135">
        <v>43850</v>
      </c>
      <c r="C27" s="4">
        <v>20</v>
      </c>
      <c r="D27" s="141"/>
      <c r="E27" s="10">
        <f>Tabella8[[#This Row],[Italy cumulative]]*NOT(ISBLANK(Tabella8[[#This Row],[Italy cumulative]]))</f>
        <v>0</v>
      </c>
      <c r="F27" s="10">
        <f>Tabella8[[#This Row],[region fit]]+Tabella8[[#This Row],[rest of Italy fit]]</f>
        <v>0</v>
      </c>
      <c r="G27" s="72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32">
        <f>MAX(Kt*(TANH(psi_t*(Tabella8[[#This Row],[Day]]-pt)-phi_t)+TANH(phi_t))/(1+TANH(phi_t)),0)</f>
        <v>0</v>
      </c>
      <c r="J27" s="133">
        <f>Tabella8[[#This Row],[Italy fit]]/Kt</f>
        <v>0</v>
      </c>
      <c r="K27" s="22">
        <f>Tabella8[[#This Row],[Italy fit]]*NOT(ISBLANK(Tabella8[[#This Row],[Italy cumulative]]))</f>
        <v>0</v>
      </c>
      <c r="L27" s="10">
        <f>Tabella8[[#This Row],[Italy sum of regions]]+CI</f>
        <v>2757.9323654779196</v>
      </c>
      <c r="M27" s="10">
        <f>MAX(Tabella8[[#This Row],[Italy sum of regions]]-CI,0)</f>
        <v>0</v>
      </c>
      <c r="N27" s="139"/>
      <c r="O27" s="10">
        <f>Tabella8[[#This Row],[region data]]*NOT(ISBLANK(Tabella8[[#This Row],[region data]]))</f>
        <v>0</v>
      </c>
      <c r="P27" s="107">
        <f>MAX(Kr*(TANH(psi_r*(Tabella8[[#This Row],[Day]]-pr)-phi_r)+TANH(phi_r))/(1+TANH(phi_r)),0)</f>
        <v>0</v>
      </c>
      <c r="Q27" s="107">
        <f>Tabella8[[#This Row],[region fit]]/Kr</f>
        <v>0</v>
      </c>
      <c r="R27" s="10">
        <f>Tabella8[[#This Row],[region fit]]*NOT(ISBLANK(Tabella8[[#This Row],[region data]]))</f>
        <v>0</v>
      </c>
      <c r="S27" s="10">
        <f>Tabella8[[#This Row],[region fit]]+CIr</f>
        <v>169.91071626612398</v>
      </c>
      <c r="T27" s="10">
        <f>MAX(Tabella8[[#This Row],[region fit]]-CIr,0)</f>
        <v>0</v>
      </c>
      <c r="U27" s="141"/>
      <c r="V27" s="10">
        <f>Tabella8[[#This Row],[rest of Italy ]]*NOT(ISBLANK(Tabella8[[#This Row],[rest of Italy ]]))</f>
        <v>0</v>
      </c>
      <c r="W27" s="108">
        <f>MAX(Ko*(TANH(psi_o*(Tabella8[[#This Row],[Day]]-po)-phi_o)+TANH(phi_o))/(1+TANH(phi_o)),0)</f>
        <v>0</v>
      </c>
      <c r="X27" s="108">
        <f>Tabella8[[#This Row],[rest of Italy fit]]/Ko</f>
        <v>0</v>
      </c>
      <c r="Y27" s="22">
        <f>Tabella8[[#This Row],[rest of Italy fit]]*NOT(ISBLANK(Tabella8[[#This Row],[rest of Italy ]]))</f>
        <v>0</v>
      </c>
      <c r="Z27" s="10">
        <f>Tabella8[[#This Row],[rest of Italy fit]]+CIo</f>
        <v>2813.9722047844634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169.91071626612398</v>
      </c>
      <c r="AR27" s="275"/>
      <c r="AX27" s="65"/>
      <c r="AY27" s="65"/>
      <c r="BA27" s="32"/>
      <c r="BB27" s="32"/>
      <c r="BD27" s="68"/>
      <c r="BE27" s="68"/>
    </row>
    <row r="28" spans="2:57" ht="15" thickTop="1" x14ac:dyDescent="0.3">
      <c r="B28" s="135">
        <v>43851</v>
      </c>
      <c r="C28" s="4">
        <v>21</v>
      </c>
      <c r="D28" s="141"/>
      <c r="E28" s="10">
        <f>Tabella8[[#This Row],[Italy cumulative]]*NOT(ISBLANK(Tabella8[[#This Row],[Italy cumulative]]))</f>
        <v>0</v>
      </c>
      <c r="F28" s="10">
        <f>Tabella8[[#This Row],[region fit]]+Tabella8[[#This Row],[rest of Italy fit]]</f>
        <v>0</v>
      </c>
      <c r="G28" s="72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32">
        <f>MAX(Kt*(TANH(psi_t*(Tabella8[[#This Row],[Day]]-pt)-phi_t)+TANH(phi_t))/(1+TANH(phi_t)),0)</f>
        <v>0</v>
      </c>
      <c r="J28" s="133">
        <f>Tabella8[[#This Row],[Italy fit]]/Kt</f>
        <v>0</v>
      </c>
      <c r="K28" s="22">
        <f>Tabella8[[#This Row],[Italy fit]]*NOT(ISBLANK(Tabella8[[#This Row],[Italy cumulative]]))</f>
        <v>0</v>
      </c>
      <c r="L28" s="10">
        <f>Tabella8[[#This Row],[Italy sum of regions]]+CI</f>
        <v>2757.9323654779196</v>
      </c>
      <c r="M28" s="10">
        <f>MAX(Tabella8[[#This Row],[Italy sum of regions]]-CI,0)</f>
        <v>0</v>
      </c>
      <c r="N28" s="139"/>
      <c r="O28" s="10">
        <f>Tabella8[[#This Row],[region data]]*NOT(ISBLANK(Tabella8[[#This Row],[region data]]))</f>
        <v>0</v>
      </c>
      <c r="P28" s="107">
        <f>MAX(Kr*(TANH(psi_r*(Tabella8[[#This Row],[Day]]-pr)-phi_r)+TANH(phi_r))/(1+TANH(phi_r)),0)</f>
        <v>0</v>
      </c>
      <c r="Q28" s="107">
        <f>Tabella8[[#This Row],[region fit]]/Kr</f>
        <v>0</v>
      </c>
      <c r="R28" s="10">
        <f>Tabella8[[#This Row],[region fit]]*NOT(ISBLANK(Tabella8[[#This Row],[region data]]))</f>
        <v>0</v>
      </c>
      <c r="S28" s="10">
        <f>Tabella8[[#This Row],[region fit]]+CIr</f>
        <v>169.91071626612398</v>
      </c>
      <c r="T28" s="10">
        <f>MAX(Tabella8[[#This Row],[region fit]]-CIr,0)</f>
        <v>0</v>
      </c>
      <c r="U28" s="141"/>
      <c r="V28" s="10">
        <f>Tabella8[[#This Row],[rest of Italy ]]*NOT(ISBLANK(Tabella8[[#This Row],[rest of Italy ]]))</f>
        <v>0</v>
      </c>
      <c r="W28" s="108">
        <f>MAX(Ko*(TANH(psi_o*(Tabella8[[#This Row],[Day]]-po)-phi_o)+TANH(phi_o))/(1+TANH(phi_o)),0)</f>
        <v>0</v>
      </c>
      <c r="X28" s="108">
        <f>Tabella8[[#This Row],[rest of Italy fit]]/Ko</f>
        <v>0</v>
      </c>
      <c r="Y28" s="22">
        <f>Tabella8[[#This Row],[rest of Italy fit]]*NOT(ISBLANK(Tabella8[[#This Row],[rest of Italy ]]))</f>
        <v>0</v>
      </c>
      <c r="Z28" s="10">
        <f>Tabella8[[#This Row],[rest of Italy fit]]+CIo</f>
        <v>2813.9722047844634</v>
      </c>
      <c r="AA28" s="10">
        <f>MAX(Tabella8[[#This Row],[rest of Italy fit]]-CIo,0)</f>
        <v>0</v>
      </c>
      <c r="AB28" s="1"/>
      <c r="AC28" s="60" t="s">
        <v>356</v>
      </c>
      <c r="AD28" s="136">
        <v>76.356483051343162</v>
      </c>
      <c r="AR28" s="276">
        <f>MAX($AD$36)</f>
        <v>0.9997509464402643</v>
      </c>
      <c r="AX28" s="65"/>
      <c r="AY28" s="65"/>
      <c r="BA28" s="32"/>
      <c r="BB28" s="32"/>
      <c r="BD28" s="68"/>
      <c r="BE28" s="68"/>
    </row>
    <row r="29" spans="2:57" x14ac:dyDescent="0.3">
      <c r="B29" s="134">
        <v>43852</v>
      </c>
      <c r="C29" s="4">
        <v>22</v>
      </c>
      <c r="D29" s="141"/>
      <c r="E29" s="10">
        <f>Tabella8[[#This Row],[Italy cumulative]]*NOT(ISBLANK(Tabella8[[#This Row],[Italy cumulative]]))</f>
        <v>0</v>
      </c>
      <c r="F29" s="10">
        <f>Tabella8[[#This Row],[region fit]]+Tabella8[[#This Row],[rest of Italy fit]]</f>
        <v>0</v>
      </c>
      <c r="G29" s="72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32">
        <f>MAX(Kt*(TANH(psi_t*(Tabella8[[#This Row],[Day]]-pt)-phi_t)+TANH(phi_t))/(1+TANH(phi_t)),0)</f>
        <v>0</v>
      </c>
      <c r="J29" s="133">
        <f>Tabella8[[#This Row],[Italy fit]]/Kt</f>
        <v>0</v>
      </c>
      <c r="K29" s="22">
        <f>Tabella8[[#This Row],[Italy fit]]*NOT(ISBLANK(Tabella8[[#This Row],[Italy cumulative]]))</f>
        <v>0</v>
      </c>
      <c r="L29" s="10">
        <f>Tabella8[[#This Row],[Italy sum of regions]]+CI</f>
        <v>2757.9323654779196</v>
      </c>
      <c r="M29" s="10">
        <f>MAX(Tabella8[[#This Row],[Italy sum of regions]]-CI,0)</f>
        <v>0</v>
      </c>
      <c r="N29" s="139"/>
      <c r="O29" s="10">
        <f>Tabella8[[#This Row],[region data]]*NOT(ISBLANK(Tabella8[[#This Row],[region data]]))</f>
        <v>0</v>
      </c>
      <c r="P29" s="107">
        <f>MAX(Kr*(TANH(psi_r*(Tabella8[[#This Row],[Day]]-pr)-phi_r)+TANH(phi_r))/(1+TANH(phi_r)),0)</f>
        <v>0</v>
      </c>
      <c r="Q29" s="107">
        <f>Tabella8[[#This Row],[region fit]]/Kr</f>
        <v>0</v>
      </c>
      <c r="R29" s="10">
        <f>Tabella8[[#This Row],[region fit]]*NOT(ISBLANK(Tabella8[[#This Row],[region data]]))</f>
        <v>0</v>
      </c>
      <c r="S29" s="10">
        <f>Tabella8[[#This Row],[region fit]]+CIr</f>
        <v>169.91071626612398</v>
      </c>
      <c r="T29" s="10">
        <f>MAX(Tabella8[[#This Row],[region fit]]-CIr,0)</f>
        <v>0</v>
      </c>
      <c r="U29" s="141"/>
      <c r="V29" s="10">
        <f>Tabella8[[#This Row],[rest of Italy ]]*NOT(ISBLANK(Tabella8[[#This Row],[rest of Italy ]]))</f>
        <v>0</v>
      </c>
      <c r="W29" s="108">
        <f>MAX(Ko*(TANH(psi_o*(Tabella8[[#This Row],[Day]]-po)-phi_o)+TANH(phi_o))/(1+TANH(phi_o)),0)</f>
        <v>0</v>
      </c>
      <c r="X29" s="108">
        <f>Tabella8[[#This Row],[rest of Italy fit]]/Ko</f>
        <v>0</v>
      </c>
      <c r="Y29" s="22">
        <f>Tabella8[[#This Row],[rest of Italy fit]]*NOT(ISBLANK(Tabella8[[#This Row],[rest of Italy ]]))</f>
        <v>0</v>
      </c>
      <c r="Z29" s="10">
        <f>Tabella8[[#This Row],[rest of Italy fit]]+CIo</f>
        <v>2813.9722047844634</v>
      </c>
      <c r="AA29" s="10">
        <f>MAX(Tabella8[[#This Row],[rest of Italy fit]]-CIo,0)</f>
        <v>0</v>
      </c>
      <c r="AB29" s="1"/>
      <c r="AC29" s="31" t="s">
        <v>83</v>
      </c>
      <c r="AD29" s="32" t="s">
        <v>122</v>
      </c>
      <c r="AR29" s="277">
        <f>COUNT($AD$30,$AD$31,$AD$32,$AD$39)</f>
        <v>4</v>
      </c>
      <c r="AX29" s="65"/>
      <c r="AY29" s="65"/>
      <c r="BA29" s="32"/>
      <c r="BB29" s="32"/>
      <c r="BD29" s="68"/>
      <c r="BE29" s="68"/>
    </row>
    <row r="30" spans="2:57" x14ac:dyDescent="0.3">
      <c r="B30" s="134">
        <v>43853</v>
      </c>
      <c r="C30" s="4">
        <v>23</v>
      </c>
      <c r="D30" s="141"/>
      <c r="E30" s="10">
        <f>Tabella8[[#This Row],[Italy cumulative]]*NOT(ISBLANK(Tabella8[[#This Row],[Italy cumulative]]))</f>
        <v>0</v>
      </c>
      <c r="F30" s="10">
        <f>Tabella8[[#This Row],[region fit]]+Tabella8[[#This Row],[rest of Italy fit]]</f>
        <v>0</v>
      </c>
      <c r="G30" s="72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32">
        <f>MAX(Kt*(TANH(psi_t*(Tabella8[[#This Row],[Day]]-pt)-phi_t)+TANH(phi_t))/(1+TANH(phi_t)),0)</f>
        <v>0</v>
      </c>
      <c r="J30" s="133">
        <f>Tabella8[[#This Row],[Italy fit]]/Kt</f>
        <v>0</v>
      </c>
      <c r="K30" s="22">
        <f>Tabella8[[#This Row],[Italy fit]]*NOT(ISBLANK(Tabella8[[#This Row],[Italy cumulative]]))</f>
        <v>0</v>
      </c>
      <c r="L30" s="10">
        <f>Tabella8[[#This Row],[Italy sum of regions]]+CI</f>
        <v>2757.9323654779196</v>
      </c>
      <c r="M30" s="10">
        <f>MAX(Tabella8[[#This Row],[Italy sum of regions]]-CI,0)</f>
        <v>0</v>
      </c>
      <c r="N30" s="139"/>
      <c r="O30" s="10">
        <f>Tabella8[[#This Row],[region data]]*NOT(ISBLANK(Tabella8[[#This Row],[region data]]))</f>
        <v>0</v>
      </c>
      <c r="P30" s="107">
        <f>MAX(Kr*(TANH(psi_r*(Tabella8[[#This Row],[Day]]-pr)-phi_r)+TANH(phi_r))/(1+TANH(phi_r)),0)</f>
        <v>0</v>
      </c>
      <c r="Q30" s="107">
        <f>Tabella8[[#This Row],[region fit]]/Kr</f>
        <v>0</v>
      </c>
      <c r="R30" s="10">
        <f>Tabella8[[#This Row],[region fit]]*NOT(ISBLANK(Tabella8[[#This Row],[region data]]))</f>
        <v>0</v>
      </c>
      <c r="S30" s="10">
        <f>Tabella8[[#This Row],[region fit]]+CIr</f>
        <v>169.91071626612398</v>
      </c>
      <c r="T30" s="10">
        <f>MAX(Tabella8[[#This Row],[region fit]]-CIr,0)</f>
        <v>0</v>
      </c>
      <c r="U30" s="141"/>
      <c r="V30" s="10">
        <f>Tabella8[[#This Row],[rest of Italy ]]*NOT(ISBLANK(Tabella8[[#This Row],[rest of Italy ]]))</f>
        <v>0</v>
      </c>
      <c r="W30" s="108">
        <f>MAX(Ko*(TANH(psi_o*(Tabella8[[#This Row],[Day]]-po)-phi_o)+TANH(phi_o))/(1+TANH(phi_o)),0)</f>
        <v>0</v>
      </c>
      <c r="X30" s="108">
        <f>Tabella8[[#This Row],[rest of Italy fit]]/Ko</f>
        <v>0</v>
      </c>
      <c r="Y30" s="22">
        <f>Tabella8[[#This Row],[rest of Italy fit]]*NOT(ISBLANK(Tabella8[[#This Row],[rest of Italy ]]))</f>
        <v>0</v>
      </c>
      <c r="Z30" s="10">
        <f>Tabella8[[#This Row],[rest of Italy fit]]+CIo</f>
        <v>2813.9722047844634</v>
      </c>
      <c r="AA30" s="10">
        <f>MAX(Tabella8[[#This Row],[rest of Italy fit]]-CIo,0)</f>
        <v>0</v>
      </c>
      <c r="AB30" s="1"/>
      <c r="AC30" s="14" t="s">
        <v>0</v>
      </c>
      <c r="AD30" s="5">
        <v>221844.1165273276</v>
      </c>
      <c r="AR30" s="277" t="b">
        <f>psi_o&gt;=0.000001</f>
        <v>1</v>
      </c>
      <c r="AX30" s="65"/>
      <c r="AY30" s="65"/>
      <c r="BA30" s="32"/>
      <c r="BB30" s="32"/>
      <c r="BD30" s="68"/>
      <c r="BE30" s="68"/>
    </row>
    <row r="31" spans="2:57" x14ac:dyDescent="0.3">
      <c r="B31" s="134">
        <v>43854</v>
      </c>
      <c r="C31" s="4">
        <v>24</v>
      </c>
      <c r="D31" s="141"/>
      <c r="E31" s="10">
        <f>Tabella8[[#This Row],[Italy cumulative]]*NOT(ISBLANK(Tabella8[[#This Row],[Italy cumulative]]))</f>
        <v>0</v>
      </c>
      <c r="F31" s="10">
        <f>Tabella8[[#This Row],[region fit]]+Tabella8[[#This Row],[rest of Italy fit]]</f>
        <v>0</v>
      </c>
      <c r="G31" s="72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32">
        <f>MAX(Kt*(TANH(psi_t*(Tabella8[[#This Row],[Day]]-pt)-phi_t)+TANH(phi_t))/(1+TANH(phi_t)),0)</f>
        <v>0</v>
      </c>
      <c r="J31" s="133">
        <f>Tabella8[[#This Row],[Italy fit]]/Kt</f>
        <v>0</v>
      </c>
      <c r="K31" s="22">
        <f>Tabella8[[#This Row],[Italy fit]]*NOT(ISBLANK(Tabella8[[#This Row],[Italy cumulative]]))</f>
        <v>0</v>
      </c>
      <c r="L31" s="10">
        <f>Tabella8[[#This Row],[Italy sum of regions]]+CI</f>
        <v>2757.9323654779196</v>
      </c>
      <c r="M31" s="10">
        <f>MAX(Tabella8[[#This Row],[Italy sum of regions]]-CI,0)</f>
        <v>0</v>
      </c>
      <c r="N31" s="139"/>
      <c r="O31" s="10">
        <f>Tabella8[[#This Row],[region data]]*NOT(ISBLANK(Tabella8[[#This Row],[region data]]))</f>
        <v>0</v>
      </c>
      <c r="P31" s="107">
        <f>MAX(Kr*(TANH(psi_r*(Tabella8[[#This Row],[Day]]-pr)-phi_r)+TANH(phi_r))/(1+TANH(phi_r)),0)</f>
        <v>0</v>
      </c>
      <c r="Q31" s="107">
        <f>Tabella8[[#This Row],[region fit]]/Kr</f>
        <v>0</v>
      </c>
      <c r="R31" s="10">
        <f>Tabella8[[#This Row],[region fit]]*NOT(ISBLANK(Tabella8[[#This Row],[region data]]))</f>
        <v>0</v>
      </c>
      <c r="S31" s="10">
        <f>Tabella8[[#This Row],[region fit]]+CIr</f>
        <v>169.91071626612398</v>
      </c>
      <c r="T31" s="10">
        <f>MAX(Tabella8[[#This Row],[region fit]]-CIr,0)</f>
        <v>0</v>
      </c>
      <c r="U31" s="141"/>
      <c r="V31" s="10">
        <f>Tabella8[[#This Row],[rest of Italy ]]*NOT(ISBLANK(Tabella8[[#This Row],[rest of Italy ]]))</f>
        <v>0</v>
      </c>
      <c r="W31" s="108">
        <f>MAX(Ko*(TANH(psi_o*(Tabella8[[#This Row],[Day]]-po)-phi_o)+TANH(phi_o))/(1+TANH(phi_o)),0)</f>
        <v>0</v>
      </c>
      <c r="X31" s="108">
        <f>Tabella8[[#This Row],[rest of Italy fit]]/Ko</f>
        <v>0</v>
      </c>
      <c r="Y31" s="22">
        <f>Tabella8[[#This Row],[rest of Italy fit]]*NOT(ISBLANK(Tabella8[[#This Row],[rest of Italy ]]))</f>
        <v>0</v>
      </c>
      <c r="Z31" s="10">
        <f>Tabella8[[#This Row],[rest of Italy fit]]+CIo</f>
        <v>2813.9722047844634</v>
      </c>
      <c r="AA31" s="10">
        <f>MAX(Tabella8[[#This Row],[rest of Italy fit]]-CIo,0)</f>
        <v>0</v>
      </c>
      <c r="AC31" s="85" t="s">
        <v>4713</v>
      </c>
      <c r="AD31" s="30">
        <v>1.3985510202268787</v>
      </c>
      <c r="AG31" s="1"/>
      <c r="AR31" s="277">
        <f>{32767;32767;0.000001;0.01;FALSE;FALSE;FALSE;1;2;1;0.0001;TRUE}</f>
        <v>32767</v>
      </c>
      <c r="AX31" s="65"/>
      <c r="AY31" s="65"/>
      <c r="BA31" s="32"/>
      <c r="BB31" s="32"/>
      <c r="BD31" s="68"/>
      <c r="BE31" s="68"/>
    </row>
    <row r="32" spans="2:57" x14ac:dyDescent="0.3">
      <c r="B32" s="134">
        <v>43855</v>
      </c>
      <c r="C32" s="4">
        <v>25</v>
      </c>
      <c r="D32" s="141"/>
      <c r="E32" s="10">
        <f>Tabella8[[#This Row],[Italy cumulative]]*NOT(ISBLANK(Tabella8[[#This Row],[Italy cumulative]]))</f>
        <v>0</v>
      </c>
      <c r="F32" s="10">
        <f>Tabella8[[#This Row],[region fit]]+Tabella8[[#This Row],[rest of Italy fit]]</f>
        <v>0</v>
      </c>
      <c r="G32" s="72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32">
        <f>MAX(Kt*(TANH(psi_t*(Tabella8[[#This Row],[Day]]-pt)-phi_t)+TANH(phi_t))/(1+TANH(phi_t)),0)</f>
        <v>0</v>
      </c>
      <c r="J32" s="133">
        <f>Tabella8[[#This Row],[Italy fit]]/Kt</f>
        <v>0</v>
      </c>
      <c r="K32" s="22">
        <f>Tabella8[[#This Row],[Italy fit]]*NOT(ISBLANK(Tabella8[[#This Row],[Italy cumulative]]))</f>
        <v>0</v>
      </c>
      <c r="L32" s="10">
        <f>Tabella8[[#This Row],[Italy sum of regions]]+CI</f>
        <v>2757.9323654779196</v>
      </c>
      <c r="M32" s="10">
        <f>MAX(Tabella8[[#This Row],[Italy sum of regions]]-CI,0)</f>
        <v>0</v>
      </c>
      <c r="N32" s="139"/>
      <c r="O32" s="10">
        <f>Tabella8[[#This Row],[region data]]*NOT(ISBLANK(Tabella8[[#This Row],[region data]]))</f>
        <v>0</v>
      </c>
      <c r="P32" s="107">
        <f>MAX(Kr*(TANH(psi_r*(Tabella8[[#This Row],[Day]]-pr)-phi_r)+TANH(phi_r))/(1+TANH(phi_r)),0)</f>
        <v>0</v>
      </c>
      <c r="Q32" s="107">
        <f>Tabella8[[#This Row],[region fit]]/Kr</f>
        <v>0</v>
      </c>
      <c r="R32" s="10">
        <f>Tabella8[[#This Row],[region fit]]*NOT(ISBLANK(Tabella8[[#This Row],[region data]]))</f>
        <v>0</v>
      </c>
      <c r="S32" s="10">
        <f>Tabella8[[#This Row],[region fit]]+CIr</f>
        <v>169.91071626612398</v>
      </c>
      <c r="T32" s="10">
        <f>MAX(Tabella8[[#This Row],[region fit]]-CIr,0)</f>
        <v>0</v>
      </c>
      <c r="U32" s="141"/>
      <c r="V32" s="10">
        <f>Tabella8[[#This Row],[rest of Italy ]]*NOT(ISBLANK(Tabella8[[#This Row],[rest of Italy ]]))</f>
        <v>0</v>
      </c>
      <c r="W32" s="108">
        <f>MAX(Ko*(TANH(psi_o*(Tabella8[[#This Row],[Day]]-po)-phi_o)+TANH(phi_o))/(1+TANH(phi_o)),0)</f>
        <v>0</v>
      </c>
      <c r="X32" s="108">
        <f>Tabella8[[#This Row],[rest of Italy fit]]/Ko</f>
        <v>0</v>
      </c>
      <c r="Y32" s="22">
        <f>Tabella8[[#This Row],[rest of Italy fit]]*NOT(ISBLANK(Tabella8[[#This Row],[rest of Italy ]]))</f>
        <v>0</v>
      </c>
      <c r="Z32" s="10">
        <f>Tabella8[[#This Row],[rest of Italy fit]]+CIo</f>
        <v>2813.9722047844634</v>
      </c>
      <c r="AA32" s="10">
        <f>MAX(Tabella8[[#This Row],[rest of Italy fit]]-CIo,0)</f>
        <v>0</v>
      </c>
      <c r="AC32" s="14" t="s">
        <v>4714</v>
      </c>
      <c r="AD32" s="30">
        <v>2.5656642133826582E-2</v>
      </c>
      <c r="AR32" s="277">
        <f>{0;0;1;200;0;FALSE;FALSE;0.075;0;0;FALSE;30}</f>
        <v>0</v>
      </c>
      <c r="AX32" s="65"/>
      <c r="AY32" s="65"/>
      <c r="BA32" s="32"/>
      <c r="BB32" s="32"/>
      <c r="BD32" s="68"/>
      <c r="BE32" s="68"/>
    </row>
    <row r="33" spans="2:57" x14ac:dyDescent="0.3">
      <c r="B33" s="134">
        <v>43856</v>
      </c>
      <c r="C33" s="4">
        <v>26</v>
      </c>
      <c r="D33" s="141"/>
      <c r="E33" s="10">
        <f>Tabella8[[#This Row],[Italy cumulative]]*NOT(ISBLANK(Tabella8[[#This Row],[Italy cumulative]]))</f>
        <v>0</v>
      </c>
      <c r="F33" s="10">
        <f>Tabella8[[#This Row],[region fit]]+Tabella8[[#This Row],[rest of Italy fit]]</f>
        <v>0</v>
      </c>
      <c r="G33" s="72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32">
        <f>MAX(Kt*(TANH(psi_t*(Tabella8[[#This Row],[Day]]-pt)-phi_t)+TANH(phi_t))/(1+TANH(phi_t)),0)</f>
        <v>0</v>
      </c>
      <c r="J33" s="133">
        <f>Tabella8[[#This Row],[Italy fit]]/Kt</f>
        <v>0</v>
      </c>
      <c r="K33" s="22">
        <f>Tabella8[[#This Row],[Italy fit]]*NOT(ISBLANK(Tabella8[[#This Row],[Italy cumulative]]))</f>
        <v>0</v>
      </c>
      <c r="L33" s="10">
        <f>Tabella8[[#This Row],[Italy sum of regions]]+CI</f>
        <v>2757.9323654779196</v>
      </c>
      <c r="M33" s="10">
        <f>MAX(Tabella8[[#This Row],[Italy sum of regions]]-CI,0)</f>
        <v>0</v>
      </c>
      <c r="N33" s="139"/>
      <c r="O33" s="10">
        <f>Tabella8[[#This Row],[region data]]*NOT(ISBLANK(Tabella8[[#This Row],[region data]]))</f>
        <v>0</v>
      </c>
      <c r="P33" s="107">
        <f>MAX(Kr*(TANH(psi_r*(Tabella8[[#This Row],[Day]]-pr)-phi_r)+TANH(phi_r))/(1+TANH(phi_r)),0)</f>
        <v>0</v>
      </c>
      <c r="Q33" s="107">
        <f>Tabella8[[#This Row],[region fit]]/Kr</f>
        <v>0</v>
      </c>
      <c r="R33" s="10">
        <f>Tabella8[[#This Row],[region fit]]*NOT(ISBLANK(Tabella8[[#This Row],[region data]]))</f>
        <v>0</v>
      </c>
      <c r="S33" s="10">
        <f>Tabella8[[#This Row],[region fit]]+CIr</f>
        <v>169.91071626612398</v>
      </c>
      <c r="T33" s="10">
        <f>MAX(Tabella8[[#This Row],[region fit]]-CIr,0)</f>
        <v>0</v>
      </c>
      <c r="U33" s="141"/>
      <c r="V33" s="10">
        <f>Tabella8[[#This Row],[rest of Italy ]]*NOT(ISBLANK(Tabella8[[#This Row],[rest of Italy ]]))</f>
        <v>0</v>
      </c>
      <c r="W33" s="108">
        <f>MAX(Ko*(TANH(psi_o*(Tabella8[[#This Row],[Day]]-po)-phi_o)+TANH(phi_o))/(1+TANH(phi_o)),0)</f>
        <v>0</v>
      </c>
      <c r="X33" s="108">
        <f>Tabella8[[#This Row],[rest of Italy fit]]/Ko</f>
        <v>0</v>
      </c>
      <c r="Y33" s="22">
        <f>Tabella8[[#This Row],[rest of Italy fit]]*NOT(ISBLANK(Tabella8[[#This Row],[rest of Italy ]]))</f>
        <v>0</v>
      </c>
      <c r="Z33" s="10">
        <f>Tabella8[[#This Row],[rest of Italy fit]]+CIo</f>
        <v>2813.9722047844634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71568.627450980392</v>
      </c>
      <c r="AR33" s="278">
        <f>{0;0;1;200;0;FALSE;FALSE;0.075;0;0;FALSE;30}</f>
        <v>0</v>
      </c>
      <c r="AX33" s="65"/>
      <c r="AY33" s="65"/>
      <c r="BA33" s="32"/>
      <c r="BB33" s="32"/>
      <c r="BD33" s="68"/>
      <c r="BE33" s="68"/>
    </row>
    <row r="34" spans="2:57" x14ac:dyDescent="0.3">
      <c r="B34" s="134">
        <v>43857</v>
      </c>
      <c r="C34" s="4">
        <v>27</v>
      </c>
      <c r="D34" s="141"/>
      <c r="E34" s="10">
        <f>Tabella8[[#This Row],[Italy cumulative]]*NOT(ISBLANK(Tabella8[[#This Row],[Italy cumulative]]))</f>
        <v>0</v>
      </c>
      <c r="F34" s="10">
        <f>Tabella8[[#This Row],[region fit]]+Tabella8[[#This Row],[rest of Italy fit]]</f>
        <v>0</v>
      </c>
      <c r="G34" s="72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32">
        <f>MAX(Kt*(TANH(psi_t*(Tabella8[[#This Row],[Day]]-pt)-phi_t)+TANH(phi_t))/(1+TANH(phi_t)),0)</f>
        <v>0</v>
      </c>
      <c r="J34" s="133">
        <f>Tabella8[[#This Row],[Italy fit]]/Kt</f>
        <v>0</v>
      </c>
      <c r="K34" s="22">
        <f>Tabella8[[#This Row],[Italy fit]]*NOT(ISBLANK(Tabella8[[#This Row],[Italy cumulative]]))</f>
        <v>0</v>
      </c>
      <c r="L34" s="10">
        <f>Tabella8[[#This Row],[Italy sum of regions]]+CI</f>
        <v>2757.9323654779196</v>
      </c>
      <c r="M34" s="10">
        <f>MAX(Tabella8[[#This Row],[Italy sum of regions]]-CI,0)</f>
        <v>0</v>
      </c>
      <c r="N34" s="139"/>
      <c r="O34" s="10">
        <f>Tabella8[[#This Row],[region data]]*NOT(ISBLANK(Tabella8[[#This Row],[region data]]))</f>
        <v>0</v>
      </c>
      <c r="P34" s="107">
        <f>MAX(Kr*(TANH(psi_r*(Tabella8[[#This Row],[Day]]-pr)-phi_r)+TANH(phi_r))/(1+TANH(phi_r)),0)</f>
        <v>0</v>
      </c>
      <c r="Q34" s="107">
        <f>Tabella8[[#This Row],[region fit]]/Kr</f>
        <v>0</v>
      </c>
      <c r="R34" s="10">
        <f>Tabella8[[#This Row],[region fit]]*NOT(ISBLANK(Tabella8[[#This Row],[region data]]))</f>
        <v>0</v>
      </c>
      <c r="S34" s="10">
        <f>Tabella8[[#This Row],[region fit]]+CIr</f>
        <v>169.91071626612398</v>
      </c>
      <c r="T34" s="10">
        <f>MAX(Tabella8[[#This Row],[region fit]]-CIr,0)</f>
        <v>0</v>
      </c>
      <c r="U34" s="141"/>
      <c r="V34" s="10">
        <f>Tabella8[[#This Row],[rest of Italy ]]*NOT(ISBLANK(Tabella8[[#This Row],[rest of Italy ]]))</f>
        <v>0</v>
      </c>
      <c r="W34" s="108">
        <f>MAX(Ko*(TANH(psi_o*(Tabella8[[#This Row],[Day]]-po)-phi_o)+TANH(phi_o))/(1+TANH(phi_o)),0)</f>
        <v>0</v>
      </c>
      <c r="X34" s="108">
        <f>Tabella8[[#This Row],[rest of Italy fit]]/Ko</f>
        <v>0</v>
      </c>
      <c r="Y34" s="22">
        <f>Tabella8[[#This Row],[rest of Italy fit]]*NOT(ISBLANK(Tabella8[[#This Row],[rest of Italy ]]))</f>
        <v>0</v>
      </c>
      <c r="Z34" s="10">
        <f>Tabella8[[#This Row],[rest of Italy fit]]+CIo</f>
        <v>2813.9722047844634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]])-COUNT(AD30:AD32,po)</f>
        <v>98</v>
      </c>
      <c r="AR34" s="274"/>
      <c r="AX34" s="65"/>
      <c r="AY34" s="65"/>
      <c r="BA34" s="32"/>
      <c r="BB34" s="32"/>
      <c r="BD34" s="68"/>
      <c r="BE34" s="68"/>
    </row>
    <row r="35" spans="2:57" x14ac:dyDescent="0.3">
      <c r="B35" s="134">
        <v>43858</v>
      </c>
      <c r="C35" s="4">
        <v>28</v>
      </c>
      <c r="D35" s="141"/>
      <c r="E35" s="10">
        <f>Tabella8[[#This Row],[Italy cumulative]]*NOT(ISBLANK(Tabella8[[#This Row],[Italy cumulative]]))</f>
        <v>0</v>
      </c>
      <c r="F35" s="10">
        <f>Tabella8[[#This Row],[region fit]]+Tabella8[[#This Row],[rest of Italy fit]]</f>
        <v>0</v>
      </c>
      <c r="G35" s="72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32">
        <f>MAX(Kt*(TANH(psi_t*(Tabella8[[#This Row],[Day]]-pt)-phi_t)+TANH(phi_t))/(1+TANH(phi_t)),0)</f>
        <v>0</v>
      </c>
      <c r="J35" s="133">
        <f>Tabella8[[#This Row],[Italy fit]]/Kt</f>
        <v>0</v>
      </c>
      <c r="K35" s="22">
        <f>Tabella8[[#This Row],[Italy fit]]*NOT(ISBLANK(Tabella8[[#This Row],[Italy cumulative]]))</f>
        <v>0</v>
      </c>
      <c r="L35" s="10">
        <f>Tabella8[[#This Row],[Italy sum of regions]]+CI</f>
        <v>2757.9323654779196</v>
      </c>
      <c r="M35" s="10">
        <f>MAX(Tabella8[[#This Row],[Italy sum of regions]]-CI,0)</f>
        <v>0</v>
      </c>
      <c r="N35" s="139"/>
      <c r="O35" s="10">
        <f>Tabella8[[#This Row],[region data]]*NOT(ISBLANK(Tabella8[[#This Row],[region data]]))</f>
        <v>0</v>
      </c>
      <c r="P35" s="107">
        <f>MAX(Kr*(TANH(psi_r*(Tabella8[[#This Row],[Day]]-pr)-phi_r)+TANH(phi_r))/(1+TANH(phi_r)),0)</f>
        <v>0</v>
      </c>
      <c r="Q35" s="107">
        <f>Tabella8[[#This Row],[region fit]]/Kr</f>
        <v>0</v>
      </c>
      <c r="R35" s="10">
        <f>Tabella8[[#This Row],[region fit]]*NOT(ISBLANK(Tabella8[[#This Row],[region data]]))</f>
        <v>0</v>
      </c>
      <c r="S35" s="10">
        <f>Tabella8[[#This Row],[region fit]]+CIr</f>
        <v>169.91071626612398</v>
      </c>
      <c r="T35" s="10">
        <f>MAX(Tabella8[[#This Row],[region fit]]-CIr,0)</f>
        <v>0</v>
      </c>
      <c r="U35" s="141"/>
      <c r="V35" s="10">
        <f>Tabella8[[#This Row],[rest of Italy ]]*NOT(ISBLANK(Tabella8[[#This Row],[rest of Italy ]]))</f>
        <v>0</v>
      </c>
      <c r="W35" s="108">
        <f>MAX(Ko*(TANH(psi_o*(Tabella8[[#This Row],[Day]]-po)-phi_o)+TANH(phi_o))/(1+TANH(phi_o)),0)</f>
        <v>0</v>
      </c>
      <c r="X35" s="108">
        <f>Tabella8[[#This Row],[rest of Italy fit]]/Ko</f>
        <v>0</v>
      </c>
      <c r="Y35" s="22">
        <f>Tabella8[[#This Row],[rest of Italy fit]]*NOT(ISBLANK(Tabella8[[#This Row],[rest of Italy ]]))</f>
        <v>0</v>
      </c>
      <c r="Z35" s="10">
        <f>Tabella8[[#This Row],[rest of Italy fit]]+CIo</f>
        <v>2813.9722047844634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1417.9986667916605</v>
      </c>
      <c r="AR35" s="274"/>
      <c r="AX35" s="65"/>
      <c r="AY35" s="65"/>
      <c r="BA35" s="32"/>
      <c r="BB35" s="32"/>
      <c r="BD35" s="68"/>
      <c r="BE35" s="68"/>
    </row>
    <row r="36" spans="2:57" ht="16.2" x14ac:dyDescent="0.3">
      <c r="B36" s="134">
        <v>43859</v>
      </c>
      <c r="C36" s="4">
        <v>29</v>
      </c>
      <c r="D36" s="141"/>
      <c r="E36" s="10">
        <f>Tabella8[[#This Row],[Italy cumulative]]*NOT(ISBLANK(Tabella8[[#This Row],[Italy cumulative]]))</f>
        <v>0</v>
      </c>
      <c r="F36" s="10">
        <f>Tabella8[[#This Row],[region fit]]+Tabella8[[#This Row],[rest of Italy fit]]</f>
        <v>0</v>
      </c>
      <c r="G36" s="72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32">
        <f>MAX(Kt*(TANH(psi_t*(Tabella8[[#This Row],[Day]]-pt)-phi_t)+TANH(phi_t))/(1+TANH(phi_t)),0)</f>
        <v>0</v>
      </c>
      <c r="J36" s="133">
        <f>Tabella8[[#This Row],[Italy fit]]/Kt</f>
        <v>0</v>
      </c>
      <c r="K36" s="22">
        <f>Tabella8[[#This Row],[Italy fit]]*NOT(ISBLANK(Tabella8[[#This Row],[Italy cumulative]]))</f>
        <v>0</v>
      </c>
      <c r="L36" s="10">
        <f>Tabella8[[#This Row],[Italy sum of regions]]+CI</f>
        <v>2757.9323654779196</v>
      </c>
      <c r="M36" s="10">
        <f>MAX(Tabella8[[#This Row],[Italy sum of regions]]-CI,0)</f>
        <v>0</v>
      </c>
      <c r="N36" s="139"/>
      <c r="O36" s="10">
        <f>Tabella8[[#This Row],[region data]]*NOT(ISBLANK(Tabella8[[#This Row],[region data]]))</f>
        <v>0</v>
      </c>
      <c r="P36" s="107">
        <f>MAX(Kr*(TANH(psi_r*(Tabella8[[#This Row],[Day]]-pr)-phi_r)+TANH(phi_r))/(1+TANH(phi_r)),0)</f>
        <v>0</v>
      </c>
      <c r="Q36" s="107">
        <f>Tabella8[[#This Row],[region fit]]/Kr</f>
        <v>0</v>
      </c>
      <c r="R36" s="10">
        <f>Tabella8[[#This Row],[region fit]]*NOT(ISBLANK(Tabella8[[#This Row],[region data]]))</f>
        <v>0</v>
      </c>
      <c r="S36" s="10">
        <f>Tabella8[[#This Row],[region fit]]+CIr</f>
        <v>169.91071626612398</v>
      </c>
      <c r="T36" s="10">
        <f>MAX(Tabella8[[#This Row],[region fit]]-CIr,0)</f>
        <v>0</v>
      </c>
      <c r="U36" s="141"/>
      <c r="V36" s="10">
        <f>Tabella8[[#This Row],[rest of Italy ]]*NOT(ISBLANK(Tabella8[[#This Row],[rest of Italy ]]))</f>
        <v>0</v>
      </c>
      <c r="W36" s="108">
        <f>MAX(Ko*(TANH(psi_o*(Tabella8[[#This Row],[Day]]-po)-phi_o)+TANH(phi_o))/(1+TANH(phi_o)),0)</f>
        <v>0</v>
      </c>
      <c r="X36" s="108">
        <f>Tabella8[[#This Row],[rest of Italy fit]]/Ko</f>
        <v>0</v>
      </c>
      <c r="Y36" s="22">
        <f>Tabella8[[#This Row],[rest of Italy fit]]*NOT(ISBLANK(Tabella8[[#This Row],[rest of Italy ]]))</f>
        <v>0</v>
      </c>
      <c r="Z36" s="10">
        <f>Tabella8[[#This Row],[rest of Italy fit]]+CIo</f>
        <v>2813.9722047844634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0.9997509464402643</v>
      </c>
      <c r="AR36" s="274"/>
      <c r="AX36" s="65"/>
      <c r="AY36" s="65"/>
      <c r="BA36" s="32"/>
      <c r="BB36" s="32"/>
      <c r="BD36" s="68"/>
      <c r="BE36" s="68"/>
    </row>
    <row r="37" spans="2:57" ht="15" thickBot="1" x14ac:dyDescent="0.35">
      <c r="B37" s="134">
        <v>43860</v>
      </c>
      <c r="C37" s="4">
        <v>30</v>
      </c>
      <c r="D37" s="141"/>
      <c r="E37" s="10">
        <f>Tabella8[[#This Row],[Italy cumulative]]*NOT(ISBLANK(Tabella8[[#This Row],[Italy cumulative]]))</f>
        <v>0</v>
      </c>
      <c r="F37" s="10">
        <f>Tabella8[[#This Row],[region fit]]+Tabella8[[#This Row],[rest of Italy fit]]</f>
        <v>0</v>
      </c>
      <c r="G37" s="72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32">
        <f>MAX(Kt*(TANH(psi_t*(Tabella8[[#This Row],[Day]]-pt)-phi_t)+TANH(phi_t))/(1+TANH(phi_t)),0)</f>
        <v>0</v>
      </c>
      <c r="J37" s="133">
        <f>Tabella8[[#This Row],[Italy fit]]/Kt</f>
        <v>0</v>
      </c>
      <c r="K37" s="22">
        <f>Tabella8[[#This Row],[Italy fit]]*NOT(ISBLANK(Tabella8[[#This Row],[Italy cumulative]]))</f>
        <v>0</v>
      </c>
      <c r="L37" s="10">
        <f>Tabella8[[#This Row],[Italy sum of regions]]+CI</f>
        <v>2757.9323654779196</v>
      </c>
      <c r="M37" s="10">
        <f>MAX(Tabella8[[#This Row],[Italy sum of regions]]-CI,0)</f>
        <v>0</v>
      </c>
      <c r="N37" s="139"/>
      <c r="O37" s="10">
        <f>Tabella8[[#This Row],[region data]]*NOT(ISBLANK(Tabella8[[#This Row],[region data]]))</f>
        <v>0</v>
      </c>
      <c r="P37" s="107">
        <f>MAX(Kr*(TANH(psi_r*(Tabella8[[#This Row],[Day]]-pr)-phi_r)+TANH(phi_r))/(1+TANH(phi_r)),0)</f>
        <v>0</v>
      </c>
      <c r="Q37" s="107">
        <f>Tabella8[[#This Row],[region fit]]/Kr</f>
        <v>0</v>
      </c>
      <c r="R37" s="10">
        <f>Tabella8[[#This Row],[region fit]]*NOT(ISBLANK(Tabella8[[#This Row],[region data]]))</f>
        <v>0</v>
      </c>
      <c r="S37" s="10">
        <f>Tabella8[[#This Row],[region fit]]+CIr</f>
        <v>169.91071626612398</v>
      </c>
      <c r="T37" s="10">
        <f>MAX(Tabella8[[#This Row],[region fit]]-CIr,0)</f>
        <v>0</v>
      </c>
      <c r="U37" s="141"/>
      <c r="V37" s="10">
        <f>Tabella8[[#This Row],[rest of Italy ]]*NOT(ISBLANK(Tabella8[[#This Row],[rest of Italy ]]))</f>
        <v>0</v>
      </c>
      <c r="W37" s="108">
        <f>MAX(Ko*(TANH(psi_o*(Tabella8[[#This Row],[Day]]-po)-phi_o)+TANH(phi_o))/(1+TANH(phi_o)),0)</f>
        <v>0</v>
      </c>
      <c r="X37" s="108">
        <f>Tabella8[[#This Row],[rest of Italy fit]]/Ko</f>
        <v>0</v>
      </c>
      <c r="Y37" s="22">
        <f>Tabella8[[#This Row],[rest of Italy fit]]*NOT(ISBLANK(Tabella8[[#This Row],[rest of Italy ]]))</f>
        <v>0</v>
      </c>
      <c r="Z37" s="10">
        <f>Tabella8[[#This Row],[rest of Italy fit]]+CIo</f>
        <v>2813.9722047844634</v>
      </c>
      <c r="AA37" s="10">
        <f>MAX(Tabella8[[#This Row],[rest of Italy fit]]-CIo,0)</f>
        <v>0</v>
      </c>
      <c r="AC37" s="2" t="s">
        <v>5</v>
      </c>
      <c r="AD37" s="7">
        <f>TINV(0.05,dfo)</f>
        <v>1.9844674545084788</v>
      </c>
      <c r="AR37" s="275"/>
      <c r="AX37" s="65"/>
      <c r="AY37" s="65"/>
      <c r="BA37" s="32"/>
      <c r="BB37" s="32"/>
      <c r="BD37" s="68"/>
      <c r="BE37" s="68"/>
    </row>
    <row r="38" spans="2:57" ht="15" thickTop="1" x14ac:dyDescent="0.3">
      <c r="B38" s="134">
        <v>43861</v>
      </c>
      <c r="C38" s="4">
        <v>31</v>
      </c>
      <c r="D38" s="141"/>
      <c r="E38" s="10">
        <f>Tabella8[[#This Row],[Italy cumulative]]*NOT(ISBLANK(Tabella8[[#This Row],[Italy cumulative]]))</f>
        <v>0</v>
      </c>
      <c r="F38" s="10">
        <f>Tabella8[[#This Row],[region fit]]+Tabella8[[#This Row],[rest of Italy fit]]</f>
        <v>0</v>
      </c>
      <c r="G38" s="72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32">
        <f>MAX(Kt*(TANH(psi_t*(Tabella8[[#This Row],[Day]]-pt)-phi_t)+TANH(phi_t))/(1+TANH(phi_t)),0)</f>
        <v>0</v>
      </c>
      <c r="J38" s="133">
        <f>Tabella8[[#This Row],[Italy fit]]/Kt</f>
        <v>0</v>
      </c>
      <c r="K38" s="22">
        <f>Tabella8[[#This Row],[Italy fit]]*NOT(ISBLANK(Tabella8[[#This Row],[Italy cumulative]]))</f>
        <v>0</v>
      </c>
      <c r="L38" s="10">
        <f>Tabella8[[#This Row],[Italy sum of regions]]+CI</f>
        <v>2757.9323654779196</v>
      </c>
      <c r="M38" s="10">
        <f>MAX(Tabella8[[#This Row],[Italy sum of regions]]-CI,0)</f>
        <v>0</v>
      </c>
      <c r="N38" s="139"/>
      <c r="O38" s="10">
        <f>Tabella8[[#This Row],[region data]]*NOT(ISBLANK(Tabella8[[#This Row],[region data]]))</f>
        <v>0</v>
      </c>
      <c r="P38" s="107">
        <f>MAX(Kr*(TANH(psi_r*(Tabella8[[#This Row],[Day]]-pr)-phi_r)+TANH(phi_r))/(1+TANH(phi_r)),0)</f>
        <v>0</v>
      </c>
      <c r="Q38" s="107">
        <f>Tabella8[[#This Row],[region fit]]/Kr</f>
        <v>0</v>
      </c>
      <c r="R38" s="10">
        <f>Tabella8[[#This Row],[region fit]]*NOT(ISBLANK(Tabella8[[#This Row],[region data]]))</f>
        <v>0</v>
      </c>
      <c r="S38" s="10">
        <f>Tabella8[[#This Row],[region fit]]+CIr</f>
        <v>169.91071626612398</v>
      </c>
      <c r="T38" s="10">
        <f>MAX(Tabella8[[#This Row],[region fit]]-CIr,0)</f>
        <v>0</v>
      </c>
      <c r="U38" s="141"/>
      <c r="V38" s="10">
        <f>Tabella8[[#This Row],[rest of Italy ]]*NOT(ISBLANK(Tabella8[[#This Row],[rest of Italy ]]))</f>
        <v>0</v>
      </c>
      <c r="W38" s="108">
        <f>MAX(Ko*(TANH(psi_o*(Tabella8[[#This Row],[Day]]-po)-phi_o)+TANH(phi_o))/(1+TANH(phi_o)),0)</f>
        <v>0</v>
      </c>
      <c r="X38" s="108">
        <f>Tabella8[[#This Row],[rest of Italy fit]]/Ko</f>
        <v>0</v>
      </c>
      <c r="Y38" s="22">
        <f>Tabella8[[#This Row],[rest of Italy fit]]*NOT(ISBLANK(Tabella8[[#This Row],[rest of Italy ]]))</f>
        <v>0</v>
      </c>
      <c r="Z38" s="10">
        <f>Tabella8[[#This Row],[rest of Italy fit]]+CIo</f>
        <v>2813.9722047844634</v>
      </c>
      <c r="AA38" s="10">
        <f>MAX(Tabella8[[#This Row],[rest of Italy fit]]-CIo,0)</f>
        <v>0</v>
      </c>
      <c r="AC38" s="2" t="s">
        <v>6</v>
      </c>
      <c r="AD38" s="1">
        <f>Critical_to*SE_of_yo</f>
        <v>2813.9722047844634</v>
      </c>
      <c r="AR38" s="279">
        <f>MAX($AD$47)</f>
        <v>0.99978205079122007</v>
      </c>
      <c r="AX38" s="65"/>
      <c r="AY38" s="65"/>
      <c r="BA38" s="32"/>
      <c r="BB38" s="32"/>
      <c r="BD38" s="68"/>
      <c r="BE38" s="68"/>
    </row>
    <row r="39" spans="2:57" x14ac:dyDescent="0.3">
      <c r="B39" s="134">
        <v>43862</v>
      </c>
      <c r="C39" s="4">
        <v>32</v>
      </c>
      <c r="D39" s="141"/>
      <c r="E39" s="10">
        <f>Tabella8[[#This Row],[Italy cumulative]]*NOT(ISBLANK(Tabella8[[#This Row],[Italy cumulative]]))</f>
        <v>0</v>
      </c>
      <c r="F39" s="10">
        <f>Tabella8[[#This Row],[region fit]]+Tabella8[[#This Row],[rest of Italy fit]]</f>
        <v>0</v>
      </c>
      <c r="G39" s="72">
        <f>Tabella8[[#This Row],[Italy sum of regions]]/K_sum</f>
        <v>0</v>
      </c>
      <c r="H39" s="10">
        <f>Tabella8[[#This Row],[Italy sum of regions]]*NOT(ISBLANK(Tabella8[[#This Row],[Italy cumulative]]))</f>
        <v>0</v>
      </c>
      <c r="I39" s="132">
        <f>MAX(Kt*(TANH(psi_t*(Tabella8[[#This Row],[Day]]-pt)-phi_t)+TANH(phi_t))/(1+TANH(phi_t)),0)</f>
        <v>0</v>
      </c>
      <c r="J39" s="133">
        <f>Tabella8[[#This Row],[Italy fit]]/Kt</f>
        <v>0</v>
      </c>
      <c r="K39" s="22">
        <f>Tabella8[[#This Row],[Italy fit]]*NOT(ISBLANK(Tabella8[[#This Row],[Italy cumulative]]))</f>
        <v>0</v>
      </c>
      <c r="L39" s="10">
        <f>Tabella8[[#This Row],[Italy sum of regions]]+CI</f>
        <v>2757.9323654779196</v>
      </c>
      <c r="M39" s="10">
        <f>MAX(Tabella8[[#This Row],[Italy sum of regions]]-CI,0)</f>
        <v>0</v>
      </c>
      <c r="N39" s="139"/>
      <c r="O39" s="10">
        <f>Tabella8[[#This Row],[region data]]*NOT(ISBLANK(Tabella8[[#This Row],[region data]]))</f>
        <v>0</v>
      </c>
      <c r="P39" s="107">
        <f>MAX(Kr*(TANH(psi_r*(Tabella8[[#This Row],[Day]]-pr)-phi_r)+TANH(phi_r))/(1+TANH(phi_r)),0)</f>
        <v>0</v>
      </c>
      <c r="Q39" s="107">
        <f>Tabella8[[#This Row],[region fit]]/Kr</f>
        <v>0</v>
      </c>
      <c r="R39" s="10">
        <f>Tabella8[[#This Row],[region fit]]*NOT(ISBLANK(Tabella8[[#This Row],[region data]]))</f>
        <v>0</v>
      </c>
      <c r="S39" s="10">
        <f>Tabella8[[#This Row],[region fit]]+CIr</f>
        <v>169.91071626612398</v>
      </c>
      <c r="T39" s="10">
        <f>MAX(Tabella8[[#This Row],[region fit]]-CIr,0)</f>
        <v>0</v>
      </c>
      <c r="U39" s="141"/>
      <c r="V39" s="10">
        <f>Tabella8[[#This Row],[rest of Italy ]]*NOT(ISBLANK(Tabella8[[#This Row],[rest of Italy ]]))</f>
        <v>0</v>
      </c>
      <c r="W39" s="108">
        <f>MAX(Ko*(TANH(psi_o*(Tabella8[[#This Row],[Day]]-po)-phi_o)+TANH(phi_o))/(1+TANH(phi_o)),0)</f>
        <v>0</v>
      </c>
      <c r="X39" s="108">
        <f>Tabella8[[#This Row],[rest of Italy fit]]/Ko</f>
        <v>0</v>
      </c>
      <c r="Y39" s="22">
        <f>Tabella8[[#This Row],[rest of Italy fit]]*NOT(ISBLANK(Tabella8[[#This Row],[rest of Italy ]]))</f>
        <v>0</v>
      </c>
      <c r="Z39" s="10">
        <f>Tabella8[[#This Row],[rest of Italy fit]]+CIo</f>
        <v>2813.9722047844634</v>
      </c>
      <c r="AA39" s="10">
        <f>MAX(Tabella8[[#This Row],[rest of Italy fit]]-CIo,0)</f>
        <v>0</v>
      </c>
      <c r="AC39" s="14" t="s">
        <v>356</v>
      </c>
      <c r="AD39" s="137">
        <v>67.882529907638357</v>
      </c>
      <c r="AR39" s="280">
        <f>COUNT($AD$41,$AD$42,$AD$43,$AD$50)</f>
        <v>4</v>
      </c>
      <c r="AX39" s="65"/>
      <c r="AY39" s="65"/>
      <c r="BA39" s="32"/>
      <c r="BB39" s="32"/>
      <c r="BD39" s="68"/>
      <c r="BE39" s="68"/>
    </row>
    <row r="40" spans="2:57" x14ac:dyDescent="0.3">
      <c r="B40" s="134">
        <v>43863</v>
      </c>
      <c r="C40" s="4">
        <v>33</v>
      </c>
      <c r="D40" s="141"/>
      <c r="E40" s="10">
        <f>Tabella8[[#This Row],[Italy cumulative]]*NOT(ISBLANK(Tabella8[[#This Row],[Italy cumulative]]))</f>
        <v>0</v>
      </c>
      <c r="F40" s="10">
        <f>Tabella8[[#This Row],[region fit]]+Tabella8[[#This Row],[rest of Italy fit]]</f>
        <v>0</v>
      </c>
      <c r="G40" s="72">
        <f>Tabella8[[#This Row],[Italy sum of regions]]/K_sum</f>
        <v>0</v>
      </c>
      <c r="H40" s="10">
        <f>Tabella8[[#This Row],[Italy sum of regions]]*NOT(ISBLANK(Tabella8[[#This Row],[Italy cumulative]]))</f>
        <v>0</v>
      </c>
      <c r="I40" s="132">
        <f>MAX(Kt*(TANH(psi_t*(Tabella8[[#This Row],[Day]]-pt)-phi_t)+TANH(phi_t))/(1+TANH(phi_t)),0)</f>
        <v>0</v>
      </c>
      <c r="J40" s="133">
        <f>Tabella8[[#This Row],[Italy fit]]/Kt</f>
        <v>0</v>
      </c>
      <c r="K40" s="22">
        <f>Tabella8[[#This Row],[Italy fit]]*NOT(ISBLANK(Tabella8[[#This Row],[Italy cumulative]]))</f>
        <v>0</v>
      </c>
      <c r="L40" s="10">
        <f>Tabella8[[#This Row],[Italy sum of regions]]+CI</f>
        <v>2757.9323654779196</v>
      </c>
      <c r="M40" s="10">
        <f>MAX(Tabella8[[#This Row],[Italy sum of regions]]-CI,0)</f>
        <v>0</v>
      </c>
      <c r="N40" s="139"/>
      <c r="O40" s="10">
        <f>Tabella8[[#This Row],[region data]]*NOT(ISBLANK(Tabella8[[#This Row],[region data]]))</f>
        <v>0</v>
      </c>
      <c r="P40" s="107">
        <f>MAX(Kr*(TANH(psi_r*(Tabella8[[#This Row],[Day]]-pr)-phi_r)+TANH(phi_r))/(1+TANH(phi_r)),0)</f>
        <v>0</v>
      </c>
      <c r="Q40" s="107">
        <f>Tabella8[[#This Row],[region fit]]/Kr</f>
        <v>0</v>
      </c>
      <c r="R40" s="10">
        <f>Tabella8[[#This Row],[region fit]]*NOT(ISBLANK(Tabella8[[#This Row],[region data]]))</f>
        <v>0</v>
      </c>
      <c r="S40" s="10">
        <f>Tabella8[[#This Row],[region fit]]+CIr</f>
        <v>169.91071626612398</v>
      </c>
      <c r="T40" s="10">
        <f>MAX(Tabella8[[#This Row],[region fit]]-CIr,0)</f>
        <v>0</v>
      </c>
      <c r="U40" s="141"/>
      <c r="V40" s="10">
        <f>Tabella8[[#This Row],[rest of Italy ]]*NOT(ISBLANK(Tabella8[[#This Row],[rest of Italy ]]))</f>
        <v>0</v>
      </c>
      <c r="W40" s="108">
        <f>MAX(Ko*(TANH(psi_o*(Tabella8[[#This Row],[Day]]-po)-phi_o)+TANH(phi_o))/(1+TANH(phi_o)),0)</f>
        <v>0</v>
      </c>
      <c r="X40" s="108">
        <f>Tabella8[[#This Row],[rest of Italy fit]]/Ko</f>
        <v>0</v>
      </c>
      <c r="Y40" s="22">
        <f>Tabella8[[#This Row],[rest of Italy fit]]*NOT(ISBLANK(Tabella8[[#This Row],[rest of Italy ]]))</f>
        <v>0</v>
      </c>
      <c r="Z40" s="10">
        <f>Tabella8[[#This Row],[rest of Italy fit]]+CIo</f>
        <v>2813.9722047844634</v>
      </c>
      <c r="AA40" s="10">
        <f>MAX(Tabella8[[#This Row],[rest of Italy fit]]-CIo,0)</f>
        <v>0</v>
      </c>
      <c r="AC40" s="16" t="s">
        <v>123</v>
      </c>
      <c r="AD40" s="17" t="s">
        <v>85</v>
      </c>
      <c r="AR40" s="280" t="b">
        <f>psi_t&gt;=0.000001</f>
        <v>1</v>
      </c>
      <c r="AX40" s="65"/>
      <c r="AY40" s="65"/>
      <c r="BA40" s="32"/>
      <c r="BB40" s="32"/>
      <c r="BD40" s="68"/>
      <c r="BE40" s="68"/>
    </row>
    <row r="41" spans="2:57" x14ac:dyDescent="0.3">
      <c r="B41" s="134">
        <v>43864</v>
      </c>
      <c r="C41" s="4">
        <v>34</v>
      </c>
      <c r="D41" s="141"/>
      <c r="E41" s="10">
        <f>Tabella8[[#This Row],[Italy cumulative]]*NOT(ISBLANK(Tabella8[[#This Row],[Italy cumulative]]))</f>
        <v>0</v>
      </c>
      <c r="F41" s="10">
        <f>Tabella8[[#This Row],[region fit]]+Tabella8[[#This Row],[rest of Italy fit]]</f>
        <v>0</v>
      </c>
      <c r="G41" s="72">
        <f>Tabella8[[#This Row],[Italy sum of regions]]/K_sum</f>
        <v>0</v>
      </c>
      <c r="H41" s="10">
        <f>Tabella8[[#This Row],[Italy sum of regions]]*NOT(ISBLANK(Tabella8[[#This Row],[Italy cumulative]]))</f>
        <v>0</v>
      </c>
      <c r="I41" s="132">
        <f>MAX(Kt*(TANH(psi_t*(Tabella8[[#This Row],[Day]]-pt)-phi_t)+TANH(phi_t))/(1+TANH(phi_t)),0)</f>
        <v>0</v>
      </c>
      <c r="J41" s="133">
        <f>Tabella8[[#This Row],[Italy fit]]/Kt</f>
        <v>0</v>
      </c>
      <c r="K41" s="22">
        <f>Tabella8[[#This Row],[Italy fit]]*NOT(ISBLANK(Tabella8[[#This Row],[Italy cumulative]]))</f>
        <v>0</v>
      </c>
      <c r="L41" s="10">
        <f>Tabella8[[#This Row],[Italy sum of regions]]+CI</f>
        <v>2757.9323654779196</v>
      </c>
      <c r="M41" s="10">
        <f>MAX(Tabella8[[#This Row],[Italy sum of regions]]-CI,0)</f>
        <v>0</v>
      </c>
      <c r="N41" s="139"/>
      <c r="O41" s="10">
        <f>Tabella8[[#This Row],[region data]]*NOT(ISBLANK(Tabella8[[#This Row],[region data]]))</f>
        <v>0</v>
      </c>
      <c r="P41" s="107">
        <f>MAX(Kr*(TANH(psi_r*(Tabella8[[#This Row],[Day]]-pr)-phi_r)+TANH(phi_r))/(1+TANH(phi_r)),0)</f>
        <v>0</v>
      </c>
      <c r="Q41" s="107">
        <f>Tabella8[[#This Row],[region fit]]/Kr</f>
        <v>0</v>
      </c>
      <c r="R41" s="10">
        <f>Tabella8[[#This Row],[region fit]]*NOT(ISBLANK(Tabella8[[#This Row],[region data]]))</f>
        <v>0</v>
      </c>
      <c r="S41" s="10">
        <f>Tabella8[[#This Row],[region fit]]+CIr</f>
        <v>169.91071626612398</v>
      </c>
      <c r="T41" s="10">
        <f>MAX(Tabella8[[#This Row],[region fit]]-CIr,0)</f>
        <v>0</v>
      </c>
      <c r="U41" s="141"/>
      <c r="V41" s="10">
        <f>Tabella8[[#This Row],[rest of Italy ]]*NOT(ISBLANK(Tabella8[[#This Row],[rest of Italy ]]))</f>
        <v>0</v>
      </c>
      <c r="W41" s="108">
        <f>MAX(Ko*(TANH(psi_o*(Tabella8[[#This Row],[Day]]-po)-phi_o)+TANH(phi_o))/(1+TANH(phi_o)),0)</f>
        <v>0</v>
      </c>
      <c r="X41" s="108">
        <f>Tabella8[[#This Row],[rest of Italy fit]]/Ko</f>
        <v>0</v>
      </c>
      <c r="Y41" s="22">
        <f>Tabella8[[#This Row],[rest of Italy fit]]*NOT(ISBLANK(Tabella8[[#This Row],[rest of Italy ]]))</f>
        <v>0</v>
      </c>
      <c r="Z41" s="10">
        <f>Tabella8[[#This Row],[rest of Italy fit]]+CIo</f>
        <v>2813.9722047844634</v>
      </c>
      <c r="AA41" s="10">
        <f>MAX(Tabella8[[#This Row],[rest of Italy fit]]-CIo,0)</f>
        <v>0</v>
      </c>
      <c r="AC41" s="14" t="s">
        <v>0</v>
      </c>
      <c r="AD41" s="5">
        <v>235000.00152445532</v>
      </c>
      <c r="AR41" s="280">
        <f>{32767;32767;0.000001;0.01;FALSE;TRUE;FALSE;1;2;1;0.0001;TRUE}</f>
        <v>32767</v>
      </c>
      <c r="AX41" s="65"/>
      <c r="AY41" s="65"/>
      <c r="BA41" s="32"/>
      <c r="BB41" s="32"/>
      <c r="BD41" s="68"/>
      <c r="BE41" s="68"/>
    </row>
    <row r="42" spans="2:57" x14ac:dyDescent="0.3">
      <c r="B42" s="134">
        <v>43865</v>
      </c>
      <c r="C42" s="4">
        <v>35</v>
      </c>
      <c r="D42" s="141"/>
      <c r="E42" s="10">
        <f>Tabella8[[#This Row],[Italy cumulative]]*NOT(ISBLANK(Tabella8[[#This Row],[Italy cumulative]]))</f>
        <v>0</v>
      </c>
      <c r="F42" s="10">
        <f>Tabella8[[#This Row],[region fit]]+Tabella8[[#This Row],[rest of Italy fit]]</f>
        <v>0</v>
      </c>
      <c r="G42" s="72">
        <f>Tabella8[[#This Row],[Italy sum of regions]]/K_sum</f>
        <v>0</v>
      </c>
      <c r="H42" s="10">
        <f>Tabella8[[#This Row],[Italy sum of regions]]*NOT(ISBLANK(Tabella8[[#This Row],[Italy cumulative]]))</f>
        <v>0</v>
      </c>
      <c r="I42" s="132">
        <f>MAX(Kt*(TANH(psi_t*(Tabella8[[#This Row],[Day]]-pt)-phi_t)+TANH(phi_t))/(1+TANH(phi_t)),0)</f>
        <v>0</v>
      </c>
      <c r="J42" s="133">
        <f>Tabella8[[#This Row],[Italy fit]]/Kt</f>
        <v>0</v>
      </c>
      <c r="K42" s="22">
        <f>Tabella8[[#This Row],[Italy fit]]*NOT(ISBLANK(Tabella8[[#This Row],[Italy cumulative]]))</f>
        <v>0</v>
      </c>
      <c r="L42" s="10">
        <f>Tabella8[[#This Row],[Italy sum of regions]]+CI</f>
        <v>2757.9323654779196</v>
      </c>
      <c r="M42" s="10">
        <f>MAX(Tabella8[[#This Row],[Italy sum of regions]]-CI,0)</f>
        <v>0</v>
      </c>
      <c r="N42" s="139"/>
      <c r="O42" s="10">
        <f>Tabella8[[#This Row],[region data]]*NOT(ISBLANK(Tabella8[[#This Row],[region data]]))</f>
        <v>0</v>
      </c>
      <c r="P42" s="107">
        <f>MAX(Kr*(TANH(psi_r*(Tabella8[[#This Row],[Day]]-pr)-phi_r)+TANH(phi_r))/(1+TANH(phi_r)),0)</f>
        <v>0</v>
      </c>
      <c r="Q42" s="107">
        <f>Tabella8[[#This Row],[region fit]]/Kr</f>
        <v>0</v>
      </c>
      <c r="R42" s="10">
        <f>Tabella8[[#This Row],[region fit]]*NOT(ISBLANK(Tabella8[[#This Row],[region data]]))</f>
        <v>0</v>
      </c>
      <c r="S42" s="10">
        <f>Tabella8[[#This Row],[region fit]]+CIr</f>
        <v>169.91071626612398</v>
      </c>
      <c r="T42" s="10">
        <f>MAX(Tabella8[[#This Row],[region fit]]-CIr,0)</f>
        <v>0</v>
      </c>
      <c r="U42" s="141"/>
      <c r="V42" s="10">
        <f>Tabella8[[#This Row],[rest of Italy ]]*NOT(ISBLANK(Tabella8[[#This Row],[rest of Italy ]]))</f>
        <v>0</v>
      </c>
      <c r="W42" s="108">
        <f>MAX(Ko*(TANH(psi_o*(Tabella8[[#This Row],[Day]]-po)-phi_o)+TANH(phi_o))/(1+TANH(phi_o)),0)</f>
        <v>0</v>
      </c>
      <c r="X42" s="108">
        <f>Tabella8[[#This Row],[rest of Italy fit]]/Ko</f>
        <v>0</v>
      </c>
      <c r="Y42" s="22">
        <f>Tabella8[[#This Row],[rest of Italy fit]]*NOT(ISBLANK(Tabella8[[#This Row],[rest of Italy ]]))</f>
        <v>0</v>
      </c>
      <c r="Z42" s="10">
        <f>Tabella8[[#This Row],[rest of Italy fit]]+CIo</f>
        <v>2813.9722047844634</v>
      </c>
      <c r="AA42" s="10">
        <f>MAX(Tabella8[[#This Row],[rest of Italy fit]]-CIo,0)</f>
        <v>0</v>
      </c>
      <c r="AC42" s="85" t="s">
        <v>4713</v>
      </c>
      <c r="AD42" s="30">
        <v>1.3716353764341149</v>
      </c>
      <c r="AR42" s="280">
        <f>{0;0;1;200;0;FALSE;FALSE;0.075;0;0;FALSE;30}</f>
        <v>0</v>
      </c>
      <c r="AX42" s="65"/>
      <c r="AY42" s="65"/>
      <c r="BA42" s="32"/>
      <c r="BB42" s="32"/>
      <c r="BD42" s="68"/>
      <c r="BE42" s="68"/>
    </row>
    <row r="43" spans="2:57" ht="15" thickBot="1" x14ac:dyDescent="0.35">
      <c r="B43" s="134">
        <v>43866</v>
      </c>
      <c r="C43" s="4">
        <v>36</v>
      </c>
      <c r="D43" s="141"/>
      <c r="E43" s="10">
        <f>Tabella8[[#This Row],[Italy cumulative]]*NOT(ISBLANK(Tabella8[[#This Row],[Italy cumulative]]))</f>
        <v>0</v>
      </c>
      <c r="F43" s="10">
        <f>Tabella8[[#This Row],[region fit]]+Tabella8[[#This Row],[rest of Italy fit]]</f>
        <v>0</v>
      </c>
      <c r="G43" s="72">
        <f>Tabella8[[#This Row],[Italy sum of regions]]/K_sum</f>
        <v>0</v>
      </c>
      <c r="H43" s="10">
        <f>Tabella8[[#This Row],[Italy sum of regions]]*NOT(ISBLANK(Tabella8[[#This Row],[Italy cumulative]]))</f>
        <v>0</v>
      </c>
      <c r="I43" s="132">
        <f>MAX(Kt*(TANH(psi_t*(Tabella8[[#This Row],[Day]]-pt)-phi_t)+TANH(phi_t))/(1+TANH(phi_t)),0)</f>
        <v>0</v>
      </c>
      <c r="J43" s="133">
        <f>Tabella8[[#This Row],[Italy fit]]/Kt</f>
        <v>0</v>
      </c>
      <c r="K43" s="22">
        <f>Tabella8[[#This Row],[Italy fit]]*NOT(ISBLANK(Tabella8[[#This Row],[Italy cumulative]]))</f>
        <v>0</v>
      </c>
      <c r="L43" s="10">
        <f>Tabella8[[#This Row],[Italy sum of regions]]+CI</f>
        <v>2757.9323654779196</v>
      </c>
      <c r="M43" s="10">
        <f>MAX(Tabella8[[#This Row],[Italy sum of regions]]-CI,0)</f>
        <v>0</v>
      </c>
      <c r="N43" s="139"/>
      <c r="O43" s="10">
        <f>Tabella8[[#This Row],[region data]]*NOT(ISBLANK(Tabella8[[#This Row],[region data]]))</f>
        <v>0</v>
      </c>
      <c r="P43" s="107">
        <f>MAX(Kr*(TANH(psi_r*(Tabella8[[#This Row],[Day]]-pr)-phi_r)+TANH(phi_r))/(1+TANH(phi_r)),0)</f>
        <v>0</v>
      </c>
      <c r="Q43" s="107">
        <f>Tabella8[[#This Row],[region fit]]/Kr</f>
        <v>0</v>
      </c>
      <c r="R43" s="10">
        <f>Tabella8[[#This Row],[region fit]]*NOT(ISBLANK(Tabella8[[#This Row],[region data]]))</f>
        <v>0</v>
      </c>
      <c r="S43" s="10">
        <f>Tabella8[[#This Row],[region fit]]+CIr</f>
        <v>169.91071626612398</v>
      </c>
      <c r="T43" s="10">
        <f>MAX(Tabella8[[#This Row],[region fit]]-CIr,0)</f>
        <v>0</v>
      </c>
      <c r="U43" s="141"/>
      <c r="V43" s="10">
        <f>Tabella8[[#This Row],[rest of Italy ]]*NOT(ISBLANK(Tabella8[[#This Row],[rest of Italy ]]))</f>
        <v>0</v>
      </c>
      <c r="W43" s="108">
        <f>MAX(Ko*(TANH(psi_o*(Tabella8[[#This Row],[Day]]-po)-phi_o)+TANH(phi_o))/(1+TANH(phi_o)),0)</f>
        <v>0</v>
      </c>
      <c r="X43" s="108">
        <f>Tabella8[[#This Row],[rest of Italy fit]]/Ko</f>
        <v>0</v>
      </c>
      <c r="Y43" s="22">
        <f>Tabella8[[#This Row],[rest of Italy fit]]*NOT(ISBLANK(Tabella8[[#This Row],[rest of Italy ]]))</f>
        <v>0</v>
      </c>
      <c r="Z43" s="10">
        <f>Tabella8[[#This Row],[rest of Italy fit]]+CIo</f>
        <v>2813.9722047844634</v>
      </c>
      <c r="AA43" s="10">
        <f>MAX(Tabella8[[#This Row],[rest of Italy fit]]-CIo,0)</f>
        <v>0</v>
      </c>
      <c r="AC43" s="14" t="s">
        <v>4714</v>
      </c>
      <c r="AD43" s="30">
        <v>2.5259337348686014E-2</v>
      </c>
      <c r="AR43" s="281">
        <f>{0;0;1;200;0;FALSE;FALSE;0.075;0;0;FALSE;30}</f>
        <v>0</v>
      </c>
      <c r="AX43" s="65"/>
      <c r="AY43" s="65"/>
      <c r="BA43" s="32"/>
      <c r="BB43" s="32"/>
      <c r="BD43" s="68"/>
      <c r="BE43" s="68"/>
    </row>
    <row r="44" spans="2:57" x14ac:dyDescent="0.3">
      <c r="B44" s="134">
        <v>43867</v>
      </c>
      <c r="C44" s="4">
        <v>37</v>
      </c>
      <c r="D44" s="141"/>
      <c r="E44" s="10">
        <f>Tabella8[[#This Row],[Italy cumulative]]*NOT(ISBLANK(Tabella8[[#This Row],[Italy cumulative]]))</f>
        <v>0</v>
      </c>
      <c r="F44" s="10">
        <f>Tabella8[[#This Row],[region fit]]+Tabella8[[#This Row],[rest of Italy fit]]</f>
        <v>0</v>
      </c>
      <c r="G44" s="72">
        <f>Tabella8[[#This Row],[Italy sum of regions]]/K_sum</f>
        <v>0</v>
      </c>
      <c r="H44" s="10">
        <f>Tabella8[[#This Row],[Italy sum of regions]]*NOT(ISBLANK(Tabella8[[#This Row],[Italy cumulative]]))</f>
        <v>0</v>
      </c>
      <c r="I44" s="132">
        <f>MAX(Kt*(TANH(psi_t*(Tabella8[[#This Row],[Day]]-pt)-phi_t)+TANH(phi_t))/(1+TANH(phi_t)),0)</f>
        <v>0</v>
      </c>
      <c r="J44" s="133">
        <f>Tabella8[[#This Row],[Italy fit]]/Kt</f>
        <v>0</v>
      </c>
      <c r="K44" s="22">
        <f>Tabella8[[#This Row],[Italy fit]]*NOT(ISBLANK(Tabella8[[#This Row],[Italy cumulative]]))</f>
        <v>0</v>
      </c>
      <c r="L44" s="10">
        <f>Tabella8[[#This Row],[Italy sum of regions]]+CI</f>
        <v>2757.9323654779196</v>
      </c>
      <c r="M44" s="10">
        <f>MAX(Tabella8[[#This Row],[Italy sum of regions]]-CI,0)</f>
        <v>0</v>
      </c>
      <c r="N44" s="139"/>
      <c r="O44" s="10">
        <f>Tabella8[[#This Row],[region data]]*NOT(ISBLANK(Tabella8[[#This Row],[region data]]))</f>
        <v>0</v>
      </c>
      <c r="P44" s="107">
        <f>MAX(Kr*(TANH(psi_r*(Tabella8[[#This Row],[Day]]-pr)-phi_r)+TANH(phi_r))/(1+TANH(phi_r)),0)</f>
        <v>0</v>
      </c>
      <c r="Q44" s="107">
        <f>Tabella8[[#This Row],[region fit]]/Kr</f>
        <v>0</v>
      </c>
      <c r="R44" s="10">
        <f>Tabella8[[#This Row],[region fit]]*NOT(ISBLANK(Tabella8[[#This Row],[region data]]))</f>
        <v>0</v>
      </c>
      <c r="S44" s="10">
        <f>Tabella8[[#This Row],[region fit]]+CIr</f>
        <v>169.91071626612398</v>
      </c>
      <c r="T44" s="10">
        <f>MAX(Tabella8[[#This Row],[region fit]]-CIr,0)</f>
        <v>0</v>
      </c>
      <c r="U44" s="141"/>
      <c r="V44" s="10">
        <f>Tabella8[[#This Row],[rest of Italy ]]*NOT(ISBLANK(Tabella8[[#This Row],[rest of Italy ]]))</f>
        <v>0</v>
      </c>
      <c r="W44" s="108">
        <f>MAX(Ko*(TANH(psi_o*(Tabella8[[#This Row],[Day]]-po)-phi_o)+TANH(phi_o))/(1+TANH(phi_o)),0)</f>
        <v>0</v>
      </c>
      <c r="X44" s="108">
        <f>Tabella8[[#This Row],[rest of Italy fit]]/Ko</f>
        <v>0</v>
      </c>
      <c r="Y44" s="22">
        <f>Tabella8[[#This Row],[rest of Italy fit]]*NOT(ISBLANK(Tabella8[[#This Row],[rest of Italy ]]))</f>
        <v>0</v>
      </c>
      <c r="Z44" s="10">
        <f>Tabella8[[#This Row],[rest of Italy fit]]+CIo</f>
        <v>2813.9722047844634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74804.784313725497</v>
      </c>
      <c r="AX44" s="65"/>
      <c r="AY44" s="65"/>
      <c r="BA44" s="32"/>
      <c r="BB44" s="32"/>
      <c r="BD44" s="68"/>
      <c r="BE44" s="68"/>
    </row>
    <row r="45" spans="2:57" x14ac:dyDescent="0.3">
      <c r="B45" s="134">
        <v>43868</v>
      </c>
      <c r="C45" s="4">
        <v>38</v>
      </c>
      <c r="D45" s="141"/>
      <c r="E45" s="10">
        <f>Tabella8[[#This Row],[Italy cumulative]]*NOT(ISBLANK(Tabella8[[#This Row],[Italy cumulative]]))</f>
        <v>0</v>
      </c>
      <c r="F45" s="10">
        <f>Tabella8[[#This Row],[region fit]]+Tabella8[[#This Row],[rest of Italy fit]]</f>
        <v>0</v>
      </c>
      <c r="G45" s="72">
        <f>Tabella8[[#This Row],[Italy sum of regions]]/K_sum</f>
        <v>0</v>
      </c>
      <c r="H45" s="10">
        <f>Tabella8[[#This Row],[Italy sum of regions]]*NOT(ISBLANK(Tabella8[[#This Row],[Italy cumulative]]))</f>
        <v>0</v>
      </c>
      <c r="I45" s="132">
        <f>MAX(Kt*(TANH(psi_t*(Tabella8[[#This Row],[Day]]-pt)-phi_t)+TANH(phi_t))/(1+TANH(phi_t)),0)</f>
        <v>0</v>
      </c>
      <c r="J45" s="133">
        <f>Tabella8[[#This Row],[Italy fit]]/Kt</f>
        <v>0</v>
      </c>
      <c r="K45" s="22">
        <f>Tabella8[[#This Row],[Italy fit]]*NOT(ISBLANK(Tabella8[[#This Row],[Italy cumulative]]))</f>
        <v>0</v>
      </c>
      <c r="L45" s="10">
        <f>Tabella8[[#This Row],[Italy sum of regions]]+CI</f>
        <v>2757.9323654779196</v>
      </c>
      <c r="M45" s="10">
        <f>MAX(Tabella8[[#This Row],[Italy sum of regions]]-CI,0)</f>
        <v>0</v>
      </c>
      <c r="N45" s="139"/>
      <c r="O45" s="10">
        <f>Tabella8[[#This Row],[region data]]*NOT(ISBLANK(Tabella8[[#This Row],[region data]]))</f>
        <v>0</v>
      </c>
      <c r="P45" s="107">
        <f>MAX(Kr*(TANH(psi_r*(Tabella8[[#This Row],[Day]]-pr)-phi_r)+TANH(phi_r))/(1+TANH(phi_r)),0)</f>
        <v>0</v>
      </c>
      <c r="Q45" s="107">
        <f>Tabella8[[#This Row],[region fit]]/Kr</f>
        <v>0</v>
      </c>
      <c r="R45" s="10">
        <f>Tabella8[[#This Row],[region fit]]*NOT(ISBLANK(Tabella8[[#This Row],[region data]]))</f>
        <v>0</v>
      </c>
      <c r="S45" s="10">
        <f>Tabella8[[#This Row],[region fit]]+CIr</f>
        <v>169.91071626612398</v>
      </c>
      <c r="T45" s="10">
        <f>MAX(Tabella8[[#This Row],[region fit]]-CIr,0)</f>
        <v>0</v>
      </c>
      <c r="U45" s="141"/>
      <c r="V45" s="10">
        <f>Tabella8[[#This Row],[rest of Italy ]]*NOT(ISBLANK(Tabella8[[#This Row],[rest of Italy ]]))</f>
        <v>0</v>
      </c>
      <c r="W45" s="108">
        <f>MAX(Ko*(TANH(psi_o*(Tabella8[[#This Row],[Day]]-po)-phi_o)+TANH(phi_o))/(1+TANH(phi_o)),0)</f>
        <v>0</v>
      </c>
      <c r="X45" s="108">
        <f>Tabella8[[#This Row],[rest of Italy fit]]/Ko</f>
        <v>0</v>
      </c>
      <c r="Y45" s="22">
        <f>Tabella8[[#This Row],[rest of Italy fit]]*NOT(ISBLANK(Tabella8[[#This Row],[rest of Italy ]]))</f>
        <v>0</v>
      </c>
      <c r="Z45" s="10">
        <f>Tabella8[[#This Row],[rest of Italy fit]]+CIo</f>
        <v>2813.9722047844634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cumulative])-COUNT(AD41:AD43,pt)</f>
        <v>98</v>
      </c>
      <c r="AX45" s="65"/>
      <c r="AY45" s="65"/>
      <c r="BA45" s="32"/>
      <c r="BB45" s="32"/>
      <c r="BD45" s="68"/>
      <c r="BE45" s="68"/>
    </row>
    <row r="46" spans="2:57" x14ac:dyDescent="0.3">
      <c r="B46" s="134">
        <v>43869</v>
      </c>
      <c r="C46" s="4">
        <v>39</v>
      </c>
      <c r="D46" s="141"/>
      <c r="E46" s="10">
        <f>Tabella8[[#This Row],[Italy cumulative]]*NOT(ISBLANK(Tabella8[[#This Row],[Italy cumulative]]))</f>
        <v>0</v>
      </c>
      <c r="F46" s="10">
        <f>Tabella8[[#This Row],[region fit]]+Tabella8[[#This Row],[rest of Italy fit]]</f>
        <v>0</v>
      </c>
      <c r="G46" s="72">
        <f>Tabella8[[#This Row],[Italy sum of regions]]/K_sum</f>
        <v>0</v>
      </c>
      <c r="H46" s="10">
        <f>Tabella8[[#This Row],[Italy sum of regions]]*NOT(ISBLANK(Tabella8[[#This Row],[Italy cumulative]]))</f>
        <v>0</v>
      </c>
      <c r="I46" s="132">
        <f>MAX(Kt*(TANH(psi_t*(Tabella8[[#This Row],[Day]]-pt)-phi_t)+TANH(phi_t))/(1+TANH(phi_t)),0)</f>
        <v>0</v>
      </c>
      <c r="J46" s="133">
        <f>Tabella8[[#This Row],[Italy fit]]/Kt</f>
        <v>0</v>
      </c>
      <c r="K46" s="22">
        <f>Tabella8[[#This Row],[Italy fit]]*NOT(ISBLANK(Tabella8[[#This Row],[Italy cumulative]]))</f>
        <v>0</v>
      </c>
      <c r="L46" s="10">
        <f>Tabella8[[#This Row],[Italy sum of regions]]+CI</f>
        <v>2757.9323654779196</v>
      </c>
      <c r="M46" s="10">
        <f>MAX(Tabella8[[#This Row],[Italy sum of regions]]-CI,0)</f>
        <v>0</v>
      </c>
      <c r="N46" s="139"/>
      <c r="O46" s="10">
        <f>Tabella8[[#This Row],[region data]]*NOT(ISBLANK(Tabella8[[#This Row],[region data]]))</f>
        <v>0</v>
      </c>
      <c r="P46" s="107">
        <f>MAX(Kr*(TANH(psi_r*(Tabella8[[#This Row],[Day]]-pr)-phi_r)+TANH(phi_r))/(1+TANH(phi_r)),0)</f>
        <v>0</v>
      </c>
      <c r="Q46" s="107">
        <f>Tabella8[[#This Row],[region fit]]/Kr</f>
        <v>0</v>
      </c>
      <c r="R46" s="10">
        <f>Tabella8[[#This Row],[region fit]]*NOT(ISBLANK(Tabella8[[#This Row],[region data]]))</f>
        <v>0</v>
      </c>
      <c r="S46" s="10">
        <f>Tabella8[[#This Row],[region fit]]+CIr</f>
        <v>169.91071626612398</v>
      </c>
      <c r="T46" s="10">
        <f>MAX(Tabella8[[#This Row],[region fit]]-CIr,0)</f>
        <v>0</v>
      </c>
      <c r="U46" s="141"/>
      <c r="V46" s="10">
        <f>Tabella8[[#This Row],[rest of Italy ]]*NOT(ISBLANK(Tabella8[[#This Row],[rest of Italy ]]))</f>
        <v>0</v>
      </c>
      <c r="W46" s="108">
        <f>MAX(Ko*(TANH(psi_o*(Tabella8[[#This Row],[Day]]-po)-phi_o)+TANH(phi_o))/(1+TANH(phi_o)),0)</f>
        <v>0</v>
      </c>
      <c r="X46" s="108">
        <f>Tabella8[[#This Row],[rest of Italy fit]]/Ko</f>
        <v>0</v>
      </c>
      <c r="Y46" s="22">
        <f>Tabella8[[#This Row],[rest of Italy fit]]*NOT(ISBLANK(Tabella8[[#This Row],[rest of Italy ]]))</f>
        <v>0</v>
      </c>
      <c r="Z46" s="10">
        <f>Tabella8[[#This Row],[rest of Italy fit]]+CIo</f>
        <v>2813.9722047844634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1388.5396995974879</v>
      </c>
      <c r="AX46" s="65"/>
      <c r="AY46" s="65"/>
      <c r="BA46" s="32"/>
      <c r="BB46" s="32"/>
      <c r="BD46" s="68"/>
      <c r="BE46" s="68"/>
    </row>
    <row r="47" spans="2:57" ht="16.2" x14ac:dyDescent="0.3">
      <c r="B47" s="134">
        <v>43870</v>
      </c>
      <c r="C47" s="4">
        <v>40</v>
      </c>
      <c r="D47" s="141"/>
      <c r="E47" s="10">
        <f>Tabella8[[#This Row],[Italy cumulative]]*NOT(ISBLANK(Tabella8[[#This Row],[Italy cumulative]]))</f>
        <v>0</v>
      </c>
      <c r="F47" s="10">
        <f>Tabella8[[#This Row],[region fit]]+Tabella8[[#This Row],[rest of Italy fit]]</f>
        <v>0</v>
      </c>
      <c r="G47" s="72">
        <f>Tabella8[[#This Row],[Italy sum of regions]]/K_sum</f>
        <v>0</v>
      </c>
      <c r="H47" s="10">
        <f>Tabella8[[#This Row],[Italy sum of regions]]*NOT(ISBLANK(Tabella8[[#This Row],[Italy cumulative]]))</f>
        <v>0</v>
      </c>
      <c r="I47" s="132">
        <f>MAX(Kt*(TANH(psi_t*(Tabella8[[#This Row],[Day]]-pt)-phi_t)+TANH(phi_t))/(1+TANH(phi_t)),0)</f>
        <v>0</v>
      </c>
      <c r="J47" s="133">
        <f>Tabella8[[#This Row],[Italy fit]]/Kt</f>
        <v>0</v>
      </c>
      <c r="K47" s="22">
        <f>Tabella8[[#This Row],[Italy fit]]*NOT(ISBLANK(Tabella8[[#This Row],[Italy cumulative]]))</f>
        <v>0</v>
      </c>
      <c r="L47" s="10">
        <f>Tabella8[[#This Row],[Italy sum of regions]]+CI</f>
        <v>2757.9323654779196</v>
      </c>
      <c r="M47" s="10">
        <f>MAX(Tabella8[[#This Row],[Italy sum of regions]]-CI,0)</f>
        <v>0</v>
      </c>
      <c r="N47" s="139"/>
      <c r="O47" s="10">
        <f>Tabella8[[#This Row],[region data]]*NOT(ISBLANK(Tabella8[[#This Row],[region data]]))</f>
        <v>0</v>
      </c>
      <c r="P47" s="107">
        <f>MAX(Kr*(TANH(psi_r*(Tabella8[[#This Row],[Day]]-pr)-phi_r)+TANH(phi_r))/(1+TANH(phi_r)),0)</f>
        <v>0</v>
      </c>
      <c r="Q47" s="107">
        <f>Tabella8[[#This Row],[region fit]]/Kr</f>
        <v>0</v>
      </c>
      <c r="R47" s="10">
        <f>Tabella8[[#This Row],[region fit]]*NOT(ISBLANK(Tabella8[[#This Row],[region data]]))</f>
        <v>0</v>
      </c>
      <c r="S47" s="10">
        <f>Tabella8[[#This Row],[region fit]]+CIr</f>
        <v>169.91071626612398</v>
      </c>
      <c r="T47" s="10">
        <f>MAX(Tabella8[[#This Row],[region fit]]-CIr,0)</f>
        <v>0</v>
      </c>
      <c r="U47" s="141"/>
      <c r="V47" s="10">
        <f>Tabella8[[#This Row],[rest of Italy ]]*NOT(ISBLANK(Tabella8[[#This Row],[rest of Italy ]]))</f>
        <v>0</v>
      </c>
      <c r="W47" s="108">
        <f>MAX(Ko*(TANH(psi_o*(Tabella8[[#This Row],[Day]]-po)-phi_o)+TANH(phi_o))/(1+TANH(phi_o)),0)</f>
        <v>0</v>
      </c>
      <c r="X47" s="108">
        <f>Tabella8[[#This Row],[rest of Italy fit]]/Ko</f>
        <v>0</v>
      </c>
      <c r="Y47" s="22">
        <f>Tabella8[[#This Row],[rest of Italy fit]]*NOT(ISBLANK(Tabella8[[#This Row],[rest of Italy ]]))</f>
        <v>0</v>
      </c>
      <c r="Z47" s="10">
        <f>Tabella8[[#This Row],[rest of Italy fit]]+CIo</f>
        <v>2813.9722047844634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0.99978205079122007</v>
      </c>
      <c r="AX47" s="65"/>
      <c r="AY47" s="65"/>
      <c r="BA47" s="32"/>
      <c r="BB47" s="32"/>
      <c r="BD47" s="68"/>
      <c r="BE47" s="68"/>
    </row>
    <row r="48" spans="2:57" x14ac:dyDescent="0.3">
      <c r="B48" s="134">
        <v>43871</v>
      </c>
      <c r="C48" s="4">
        <v>41</v>
      </c>
      <c r="D48" s="141"/>
      <c r="E48" s="10">
        <f>Tabella8[[#This Row],[Italy cumulative]]*NOT(ISBLANK(Tabella8[[#This Row],[Italy cumulative]]))</f>
        <v>0</v>
      </c>
      <c r="F48" s="10">
        <f>Tabella8[[#This Row],[region fit]]+Tabella8[[#This Row],[rest of Italy fit]]</f>
        <v>0</v>
      </c>
      <c r="G48" s="72">
        <f>Tabella8[[#This Row],[Italy sum of regions]]/K_sum</f>
        <v>0</v>
      </c>
      <c r="H48" s="10">
        <f>Tabella8[[#This Row],[Italy sum of regions]]*NOT(ISBLANK(Tabella8[[#This Row],[Italy cumulative]]))</f>
        <v>0</v>
      </c>
      <c r="I48" s="132">
        <f>MAX(Kt*(TANH(psi_t*(Tabella8[[#This Row],[Day]]-pt)-phi_t)+TANH(phi_t))/(1+TANH(phi_t)),0)</f>
        <v>0</v>
      </c>
      <c r="J48" s="133">
        <f>Tabella8[[#This Row],[Italy fit]]/Kt</f>
        <v>0</v>
      </c>
      <c r="K48" s="22">
        <f>Tabella8[[#This Row],[Italy fit]]*NOT(ISBLANK(Tabella8[[#This Row],[Italy cumulative]]))</f>
        <v>0</v>
      </c>
      <c r="L48" s="10">
        <f>Tabella8[[#This Row],[Italy sum of regions]]+CI</f>
        <v>2757.9323654779196</v>
      </c>
      <c r="M48" s="10">
        <f>MAX(Tabella8[[#This Row],[Italy sum of regions]]-CI,0)</f>
        <v>0</v>
      </c>
      <c r="N48" s="139"/>
      <c r="O48" s="10">
        <f>Tabella8[[#This Row],[region data]]*NOT(ISBLANK(Tabella8[[#This Row],[region data]]))</f>
        <v>0</v>
      </c>
      <c r="P48" s="107">
        <f>MAX(Kr*(TANH(psi_r*(Tabella8[[#This Row],[Day]]-pr)-phi_r)+TANH(phi_r))/(1+TANH(phi_r)),0)</f>
        <v>0</v>
      </c>
      <c r="Q48" s="107">
        <f>Tabella8[[#This Row],[region fit]]/Kr</f>
        <v>0</v>
      </c>
      <c r="R48" s="10">
        <f>Tabella8[[#This Row],[region fit]]*NOT(ISBLANK(Tabella8[[#This Row],[region data]]))</f>
        <v>0</v>
      </c>
      <c r="S48" s="10">
        <f>Tabella8[[#This Row],[region fit]]+CIr</f>
        <v>169.91071626612398</v>
      </c>
      <c r="T48" s="10">
        <f>MAX(Tabella8[[#This Row],[region fit]]-CIr,0)</f>
        <v>0</v>
      </c>
      <c r="U48" s="141"/>
      <c r="V48" s="10">
        <f>Tabella8[[#This Row],[rest of Italy ]]*NOT(ISBLANK(Tabella8[[#This Row],[rest of Italy ]]))</f>
        <v>0</v>
      </c>
      <c r="W48" s="108">
        <f>MAX(Ko*(TANH(psi_o*(Tabella8[[#This Row],[Day]]-po)-phi_o)+TANH(phi_o))/(1+TANH(phi_o)),0)</f>
        <v>0</v>
      </c>
      <c r="X48" s="108">
        <f>Tabella8[[#This Row],[rest of Italy fit]]/Ko</f>
        <v>0</v>
      </c>
      <c r="Y48" s="22">
        <f>Tabella8[[#This Row],[rest of Italy fit]]*NOT(ISBLANK(Tabella8[[#This Row],[rest of Italy ]]))</f>
        <v>0</v>
      </c>
      <c r="Z48" s="10">
        <f>Tabella8[[#This Row],[rest of Italy fit]]+CIo</f>
        <v>2813.9722047844634</v>
      </c>
      <c r="AA48" s="10">
        <f>MAX(Tabella8[[#This Row],[rest of Italy fit]]-CIo,0)</f>
        <v>0</v>
      </c>
      <c r="AC48" s="2" t="s">
        <v>5</v>
      </c>
      <c r="AD48" s="7">
        <f>TINV(0.05,dft)</f>
        <v>1.9844674545084788</v>
      </c>
      <c r="AX48" s="65"/>
      <c r="AY48" s="65"/>
      <c r="BA48" s="32"/>
      <c r="BB48" s="32"/>
      <c r="BD48" s="68"/>
      <c r="BE48" s="68"/>
    </row>
    <row r="49" spans="2:378" x14ac:dyDescent="0.3">
      <c r="B49" s="134">
        <v>43872</v>
      </c>
      <c r="C49" s="4">
        <v>42</v>
      </c>
      <c r="D49" s="141"/>
      <c r="E49" s="10">
        <f>Tabella8[[#This Row],[Italy cumulative]]*NOT(ISBLANK(Tabella8[[#This Row],[Italy cumulative]]))</f>
        <v>0</v>
      </c>
      <c r="F49" s="10">
        <f>Tabella8[[#This Row],[region fit]]+Tabella8[[#This Row],[rest of Italy fit]]</f>
        <v>0</v>
      </c>
      <c r="G49" s="72">
        <f>Tabella8[[#This Row],[Italy sum of regions]]/K_sum</f>
        <v>0</v>
      </c>
      <c r="H49" s="10">
        <f>Tabella8[[#This Row],[Italy sum of regions]]*NOT(ISBLANK(Tabella8[[#This Row],[Italy cumulative]]))</f>
        <v>0</v>
      </c>
      <c r="I49" s="132">
        <f>MAX(Kt*(TANH(psi_t*(Tabella8[[#This Row],[Day]]-pt)-phi_t)+TANH(phi_t))/(1+TANH(phi_t)),0)</f>
        <v>0</v>
      </c>
      <c r="J49" s="133">
        <f>Tabella8[[#This Row],[Italy fit]]/Kt</f>
        <v>0</v>
      </c>
      <c r="K49" s="22">
        <f>Tabella8[[#This Row],[Italy fit]]*NOT(ISBLANK(Tabella8[[#This Row],[Italy cumulative]]))</f>
        <v>0</v>
      </c>
      <c r="L49" s="10">
        <f>Tabella8[[#This Row],[Italy sum of regions]]+CI</f>
        <v>2757.9323654779196</v>
      </c>
      <c r="M49" s="10">
        <f>MAX(Tabella8[[#This Row],[Italy sum of regions]]-CI,0)</f>
        <v>0</v>
      </c>
      <c r="N49" s="139"/>
      <c r="O49" s="10">
        <f>Tabella8[[#This Row],[region data]]*NOT(ISBLANK(Tabella8[[#This Row],[region data]]))</f>
        <v>0</v>
      </c>
      <c r="P49" s="107">
        <f>MAX(Kr*(TANH(psi_r*(Tabella8[[#This Row],[Day]]-pr)-phi_r)+TANH(phi_r))/(1+TANH(phi_r)),0)</f>
        <v>0</v>
      </c>
      <c r="Q49" s="107">
        <f>Tabella8[[#This Row],[region fit]]/Kr</f>
        <v>0</v>
      </c>
      <c r="R49" s="10">
        <f>Tabella8[[#This Row],[region fit]]*NOT(ISBLANK(Tabella8[[#This Row],[region data]]))</f>
        <v>0</v>
      </c>
      <c r="S49" s="10">
        <f>Tabella8[[#This Row],[region fit]]+CIr</f>
        <v>169.91071626612398</v>
      </c>
      <c r="T49" s="10">
        <f>MAX(Tabella8[[#This Row],[region fit]]-CIr,0)</f>
        <v>0</v>
      </c>
      <c r="U49" s="141"/>
      <c r="V49" s="10">
        <f>Tabella8[[#This Row],[rest of Italy ]]*NOT(ISBLANK(Tabella8[[#This Row],[rest of Italy ]]))</f>
        <v>0</v>
      </c>
      <c r="W49" s="108">
        <f>MAX(Ko*(TANH(psi_o*(Tabella8[[#This Row],[Day]]-po)-phi_o)+TANH(phi_o))/(1+TANH(phi_o)),0)</f>
        <v>0</v>
      </c>
      <c r="X49" s="108">
        <f>Tabella8[[#This Row],[rest of Italy fit]]/Ko</f>
        <v>0</v>
      </c>
      <c r="Y49" s="22">
        <f>Tabella8[[#This Row],[rest of Italy fit]]*NOT(ISBLANK(Tabella8[[#This Row],[rest of Italy ]]))</f>
        <v>0</v>
      </c>
      <c r="Z49" s="10">
        <f>Tabella8[[#This Row],[rest of Italy fit]]+CIo</f>
        <v>2813.9722047844634</v>
      </c>
      <c r="AA49" s="10">
        <f>MAX(Tabella8[[#This Row],[rest of Italy fit]]-CIo,0)</f>
        <v>0</v>
      </c>
      <c r="AC49" s="2" t="s">
        <v>6</v>
      </c>
      <c r="AD49" s="1">
        <f>Critical_tt*SE_of_yt</f>
        <v>2755.5118431441947</v>
      </c>
      <c r="AX49" s="65"/>
      <c r="AY49" s="65"/>
      <c r="BA49" s="32"/>
      <c r="BB49" s="32"/>
      <c r="BD49" s="68"/>
      <c r="BE49" s="68"/>
    </row>
    <row r="50" spans="2:378" x14ac:dyDescent="0.3">
      <c r="B50" s="134">
        <v>43873</v>
      </c>
      <c r="C50" s="4">
        <v>43</v>
      </c>
      <c r="D50" s="141"/>
      <c r="E50" s="10">
        <f>Tabella8[[#This Row],[Italy cumulative]]*NOT(ISBLANK(Tabella8[[#This Row],[Italy cumulative]]))</f>
        <v>0</v>
      </c>
      <c r="F50" s="10">
        <f>Tabella8[[#This Row],[region fit]]+Tabella8[[#This Row],[rest of Italy fit]]</f>
        <v>0</v>
      </c>
      <c r="G50" s="72">
        <f>Tabella8[[#This Row],[Italy sum of regions]]/K_sum</f>
        <v>0</v>
      </c>
      <c r="H50" s="10">
        <f>Tabella8[[#This Row],[Italy sum of regions]]*NOT(ISBLANK(Tabella8[[#This Row],[Italy cumulative]]))</f>
        <v>0</v>
      </c>
      <c r="I50" s="132">
        <f>MAX(Kt*(TANH(psi_t*(Tabella8[[#This Row],[Day]]-pt)-phi_t)+TANH(phi_t))/(1+TANH(phi_t)),0)</f>
        <v>0</v>
      </c>
      <c r="J50" s="133">
        <f>Tabella8[[#This Row],[Italy fit]]/Kt</f>
        <v>0</v>
      </c>
      <c r="K50" s="22">
        <f>Tabella8[[#This Row],[Italy fit]]*NOT(ISBLANK(Tabella8[[#This Row],[Italy cumulative]]))</f>
        <v>0</v>
      </c>
      <c r="L50" s="10">
        <f>Tabella8[[#This Row],[Italy sum of regions]]+CI</f>
        <v>2757.9323654779196</v>
      </c>
      <c r="M50" s="10">
        <f>MAX(Tabella8[[#This Row],[Italy sum of regions]]-CI,0)</f>
        <v>0</v>
      </c>
      <c r="N50" s="139"/>
      <c r="O50" s="10">
        <f>Tabella8[[#This Row],[region data]]*NOT(ISBLANK(Tabella8[[#This Row],[region data]]))</f>
        <v>0</v>
      </c>
      <c r="P50" s="107">
        <f>MAX(Kr*(TANH(psi_r*(Tabella8[[#This Row],[Day]]-pr)-phi_r)+TANH(phi_r))/(1+TANH(phi_r)),0)</f>
        <v>0</v>
      </c>
      <c r="Q50" s="107">
        <f>Tabella8[[#This Row],[region fit]]/Kr</f>
        <v>0</v>
      </c>
      <c r="R50" s="10">
        <f>Tabella8[[#This Row],[region fit]]*NOT(ISBLANK(Tabella8[[#This Row],[region data]]))</f>
        <v>0</v>
      </c>
      <c r="S50" s="10">
        <f>Tabella8[[#This Row],[region fit]]+CIr</f>
        <v>169.91071626612398</v>
      </c>
      <c r="T50" s="10">
        <f>MAX(Tabella8[[#This Row],[region fit]]-CIr,0)</f>
        <v>0</v>
      </c>
      <c r="U50" s="141"/>
      <c r="V50" s="10">
        <f>Tabella8[[#This Row],[rest of Italy ]]*NOT(ISBLANK(Tabella8[[#This Row],[rest of Italy ]]))</f>
        <v>0</v>
      </c>
      <c r="W50" s="108">
        <f>MAX(Ko*(TANH(psi_o*(Tabella8[[#This Row],[Day]]-po)-phi_o)+TANH(phi_o))/(1+TANH(phi_o)),0)</f>
        <v>0</v>
      </c>
      <c r="X50" s="108">
        <f>Tabella8[[#This Row],[rest of Italy fit]]/Ko</f>
        <v>0</v>
      </c>
      <c r="Y50" s="22">
        <f>Tabella8[[#This Row],[rest of Italy fit]]*NOT(ISBLANK(Tabella8[[#This Row],[rest of Italy ]]))</f>
        <v>0</v>
      </c>
      <c r="Z50" s="10">
        <f>Tabella8[[#This Row],[rest of Italy fit]]+CIo</f>
        <v>2813.9722047844634</v>
      </c>
      <c r="AA50" s="10">
        <f>MAX(Tabella8[[#This Row],[rest of Italy fit]]-CIo,0)</f>
        <v>0</v>
      </c>
      <c r="AC50" s="61" t="s">
        <v>356</v>
      </c>
      <c r="AD50" s="138">
        <v>68.480394693650979</v>
      </c>
      <c r="AX50" s="65"/>
      <c r="AY50" s="65"/>
      <c r="BA50" s="32"/>
      <c r="BB50" s="32"/>
      <c r="BD50" s="68"/>
      <c r="BE50" s="68"/>
    </row>
    <row r="51" spans="2:378" x14ac:dyDescent="0.3">
      <c r="B51" s="134">
        <v>43874</v>
      </c>
      <c r="C51" s="4">
        <v>44</v>
      </c>
      <c r="D51" s="141"/>
      <c r="E51" s="10">
        <f>Tabella8[[#This Row],[Italy cumulative]]*NOT(ISBLANK(Tabella8[[#This Row],[Italy cumulative]]))</f>
        <v>0</v>
      </c>
      <c r="F51" s="10">
        <f>Tabella8[[#This Row],[region fit]]+Tabella8[[#This Row],[rest of Italy fit]]</f>
        <v>0</v>
      </c>
      <c r="G51" s="72">
        <f>Tabella8[[#This Row],[Italy sum of regions]]/K_sum</f>
        <v>0</v>
      </c>
      <c r="H51" s="10">
        <f>Tabella8[[#This Row],[Italy sum of regions]]*NOT(ISBLANK(Tabella8[[#This Row],[Italy cumulative]]))</f>
        <v>0</v>
      </c>
      <c r="I51" s="132">
        <f>MAX(Kt*(TANH(psi_t*(Tabella8[[#This Row],[Day]]-pt)-phi_t)+TANH(phi_t))/(1+TANH(phi_t)),0)</f>
        <v>0</v>
      </c>
      <c r="J51" s="133">
        <f>Tabella8[[#This Row],[Italy fit]]/Kt</f>
        <v>0</v>
      </c>
      <c r="K51" s="22">
        <f>Tabella8[[#This Row],[Italy fit]]*NOT(ISBLANK(Tabella8[[#This Row],[Italy cumulative]]))</f>
        <v>0</v>
      </c>
      <c r="L51" s="10">
        <f>Tabella8[[#This Row],[Italy sum of regions]]+CI</f>
        <v>2757.9323654779196</v>
      </c>
      <c r="M51" s="10">
        <f>MAX(Tabella8[[#This Row],[Italy sum of regions]]-CI,0)</f>
        <v>0</v>
      </c>
      <c r="N51" s="139"/>
      <c r="O51" s="10">
        <f>Tabella8[[#This Row],[region data]]*NOT(ISBLANK(Tabella8[[#This Row],[region data]]))</f>
        <v>0</v>
      </c>
      <c r="P51" s="107">
        <f>MAX(Kr*(TANH(psi_r*(Tabella8[[#This Row],[Day]]-pr)-phi_r)+TANH(phi_r))/(1+TANH(phi_r)),0)</f>
        <v>0</v>
      </c>
      <c r="Q51" s="107">
        <f>Tabella8[[#This Row],[region fit]]/Kr</f>
        <v>0</v>
      </c>
      <c r="R51" s="10">
        <f>Tabella8[[#This Row],[region fit]]*NOT(ISBLANK(Tabella8[[#This Row],[region data]]))</f>
        <v>0</v>
      </c>
      <c r="S51" s="10">
        <f>Tabella8[[#This Row],[region fit]]+CIr</f>
        <v>169.91071626612398</v>
      </c>
      <c r="T51" s="10">
        <f>MAX(Tabella8[[#This Row],[region fit]]-CIr,0)</f>
        <v>0</v>
      </c>
      <c r="U51" s="141"/>
      <c r="V51" s="10">
        <f>Tabella8[[#This Row],[rest of Italy ]]*NOT(ISBLANK(Tabella8[[#This Row],[rest of Italy ]]))</f>
        <v>0</v>
      </c>
      <c r="W51" s="108">
        <f>MAX(Ko*(TANH(psi_o*(Tabella8[[#This Row],[Day]]-po)-phi_o)+TANH(phi_o))/(1+TANH(phi_o)),0)</f>
        <v>0</v>
      </c>
      <c r="X51" s="108">
        <f>Tabella8[[#This Row],[rest of Italy fit]]/Ko</f>
        <v>0</v>
      </c>
      <c r="Y51" s="22">
        <f>Tabella8[[#This Row],[rest of Italy fit]]*NOT(ISBLANK(Tabella8[[#This Row],[rest of Italy ]]))</f>
        <v>0</v>
      </c>
      <c r="Z51" s="10">
        <f>Tabella8[[#This Row],[rest of Italy fit]]+CIo</f>
        <v>2813.9722047844634</v>
      </c>
      <c r="AA51" s="10">
        <f>MAX(Tabella8[[#This Row],[rest of Italy fit]]-CIo,0)</f>
        <v>0</v>
      </c>
      <c r="AC51" s="54" t="s">
        <v>38</v>
      </c>
      <c r="AD51" s="55">
        <v>7</v>
      </c>
      <c r="AX51" s="65"/>
      <c r="AY51" s="65"/>
      <c r="BA51" s="32"/>
      <c r="BB51" s="32"/>
      <c r="BD51" s="68"/>
      <c r="BE51" s="68"/>
    </row>
    <row r="52" spans="2:378" x14ac:dyDescent="0.3">
      <c r="B52" s="134">
        <v>43875</v>
      </c>
      <c r="C52" s="4">
        <v>45</v>
      </c>
      <c r="D52" s="141"/>
      <c r="E52" s="10">
        <f>Tabella8[[#This Row],[Italy cumulative]]*NOT(ISBLANK(Tabella8[[#This Row],[Italy cumulative]]))</f>
        <v>0</v>
      </c>
      <c r="F52" s="10">
        <f>Tabella8[[#This Row],[region fit]]+Tabella8[[#This Row],[rest of Italy fit]]</f>
        <v>0</v>
      </c>
      <c r="G52" s="72">
        <f>Tabella8[[#This Row],[Italy sum of regions]]/K_sum</f>
        <v>0</v>
      </c>
      <c r="H52" s="10">
        <f>Tabella8[[#This Row],[Italy sum of regions]]*NOT(ISBLANK(Tabella8[[#This Row],[Italy cumulative]]))</f>
        <v>0</v>
      </c>
      <c r="I52" s="132">
        <f>MAX(Kt*(TANH(psi_t*(Tabella8[[#This Row],[Day]]-pt)-phi_t)+TANH(phi_t))/(1+TANH(phi_t)),0)</f>
        <v>0</v>
      </c>
      <c r="J52" s="133">
        <f>Tabella8[[#This Row],[Italy fit]]/Kt</f>
        <v>0</v>
      </c>
      <c r="K52" s="22">
        <f>Tabella8[[#This Row],[Italy fit]]*NOT(ISBLANK(Tabella8[[#This Row],[Italy cumulative]]))</f>
        <v>0</v>
      </c>
      <c r="L52" s="10">
        <f>Tabella8[[#This Row],[Italy sum of regions]]+CI</f>
        <v>2757.9323654779196</v>
      </c>
      <c r="M52" s="10">
        <f>MAX(Tabella8[[#This Row],[Italy sum of regions]]-CI,0)</f>
        <v>0</v>
      </c>
      <c r="N52" s="139"/>
      <c r="O52" s="10">
        <f>Tabella8[[#This Row],[region data]]*NOT(ISBLANK(Tabella8[[#This Row],[region data]]))</f>
        <v>0</v>
      </c>
      <c r="P52" s="107">
        <f>MAX(Kr*(TANH(psi_r*(Tabella8[[#This Row],[Day]]-pr)-phi_r)+TANH(phi_r))/(1+TANH(phi_r)),0)</f>
        <v>0</v>
      </c>
      <c r="Q52" s="107">
        <f>Tabella8[[#This Row],[region fit]]/Kr</f>
        <v>0</v>
      </c>
      <c r="R52" s="10">
        <f>Tabella8[[#This Row],[region fit]]*NOT(ISBLANK(Tabella8[[#This Row],[region data]]))</f>
        <v>0</v>
      </c>
      <c r="S52" s="10">
        <f>Tabella8[[#This Row],[region fit]]+CIr</f>
        <v>169.91071626612398</v>
      </c>
      <c r="T52" s="10">
        <f>MAX(Tabella8[[#This Row],[region fit]]-CIr,0)</f>
        <v>0</v>
      </c>
      <c r="U52" s="141"/>
      <c r="V52" s="10">
        <f>Tabella8[[#This Row],[rest of Italy ]]*NOT(ISBLANK(Tabella8[[#This Row],[rest of Italy ]]))</f>
        <v>0</v>
      </c>
      <c r="W52" s="108">
        <f>MAX(Ko*(TANH(psi_o*(Tabella8[[#This Row],[Day]]-po)-phi_o)+TANH(phi_o))/(1+TANH(phi_o)),0)</f>
        <v>0</v>
      </c>
      <c r="X52" s="108">
        <f>Tabella8[[#This Row],[rest of Italy fit]]/Ko</f>
        <v>0</v>
      </c>
      <c r="Y52" s="22">
        <f>Tabella8[[#This Row],[rest of Italy fit]]*NOT(ISBLANK(Tabella8[[#This Row],[rest of Italy ]]))</f>
        <v>0</v>
      </c>
      <c r="Z52" s="10">
        <f>Tabella8[[#This Row],[rest of Italy fit]]+CIo</f>
        <v>2813.9722047844634</v>
      </c>
      <c r="AA52" s="10">
        <f>MAX(Tabella8[[#This Row],[rest of Italy fit]]-CIo,0)</f>
        <v>0</v>
      </c>
      <c r="AC52" s="54" t="s">
        <v>39</v>
      </c>
      <c r="AD52" s="305" t="s">
        <v>49</v>
      </c>
      <c r="AX52" s="65"/>
      <c r="AY52" s="65"/>
      <c r="BA52" s="32"/>
      <c r="BB52" s="32"/>
      <c r="BD52" s="68"/>
      <c r="BE52" s="68"/>
    </row>
    <row r="53" spans="2:378" x14ac:dyDescent="0.3">
      <c r="B53" s="134">
        <v>43876</v>
      </c>
      <c r="C53" s="4">
        <v>46</v>
      </c>
      <c r="D53" s="141"/>
      <c r="E53" s="10">
        <f>Tabella8[[#This Row],[Italy cumulative]]*NOT(ISBLANK(Tabella8[[#This Row],[Italy cumulative]]))</f>
        <v>0</v>
      </c>
      <c r="F53" s="10">
        <f>Tabella8[[#This Row],[region fit]]+Tabella8[[#This Row],[rest of Italy fit]]</f>
        <v>0</v>
      </c>
      <c r="G53" s="72">
        <f>Tabella8[[#This Row],[Italy sum of regions]]/K_sum</f>
        <v>0</v>
      </c>
      <c r="H53" s="10">
        <f>Tabella8[[#This Row],[Italy sum of regions]]*NOT(ISBLANK(Tabella8[[#This Row],[Italy cumulative]]))</f>
        <v>0</v>
      </c>
      <c r="I53" s="132">
        <f>MAX(Kt*(TANH(psi_t*(Tabella8[[#This Row],[Day]]-pt)-phi_t)+TANH(phi_t))/(1+TANH(phi_t)),0)</f>
        <v>0</v>
      </c>
      <c r="J53" s="133">
        <f>Tabella8[[#This Row],[Italy fit]]/Kt</f>
        <v>0</v>
      </c>
      <c r="K53" s="22">
        <f>Tabella8[[#This Row],[Italy fit]]*NOT(ISBLANK(Tabella8[[#This Row],[Italy cumulative]]))</f>
        <v>0</v>
      </c>
      <c r="L53" s="10">
        <f>Tabella8[[#This Row],[Italy sum of regions]]+CI</f>
        <v>2757.9323654779196</v>
      </c>
      <c r="M53" s="10">
        <f>MAX(Tabella8[[#This Row],[Italy sum of regions]]-CI,0)</f>
        <v>0</v>
      </c>
      <c r="N53" s="139"/>
      <c r="O53" s="10">
        <f>Tabella8[[#This Row],[region data]]*NOT(ISBLANK(Tabella8[[#This Row],[region data]]))</f>
        <v>0</v>
      </c>
      <c r="P53" s="107">
        <f>MAX(Kr*(TANH(psi_r*(Tabella8[[#This Row],[Day]]-pr)-phi_r)+TANH(phi_r))/(1+TANH(phi_r)),0)</f>
        <v>0</v>
      </c>
      <c r="Q53" s="107">
        <f>Tabella8[[#This Row],[region fit]]/Kr</f>
        <v>0</v>
      </c>
      <c r="R53" s="10">
        <f>Tabella8[[#This Row],[region fit]]*NOT(ISBLANK(Tabella8[[#This Row],[region data]]))</f>
        <v>0</v>
      </c>
      <c r="S53" s="10">
        <f>Tabella8[[#This Row],[region fit]]+CIr</f>
        <v>169.91071626612398</v>
      </c>
      <c r="T53" s="10">
        <f>MAX(Tabella8[[#This Row],[region fit]]-CIr,0)</f>
        <v>0</v>
      </c>
      <c r="U53" s="141"/>
      <c r="V53" s="10">
        <f>Tabella8[[#This Row],[rest of Italy ]]*NOT(ISBLANK(Tabella8[[#This Row],[rest of Italy ]]))</f>
        <v>0</v>
      </c>
      <c r="W53" s="108">
        <f>MAX(Ko*(TANH(psi_o*(Tabella8[[#This Row],[Day]]-po)-phi_o)+TANH(phi_o))/(1+TANH(phi_o)),0)</f>
        <v>0</v>
      </c>
      <c r="X53" s="108">
        <f>Tabella8[[#This Row],[rest of Italy fit]]/Ko</f>
        <v>0</v>
      </c>
      <c r="Y53" s="22">
        <f>Tabella8[[#This Row],[rest of Italy fit]]*NOT(ISBLANK(Tabella8[[#This Row],[rest of Italy ]]))</f>
        <v>0</v>
      </c>
      <c r="Z53" s="10">
        <f>Tabella8[[#This Row],[rest of Italy fit]]+CIo</f>
        <v>2813.9722047844634</v>
      </c>
      <c r="AA53" s="10">
        <f>MAX(Tabella8[[#This Row],[rest of Italy fit]]-CIo,0)</f>
        <v>0</v>
      </c>
      <c r="AX53" s="65"/>
      <c r="AY53" s="65"/>
      <c r="BA53" s="32"/>
      <c r="BB53" s="32"/>
      <c r="BD53" s="68"/>
      <c r="BE53" s="68"/>
    </row>
    <row r="54" spans="2:378" x14ac:dyDescent="0.3">
      <c r="B54" s="134">
        <v>43877</v>
      </c>
      <c r="C54" s="4">
        <v>47</v>
      </c>
      <c r="D54" s="141"/>
      <c r="E54" s="10">
        <f>Tabella8[[#This Row],[Italy cumulative]]*NOT(ISBLANK(Tabella8[[#This Row],[Italy cumulative]]))</f>
        <v>0</v>
      </c>
      <c r="F54" s="10">
        <f>Tabella8[[#This Row],[region fit]]+Tabella8[[#This Row],[rest of Italy fit]]</f>
        <v>0</v>
      </c>
      <c r="G54" s="72">
        <f>Tabella8[[#This Row],[Italy sum of regions]]/K_sum</f>
        <v>0</v>
      </c>
      <c r="H54" s="10">
        <f>Tabella8[[#This Row],[Italy sum of regions]]*NOT(ISBLANK(Tabella8[[#This Row],[Italy cumulative]]))</f>
        <v>0</v>
      </c>
      <c r="I54" s="132">
        <f>MAX(Kt*(TANH(psi_t*(Tabella8[[#This Row],[Day]]-pt)-phi_t)+TANH(phi_t))/(1+TANH(phi_t)),0)</f>
        <v>0</v>
      </c>
      <c r="J54" s="133">
        <f>Tabella8[[#This Row],[Italy fit]]/Kt</f>
        <v>0</v>
      </c>
      <c r="K54" s="22">
        <f>Tabella8[[#This Row],[Italy fit]]*NOT(ISBLANK(Tabella8[[#This Row],[Italy cumulative]]))</f>
        <v>0</v>
      </c>
      <c r="L54" s="10">
        <f>Tabella8[[#This Row],[Italy sum of regions]]+CI</f>
        <v>2757.9323654779196</v>
      </c>
      <c r="M54" s="10">
        <f>MAX(Tabella8[[#This Row],[Italy sum of regions]]-CI,0)</f>
        <v>0</v>
      </c>
      <c r="N54" s="139"/>
      <c r="O54" s="10">
        <f>Tabella8[[#This Row],[region data]]*NOT(ISBLANK(Tabella8[[#This Row],[region data]]))</f>
        <v>0</v>
      </c>
      <c r="P54" s="107">
        <f>MAX(Kr*(TANH(psi_r*(Tabella8[[#This Row],[Day]]-pr)-phi_r)+TANH(phi_r))/(1+TANH(phi_r)),0)</f>
        <v>0</v>
      </c>
      <c r="Q54" s="107">
        <f>Tabella8[[#This Row],[region fit]]/Kr</f>
        <v>0</v>
      </c>
      <c r="R54" s="10">
        <f>Tabella8[[#This Row],[region fit]]*NOT(ISBLANK(Tabella8[[#This Row],[region data]]))</f>
        <v>0</v>
      </c>
      <c r="S54" s="10">
        <f>Tabella8[[#This Row],[region fit]]+CIr</f>
        <v>169.91071626612398</v>
      </c>
      <c r="T54" s="10">
        <f>MAX(Tabella8[[#This Row],[region fit]]-CIr,0)</f>
        <v>0</v>
      </c>
      <c r="U54" s="141"/>
      <c r="V54" s="10">
        <f>Tabella8[[#This Row],[rest of Italy ]]*NOT(ISBLANK(Tabella8[[#This Row],[rest of Italy ]]))</f>
        <v>0</v>
      </c>
      <c r="W54" s="108">
        <f>MAX(Ko*(TANH(psi_o*(Tabella8[[#This Row],[Day]]-po)-phi_o)+TANH(phi_o))/(1+TANH(phi_o)),0)</f>
        <v>0</v>
      </c>
      <c r="X54" s="108">
        <f>Tabella8[[#This Row],[rest of Italy fit]]/Ko</f>
        <v>0</v>
      </c>
      <c r="Y54" s="22">
        <f>Tabella8[[#This Row],[rest of Italy fit]]*NOT(ISBLANK(Tabella8[[#This Row],[rest of Italy ]]))</f>
        <v>0</v>
      </c>
      <c r="Z54" s="10">
        <f>Tabella8[[#This Row],[rest of Italy fit]]+CIo</f>
        <v>2813.9722047844634</v>
      </c>
      <c r="AA54" s="10">
        <f>MAX(Tabella8[[#This Row],[rest of Italy fit]]-CIo,0)</f>
        <v>0</v>
      </c>
      <c r="AC54" s="54" t="s">
        <v>133</v>
      </c>
      <c r="AD54" s="305" t="s">
        <v>4678</v>
      </c>
      <c r="AE54" s="305" t="s">
        <v>4679</v>
      </c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65"/>
      <c r="AY54" s="65"/>
      <c r="AZ54"/>
      <c r="BA54" s="32"/>
      <c r="BB54" s="32"/>
      <c r="BC54"/>
      <c r="BD54" s="68"/>
      <c r="BE54" s="68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34">
        <v>43878</v>
      </c>
      <c r="C55" s="4">
        <v>48</v>
      </c>
      <c r="D55" s="141"/>
      <c r="E55" s="10">
        <f>Tabella8[[#This Row],[Italy cumulative]]*NOT(ISBLANK(Tabella8[[#This Row],[Italy cumulative]]))</f>
        <v>0</v>
      </c>
      <c r="F55" s="10">
        <f>Tabella8[[#This Row],[region fit]]+Tabella8[[#This Row],[rest of Italy fit]]</f>
        <v>0</v>
      </c>
      <c r="G55" s="72">
        <f>Tabella8[[#This Row],[Italy sum of regions]]/K_sum</f>
        <v>0</v>
      </c>
      <c r="H55" s="10">
        <f>Tabella8[[#This Row],[Italy sum of regions]]*NOT(ISBLANK(Tabella8[[#This Row],[Italy cumulative]]))</f>
        <v>0</v>
      </c>
      <c r="I55" s="132">
        <f>MAX(Kt*(TANH(psi_t*(Tabella8[[#This Row],[Day]]-pt)-phi_t)+TANH(phi_t))/(1+TANH(phi_t)),0)</f>
        <v>0</v>
      </c>
      <c r="J55" s="133">
        <f>Tabella8[[#This Row],[Italy fit]]/Kt</f>
        <v>0</v>
      </c>
      <c r="K55" s="22">
        <f>Tabella8[[#This Row],[Italy fit]]*NOT(ISBLANK(Tabella8[[#This Row],[Italy cumulative]]))</f>
        <v>0</v>
      </c>
      <c r="L55" s="10">
        <f>Tabella8[[#This Row],[Italy sum of regions]]+CI</f>
        <v>2757.9323654779196</v>
      </c>
      <c r="M55" s="10">
        <f>MAX(Tabella8[[#This Row],[Italy sum of regions]]-CI,0)</f>
        <v>0</v>
      </c>
      <c r="N55" s="139"/>
      <c r="O55" s="10">
        <f>Tabella8[[#This Row],[region data]]*NOT(ISBLANK(Tabella8[[#This Row],[region data]]))</f>
        <v>0</v>
      </c>
      <c r="P55" s="107">
        <f>MAX(Kr*(TANH(psi_r*(Tabella8[[#This Row],[Day]]-pr)-phi_r)+TANH(phi_r))/(1+TANH(phi_r)),0)</f>
        <v>0</v>
      </c>
      <c r="Q55" s="107">
        <f>Tabella8[[#This Row],[region fit]]/Kr</f>
        <v>0</v>
      </c>
      <c r="R55" s="10">
        <f>Tabella8[[#This Row],[region fit]]*NOT(ISBLANK(Tabella8[[#This Row],[region data]]))</f>
        <v>0</v>
      </c>
      <c r="S55" s="10">
        <f>Tabella8[[#This Row],[region fit]]+CIr</f>
        <v>169.91071626612398</v>
      </c>
      <c r="T55" s="10">
        <f>MAX(Tabella8[[#This Row],[region fit]]-CIr,0)</f>
        <v>0</v>
      </c>
      <c r="U55" s="141"/>
      <c r="V55" s="10">
        <f>Tabella8[[#This Row],[rest of Italy ]]*NOT(ISBLANK(Tabella8[[#This Row],[rest of Italy ]]))</f>
        <v>0</v>
      </c>
      <c r="W55" s="108">
        <f>MAX(Ko*(TANH(psi_o*(Tabella8[[#This Row],[Day]]-po)-phi_o)+TANH(phi_o))/(1+TANH(phi_o)),0)</f>
        <v>0</v>
      </c>
      <c r="X55" s="108">
        <f>Tabella8[[#This Row],[rest of Italy fit]]/Ko</f>
        <v>0</v>
      </c>
      <c r="Y55" s="22">
        <f>Tabella8[[#This Row],[rest of Italy fit]]*NOT(ISBLANK(Tabella8[[#This Row],[rest of Italy ]]))</f>
        <v>0</v>
      </c>
      <c r="Z55" s="10">
        <f>Tabella8[[#This Row],[rest of Italy fit]]+CIo</f>
        <v>2813.9722047844634</v>
      </c>
      <c r="AA55" s="10">
        <f>MAX(Tabella8[[#This Row],[rest of Italy fit]]-CIo,0)</f>
        <v>0</v>
      </c>
      <c r="AC55" s="55" t="s">
        <v>135</v>
      </c>
      <c r="AD55" s="87">
        <v>0</v>
      </c>
      <c r="AE55" s="87">
        <v>0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65"/>
      <c r="AY55" s="65"/>
      <c r="AZ55"/>
      <c r="BA55" s="32"/>
      <c r="BB55" s="32"/>
      <c r="BC55"/>
      <c r="BD55" s="68"/>
      <c r="BE55" s="68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34">
        <v>43879</v>
      </c>
      <c r="C56" s="4">
        <v>49</v>
      </c>
      <c r="D56" s="141"/>
      <c r="E56" s="10">
        <f>Tabella8[[#This Row],[Italy cumulative]]*NOT(ISBLANK(Tabella8[[#This Row],[Italy cumulative]]))</f>
        <v>0</v>
      </c>
      <c r="F56" s="10">
        <f>Tabella8[[#This Row],[region fit]]+Tabella8[[#This Row],[rest of Italy fit]]</f>
        <v>0</v>
      </c>
      <c r="G56" s="72">
        <f>Tabella8[[#This Row],[Italy sum of regions]]/K_sum</f>
        <v>0</v>
      </c>
      <c r="H56" s="10">
        <f>Tabella8[[#This Row],[Italy sum of regions]]*NOT(ISBLANK(Tabella8[[#This Row],[Italy cumulative]]))</f>
        <v>0</v>
      </c>
      <c r="I56" s="132">
        <f>MAX(Kt*(TANH(psi_t*(Tabella8[[#This Row],[Day]]-pt)-phi_t)+TANH(phi_t))/(1+TANH(phi_t)),0)</f>
        <v>0</v>
      </c>
      <c r="J56" s="133">
        <f>Tabella8[[#This Row],[Italy fit]]/Kt</f>
        <v>0</v>
      </c>
      <c r="K56" s="22">
        <f>Tabella8[[#This Row],[Italy fit]]*NOT(ISBLANK(Tabella8[[#This Row],[Italy cumulative]]))</f>
        <v>0</v>
      </c>
      <c r="L56" s="10">
        <f>Tabella8[[#This Row],[Italy sum of regions]]+CI</f>
        <v>2757.9323654779196</v>
      </c>
      <c r="M56" s="10">
        <f>MAX(Tabella8[[#This Row],[Italy sum of regions]]-CI,0)</f>
        <v>0</v>
      </c>
      <c r="N56" s="139"/>
      <c r="O56" s="10">
        <f>Tabella8[[#This Row],[region data]]*NOT(ISBLANK(Tabella8[[#This Row],[region data]]))</f>
        <v>0</v>
      </c>
      <c r="P56" s="107">
        <f>MAX(Kr*(TANH(psi_r*(Tabella8[[#This Row],[Day]]-pr)-phi_r)+TANH(phi_r))/(1+TANH(phi_r)),0)</f>
        <v>0</v>
      </c>
      <c r="Q56" s="107">
        <f>Tabella8[[#This Row],[region fit]]/Kr</f>
        <v>0</v>
      </c>
      <c r="R56" s="10">
        <f>Tabella8[[#This Row],[region fit]]*NOT(ISBLANK(Tabella8[[#This Row],[region data]]))</f>
        <v>0</v>
      </c>
      <c r="S56" s="10">
        <f>Tabella8[[#This Row],[region fit]]+CIr</f>
        <v>169.91071626612398</v>
      </c>
      <c r="T56" s="10">
        <f>MAX(Tabella8[[#This Row],[region fit]]-CIr,0)</f>
        <v>0</v>
      </c>
      <c r="U56" s="141"/>
      <c r="V56" s="10">
        <f>Tabella8[[#This Row],[rest of Italy ]]*NOT(ISBLANK(Tabella8[[#This Row],[rest of Italy ]]))</f>
        <v>0</v>
      </c>
      <c r="W56" s="108">
        <f>MAX(Ko*(TANH(psi_o*(Tabella8[[#This Row],[Day]]-po)-phi_o)+TANH(phi_o))/(1+TANH(phi_o)),0)</f>
        <v>0</v>
      </c>
      <c r="X56" s="108">
        <f>Tabella8[[#This Row],[rest of Italy fit]]/Ko</f>
        <v>0</v>
      </c>
      <c r="Y56" s="22">
        <f>Tabella8[[#This Row],[rest of Italy fit]]*NOT(ISBLANK(Tabella8[[#This Row],[rest of Italy ]]))</f>
        <v>0</v>
      </c>
      <c r="Z56" s="10">
        <f>Tabella8[[#This Row],[rest of Italy fit]]+CIo</f>
        <v>2813.9722047844634</v>
      </c>
      <c r="AA56" s="10">
        <f>MAX(Tabella8[[#This Row],[rest of Italy fit]]-CIo,0)</f>
        <v>0</v>
      </c>
      <c r="AC56" s="55" t="s">
        <v>136</v>
      </c>
      <c r="AD56" s="87">
        <v>0</v>
      </c>
      <c r="AE56" s="87">
        <v>0</v>
      </c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65"/>
      <c r="AY56" s="65"/>
      <c r="AZ56"/>
      <c r="BA56" s="32"/>
      <c r="BB56" s="32"/>
      <c r="BC56"/>
      <c r="BD56" s="68"/>
      <c r="BE56" s="68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34">
        <v>43880</v>
      </c>
      <c r="C57" s="4">
        <v>50</v>
      </c>
      <c r="D57" s="141"/>
      <c r="E57" s="10">
        <f>Tabella8[[#This Row],[Italy cumulative]]*NOT(ISBLANK(Tabella8[[#This Row],[Italy cumulative]]))</f>
        <v>0</v>
      </c>
      <c r="F57" s="10">
        <f>Tabella8[[#This Row],[region fit]]+Tabella8[[#This Row],[rest of Italy fit]]</f>
        <v>0</v>
      </c>
      <c r="G57" s="72">
        <f>Tabella8[[#This Row],[Italy sum of regions]]/K_sum</f>
        <v>0</v>
      </c>
      <c r="H57" s="10">
        <f>Tabella8[[#This Row],[Italy sum of regions]]*NOT(ISBLANK(Tabella8[[#This Row],[Italy cumulative]]))</f>
        <v>0</v>
      </c>
      <c r="I57" s="132">
        <f>MAX(Kt*(TANH(psi_t*(Tabella8[[#This Row],[Day]]-pt)-phi_t)+TANH(phi_t))/(1+TANH(phi_t)),0)</f>
        <v>0</v>
      </c>
      <c r="J57" s="133">
        <f>Tabella8[[#This Row],[Italy fit]]/Kt</f>
        <v>0</v>
      </c>
      <c r="K57" s="22">
        <f>Tabella8[[#This Row],[Italy fit]]*NOT(ISBLANK(Tabella8[[#This Row],[Italy cumulative]]))</f>
        <v>0</v>
      </c>
      <c r="L57" s="10">
        <f>Tabella8[[#This Row],[Italy sum of regions]]+CI</f>
        <v>2757.9323654779196</v>
      </c>
      <c r="M57" s="10">
        <f>MAX(Tabella8[[#This Row],[Italy sum of regions]]-CI,0)</f>
        <v>0</v>
      </c>
      <c r="N57" s="139"/>
      <c r="O57" s="10">
        <f>Tabella8[[#This Row],[region data]]*NOT(ISBLANK(Tabella8[[#This Row],[region data]]))</f>
        <v>0</v>
      </c>
      <c r="P57" s="107">
        <f>MAX(Kr*(TANH(psi_r*(Tabella8[[#This Row],[Day]]-pr)-phi_r)+TANH(phi_r))/(1+TANH(phi_r)),0)</f>
        <v>0</v>
      </c>
      <c r="Q57" s="107">
        <f>Tabella8[[#This Row],[region fit]]/Kr</f>
        <v>0</v>
      </c>
      <c r="R57" s="10">
        <f>Tabella8[[#This Row],[region fit]]*NOT(ISBLANK(Tabella8[[#This Row],[region data]]))</f>
        <v>0</v>
      </c>
      <c r="S57" s="10">
        <f>Tabella8[[#This Row],[region fit]]+CIr</f>
        <v>169.91071626612398</v>
      </c>
      <c r="T57" s="10">
        <f>MAX(Tabella8[[#This Row],[region fit]]-CIr,0)</f>
        <v>0</v>
      </c>
      <c r="U57" s="141"/>
      <c r="V57" s="10">
        <f>Tabella8[[#This Row],[rest of Italy ]]*NOT(ISBLANK(Tabella8[[#This Row],[rest of Italy ]]))</f>
        <v>0</v>
      </c>
      <c r="W57" s="108">
        <f>MAX(Ko*(TANH(psi_o*(Tabella8[[#This Row],[Day]]-po)-phi_o)+TANH(phi_o))/(1+TANH(phi_o)),0)</f>
        <v>0</v>
      </c>
      <c r="X57" s="108">
        <f>Tabella8[[#This Row],[rest of Italy fit]]/Ko</f>
        <v>0</v>
      </c>
      <c r="Y57" s="22">
        <f>Tabella8[[#This Row],[rest of Italy fit]]*NOT(ISBLANK(Tabella8[[#This Row],[rest of Italy ]]))</f>
        <v>0</v>
      </c>
      <c r="Z57" s="10">
        <f>Tabella8[[#This Row],[rest of Italy fit]]+CIo</f>
        <v>2813.9722047844634</v>
      </c>
      <c r="AA57" s="10">
        <f>MAX(Tabella8[[#This Row],[rest of Italy fit]]-CIo,0)</f>
        <v>0</v>
      </c>
      <c r="AC57" s="55" t="s">
        <v>137</v>
      </c>
      <c r="AD57" s="87">
        <v>0</v>
      </c>
      <c r="AE57" s="87">
        <v>0</v>
      </c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65"/>
      <c r="AY57" s="65"/>
      <c r="AZ57"/>
      <c r="BA57" s="32"/>
      <c r="BB57" s="32"/>
      <c r="BC57"/>
      <c r="BD57" s="68"/>
      <c r="BE57" s="68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34">
        <v>43881</v>
      </c>
      <c r="C58" s="4">
        <v>51</v>
      </c>
      <c r="D58" s="141"/>
      <c r="E58" s="10">
        <f>Tabella8[[#This Row],[Italy cumulative]]*NOT(ISBLANK(Tabella8[[#This Row],[Italy cumulative]]))</f>
        <v>0</v>
      </c>
      <c r="F58" s="10">
        <f>Tabella8[[#This Row],[region fit]]+Tabella8[[#This Row],[rest of Italy fit]]</f>
        <v>0</v>
      </c>
      <c r="G58" s="72">
        <f>Tabella8[[#This Row],[Italy sum of regions]]/K_sum</f>
        <v>0</v>
      </c>
      <c r="H58" s="10">
        <f>Tabella8[[#This Row],[Italy sum of regions]]*NOT(ISBLANK(Tabella8[[#This Row],[Italy cumulative]]))</f>
        <v>0</v>
      </c>
      <c r="I58" s="132">
        <f>MAX(Kt*(TANH(psi_t*(Tabella8[[#This Row],[Day]]-pt)-phi_t)+TANH(phi_t))/(1+TANH(phi_t)),0)</f>
        <v>0</v>
      </c>
      <c r="J58" s="133">
        <f>Tabella8[[#This Row],[Italy fit]]/Kt</f>
        <v>0</v>
      </c>
      <c r="K58" s="22">
        <f>Tabella8[[#This Row],[Italy fit]]*NOT(ISBLANK(Tabella8[[#This Row],[Italy cumulative]]))</f>
        <v>0</v>
      </c>
      <c r="L58" s="10">
        <f>Tabella8[[#This Row],[Italy sum of regions]]+CI</f>
        <v>2757.9323654779196</v>
      </c>
      <c r="M58" s="10">
        <f>MAX(Tabella8[[#This Row],[Italy sum of regions]]-CI,0)</f>
        <v>0</v>
      </c>
      <c r="N58" s="139"/>
      <c r="O58" s="10">
        <f>Tabella8[[#This Row],[region data]]*NOT(ISBLANK(Tabella8[[#This Row],[region data]]))</f>
        <v>0</v>
      </c>
      <c r="P58" s="107">
        <f>MAX(Kr*(TANH(psi_r*(Tabella8[[#This Row],[Day]]-pr)-phi_r)+TANH(phi_r))/(1+TANH(phi_r)),0)</f>
        <v>0</v>
      </c>
      <c r="Q58" s="107">
        <f>Tabella8[[#This Row],[region fit]]/Kr</f>
        <v>0</v>
      </c>
      <c r="R58" s="10">
        <f>Tabella8[[#This Row],[region fit]]*NOT(ISBLANK(Tabella8[[#This Row],[region data]]))</f>
        <v>0</v>
      </c>
      <c r="S58" s="10">
        <f>Tabella8[[#This Row],[region fit]]+CIr</f>
        <v>169.91071626612398</v>
      </c>
      <c r="T58" s="10">
        <f>MAX(Tabella8[[#This Row],[region fit]]-CIr,0)</f>
        <v>0</v>
      </c>
      <c r="U58" s="141"/>
      <c r="V58" s="10">
        <f>Tabella8[[#This Row],[rest of Italy ]]*NOT(ISBLANK(Tabella8[[#This Row],[rest of Italy ]]))</f>
        <v>0</v>
      </c>
      <c r="W58" s="108">
        <f>MAX(Ko*(TANH(psi_o*(Tabella8[[#This Row],[Day]]-po)-phi_o)+TANH(phi_o))/(1+TANH(phi_o)),0)</f>
        <v>0</v>
      </c>
      <c r="X58" s="108">
        <f>Tabella8[[#This Row],[rest of Italy fit]]/Ko</f>
        <v>0</v>
      </c>
      <c r="Y58" s="22">
        <f>Tabella8[[#This Row],[rest of Italy fit]]*NOT(ISBLANK(Tabella8[[#This Row],[rest of Italy ]]))</f>
        <v>0</v>
      </c>
      <c r="Z58" s="10">
        <f>Tabella8[[#This Row],[rest of Italy fit]]+CIo</f>
        <v>2813.9722047844634</v>
      </c>
      <c r="AA58" s="10">
        <f>MAX(Tabella8[[#This Row],[rest of Italy fit]]-CIo,0)</f>
        <v>0</v>
      </c>
      <c r="AC58" s="55" t="s">
        <v>138</v>
      </c>
      <c r="AD58" s="87">
        <v>0</v>
      </c>
      <c r="AE58" s="87">
        <v>0</v>
      </c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65"/>
      <c r="AY58" s="65"/>
      <c r="AZ58"/>
      <c r="BA58" s="32"/>
      <c r="BB58" s="32"/>
      <c r="BC58"/>
      <c r="BD58" s="68"/>
      <c r="BE58" s="6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34">
        <v>43882</v>
      </c>
      <c r="C59" s="4">
        <v>52</v>
      </c>
      <c r="D59" s="141"/>
      <c r="E59" s="10">
        <f>Tabella8[[#This Row],[Italy cumulative]]*NOT(ISBLANK(Tabella8[[#This Row],[Italy cumulative]]))</f>
        <v>0</v>
      </c>
      <c r="F59" s="10">
        <f>Tabella8[[#This Row],[region fit]]+Tabella8[[#This Row],[rest of Italy fit]]</f>
        <v>0</v>
      </c>
      <c r="G59" s="72">
        <f>Tabella8[[#This Row],[Italy sum of regions]]/K_sum</f>
        <v>0</v>
      </c>
      <c r="H59" s="10">
        <f>Tabella8[[#This Row],[Italy sum of regions]]*NOT(ISBLANK(Tabella8[[#This Row],[Italy cumulative]]))</f>
        <v>0</v>
      </c>
      <c r="I59" s="132">
        <f>MAX(Kt*(TANH(psi_t*(Tabella8[[#This Row],[Day]]-pt)-phi_t)+TANH(phi_t))/(1+TANH(phi_t)),0)</f>
        <v>0</v>
      </c>
      <c r="J59" s="133">
        <f>Tabella8[[#This Row],[Italy fit]]/Kt</f>
        <v>0</v>
      </c>
      <c r="K59" s="22">
        <f>Tabella8[[#This Row],[Italy fit]]*NOT(ISBLANK(Tabella8[[#This Row],[Italy cumulative]]))</f>
        <v>0</v>
      </c>
      <c r="L59" s="10">
        <f>Tabella8[[#This Row],[Italy sum of regions]]+CI</f>
        <v>2757.9323654779196</v>
      </c>
      <c r="M59" s="10">
        <f>MAX(Tabella8[[#This Row],[Italy sum of regions]]-CI,0)</f>
        <v>0</v>
      </c>
      <c r="N59" s="139"/>
      <c r="O59" s="10">
        <f>Tabella8[[#This Row],[region data]]*NOT(ISBLANK(Tabella8[[#This Row],[region data]]))</f>
        <v>0</v>
      </c>
      <c r="P59" s="107">
        <f>MAX(Kr*(TANH(psi_r*(Tabella8[[#This Row],[Day]]-pr)-phi_r)+TANH(phi_r))/(1+TANH(phi_r)),0)</f>
        <v>0</v>
      </c>
      <c r="Q59" s="107">
        <f>Tabella8[[#This Row],[region fit]]/Kr</f>
        <v>0</v>
      </c>
      <c r="R59" s="10">
        <f>Tabella8[[#This Row],[region fit]]*NOT(ISBLANK(Tabella8[[#This Row],[region data]]))</f>
        <v>0</v>
      </c>
      <c r="S59" s="10">
        <f>Tabella8[[#This Row],[region fit]]+CIr</f>
        <v>169.91071626612398</v>
      </c>
      <c r="T59" s="10">
        <f>MAX(Tabella8[[#This Row],[region fit]]-CIr,0)</f>
        <v>0</v>
      </c>
      <c r="U59" s="141"/>
      <c r="V59" s="10">
        <f>Tabella8[[#This Row],[rest of Italy ]]*NOT(ISBLANK(Tabella8[[#This Row],[rest of Italy ]]))</f>
        <v>0</v>
      </c>
      <c r="W59" s="108">
        <f>MAX(Ko*(TANH(psi_o*(Tabella8[[#This Row],[Day]]-po)-phi_o)+TANH(phi_o))/(1+TANH(phi_o)),0)</f>
        <v>0</v>
      </c>
      <c r="X59" s="108">
        <f>Tabella8[[#This Row],[rest of Italy fit]]/Ko</f>
        <v>0</v>
      </c>
      <c r="Y59" s="22">
        <f>Tabella8[[#This Row],[rest of Italy fit]]*NOT(ISBLANK(Tabella8[[#This Row],[rest of Italy ]]))</f>
        <v>0</v>
      </c>
      <c r="Z59" s="10">
        <f>Tabella8[[#This Row],[rest of Italy fit]]+CIo</f>
        <v>2813.9722047844634</v>
      </c>
      <c r="AA59" s="10">
        <f>MAX(Tabella8[[#This Row],[rest of Italy fit]]-CIo,0)</f>
        <v>0</v>
      </c>
      <c r="AC59" s="55" t="s">
        <v>139</v>
      </c>
      <c r="AD59" s="87">
        <v>0</v>
      </c>
      <c r="AE59" s="87">
        <v>0</v>
      </c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65"/>
      <c r="AY59" s="65"/>
      <c r="AZ59"/>
      <c r="BA59" s="32"/>
      <c r="BB59" s="32"/>
      <c r="BC59"/>
      <c r="BD59" s="68"/>
      <c r="BE59" s="68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34">
        <v>43883</v>
      </c>
      <c r="C60" s="4">
        <v>53</v>
      </c>
      <c r="D60" s="141"/>
      <c r="E60" s="10">
        <f>Tabella8[[#This Row],[Italy cumulative]]*NOT(ISBLANK(Tabella8[[#This Row],[Italy cumulative]]))</f>
        <v>0</v>
      </c>
      <c r="F60" s="10">
        <f>Tabella8[[#This Row],[region fit]]+Tabella8[[#This Row],[rest of Italy fit]]</f>
        <v>0</v>
      </c>
      <c r="G60" s="72">
        <f>Tabella8[[#This Row],[Italy sum of regions]]/K_sum</f>
        <v>0</v>
      </c>
      <c r="H60" s="10">
        <f>Tabella8[[#This Row],[Italy sum of regions]]*NOT(ISBLANK(Tabella8[[#This Row],[Italy cumulative]]))</f>
        <v>0</v>
      </c>
      <c r="I60" s="132">
        <f>MAX(Kt*(TANH(psi_t*(Tabella8[[#This Row],[Day]]-pt)-phi_t)+TANH(phi_t))/(1+TANH(phi_t)),0)</f>
        <v>0</v>
      </c>
      <c r="J60" s="133">
        <f>Tabella8[[#This Row],[Italy fit]]/Kt</f>
        <v>0</v>
      </c>
      <c r="K60" s="22">
        <f>Tabella8[[#This Row],[Italy fit]]*NOT(ISBLANK(Tabella8[[#This Row],[Italy cumulative]]))</f>
        <v>0</v>
      </c>
      <c r="L60" s="10">
        <f>Tabella8[[#This Row],[Italy sum of regions]]+CI</f>
        <v>2757.9323654779196</v>
      </c>
      <c r="M60" s="10">
        <f>MAX(Tabella8[[#This Row],[Italy sum of regions]]-CI,0)</f>
        <v>0</v>
      </c>
      <c r="N60" s="139"/>
      <c r="O60" s="10">
        <f>Tabella8[[#This Row],[region data]]*NOT(ISBLANK(Tabella8[[#This Row],[region data]]))</f>
        <v>0</v>
      </c>
      <c r="P60" s="107">
        <f>MAX(Kr*(TANH(psi_r*(Tabella8[[#This Row],[Day]]-pr)-phi_r)+TANH(phi_r))/(1+TANH(phi_r)),0)</f>
        <v>0</v>
      </c>
      <c r="Q60" s="107">
        <f>Tabella8[[#This Row],[region fit]]/Kr</f>
        <v>0</v>
      </c>
      <c r="R60" s="10">
        <f>Tabella8[[#This Row],[region fit]]*NOT(ISBLANK(Tabella8[[#This Row],[region data]]))</f>
        <v>0</v>
      </c>
      <c r="S60" s="10">
        <f>Tabella8[[#This Row],[region fit]]+CIr</f>
        <v>169.91071626612398</v>
      </c>
      <c r="T60" s="10">
        <f>MAX(Tabella8[[#This Row],[region fit]]-CIr,0)</f>
        <v>0</v>
      </c>
      <c r="U60" s="141"/>
      <c r="V60" s="10">
        <f>Tabella8[[#This Row],[rest of Italy ]]*NOT(ISBLANK(Tabella8[[#This Row],[rest of Italy ]]))</f>
        <v>0</v>
      </c>
      <c r="W60" s="108">
        <f>MAX(Ko*(TANH(psi_o*(Tabella8[[#This Row],[Day]]-po)-phi_o)+TANH(phi_o))/(1+TANH(phi_o)),0)</f>
        <v>0</v>
      </c>
      <c r="X60" s="108">
        <f>Tabella8[[#This Row],[rest of Italy fit]]/Ko</f>
        <v>0</v>
      </c>
      <c r="Y60" s="22">
        <f>Tabella8[[#This Row],[rest of Italy fit]]*NOT(ISBLANK(Tabella8[[#This Row],[rest of Italy ]]))</f>
        <v>0</v>
      </c>
      <c r="Z60" s="10">
        <f>Tabella8[[#This Row],[rest of Italy fit]]+CIo</f>
        <v>2813.9722047844634</v>
      </c>
      <c r="AA60" s="10">
        <f>MAX(Tabella8[[#This Row],[rest of Italy fit]]-CIo,0)</f>
        <v>0</v>
      </c>
      <c r="AC60" s="55" t="s">
        <v>140</v>
      </c>
      <c r="AD60" s="87">
        <v>4</v>
      </c>
      <c r="AE60" s="87">
        <v>0</v>
      </c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65"/>
      <c r="AY60" s="65"/>
      <c r="AZ60"/>
      <c r="BA60" s="32"/>
      <c r="BB60" s="32"/>
      <c r="BC60"/>
      <c r="BD60" s="68"/>
      <c r="BE60" s="68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34">
        <v>43884</v>
      </c>
      <c r="C61" s="4">
        <v>54</v>
      </c>
      <c r="D61" s="141"/>
      <c r="E61" s="10">
        <f>Tabella8[[#This Row],[Italy cumulative]]*NOT(ISBLANK(Tabella8[[#This Row],[Italy cumulative]]))</f>
        <v>0</v>
      </c>
      <c r="F61" s="10">
        <f>Tabella8[[#This Row],[region fit]]+Tabella8[[#This Row],[rest of Italy fit]]</f>
        <v>0</v>
      </c>
      <c r="G61" s="72">
        <f>Tabella8[[#This Row],[Italy sum of regions]]/K_sum</f>
        <v>0</v>
      </c>
      <c r="H61" s="10">
        <f>Tabella8[[#This Row],[Italy sum of regions]]*NOT(ISBLANK(Tabella8[[#This Row],[Italy cumulative]]))</f>
        <v>0</v>
      </c>
      <c r="I61" s="132">
        <f>MAX(Kt*(TANH(psi_t*(Tabella8[[#This Row],[Day]]-pt)-phi_t)+TANH(phi_t))/(1+TANH(phi_t)),0)</f>
        <v>0</v>
      </c>
      <c r="J61" s="133">
        <f>Tabella8[[#This Row],[Italy fit]]/Kt</f>
        <v>0</v>
      </c>
      <c r="K61" s="22">
        <f>Tabella8[[#This Row],[Italy fit]]*NOT(ISBLANK(Tabella8[[#This Row],[Italy cumulative]]))</f>
        <v>0</v>
      </c>
      <c r="L61" s="10">
        <f>Tabella8[[#This Row],[Italy sum of regions]]+CI</f>
        <v>2757.9323654779196</v>
      </c>
      <c r="M61" s="10">
        <f>MAX(Tabella8[[#This Row],[Italy sum of regions]]-CI,0)</f>
        <v>0</v>
      </c>
      <c r="N61" s="139"/>
      <c r="O61" s="10">
        <f>Tabella8[[#This Row],[region data]]*NOT(ISBLANK(Tabella8[[#This Row],[region data]]))</f>
        <v>0</v>
      </c>
      <c r="P61" s="107">
        <f>MAX(Kr*(TANH(psi_r*(Tabella8[[#This Row],[Day]]-pr)-phi_r)+TANH(phi_r))/(1+TANH(phi_r)),0)</f>
        <v>0</v>
      </c>
      <c r="Q61" s="107">
        <f>Tabella8[[#This Row],[region fit]]/Kr</f>
        <v>0</v>
      </c>
      <c r="R61" s="10">
        <f>Tabella8[[#This Row],[region fit]]*NOT(ISBLANK(Tabella8[[#This Row],[region data]]))</f>
        <v>0</v>
      </c>
      <c r="S61" s="10">
        <f>Tabella8[[#This Row],[region fit]]+CIr</f>
        <v>169.91071626612398</v>
      </c>
      <c r="T61" s="10">
        <f>MAX(Tabella8[[#This Row],[region fit]]-CIr,0)</f>
        <v>0</v>
      </c>
      <c r="U61" s="141"/>
      <c r="V61" s="10">
        <f>Tabella8[[#This Row],[rest of Italy ]]*NOT(ISBLANK(Tabella8[[#This Row],[rest of Italy ]]))</f>
        <v>0</v>
      </c>
      <c r="W61" s="108">
        <f>MAX(Ko*(TANH(psi_o*(Tabella8[[#This Row],[Day]]-po)-phi_o)+TANH(phi_o))/(1+TANH(phi_o)),0)</f>
        <v>0</v>
      </c>
      <c r="X61" s="108">
        <f>Tabella8[[#This Row],[rest of Italy fit]]/Ko</f>
        <v>0</v>
      </c>
      <c r="Y61" s="22">
        <f>Tabella8[[#This Row],[rest of Italy fit]]*NOT(ISBLANK(Tabella8[[#This Row],[rest of Italy ]]))</f>
        <v>0</v>
      </c>
      <c r="Z61" s="10">
        <f>Tabella8[[#This Row],[rest of Italy fit]]+CIo</f>
        <v>2813.9722047844634</v>
      </c>
      <c r="AA61" s="10">
        <f>MAX(Tabella8[[#This Row],[rest of Italy fit]]-CIo,0)</f>
        <v>0</v>
      </c>
      <c r="AC61" s="55" t="s">
        <v>141</v>
      </c>
      <c r="AD61" s="87">
        <v>4</v>
      </c>
      <c r="AE61" s="87">
        <v>0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65"/>
      <c r="AY61" s="65"/>
      <c r="AZ61"/>
      <c r="BA61" s="32"/>
      <c r="BB61" s="32"/>
      <c r="BC61"/>
      <c r="BD61" s="68"/>
      <c r="BE61" s="68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5">
        <v>43885</v>
      </c>
      <c r="C62" s="4">
        <v>55</v>
      </c>
      <c r="D62" s="10">
        <f>'dpc-covid19-ita-andamento-naz'!J2+'dpc-covid19-ita-andamento-naz'!K2</f>
        <v>8</v>
      </c>
      <c r="E62" s="10">
        <f>Tabella8[[#This Row],[Italy cumulative]]*NOT(ISBLANK(Tabella8[[#This Row],[Italy cumulative]]))</f>
        <v>8</v>
      </c>
      <c r="F62" s="10">
        <f>Tabella8[[#This Row],[region fit]]+Tabella8[[#This Row],[rest of Italy fit]]</f>
        <v>0</v>
      </c>
      <c r="G62" s="72">
        <f>Tabella8[[#This Row],[Italy sum of regions]]/K_sum</f>
        <v>0</v>
      </c>
      <c r="H62" s="10">
        <f>Tabella8[[#This Row],[Italy sum of regions]]*NOT(ISBLANK(Tabella8[[#This Row],[Italy cumulative]]))</f>
        <v>0</v>
      </c>
      <c r="I62" s="132">
        <f>MAX(Kt*(TANH(psi_t*(Tabella8[[#This Row],[Day]]-pt)-phi_t)+TANH(phi_t))/(1+TANH(phi_t)),0)</f>
        <v>0</v>
      </c>
      <c r="J62" s="109">
        <f>Tabella8[[#This Row],[Italy fit]]/Kt</f>
        <v>0</v>
      </c>
      <c r="K62" s="10">
        <f>Tabella8[[#This Row],[Italy fit]]*NOT(ISBLANK(Tabella8[[#This Row],[Italy cumulative]]))</f>
        <v>0</v>
      </c>
      <c r="L62" s="10">
        <f>Tabella8[[#This Row],[Italy sum of regions]]+CI</f>
        <v>2757.9323654779196</v>
      </c>
      <c r="M62" s="10">
        <f>MAX(Tabella8[[#This Row],[Italy sum of regions]]-CI,0)</f>
        <v>0</v>
      </c>
      <c r="N62" s="57">
        <f>GETPIVOTDATA("dimessi_guariti",AD55,"data",ROW(AD55))+GETPIVOTDATA("deceduti",AD55,"data",ROW(AD55))</f>
        <v>0</v>
      </c>
      <c r="O62" s="10">
        <f>Tabella8[[#This Row],[region data]]*NOT(ISBLANK(Tabella8[[#This Row],[region data]]))</f>
        <v>0</v>
      </c>
      <c r="P62" s="107">
        <f>MAX(Kr*(TANH(psi_r*(Tabella8[[#This Row],[Day]]-pr)-phi_r)+TANH(phi_r))/(1+TANH(phi_r)),0)</f>
        <v>0</v>
      </c>
      <c r="Q62" s="107">
        <f>Tabella8[[#This Row],[region fit]]/Kr</f>
        <v>0</v>
      </c>
      <c r="R62" s="10">
        <f>Tabella8[[#This Row],[region fit]]*NOT(ISBLANK(Tabella8[[#This Row],[region data]]))</f>
        <v>0</v>
      </c>
      <c r="S62" s="10">
        <f>Tabella8[[#This Row],[region fit]]+CIr</f>
        <v>169.91071626612398</v>
      </c>
      <c r="T62" s="10">
        <f>MAX(Tabella8[[#This Row],[region fit]]-CIr,0)</f>
        <v>0</v>
      </c>
      <c r="U62" s="10">
        <f>Tabella8[[#This Row],[Italy cumulative]]-Tabella8[[#This Row],[region data]]</f>
        <v>8</v>
      </c>
      <c r="V62" s="10">
        <f>Tabella8[[#This Row],[rest of Italy ]]*NOT(ISBLANK(Tabella8[[#This Row],[rest of Italy ]]))</f>
        <v>8</v>
      </c>
      <c r="W62" s="108">
        <f>MAX(Ko*(TANH(psi_o*(Tabella8[[#This Row],[Day]]-po)-phi_o)+TANH(phi_o))/(1+TANH(phi_o)),0)</f>
        <v>0</v>
      </c>
      <c r="X62" s="108">
        <f>Tabella8[[#This Row],[rest of Italy fit]]/Ko</f>
        <v>0</v>
      </c>
      <c r="Y62" s="22">
        <f>Tabella8[[#This Row],[rest of Italy fit]]*NOT(ISBLANK(Tabella8[[#This Row],[rest of Italy ]]))</f>
        <v>0</v>
      </c>
      <c r="Z62" s="10">
        <f>Tabella8[[#This Row],[rest of Italy fit]]+CIo</f>
        <v>2813.9722047844634</v>
      </c>
      <c r="AA62" s="10">
        <f>MAX(Tabella8[[#This Row],[rest of Italy fit]]-CIo,0)</f>
        <v>0</v>
      </c>
      <c r="AC62" s="55" t="s">
        <v>142</v>
      </c>
      <c r="AD62" s="87">
        <v>4</v>
      </c>
      <c r="AE62" s="87">
        <v>0</v>
      </c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65"/>
      <c r="AY62" s="65"/>
      <c r="AZ62"/>
      <c r="BA62" s="32"/>
      <c r="BB62" s="32"/>
      <c r="BC62"/>
      <c r="BD62" s="68"/>
      <c r="BE62" s="68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'dpc-covid19-ita-andamento-naz'!J3+'dpc-covid19-ita-andamento-naz'!K3</f>
        <v>11</v>
      </c>
      <c r="E63" s="10">
        <f>Tabella8[[#This Row],[Italy cumulative]]*NOT(ISBLANK(Tabella8[[#This Row],[Italy cumulative]]))</f>
        <v>11</v>
      </c>
      <c r="F63" s="10">
        <f>Tabella8[[#This Row],[region fit]]+Tabella8[[#This Row],[rest of Italy fit]]</f>
        <v>0</v>
      </c>
      <c r="G63" s="72">
        <f>Tabella8[[#This Row],[Italy sum of regions]]/K_sum</f>
        <v>0</v>
      </c>
      <c r="H63" s="10">
        <f>Tabella8[[#This Row],[Italy sum of regions]]*NOT(ISBLANK(Tabella8[[#This Row],[Italy cumulative]]))</f>
        <v>0</v>
      </c>
      <c r="I63" s="132">
        <f>MAX(Kt*(TANH(psi_t*(Tabella8[[#This Row],[Day]]-pt)-phi_t)+TANH(phi_t))/(1+TANH(phi_t)),0)</f>
        <v>0</v>
      </c>
      <c r="J63" s="109">
        <f>Tabella8[[#This Row],[Italy fit]]/Kt</f>
        <v>0</v>
      </c>
      <c r="K63" s="10">
        <f>Tabella8[[#This Row],[Italy fit]]*NOT(ISBLANK(Tabella8[[#This Row],[Italy cumulative]]))</f>
        <v>0</v>
      </c>
      <c r="L63" s="10">
        <f>Tabella8[[#This Row],[Italy sum of regions]]+CI</f>
        <v>2757.9323654779196</v>
      </c>
      <c r="M63" s="10">
        <f>MAX(Tabella8[[#This Row],[Italy sum of regions]]-CI,0)</f>
        <v>0</v>
      </c>
      <c r="N63" s="57">
        <f t="shared" ref="N63:N128" si="0">GETPIVOTDATA("dimessi_guariti",AD56,"data",ROW(AD56))+GETPIVOTDATA("deceduti",AD56,"data",ROW(AD56))</f>
        <v>0</v>
      </c>
      <c r="O63" s="10">
        <f>Tabella8[[#This Row],[region data]]*NOT(ISBLANK(Tabella8[[#This Row],[region data]]))</f>
        <v>0</v>
      </c>
      <c r="P63" s="107">
        <f>MAX(Kr*(TANH(psi_r*(Tabella8[[#This Row],[Day]]-pr)-phi_r)+TANH(phi_r))/(1+TANH(phi_r)),0)</f>
        <v>0</v>
      </c>
      <c r="Q63" s="107">
        <f>Tabella8[[#This Row],[region fit]]/Kr</f>
        <v>0</v>
      </c>
      <c r="R63" s="10">
        <f>Tabella8[[#This Row],[region fit]]*NOT(ISBLANK(Tabella8[[#This Row],[region data]]))</f>
        <v>0</v>
      </c>
      <c r="S63" s="10">
        <f>Tabella8[[#This Row],[region fit]]+CIr</f>
        <v>169.91071626612398</v>
      </c>
      <c r="T63" s="10">
        <f>MAX(Tabella8[[#This Row],[region fit]]-CIr,0)</f>
        <v>0</v>
      </c>
      <c r="U63" s="10">
        <f>Tabella8[[#This Row],[Italy cumulative]]-Tabella8[[#This Row],[region data]]</f>
        <v>11</v>
      </c>
      <c r="V63" s="10">
        <f>Tabella8[[#This Row],[rest of Italy ]]*NOT(ISBLANK(Tabella8[[#This Row],[rest of Italy ]]))</f>
        <v>11</v>
      </c>
      <c r="W63" s="108">
        <f>MAX(Ko*(TANH(psi_o*(Tabella8[[#This Row],[Day]]-po)-phi_o)+TANH(phi_o))/(1+TANH(phi_o)),0)</f>
        <v>0</v>
      </c>
      <c r="X63" s="108">
        <f>Tabella8[[#This Row],[rest of Italy fit]]/Ko</f>
        <v>0</v>
      </c>
      <c r="Y63" s="22">
        <f>Tabella8[[#This Row],[rest of Italy fit]]*NOT(ISBLANK(Tabella8[[#This Row],[rest of Italy ]]))</f>
        <v>0</v>
      </c>
      <c r="Z63" s="10">
        <f>Tabella8[[#This Row],[rest of Italy fit]]+CIo</f>
        <v>2813.9722047844634</v>
      </c>
      <c r="AA63" s="10">
        <f>MAX(Tabella8[[#This Row],[rest of Italy fit]]-CIo,0)</f>
        <v>0</v>
      </c>
      <c r="AC63" s="55" t="s">
        <v>143</v>
      </c>
      <c r="AD63" s="87">
        <v>4</v>
      </c>
      <c r="AE63" s="87">
        <v>1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65"/>
      <c r="AY63" s="65"/>
      <c r="AZ63"/>
      <c r="BA63" s="32"/>
      <c r="BB63" s="32"/>
      <c r="BC63"/>
      <c r="BD63" s="68"/>
      <c r="BE63" s="68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'dpc-covid19-ita-andamento-naz'!J4+'dpc-covid19-ita-andamento-naz'!K4</f>
        <v>15</v>
      </c>
      <c r="E64" s="10">
        <f>Tabella8[[#This Row],[Italy cumulative]]*NOT(ISBLANK(Tabella8[[#This Row],[Italy cumulative]]))</f>
        <v>15</v>
      </c>
      <c r="F64" s="10">
        <f>Tabella8[[#This Row],[region fit]]+Tabella8[[#This Row],[rest of Italy fit]]</f>
        <v>0</v>
      </c>
      <c r="G64" s="72">
        <f>Tabella8[[#This Row],[Italy sum of regions]]/K_sum</f>
        <v>0</v>
      </c>
      <c r="H64" s="10">
        <f>Tabella8[[#This Row],[Italy sum of regions]]*NOT(ISBLANK(Tabella8[[#This Row],[Italy cumulative]]))</f>
        <v>0</v>
      </c>
      <c r="I64" s="132">
        <f>MAX(Kt*(TANH(psi_t*(Tabella8[[#This Row],[Day]]-pt)-phi_t)+TANH(phi_t))/(1+TANH(phi_t)),0)</f>
        <v>0</v>
      </c>
      <c r="J64" s="109">
        <f>Tabella8[[#This Row],[Italy fit]]/Kt</f>
        <v>0</v>
      </c>
      <c r="K64" s="10">
        <f>Tabella8[[#This Row],[Italy fit]]*NOT(ISBLANK(Tabella8[[#This Row],[Italy cumulative]]))</f>
        <v>0</v>
      </c>
      <c r="L64" s="10">
        <f>Tabella8[[#This Row],[Italy sum of regions]]+CI</f>
        <v>2757.9323654779196</v>
      </c>
      <c r="M64" s="10">
        <f>MAX(Tabella8[[#This Row],[Italy sum of regions]]-CI,0)</f>
        <v>0</v>
      </c>
      <c r="N64" s="57">
        <f t="shared" si="0"/>
        <v>0</v>
      </c>
      <c r="O64" s="10">
        <f>Tabella8[[#This Row],[region data]]*NOT(ISBLANK(Tabella8[[#This Row],[region data]]))</f>
        <v>0</v>
      </c>
      <c r="P64" s="107">
        <f>MAX(Kr*(TANH(psi_r*(Tabella8[[#This Row],[Day]]-pr)-phi_r)+TANH(phi_r))/(1+TANH(phi_r)),0)</f>
        <v>0</v>
      </c>
      <c r="Q64" s="107">
        <f>Tabella8[[#This Row],[region fit]]/Kr</f>
        <v>0</v>
      </c>
      <c r="R64" s="10">
        <f>Tabella8[[#This Row],[region fit]]*NOT(ISBLANK(Tabella8[[#This Row],[region data]]))</f>
        <v>0</v>
      </c>
      <c r="S64" s="10">
        <f>Tabella8[[#This Row],[region fit]]+CIr</f>
        <v>169.91071626612398</v>
      </c>
      <c r="T64" s="10">
        <f>MAX(Tabella8[[#This Row],[region fit]]-CIr,0)</f>
        <v>0</v>
      </c>
      <c r="U64" s="10">
        <f>Tabella8[[#This Row],[Italy cumulative]]-Tabella8[[#This Row],[region data]]</f>
        <v>15</v>
      </c>
      <c r="V64" s="10">
        <f>Tabella8[[#This Row],[rest of Italy ]]*NOT(ISBLANK(Tabella8[[#This Row],[rest of Italy ]]))</f>
        <v>15</v>
      </c>
      <c r="W64" s="108">
        <f>MAX(Ko*(TANH(psi_o*(Tabella8[[#This Row],[Day]]-po)-phi_o)+TANH(phi_o))/(1+TANH(phi_o)),0)</f>
        <v>0</v>
      </c>
      <c r="X64" s="108">
        <f>Tabella8[[#This Row],[rest of Italy fit]]/Ko</f>
        <v>0</v>
      </c>
      <c r="Y64" s="22">
        <f>Tabella8[[#This Row],[rest of Italy fit]]*NOT(ISBLANK(Tabella8[[#This Row],[rest of Italy ]]))</f>
        <v>0</v>
      </c>
      <c r="Z64" s="10">
        <f>Tabella8[[#This Row],[rest of Italy fit]]+CIo</f>
        <v>2813.9722047844634</v>
      </c>
      <c r="AA64" s="10">
        <f>MAX(Tabella8[[#This Row],[rest of Italy fit]]-CIo,0)</f>
        <v>0</v>
      </c>
      <c r="AC64" s="55" t="s">
        <v>144</v>
      </c>
      <c r="AD64" s="87">
        <v>4</v>
      </c>
      <c r="AE64" s="87">
        <v>1</v>
      </c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65"/>
      <c r="AY64" s="65"/>
      <c r="AZ64" s="79"/>
      <c r="BA64" s="32"/>
      <c r="BB64" s="32"/>
      <c r="BC64" s="79"/>
      <c r="BD64" s="68"/>
      <c r="BE64" s="68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'dpc-covid19-ita-andamento-naz'!J5+'dpc-covid19-ita-andamento-naz'!K5</f>
        <v>62</v>
      </c>
      <c r="E65" s="10">
        <f>Tabella8[[#This Row],[Italy cumulative]]*NOT(ISBLANK(Tabella8[[#This Row],[Italy cumulative]]))</f>
        <v>62</v>
      </c>
      <c r="F65" s="10">
        <f>Tabella8[[#This Row],[region fit]]+Tabella8[[#This Row],[rest of Italy fit]]</f>
        <v>0</v>
      </c>
      <c r="G65" s="72">
        <f>Tabella8[[#This Row],[Italy sum of regions]]/K_sum</f>
        <v>0</v>
      </c>
      <c r="H65" s="10">
        <f>Tabella8[[#This Row],[Italy sum of regions]]*NOT(ISBLANK(Tabella8[[#This Row],[Italy cumulative]]))</f>
        <v>0</v>
      </c>
      <c r="I65" s="132">
        <f>MAX(Kt*(TANH(psi_t*(Tabella8[[#This Row],[Day]]-pt)-phi_t)+TANH(phi_t))/(1+TANH(phi_t)),0)</f>
        <v>0</v>
      </c>
      <c r="J65" s="109">
        <f>Tabella8[[#This Row],[Italy fit]]/Kt</f>
        <v>0</v>
      </c>
      <c r="K65" s="10">
        <f>Tabella8[[#This Row],[Italy fit]]*NOT(ISBLANK(Tabella8[[#This Row],[Italy cumulative]]))</f>
        <v>0</v>
      </c>
      <c r="L65" s="10">
        <f>Tabella8[[#This Row],[Italy sum of regions]]+CI</f>
        <v>2757.9323654779196</v>
      </c>
      <c r="M65" s="10">
        <f>MAX(Tabella8[[#This Row],[Italy sum of regions]]-CI,0)</f>
        <v>0</v>
      </c>
      <c r="N65" s="57">
        <f t="shared" si="0"/>
        <v>0</v>
      </c>
      <c r="O65" s="10">
        <f>Tabella8[[#This Row],[region data]]*NOT(ISBLANK(Tabella8[[#This Row],[region data]]))</f>
        <v>0</v>
      </c>
      <c r="P65" s="107">
        <f>MAX(Kr*(TANH(psi_r*(Tabella8[[#This Row],[Day]]-pr)-phi_r)+TANH(phi_r))/(1+TANH(phi_r)),0)</f>
        <v>0</v>
      </c>
      <c r="Q65" s="107">
        <f>Tabella8[[#This Row],[region fit]]/Kr</f>
        <v>0</v>
      </c>
      <c r="R65" s="10">
        <f>Tabella8[[#This Row],[region fit]]*NOT(ISBLANK(Tabella8[[#This Row],[region data]]))</f>
        <v>0</v>
      </c>
      <c r="S65" s="10">
        <f>Tabella8[[#This Row],[region fit]]+CIr</f>
        <v>169.91071626612398</v>
      </c>
      <c r="T65" s="10">
        <f>MAX(Tabella8[[#This Row],[region fit]]-CIr,0)</f>
        <v>0</v>
      </c>
      <c r="U65" s="10">
        <f>Tabella8[[#This Row],[Italy cumulative]]-Tabella8[[#This Row],[region data]]</f>
        <v>62</v>
      </c>
      <c r="V65" s="10">
        <f>Tabella8[[#This Row],[rest of Italy ]]*NOT(ISBLANK(Tabella8[[#This Row],[rest of Italy ]]))</f>
        <v>62</v>
      </c>
      <c r="W65" s="108">
        <f>MAX(Ko*(TANH(psi_o*(Tabella8[[#This Row],[Day]]-po)-phi_o)+TANH(phi_o))/(1+TANH(phi_o)),0)</f>
        <v>0</v>
      </c>
      <c r="X65" s="108">
        <f>Tabella8[[#This Row],[rest of Italy fit]]/Ko</f>
        <v>0</v>
      </c>
      <c r="Y65" s="22">
        <f>Tabella8[[#This Row],[rest of Italy fit]]*NOT(ISBLANK(Tabella8[[#This Row],[rest of Italy ]]))</f>
        <v>0</v>
      </c>
      <c r="Z65" s="10">
        <f>Tabella8[[#This Row],[rest of Italy fit]]+CIo</f>
        <v>2813.9722047844634</v>
      </c>
      <c r="AA65" s="10">
        <f>MAX(Tabella8[[#This Row],[rest of Italy fit]]-CIo,0)</f>
        <v>0</v>
      </c>
      <c r="AC65" s="55" t="s">
        <v>145</v>
      </c>
      <c r="AD65" s="87">
        <v>4</v>
      </c>
      <c r="AE65" s="87">
        <v>3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65"/>
      <c r="AY65" s="65"/>
      <c r="AZ65" s="79"/>
      <c r="BA65" s="32"/>
      <c r="BB65" s="32"/>
      <c r="BC65" s="79"/>
      <c r="BD65" s="68"/>
      <c r="BE65" s="68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'dpc-covid19-ita-andamento-naz'!J6+'dpc-covid19-ita-andamento-naz'!K6</f>
        <v>67</v>
      </c>
      <c r="E66" s="10">
        <f>Tabella8[[#This Row],[Italy cumulative]]*NOT(ISBLANK(Tabella8[[#This Row],[Italy cumulative]]))</f>
        <v>67</v>
      </c>
      <c r="F66" s="10">
        <f>Tabella8[[#This Row],[region fit]]+Tabella8[[#This Row],[rest of Italy fit]]</f>
        <v>0</v>
      </c>
      <c r="G66" s="72">
        <f>Tabella8[[#This Row],[Italy sum of regions]]/K_sum</f>
        <v>0</v>
      </c>
      <c r="H66" s="10">
        <f>Tabella8[[#This Row],[Italy sum of regions]]*NOT(ISBLANK(Tabella8[[#This Row],[Italy cumulative]]))</f>
        <v>0</v>
      </c>
      <c r="I66" s="132">
        <f>MAX(Kt*(TANH(psi_t*(Tabella8[[#This Row],[Day]]-pt)-phi_t)+TANH(phi_t))/(1+TANH(phi_t)),0)</f>
        <v>0</v>
      </c>
      <c r="J66" s="109">
        <f>Tabella8[[#This Row],[Italy fit]]/Kt</f>
        <v>0</v>
      </c>
      <c r="K66" s="10">
        <f>Tabella8[[#This Row],[Italy fit]]*NOT(ISBLANK(Tabella8[[#This Row],[Italy cumulative]]))</f>
        <v>0</v>
      </c>
      <c r="L66" s="10">
        <f>Tabella8[[#This Row],[Italy sum of regions]]+CI</f>
        <v>2757.9323654779196</v>
      </c>
      <c r="M66" s="10">
        <f>MAX(Tabella8[[#This Row],[Italy sum of regions]]-CI,0)</f>
        <v>0</v>
      </c>
      <c r="N66" s="57">
        <f t="shared" si="0"/>
        <v>0</v>
      </c>
      <c r="O66" s="10">
        <f>Tabella8[[#This Row],[region data]]*NOT(ISBLANK(Tabella8[[#This Row],[region data]]))</f>
        <v>0</v>
      </c>
      <c r="P66" s="107">
        <f>MAX(Kr*(TANH(psi_r*(Tabella8[[#This Row],[Day]]-pr)-phi_r)+TANH(phi_r))/(1+TANH(phi_r)),0)</f>
        <v>0</v>
      </c>
      <c r="Q66" s="107">
        <f>Tabella8[[#This Row],[region fit]]/Kr</f>
        <v>0</v>
      </c>
      <c r="R66" s="10">
        <f>Tabella8[[#This Row],[region fit]]*NOT(ISBLANK(Tabella8[[#This Row],[region data]]))</f>
        <v>0</v>
      </c>
      <c r="S66" s="10">
        <f>Tabella8[[#This Row],[region fit]]+CIr</f>
        <v>169.91071626612398</v>
      </c>
      <c r="T66" s="10">
        <f>MAX(Tabella8[[#This Row],[region fit]]-CIr,0)</f>
        <v>0</v>
      </c>
      <c r="U66" s="10">
        <f>Tabella8[[#This Row],[Italy cumulative]]-Tabella8[[#This Row],[region data]]</f>
        <v>67</v>
      </c>
      <c r="V66" s="10">
        <f>Tabella8[[#This Row],[rest of Italy ]]*NOT(ISBLANK(Tabella8[[#This Row],[rest of Italy ]]))</f>
        <v>67</v>
      </c>
      <c r="W66" s="108">
        <f>MAX(Ko*(TANH(psi_o*(Tabella8[[#This Row],[Day]]-po)-phi_o)+TANH(phi_o))/(1+TANH(phi_o)),0)</f>
        <v>0</v>
      </c>
      <c r="X66" s="108">
        <f>Tabella8[[#This Row],[rest of Italy fit]]/Ko</f>
        <v>0</v>
      </c>
      <c r="Y66" s="22">
        <f>Tabella8[[#This Row],[rest of Italy fit]]*NOT(ISBLANK(Tabella8[[#This Row],[rest of Italy ]]))</f>
        <v>0</v>
      </c>
      <c r="Z66" s="10">
        <f>Tabella8[[#This Row],[rest of Italy fit]]+CIo</f>
        <v>2813.9722047844634</v>
      </c>
      <c r="AA66" s="10">
        <f>MAX(Tabella8[[#This Row],[rest of Italy fit]]-CIo,0)</f>
        <v>0</v>
      </c>
      <c r="AC66" s="55" t="s">
        <v>146</v>
      </c>
      <c r="AD66" s="87">
        <v>5</v>
      </c>
      <c r="AE66" s="87">
        <v>3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65"/>
      <c r="AY66" s="65"/>
      <c r="AZ66" s="79"/>
      <c r="BA66" s="32"/>
      <c r="BB66" s="32"/>
      <c r="BC66" s="79"/>
      <c r="BD66" s="68"/>
      <c r="BE66" s="68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'dpc-covid19-ita-andamento-naz'!J7+'dpc-covid19-ita-andamento-naz'!K7</f>
        <v>79</v>
      </c>
      <c r="E67" s="10">
        <f>Tabella8[[#This Row],[Italy cumulative]]*NOT(ISBLANK(Tabella8[[#This Row],[Italy cumulative]]))</f>
        <v>79</v>
      </c>
      <c r="F67" s="10">
        <f>Tabella8[[#This Row],[region fit]]+Tabella8[[#This Row],[rest of Italy fit]]</f>
        <v>0</v>
      </c>
      <c r="G67" s="72">
        <f>Tabella8[[#This Row],[Italy sum of regions]]/K_sum</f>
        <v>0</v>
      </c>
      <c r="H67" s="10">
        <f>Tabella8[[#This Row],[Italy sum of regions]]*NOT(ISBLANK(Tabella8[[#This Row],[Italy cumulative]]))</f>
        <v>0</v>
      </c>
      <c r="I67" s="132">
        <f>MAX(Kt*(TANH(psi_t*(Tabella8[[#This Row],[Day]]-pt)-phi_t)+TANH(phi_t))/(1+TANH(phi_t)),0)</f>
        <v>0</v>
      </c>
      <c r="J67" s="109">
        <f>Tabella8[[#This Row],[Italy fit]]/Kt</f>
        <v>0</v>
      </c>
      <c r="K67" s="10">
        <f>Tabella8[[#This Row],[Italy fit]]*NOT(ISBLANK(Tabella8[[#This Row],[Italy cumulative]]))</f>
        <v>0</v>
      </c>
      <c r="L67" s="10">
        <f>Tabella8[[#This Row],[Italy sum of regions]]+CI</f>
        <v>2757.9323654779196</v>
      </c>
      <c r="M67" s="10">
        <f>MAX(Tabella8[[#This Row],[Italy sum of regions]]-CI,0)</f>
        <v>0</v>
      </c>
      <c r="N67" s="57">
        <f t="shared" si="0"/>
        <v>4</v>
      </c>
      <c r="O67" s="10">
        <f>Tabella8[[#This Row],[region data]]*NOT(ISBLANK(Tabella8[[#This Row],[region data]]))</f>
        <v>4</v>
      </c>
      <c r="P67" s="107">
        <f>MAX(Kr*(TANH(psi_r*(Tabella8[[#This Row],[Day]]-pr)-phi_r)+TANH(phi_r))/(1+TANH(phi_r)),0)</f>
        <v>0</v>
      </c>
      <c r="Q67" s="107">
        <f>Tabella8[[#This Row],[region fit]]/Kr</f>
        <v>0</v>
      </c>
      <c r="R67" s="10">
        <f>Tabella8[[#This Row],[region fit]]*NOT(ISBLANK(Tabella8[[#This Row],[region data]]))</f>
        <v>0</v>
      </c>
      <c r="S67" s="10">
        <f>Tabella8[[#This Row],[region fit]]+CIr</f>
        <v>169.91071626612398</v>
      </c>
      <c r="T67" s="10">
        <f>MAX(Tabella8[[#This Row],[region fit]]-CIr,0)</f>
        <v>0</v>
      </c>
      <c r="U67" s="10">
        <f>Tabella8[[#This Row],[Italy cumulative]]-Tabella8[[#This Row],[region data]]</f>
        <v>75</v>
      </c>
      <c r="V67" s="10">
        <f>Tabella8[[#This Row],[rest of Italy ]]*NOT(ISBLANK(Tabella8[[#This Row],[rest of Italy ]]))</f>
        <v>75</v>
      </c>
      <c r="W67" s="108">
        <f>MAX(Ko*(TANH(psi_o*(Tabella8[[#This Row],[Day]]-po)-phi_o)+TANH(phi_o))/(1+TANH(phi_o)),0)</f>
        <v>0</v>
      </c>
      <c r="X67" s="108">
        <f>Tabella8[[#This Row],[rest of Italy fit]]/Ko</f>
        <v>0</v>
      </c>
      <c r="Y67" s="22">
        <f>Tabella8[[#This Row],[rest of Italy fit]]*NOT(ISBLANK(Tabella8[[#This Row],[rest of Italy ]]))</f>
        <v>0</v>
      </c>
      <c r="Z67" s="10">
        <f>Tabella8[[#This Row],[rest of Italy fit]]+CIo</f>
        <v>2813.9722047844634</v>
      </c>
      <c r="AA67" s="10">
        <f>MAX(Tabella8[[#This Row],[rest of Italy fit]]-CIo,0)</f>
        <v>0</v>
      </c>
      <c r="AC67" s="55" t="s">
        <v>147</v>
      </c>
      <c r="AD67" s="87">
        <v>5</v>
      </c>
      <c r="AE67" s="87">
        <v>4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65"/>
      <c r="AY67" s="65"/>
      <c r="AZ67" s="79"/>
      <c r="BA67" s="32"/>
      <c r="BB67" s="32"/>
      <c r="BC67" s="79"/>
      <c r="BD67" s="68"/>
      <c r="BE67" s="68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5">
        <v>43891</v>
      </c>
      <c r="C68" s="4">
        <v>61</v>
      </c>
      <c r="D68" s="10">
        <f>'dpc-covid19-ita-andamento-naz'!J8+'dpc-covid19-ita-andamento-naz'!K8</f>
        <v>117</v>
      </c>
      <c r="E68" s="10">
        <f>Tabella8[[#This Row],[Italy cumulative]]*NOT(ISBLANK(Tabella8[[#This Row],[Italy cumulative]]))</f>
        <v>117</v>
      </c>
      <c r="F68" s="10">
        <f>Tabella8[[#This Row],[region fit]]+Tabella8[[#This Row],[rest of Italy fit]]</f>
        <v>0</v>
      </c>
      <c r="G68" s="72">
        <f>Tabella8[[#This Row],[Italy sum of regions]]/K_sum</f>
        <v>0</v>
      </c>
      <c r="H68" s="10">
        <f>Tabella8[[#This Row],[Italy sum of regions]]*NOT(ISBLANK(Tabella8[[#This Row],[Italy cumulative]]))</f>
        <v>0</v>
      </c>
      <c r="I68" s="132">
        <f>MAX(Kt*(TANH(psi_t*(Tabella8[[#This Row],[Day]]-pt)-phi_t)+TANH(phi_t))/(1+TANH(phi_t)),0)</f>
        <v>0</v>
      </c>
      <c r="J68" s="109">
        <f>Tabella8[[#This Row],[Italy fit]]/Kt</f>
        <v>0</v>
      </c>
      <c r="K68" s="10">
        <f>Tabella8[[#This Row],[Italy fit]]*NOT(ISBLANK(Tabella8[[#This Row],[Italy cumulative]]))</f>
        <v>0</v>
      </c>
      <c r="L68" s="10">
        <f>Tabella8[[#This Row],[Italy sum of regions]]+CI</f>
        <v>2757.9323654779196</v>
      </c>
      <c r="M68" s="10">
        <f>MAX(Tabella8[[#This Row],[Italy sum of regions]]-CI,0)</f>
        <v>0</v>
      </c>
      <c r="N68" s="57">
        <f t="shared" si="0"/>
        <v>4</v>
      </c>
      <c r="O68" s="10">
        <f>Tabella8[[#This Row],[region data]]*NOT(ISBLANK(Tabella8[[#This Row],[region data]]))</f>
        <v>4</v>
      </c>
      <c r="P68" s="107">
        <f>MAX(Kr*(TANH(psi_r*(Tabella8[[#This Row],[Day]]-pr)-phi_r)+TANH(phi_r))/(1+TANH(phi_r)),0)</f>
        <v>0</v>
      </c>
      <c r="Q68" s="107">
        <f>Tabella8[[#This Row],[region fit]]/Kr</f>
        <v>0</v>
      </c>
      <c r="R68" s="10">
        <f>Tabella8[[#This Row],[region fit]]*NOT(ISBLANK(Tabella8[[#This Row],[region data]]))</f>
        <v>0</v>
      </c>
      <c r="S68" s="10">
        <f>Tabella8[[#This Row],[region fit]]+CIr</f>
        <v>169.91071626612398</v>
      </c>
      <c r="T68" s="10">
        <f>MAX(Tabella8[[#This Row],[region fit]]-CIr,0)</f>
        <v>0</v>
      </c>
      <c r="U68" s="10">
        <f>Tabella8[[#This Row],[Italy cumulative]]-Tabella8[[#This Row],[region data]]</f>
        <v>113</v>
      </c>
      <c r="V68" s="10">
        <f>Tabella8[[#This Row],[rest of Italy ]]*NOT(ISBLANK(Tabella8[[#This Row],[rest of Italy ]]))</f>
        <v>113</v>
      </c>
      <c r="W68" s="108">
        <f>MAX(Ko*(TANH(psi_o*(Tabella8[[#This Row],[Day]]-po)-phi_o)+TANH(phi_o))/(1+TANH(phi_o)),0)</f>
        <v>0</v>
      </c>
      <c r="X68" s="108">
        <f>Tabella8[[#This Row],[rest of Italy fit]]/Ko</f>
        <v>0</v>
      </c>
      <c r="Y68" s="22">
        <f>Tabella8[[#This Row],[rest of Italy fit]]*NOT(ISBLANK(Tabella8[[#This Row],[rest of Italy ]]))</f>
        <v>0</v>
      </c>
      <c r="Z68" s="10">
        <f>Tabella8[[#This Row],[rest of Italy fit]]+CIo</f>
        <v>2813.9722047844634</v>
      </c>
      <c r="AA68" s="10">
        <f>MAX(Tabella8[[#This Row],[rest of Italy fit]]-CIo,0)</f>
        <v>0</v>
      </c>
      <c r="AC68" s="55" t="s">
        <v>148</v>
      </c>
      <c r="AD68" s="87">
        <v>5</v>
      </c>
      <c r="AE68" s="87">
        <v>6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65"/>
      <c r="AY68" s="65"/>
      <c r="AZ68" s="79"/>
      <c r="BA68" s="32"/>
      <c r="BB68" s="32"/>
      <c r="BC68" s="79"/>
      <c r="BD68" s="68"/>
      <c r="BE68" s="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'dpc-covid19-ita-andamento-naz'!J9+'dpc-covid19-ita-andamento-naz'!K9</f>
        <v>201</v>
      </c>
      <c r="E69" s="10">
        <f>Tabella8[[#This Row],[Italy cumulative]]*NOT(ISBLANK(Tabella8[[#This Row],[Italy cumulative]]))</f>
        <v>201</v>
      </c>
      <c r="F69" s="10">
        <f>Tabella8[[#This Row],[region fit]]+Tabella8[[#This Row],[rest of Italy fit]]</f>
        <v>0</v>
      </c>
      <c r="G69" s="72">
        <f>Tabella8[[#This Row],[Italy sum of regions]]/K_sum</f>
        <v>0</v>
      </c>
      <c r="H69" s="10">
        <f>Tabella8[[#This Row],[Italy sum of regions]]*NOT(ISBLANK(Tabella8[[#This Row],[Italy cumulative]]))</f>
        <v>0</v>
      </c>
      <c r="I69" s="132">
        <f>MAX(Kt*(TANH(psi_t*(Tabella8[[#This Row],[Day]]-pt)-phi_t)+TANH(phi_t))/(1+TANH(phi_t)),0)</f>
        <v>0</v>
      </c>
      <c r="J69" s="109">
        <f>Tabella8[[#This Row],[Italy fit]]/Kt</f>
        <v>0</v>
      </c>
      <c r="K69" s="10">
        <f>Tabella8[[#This Row],[Italy fit]]*NOT(ISBLANK(Tabella8[[#This Row],[Italy cumulative]]))</f>
        <v>0</v>
      </c>
      <c r="L69" s="10">
        <f>Tabella8[[#This Row],[Italy sum of regions]]+CI</f>
        <v>2757.9323654779196</v>
      </c>
      <c r="M69" s="10">
        <f>MAX(Tabella8[[#This Row],[Italy sum of regions]]-CI,0)</f>
        <v>0</v>
      </c>
      <c r="N69" s="57">
        <f t="shared" si="0"/>
        <v>4</v>
      </c>
      <c r="O69" s="10">
        <f>Tabella8[[#This Row],[region data]]*NOT(ISBLANK(Tabella8[[#This Row],[region data]]))</f>
        <v>4</v>
      </c>
      <c r="P69" s="107">
        <f>MAX(Kr*(TANH(psi_r*(Tabella8[[#This Row],[Day]]-pr)-phi_r)+TANH(phi_r))/(1+TANH(phi_r)),0)</f>
        <v>0</v>
      </c>
      <c r="Q69" s="107">
        <f>Tabella8[[#This Row],[region fit]]/Kr</f>
        <v>0</v>
      </c>
      <c r="R69" s="10">
        <f>Tabella8[[#This Row],[region fit]]*NOT(ISBLANK(Tabella8[[#This Row],[region data]]))</f>
        <v>0</v>
      </c>
      <c r="S69" s="10">
        <f>Tabella8[[#This Row],[region fit]]+CIr</f>
        <v>169.91071626612398</v>
      </c>
      <c r="T69" s="10">
        <f>MAX(Tabella8[[#This Row],[region fit]]-CIr,0)</f>
        <v>0</v>
      </c>
      <c r="U69" s="10">
        <f>Tabella8[[#This Row],[Italy cumulative]]-Tabella8[[#This Row],[region data]]</f>
        <v>197</v>
      </c>
      <c r="V69" s="10">
        <f>Tabella8[[#This Row],[rest of Italy ]]*NOT(ISBLANK(Tabella8[[#This Row],[rest of Italy ]]))</f>
        <v>197</v>
      </c>
      <c r="W69" s="108">
        <f>MAX(Ko*(TANH(psi_o*(Tabella8[[#This Row],[Day]]-po)-phi_o)+TANH(phi_o))/(1+TANH(phi_o)),0)</f>
        <v>0</v>
      </c>
      <c r="X69" s="108">
        <f>Tabella8[[#This Row],[rest of Italy fit]]/Ko</f>
        <v>0</v>
      </c>
      <c r="Y69" s="22">
        <f>Tabella8[[#This Row],[rest of Italy fit]]*NOT(ISBLANK(Tabella8[[#This Row],[rest of Italy ]]))</f>
        <v>0</v>
      </c>
      <c r="Z69" s="10">
        <f>Tabella8[[#This Row],[rest of Italy fit]]+CIo</f>
        <v>2813.9722047844634</v>
      </c>
      <c r="AA69" s="10">
        <f>MAX(Tabella8[[#This Row],[rest of Italy fit]]-CIo,0)</f>
        <v>0</v>
      </c>
      <c r="AC69" s="55" t="s">
        <v>149</v>
      </c>
      <c r="AD69" s="87">
        <v>5</v>
      </c>
      <c r="AE69" s="87">
        <v>7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65"/>
      <c r="AY69" s="65"/>
      <c r="AZ69" s="79"/>
      <c r="BA69" s="32"/>
      <c r="BB69" s="32"/>
      <c r="BC69" s="79"/>
      <c r="BD69" s="68"/>
      <c r="BE69" s="68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'dpc-covid19-ita-andamento-naz'!J10+'dpc-covid19-ita-andamento-naz'!K10</f>
        <v>239</v>
      </c>
      <c r="E70" s="10">
        <f>Tabella8[[#This Row],[Italy cumulative]]*NOT(ISBLANK(Tabella8[[#This Row],[Italy cumulative]]))</f>
        <v>239</v>
      </c>
      <c r="F70" s="10">
        <f>Tabella8[[#This Row],[region fit]]+Tabella8[[#This Row],[rest of Italy fit]]</f>
        <v>0</v>
      </c>
      <c r="G70" s="72">
        <f>Tabella8[[#This Row],[Italy sum of regions]]/K_sum</f>
        <v>0</v>
      </c>
      <c r="H70" s="10">
        <f>Tabella8[[#This Row],[Italy sum of regions]]*NOT(ISBLANK(Tabella8[[#This Row],[Italy cumulative]]))</f>
        <v>0</v>
      </c>
      <c r="I70" s="132">
        <f>MAX(Kt*(TANH(psi_t*(Tabella8[[#This Row],[Day]]-pt)-phi_t)+TANH(phi_t))/(1+TANH(phi_t)),0)</f>
        <v>0</v>
      </c>
      <c r="J70" s="109">
        <f>Tabella8[[#This Row],[Italy fit]]/Kt</f>
        <v>0</v>
      </c>
      <c r="K70" s="10">
        <f>Tabella8[[#This Row],[Italy fit]]*NOT(ISBLANK(Tabella8[[#This Row],[Italy cumulative]]))</f>
        <v>0</v>
      </c>
      <c r="L70" s="10">
        <f>Tabella8[[#This Row],[Italy sum of regions]]+CI</f>
        <v>2757.9323654779196</v>
      </c>
      <c r="M70" s="10">
        <f>MAX(Tabella8[[#This Row],[Italy sum of regions]]-CI,0)</f>
        <v>0</v>
      </c>
      <c r="N70" s="57">
        <f t="shared" si="0"/>
        <v>5</v>
      </c>
      <c r="O70" s="10">
        <f>Tabella8[[#This Row],[region data]]*NOT(ISBLANK(Tabella8[[#This Row],[region data]]))</f>
        <v>5</v>
      </c>
      <c r="P70" s="107">
        <f>MAX(Kr*(TANH(psi_r*(Tabella8[[#This Row],[Day]]-pr)-phi_r)+TANH(phi_r))/(1+TANH(phi_r)),0)</f>
        <v>0</v>
      </c>
      <c r="Q70" s="107">
        <f>Tabella8[[#This Row],[region fit]]/Kr</f>
        <v>0</v>
      </c>
      <c r="R70" s="10">
        <f>Tabella8[[#This Row],[region fit]]*NOT(ISBLANK(Tabella8[[#This Row],[region data]]))</f>
        <v>0</v>
      </c>
      <c r="S70" s="10">
        <f>Tabella8[[#This Row],[region fit]]+CIr</f>
        <v>169.91071626612398</v>
      </c>
      <c r="T70" s="10">
        <f>MAX(Tabella8[[#This Row],[region fit]]-CIr,0)</f>
        <v>0</v>
      </c>
      <c r="U70" s="10">
        <f>Tabella8[[#This Row],[Italy cumulative]]-Tabella8[[#This Row],[region data]]</f>
        <v>234</v>
      </c>
      <c r="V70" s="10">
        <f>Tabella8[[#This Row],[rest of Italy ]]*NOT(ISBLANK(Tabella8[[#This Row],[rest of Italy ]]))</f>
        <v>234</v>
      </c>
      <c r="W70" s="108">
        <f>MAX(Ko*(TANH(psi_o*(Tabella8[[#This Row],[Day]]-po)-phi_o)+TANH(phi_o))/(1+TANH(phi_o)),0)</f>
        <v>0</v>
      </c>
      <c r="X70" s="108">
        <f>Tabella8[[#This Row],[rest of Italy fit]]/Ko</f>
        <v>0</v>
      </c>
      <c r="Y70" s="22">
        <f>Tabella8[[#This Row],[rest of Italy fit]]*NOT(ISBLANK(Tabella8[[#This Row],[rest of Italy ]]))</f>
        <v>0</v>
      </c>
      <c r="Z70" s="10">
        <f>Tabella8[[#This Row],[rest of Italy fit]]+CIo</f>
        <v>2813.9722047844634</v>
      </c>
      <c r="AA70" s="10">
        <f>MAX(Tabella8[[#This Row],[rest of Italy fit]]-CIo,0)</f>
        <v>0</v>
      </c>
      <c r="AC70" s="55" t="s">
        <v>150</v>
      </c>
      <c r="AD70" s="87">
        <v>5</v>
      </c>
      <c r="AE70" s="87">
        <v>8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65"/>
      <c r="AY70" s="65"/>
      <c r="AZ70" s="79"/>
      <c r="BA70" s="32"/>
      <c r="BB70" s="32"/>
      <c r="BC70" s="79"/>
      <c r="BD70" s="68"/>
      <c r="BE70" s="68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'dpc-covid19-ita-andamento-naz'!J11+'dpc-covid19-ita-andamento-naz'!K11</f>
        <v>383</v>
      </c>
      <c r="E71" s="10">
        <f>Tabella8[[#This Row],[Italy cumulative]]*NOT(ISBLANK(Tabella8[[#This Row],[Italy cumulative]]))</f>
        <v>383</v>
      </c>
      <c r="F71" s="10">
        <f>Tabella8[[#This Row],[region fit]]+Tabella8[[#This Row],[rest of Italy fit]]</f>
        <v>0</v>
      </c>
      <c r="G71" s="72">
        <f>Tabella8[[#This Row],[Italy sum of regions]]/K_sum</f>
        <v>0</v>
      </c>
      <c r="H71" s="10">
        <f>Tabella8[[#This Row],[Italy sum of regions]]*NOT(ISBLANK(Tabella8[[#This Row],[Italy cumulative]]))</f>
        <v>0</v>
      </c>
      <c r="I71" s="132">
        <f>MAX(Kt*(TANH(psi_t*(Tabella8[[#This Row],[Day]]-pt)-phi_t)+TANH(phi_t))/(1+TANH(phi_t)),0)</f>
        <v>0</v>
      </c>
      <c r="J71" s="109">
        <f>Tabella8[[#This Row],[Italy fit]]/Kt</f>
        <v>0</v>
      </c>
      <c r="K71" s="10">
        <f>Tabella8[[#This Row],[Italy fit]]*NOT(ISBLANK(Tabella8[[#This Row],[Italy cumulative]]))</f>
        <v>0</v>
      </c>
      <c r="L71" s="10">
        <f>Tabella8[[#This Row],[Italy sum of regions]]+CI</f>
        <v>2757.9323654779196</v>
      </c>
      <c r="M71" s="10">
        <f>MAX(Tabella8[[#This Row],[Italy sum of regions]]-CI,0)</f>
        <v>0</v>
      </c>
      <c r="N71" s="57">
        <f t="shared" si="0"/>
        <v>5</v>
      </c>
      <c r="O71" s="10">
        <f>Tabella8[[#This Row],[region data]]*NOT(ISBLANK(Tabella8[[#This Row],[region data]]))</f>
        <v>5</v>
      </c>
      <c r="P71" s="107">
        <f>MAX(Kr*(TANH(psi_r*(Tabella8[[#This Row],[Day]]-pr)-phi_r)+TANH(phi_r))/(1+TANH(phi_r)),0)</f>
        <v>0</v>
      </c>
      <c r="Q71" s="107">
        <f>Tabella8[[#This Row],[region fit]]/Kr</f>
        <v>0</v>
      </c>
      <c r="R71" s="10">
        <f>Tabella8[[#This Row],[region fit]]*NOT(ISBLANK(Tabella8[[#This Row],[region data]]))</f>
        <v>0</v>
      </c>
      <c r="S71" s="10">
        <f>Tabella8[[#This Row],[region fit]]+CIr</f>
        <v>169.91071626612398</v>
      </c>
      <c r="T71" s="10">
        <f>MAX(Tabella8[[#This Row],[region fit]]-CIr,0)</f>
        <v>0</v>
      </c>
      <c r="U71" s="10">
        <f>Tabella8[[#This Row],[Italy cumulative]]-Tabella8[[#This Row],[region data]]</f>
        <v>378</v>
      </c>
      <c r="V71" s="10">
        <f>Tabella8[[#This Row],[rest of Italy ]]*NOT(ISBLANK(Tabella8[[#This Row],[rest of Italy ]]))</f>
        <v>378</v>
      </c>
      <c r="W71" s="108">
        <f>MAX(Ko*(TANH(psi_o*(Tabella8[[#This Row],[Day]]-po)-phi_o)+TANH(phi_o))/(1+TANH(phi_o)),0)</f>
        <v>0</v>
      </c>
      <c r="X71" s="108">
        <f>Tabella8[[#This Row],[rest of Italy fit]]/Ko</f>
        <v>0</v>
      </c>
      <c r="Y71" s="22">
        <f>Tabella8[[#This Row],[rest of Italy fit]]*NOT(ISBLANK(Tabella8[[#This Row],[rest of Italy ]]))</f>
        <v>0</v>
      </c>
      <c r="Z71" s="10">
        <f>Tabella8[[#This Row],[rest of Italy fit]]+CIo</f>
        <v>2813.9722047844634</v>
      </c>
      <c r="AA71" s="10">
        <f>MAX(Tabella8[[#This Row],[rest of Italy fit]]-CIo,0)</f>
        <v>0</v>
      </c>
      <c r="AC71" s="55" t="s">
        <v>151</v>
      </c>
      <c r="AD71" s="87">
        <v>5</v>
      </c>
      <c r="AE71" s="87">
        <v>8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65"/>
      <c r="AY71" s="65"/>
      <c r="AZ71" s="79"/>
      <c r="BA71" s="32"/>
      <c r="BB71" s="32"/>
      <c r="BC71" s="79"/>
      <c r="BD71" s="68"/>
      <c r="BE71" s="68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5">
        <v>43895</v>
      </c>
      <c r="C72" s="4">
        <v>65</v>
      </c>
      <c r="D72" s="10">
        <f>'dpc-covid19-ita-andamento-naz'!J12+'dpc-covid19-ita-andamento-naz'!K12</f>
        <v>562</v>
      </c>
      <c r="E72" s="10">
        <f>Tabella8[[#This Row],[Italy cumulative]]*NOT(ISBLANK(Tabella8[[#This Row],[Italy cumulative]]))</f>
        <v>562</v>
      </c>
      <c r="F72" s="10">
        <f>Tabella8[[#This Row],[region fit]]+Tabella8[[#This Row],[rest of Italy fit]]</f>
        <v>0</v>
      </c>
      <c r="G72" s="72">
        <f>Tabella8[[#This Row],[Italy sum of regions]]/K_sum</f>
        <v>0</v>
      </c>
      <c r="H72" s="10">
        <f>Tabella8[[#This Row],[Italy sum of regions]]*NOT(ISBLANK(Tabella8[[#This Row],[Italy cumulative]]))</f>
        <v>0</v>
      </c>
      <c r="I72" s="132">
        <f>MAX(Kt*(TANH(psi_t*(Tabella8[[#This Row],[Day]]-pt)-phi_t)+TANH(phi_t))/(1+TANH(phi_t)),0)</f>
        <v>0</v>
      </c>
      <c r="J72" s="109">
        <f>Tabella8[[#This Row],[Italy fit]]/Kt</f>
        <v>0</v>
      </c>
      <c r="K72" s="10">
        <f>Tabella8[[#This Row],[Italy fit]]*NOT(ISBLANK(Tabella8[[#This Row],[Italy cumulative]]))</f>
        <v>0</v>
      </c>
      <c r="L72" s="10">
        <f>Tabella8[[#This Row],[Italy sum of regions]]+CI</f>
        <v>2757.9323654779196</v>
      </c>
      <c r="M72" s="10">
        <f>MAX(Tabella8[[#This Row],[Italy sum of regions]]-CI,0)</f>
        <v>0</v>
      </c>
      <c r="N72" s="57">
        <f t="shared" si="0"/>
        <v>7</v>
      </c>
      <c r="O72" s="10">
        <f>Tabella8[[#This Row],[region data]]*NOT(ISBLANK(Tabella8[[#This Row],[region data]]))</f>
        <v>7</v>
      </c>
      <c r="P72" s="107">
        <f>MAX(Kr*(TANH(psi_r*(Tabella8[[#This Row],[Day]]-pr)-phi_r)+TANH(phi_r))/(1+TANH(phi_r)),0)</f>
        <v>0</v>
      </c>
      <c r="Q72" s="107">
        <f>Tabella8[[#This Row],[region fit]]/Kr</f>
        <v>0</v>
      </c>
      <c r="R72" s="10">
        <f>Tabella8[[#This Row],[region fit]]*NOT(ISBLANK(Tabella8[[#This Row],[region data]]))</f>
        <v>0</v>
      </c>
      <c r="S72" s="10">
        <f>Tabella8[[#This Row],[region fit]]+CIr</f>
        <v>169.91071626612398</v>
      </c>
      <c r="T72" s="10">
        <f>MAX(Tabella8[[#This Row],[region fit]]-CIr,0)</f>
        <v>0</v>
      </c>
      <c r="U72" s="10">
        <f>Tabella8[[#This Row],[Italy cumulative]]-Tabella8[[#This Row],[region data]]</f>
        <v>555</v>
      </c>
      <c r="V72" s="10">
        <f>Tabella8[[#This Row],[rest of Italy ]]*NOT(ISBLANK(Tabella8[[#This Row],[rest of Italy ]]))</f>
        <v>555</v>
      </c>
      <c r="W72" s="108">
        <f>MAX(Ko*(TANH(psi_o*(Tabella8[[#This Row],[Day]]-po)-phi_o)+TANH(phi_o))/(1+TANH(phi_o)),0)</f>
        <v>0</v>
      </c>
      <c r="X72" s="108">
        <f>Tabella8[[#This Row],[rest of Italy fit]]/Ko</f>
        <v>0</v>
      </c>
      <c r="Y72" s="22">
        <f>Tabella8[[#This Row],[rest of Italy fit]]*NOT(ISBLANK(Tabella8[[#This Row],[rest of Italy ]]))</f>
        <v>0</v>
      </c>
      <c r="Z72" s="10">
        <f>Tabella8[[#This Row],[rest of Italy fit]]+CIo</f>
        <v>2813.9722047844634</v>
      </c>
      <c r="AA72" s="10">
        <f>MAX(Tabella8[[#This Row],[rest of Italy fit]]-CIo,0)</f>
        <v>0</v>
      </c>
      <c r="AC72" s="55" t="s">
        <v>152</v>
      </c>
      <c r="AD72" s="87">
        <v>20</v>
      </c>
      <c r="AE72" s="87">
        <v>11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65"/>
      <c r="AY72" s="65"/>
      <c r="AZ72" s="79"/>
      <c r="BA72" s="32"/>
      <c r="BB72" s="32"/>
      <c r="BC72" s="79"/>
      <c r="BD72" s="68"/>
      <c r="BE72" s="68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'dpc-covid19-ita-andamento-naz'!J13+'dpc-covid19-ita-andamento-naz'!K13</f>
        <v>720</v>
      </c>
      <c r="E73" s="10">
        <f>Tabella8[[#This Row],[Italy cumulative]]*NOT(ISBLANK(Tabella8[[#This Row],[Italy cumulative]]))</f>
        <v>720</v>
      </c>
      <c r="F73" s="10">
        <f>Tabella8[[#This Row],[region fit]]+Tabella8[[#This Row],[rest of Italy fit]]</f>
        <v>0</v>
      </c>
      <c r="G73" s="72">
        <f>Tabella8[[#This Row],[Italy sum of regions]]/K_sum</f>
        <v>0</v>
      </c>
      <c r="H73" s="10">
        <f>Tabella8[[#This Row],[Italy sum of regions]]*NOT(ISBLANK(Tabella8[[#This Row],[Italy cumulative]]))</f>
        <v>0</v>
      </c>
      <c r="I73" s="132">
        <f>MAX(Kt*(TANH(psi_t*(Tabella8[[#This Row],[Day]]-pt)-phi_t)+TANH(phi_t))/(1+TANH(phi_t)),0)</f>
        <v>0</v>
      </c>
      <c r="J73" s="109">
        <f>Tabella8[[#This Row],[Italy fit]]/Kt</f>
        <v>0</v>
      </c>
      <c r="K73" s="10">
        <f>Tabella8[[#This Row],[Italy fit]]*NOT(ISBLANK(Tabella8[[#This Row],[Italy cumulative]]))</f>
        <v>0</v>
      </c>
      <c r="L73" s="10">
        <f>Tabella8[[#This Row],[Italy sum of regions]]+CI</f>
        <v>2757.9323654779196</v>
      </c>
      <c r="M73" s="10">
        <f>MAX(Tabella8[[#This Row],[Italy sum of regions]]-CI,0)</f>
        <v>0</v>
      </c>
      <c r="N73" s="57">
        <f t="shared" si="0"/>
        <v>8</v>
      </c>
      <c r="O73" s="10">
        <f>Tabella8[[#This Row],[region data]]*NOT(ISBLANK(Tabella8[[#This Row],[region data]]))</f>
        <v>8</v>
      </c>
      <c r="P73" s="107">
        <f>MAX(Kr*(TANH(psi_r*(Tabella8[[#This Row],[Day]]-pr)-phi_r)+TANH(phi_r))/(1+TANH(phi_r)),0)</f>
        <v>0</v>
      </c>
      <c r="Q73" s="107">
        <f>Tabella8[[#This Row],[region fit]]/Kr</f>
        <v>0</v>
      </c>
      <c r="R73" s="10">
        <f>Tabella8[[#This Row],[region fit]]*NOT(ISBLANK(Tabella8[[#This Row],[region data]]))</f>
        <v>0</v>
      </c>
      <c r="S73" s="10">
        <f>Tabella8[[#This Row],[region fit]]+CIr</f>
        <v>169.91071626612398</v>
      </c>
      <c r="T73" s="10">
        <f>MAX(Tabella8[[#This Row],[region fit]]-CIr,0)</f>
        <v>0</v>
      </c>
      <c r="U73" s="10">
        <f>Tabella8[[#This Row],[Italy cumulative]]-Tabella8[[#This Row],[region data]]</f>
        <v>712</v>
      </c>
      <c r="V73" s="10">
        <f>Tabella8[[#This Row],[rest of Italy ]]*NOT(ISBLANK(Tabella8[[#This Row],[rest of Italy ]]))</f>
        <v>712</v>
      </c>
      <c r="W73" s="108">
        <f>MAX(Ko*(TANH(psi_o*(Tabella8[[#This Row],[Day]]-po)-phi_o)+TANH(phi_o))/(1+TANH(phi_o)),0)</f>
        <v>0</v>
      </c>
      <c r="X73" s="108">
        <f>Tabella8[[#This Row],[rest of Italy fit]]/Ko</f>
        <v>0</v>
      </c>
      <c r="Y73" s="22">
        <f>Tabella8[[#This Row],[rest of Italy fit]]*NOT(ISBLANK(Tabella8[[#This Row],[rest of Italy ]]))</f>
        <v>0</v>
      </c>
      <c r="Z73" s="10">
        <f>Tabella8[[#This Row],[rest of Italy fit]]+CIo</f>
        <v>2813.9722047844634</v>
      </c>
      <c r="AA73" s="10">
        <f>MAX(Tabella8[[#This Row],[rest of Italy fit]]-CIo,0)</f>
        <v>0</v>
      </c>
      <c r="AC73" s="55" t="s">
        <v>153</v>
      </c>
      <c r="AD73" s="87">
        <v>24</v>
      </c>
      <c r="AE73" s="87">
        <v>17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65"/>
      <c r="AY73" s="65"/>
      <c r="AZ73" s="79"/>
      <c r="BA73" s="32"/>
      <c r="BB73" s="32"/>
      <c r="BC73" s="79"/>
      <c r="BD73" s="68"/>
      <c r="BE73" s="68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'dpc-covid19-ita-andamento-naz'!J14+'dpc-covid19-ita-andamento-naz'!K14</f>
        <v>822</v>
      </c>
      <c r="E74" s="10">
        <f>Tabella8[[#This Row],[Italy cumulative]]*NOT(ISBLANK(Tabella8[[#This Row],[Italy cumulative]]))</f>
        <v>822</v>
      </c>
      <c r="F74" s="10">
        <f>Tabella8[[#This Row],[region fit]]+Tabella8[[#This Row],[rest of Italy fit]]</f>
        <v>0</v>
      </c>
      <c r="G74" s="72">
        <f>Tabella8[[#This Row],[Italy sum of regions]]/K_sum</f>
        <v>0</v>
      </c>
      <c r="H74" s="10">
        <f>Tabella8[[#This Row],[Italy sum of regions]]*NOT(ISBLANK(Tabella8[[#This Row],[Italy cumulative]]))</f>
        <v>0</v>
      </c>
      <c r="I74" s="132">
        <f>MAX(Kt*(TANH(psi_t*(Tabella8[[#This Row],[Day]]-pt)-phi_t)+TANH(phi_t))/(1+TANH(phi_t)),0)</f>
        <v>0</v>
      </c>
      <c r="J74" s="109">
        <f>Tabella8[[#This Row],[Italy fit]]/Kt</f>
        <v>0</v>
      </c>
      <c r="K74" s="10">
        <f>Tabella8[[#This Row],[Italy fit]]*NOT(ISBLANK(Tabella8[[#This Row],[Italy cumulative]]))</f>
        <v>0</v>
      </c>
      <c r="L74" s="10">
        <f>Tabella8[[#This Row],[Italy sum of regions]]+CI</f>
        <v>2757.9323654779196</v>
      </c>
      <c r="M74" s="10">
        <f>MAX(Tabella8[[#This Row],[Italy sum of regions]]-CI,0)</f>
        <v>0</v>
      </c>
      <c r="N74" s="57">
        <f t="shared" si="0"/>
        <v>9</v>
      </c>
      <c r="O74" s="10">
        <f>Tabella8[[#This Row],[region data]]*NOT(ISBLANK(Tabella8[[#This Row],[region data]]))</f>
        <v>9</v>
      </c>
      <c r="P74" s="107">
        <f>MAX(Kr*(TANH(psi_r*(Tabella8[[#This Row],[Day]]-pr)-phi_r)+TANH(phi_r))/(1+TANH(phi_r)),0)</f>
        <v>0</v>
      </c>
      <c r="Q74" s="107">
        <f>Tabella8[[#This Row],[region fit]]/Kr</f>
        <v>0</v>
      </c>
      <c r="R74" s="10">
        <f>Tabella8[[#This Row],[region fit]]*NOT(ISBLANK(Tabella8[[#This Row],[region data]]))</f>
        <v>0</v>
      </c>
      <c r="S74" s="10">
        <f>Tabella8[[#This Row],[region fit]]+CIr</f>
        <v>169.91071626612398</v>
      </c>
      <c r="T74" s="10">
        <f>MAX(Tabella8[[#This Row],[region fit]]-CIr,0)</f>
        <v>0</v>
      </c>
      <c r="U74" s="10">
        <f>Tabella8[[#This Row],[Italy cumulative]]-Tabella8[[#This Row],[region data]]</f>
        <v>813</v>
      </c>
      <c r="V74" s="10">
        <f>Tabella8[[#This Row],[rest of Italy ]]*NOT(ISBLANK(Tabella8[[#This Row],[rest of Italy ]]))</f>
        <v>813</v>
      </c>
      <c r="W74" s="108">
        <f>MAX(Ko*(TANH(psi_o*(Tabella8[[#This Row],[Day]]-po)-phi_o)+TANH(phi_o))/(1+TANH(phi_o)),0)</f>
        <v>0</v>
      </c>
      <c r="X74" s="108">
        <f>Tabella8[[#This Row],[rest of Italy fit]]/Ko</f>
        <v>0</v>
      </c>
      <c r="Y74" s="22">
        <f>Tabella8[[#This Row],[rest of Italy fit]]*NOT(ISBLANK(Tabella8[[#This Row],[rest of Italy ]]))</f>
        <v>0</v>
      </c>
      <c r="Z74" s="10">
        <f>Tabella8[[#This Row],[rest of Italy fit]]+CIo</f>
        <v>2813.9722047844634</v>
      </c>
      <c r="AA74" s="10">
        <f>MAX(Tabella8[[#This Row],[rest of Italy fit]]-CIo,0)</f>
        <v>0</v>
      </c>
      <c r="AC74" s="55" t="s">
        <v>154</v>
      </c>
      <c r="AD74" s="87">
        <v>52</v>
      </c>
      <c r="AE74" s="87">
        <v>27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65"/>
      <c r="AY74" s="65"/>
      <c r="AZ74" s="79"/>
      <c r="BA74" s="32"/>
      <c r="BB74" s="32"/>
      <c r="BC74" s="79"/>
      <c r="BD74" s="68"/>
      <c r="BE74" s="68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5">
        <v>43898</v>
      </c>
      <c r="C75" s="4">
        <v>68</v>
      </c>
      <c r="D75" s="10">
        <f>'dpc-covid19-ita-andamento-naz'!J15+'dpc-covid19-ita-andamento-naz'!K15</f>
        <v>988</v>
      </c>
      <c r="E75" s="10">
        <f>Tabella8[[#This Row],[Italy cumulative]]*NOT(ISBLANK(Tabella8[[#This Row],[Italy cumulative]]))</f>
        <v>988</v>
      </c>
      <c r="F75" s="10">
        <f>Tabella8[[#This Row],[region fit]]+Tabella8[[#This Row],[rest of Italy fit]]</f>
        <v>77.070441965511719</v>
      </c>
      <c r="G75" s="72">
        <f>Tabella8[[#This Row],[Italy sum of regions]]/K_sum</f>
        <v>3.2795932538491791E-4</v>
      </c>
      <c r="H75" s="10">
        <f>Tabella8[[#This Row],[Italy sum of regions]]*NOT(ISBLANK(Tabella8[[#This Row],[Italy cumulative]]))</f>
        <v>77.070441965511719</v>
      </c>
      <c r="I75" s="132">
        <f>MAX(Kt*(TANH(psi_t*(Tabella8[[#This Row],[Day]]-pt)-phi_t)+TANH(phi_t))/(1+TANH(phi_t)),0)</f>
        <v>0</v>
      </c>
      <c r="J75" s="109">
        <f>Tabella8[[#This Row],[Italy fit]]/Kt</f>
        <v>0</v>
      </c>
      <c r="K75" s="10">
        <f>Tabella8[[#This Row],[Italy fit]]*NOT(ISBLANK(Tabella8[[#This Row],[Italy cumulative]]))</f>
        <v>0</v>
      </c>
      <c r="L75" s="10">
        <f>Tabella8[[#This Row],[Italy sum of regions]]+CI</f>
        <v>2835.0028074434313</v>
      </c>
      <c r="M75" s="10">
        <f>MAX(Tabella8[[#This Row],[Italy sum of regions]]-CI,0)</f>
        <v>0</v>
      </c>
      <c r="N75" s="57">
        <f t="shared" si="0"/>
        <v>11</v>
      </c>
      <c r="O75" s="10">
        <f>Tabella8[[#This Row],[region data]]*NOT(ISBLANK(Tabella8[[#This Row],[region data]]))</f>
        <v>11</v>
      </c>
      <c r="P75" s="107">
        <f>MAX(Kr*(TANH(psi_r*(Tabella8[[#This Row],[Day]]-pr)-phi_r)+TANH(phi_r))/(1+TANH(phi_r)),0)</f>
        <v>0</v>
      </c>
      <c r="Q75" s="107">
        <f>Tabella8[[#This Row],[region fit]]/Kr</f>
        <v>0</v>
      </c>
      <c r="R75" s="10">
        <f>Tabella8[[#This Row],[region fit]]*NOT(ISBLANK(Tabella8[[#This Row],[region data]]))</f>
        <v>0</v>
      </c>
      <c r="S75" s="10">
        <f>Tabella8[[#This Row],[region fit]]+CIr</f>
        <v>169.91071626612398</v>
      </c>
      <c r="T75" s="10">
        <f>MAX(Tabella8[[#This Row],[region fit]]-CIr,0)</f>
        <v>0</v>
      </c>
      <c r="U75" s="10">
        <f>Tabella8[[#This Row],[Italy cumulative]]-Tabella8[[#This Row],[region data]]</f>
        <v>977</v>
      </c>
      <c r="V75" s="10">
        <f>Tabella8[[#This Row],[rest of Italy ]]*NOT(ISBLANK(Tabella8[[#This Row],[rest of Italy ]]))</f>
        <v>977</v>
      </c>
      <c r="W75" s="108">
        <f>MAX(Ko*(TANH(psi_o*(Tabella8[[#This Row],[Day]]-po)-phi_o)+TANH(phi_o))/(1+TANH(phi_o)),0)</f>
        <v>77.070441965511719</v>
      </c>
      <c r="X75" s="108">
        <f>Tabella8[[#This Row],[rest of Italy fit]]/Ko</f>
        <v>3.4740809525150461E-4</v>
      </c>
      <c r="Y75" s="22">
        <f>Tabella8[[#This Row],[rest of Italy fit]]*NOT(ISBLANK(Tabella8[[#This Row],[rest of Italy ]]))</f>
        <v>77.070441965511719</v>
      </c>
      <c r="Z75" s="10">
        <f>Tabella8[[#This Row],[rest of Italy fit]]+CIo</f>
        <v>2891.0426467499751</v>
      </c>
      <c r="AA75" s="10">
        <f>MAX(Tabella8[[#This Row],[rest of Italy fit]]-CIo,0)</f>
        <v>0</v>
      </c>
      <c r="AC75" s="55" t="s">
        <v>155</v>
      </c>
      <c r="AD75" s="87">
        <v>33</v>
      </c>
      <c r="AE75" s="87">
        <v>33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65"/>
      <c r="AY75" s="65"/>
      <c r="AZ75" s="79"/>
      <c r="BA75" s="32"/>
      <c r="BB75" s="32"/>
      <c r="BC75" s="79"/>
      <c r="BD75" s="68"/>
      <c r="BE75" s="68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'dpc-covid19-ita-andamento-naz'!J16+'dpc-covid19-ita-andamento-naz'!K16</f>
        <v>1187</v>
      </c>
      <c r="E76" s="10">
        <f>Tabella8[[#This Row],[Italy cumulative]]*NOT(ISBLANK(Tabella8[[#This Row],[Italy cumulative]]))</f>
        <v>1187</v>
      </c>
      <c r="F76" s="10">
        <f>Tabella8[[#This Row],[region fit]]+Tabella8[[#This Row],[rest of Italy fit]]</f>
        <v>750.02880466726651</v>
      </c>
      <c r="G76" s="72">
        <f>Tabella8[[#This Row],[Italy sum of regions]]/K_sum</f>
        <v>3.1916119140461955E-3</v>
      </c>
      <c r="H76" s="10">
        <f>Tabella8[[#This Row],[Italy sum of regions]]*NOT(ISBLANK(Tabella8[[#This Row],[Italy cumulative]]))</f>
        <v>750.02880466726651</v>
      </c>
      <c r="I76" s="132">
        <f>MAX(Kt*(TANH(psi_t*(Tabella8[[#This Row],[Day]]-pt)-phi_t)+TANH(phi_t))/(1+TANH(phi_t)),0)</f>
        <v>377.33955064412049</v>
      </c>
      <c r="J76" s="109">
        <f>Tabella8[[#This Row],[Italy fit]]/Kt</f>
        <v>1.6057002050906479E-3</v>
      </c>
      <c r="K76" s="10">
        <f>Tabella8[[#This Row],[Italy fit]]*NOT(ISBLANK(Tabella8[[#This Row],[Italy cumulative]]))</f>
        <v>377.33955064412049</v>
      </c>
      <c r="L76" s="10">
        <f>Tabella8[[#This Row],[Italy sum of regions]]+CI</f>
        <v>3507.9611701451859</v>
      </c>
      <c r="M76" s="10">
        <f>MAX(Tabella8[[#This Row],[Italy sum of regions]]-CI,0)</f>
        <v>0</v>
      </c>
      <c r="N76" s="57">
        <f t="shared" si="0"/>
        <v>12</v>
      </c>
      <c r="O76" s="10">
        <f>Tabella8[[#This Row],[region data]]*NOT(ISBLANK(Tabella8[[#This Row],[region data]]))</f>
        <v>12</v>
      </c>
      <c r="P76" s="107">
        <f>MAX(Kr*(TANH(psi_r*(Tabella8[[#This Row],[Day]]-pr)-phi_r)+TANH(phi_r))/(1+TANH(phi_r)),0)</f>
        <v>0</v>
      </c>
      <c r="Q76" s="107">
        <f>Tabella8[[#This Row],[region fit]]/Kr</f>
        <v>0</v>
      </c>
      <c r="R76" s="10">
        <f>Tabella8[[#This Row],[region fit]]*NOT(ISBLANK(Tabella8[[#This Row],[region data]]))</f>
        <v>0</v>
      </c>
      <c r="S76" s="10">
        <f>Tabella8[[#This Row],[region fit]]+CIr</f>
        <v>169.91071626612398</v>
      </c>
      <c r="T76" s="10">
        <f>MAX(Tabella8[[#This Row],[region fit]]-CIr,0)</f>
        <v>0</v>
      </c>
      <c r="U76" s="10">
        <f>Tabella8[[#This Row],[Italy cumulative]]-Tabella8[[#This Row],[region data]]</f>
        <v>1175</v>
      </c>
      <c r="V76" s="10">
        <f>Tabella8[[#This Row],[rest of Italy ]]*NOT(ISBLANK(Tabella8[[#This Row],[rest of Italy ]]))</f>
        <v>1175</v>
      </c>
      <c r="W76" s="108">
        <f>MAX(Ko*(TANH(psi_o*(Tabella8[[#This Row],[Day]]-po)-phi_o)+TANH(phi_o))/(1+TANH(phi_o)),0)</f>
        <v>750.02880466726651</v>
      </c>
      <c r="X76" s="108">
        <f>Tabella8[[#This Row],[rest of Italy fit]]/Ko</f>
        <v>3.3808821095098781E-3</v>
      </c>
      <c r="Y76" s="22">
        <f>Tabella8[[#This Row],[rest of Italy fit]]*NOT(ISBLANK(Tabella8[[#This Row],[rest of Italy ]]))</f>
        <v>750.02880466726651</v>
      </c>
      <c r="Z76" s="10">
        <f>Tabella8[[#This Row],[rest of Italy fit]]+CIo</f>
        <v>3564.0010094517302</v>
      </c>
      <c r="AA76" s="10">
        <f>MAX(Tabella8[[#This Row],[rest of Italy fit]]-CIo,0)</f>
        <v>0</v>
      </c>
      <c r="AC76" s="55" t="s">
        <v>156</v>
      </c>
      <c r="AD76" s="87">
        <v>42</v>
      </c>
      <c r="AE76" s="87">
        <v>50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65"/>
      <c r="AY76" s="65"/>
      <c r="AZ76" s="79"/>
      <c r="BA76" s="32"/>
      <c r="BB76" s="32"/>
      <c r="BC76" s="79"/>
      <c r="BD76" s="68"/>
      <c r="BE76" s="68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5">
        <v>43900</v>
      </c>
      <c r="C77" s="4">
        <v>70</v>
      </c>
      <c r="D77" s="10">
        <f>'dpc-covid19-ita-andamento-naz'!J17+'dpc-covid19-ita-andamento-naz'!K17</f>
        <v>1635</v>
      </c>
      <c r="E77" s="10">
        <f>Tabella8[[#This Row],[Italy cumulative]]*NOT(ISBLANK(Tabella8[[#This Row],[Italy cumulative]]))</f>
        <v>1635</v>
      </c>
      <c r="F77" s="10">
        <f>Tabella8[[#This Row],[region fit]]+Tabella8[[#This Row],[rest of Italy fit]]</f>
        <v>1454.0217877526813</v>
      </c>
      <c r="G77" s="72">
        <f>Tabella8[[#This Row],[Italy sum of regions]]/K_sum</f>
        <v>6.1873267162491676E-3</v>
      </c>
      <c r="H77" s="10">
        <f>Tabella8[[#This Row],[Italy sum of regions]]*NOT(ISBLANK(Tabella8[[#This Row],[Italy cumulative]]))</f>
        <v>1454.0217877526813</v>
      </c>
      <c r="I77" s="132">
        <f>MAX(Kt*(TANH(psi_t*(Tabella8[[#This Row],[Day]]-pt)-phi_t)+TANH(phi_t))/(1+TANH(phi_t)),0)</f>
        <v>1128.395261548379</v>
      </c>
      <c r="J77" s="109">
        <f>Tabella8[[#This Row],[Italy fit]]/Kt</f>
        <v>4.8016819328869339E-3</v>
      </c>
      <c r="K77" s="10">
        <f>Tabella8[[#This Row],[Italy fit]]*NOT(ISBLANK(Tabella8[[#This Row],[Italy cumulative]]))</f>
        <v>1128.395261548379</v>
      </c>
      <c r="L77" s="10">
        <f>Tabella8[[#This Row],[Italy sum of regions]]+CI</f>
        <v>4211.9541532306012</v>
      </c>
      <c r="M77" s="10">
        <f>MAX(Tabella8[[#This Row],[Italy sum of regions]]-CI,0)</f>
        <v>0</v>
      </c>
      <c r="N77" s="57">
        <f t="shared" si="0"/>
        <v>13</v>
      </c>
      <c r="O77" s="10">
        <f>Tabella8[[#This Row],[region data]]*NOT(ISBLANK(Tabella8[[#This Row],[region data]]))</f>
        <v>13</v>
      </c>
      <c r="P77" s="107">
        <f>MAX(Kr*(TANH(psi_r*(Tabella8[[#This Row],[Day]]-pr)-phi_r)+TANH(phi_r))/(1+TANH(phi_r)),0)</f>
        <v>0</v>
      </c>
      <c r="Q77" s="107">
        <f>Tabella8[[#This Row],[region fit]]/Kr</f>
        <v>0</v>
      </c>
      <c r="R77" s="10">
        <f>Tabella8[[#This Row],[region fit]]*NOT(ISBLANK(Tabella8[[#This Row],[region data]]))</f>
        <v>0</v>
      </c>
      <c r="S77" s="10">
        <f>Tabella8[[#This Row],[region fit]]+CIr</f>
        <v>169.91071626612398</v>
      </c>
      <c r="T77" s="10">
        <f>MAX(Tabella8[[#This Row],[region fit]]-CIr,0)</f>
        <v>0</v>
      </c>
      <c r="U77" s="10">
        <f>Tabella8[[#This Row],[Italy cumulative]]-Tabella8[[#This Row],[region data]]</f>
        <v>1622</v>
      </c>
      <c r="V77" s="10">
        <f>Tabella8[[#This Row],[rest of Italy ]]*NOT(ISBLANK(Tabella8[[#This Row],[rest of Italy ]]))</f>
        <v>1622</v>
      </c>
      <c r="W77" s="108">
        <f>MAX(Ko*(TANH(psi_o*(Tabella8[[#This Row],[Day]]-po)-phi_o)+TANH(phi_o))/(1+TANH(phi_o)),0)</f>
        <v>1454.0217877526813</v>
      </c>
      <c r="X77" s="108">
        <f>Tabella8[[#This Row],[rest of Italy fit]]/Ko</f>
        <v>6.5542499414158201E-3</v>
      </c>
      <c r="Y77" s="22">
        <f>Tabella8[[#This Row],[rest of Italy fit]]*NOT(ISBLANK(Tabella8[[#This Row],[rest of Italy ]]))</f>
        <v>1454.0217877526813</v>
      </c>
      <c r="Z77" s="10">
        <f>Tabella8[[#This Row],[rest of Italy fit]]+CIo</f>
        <v>4267.9939925371445</v>
      </c>
      <c r="AA77" s="10">
        <f>MAX(Tabella8[[#This Row],[rest of Italy fit]]-CIo,0)</f>
        <v>0</v>
      </c>
      <c r="AC77" s="55" t="s">
        <v>157</v>
      </c>
      <c r="AD77" s="87">
        <v>57</v>
      </c>
      <c r="AE77" s="87">
        <v>60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65"/>
      <c r="AY77" s="65"/>
      <c r="AZ77" s="79"/>
      <c r="BA77" s="32"/>
      <c r="BB77" s="32"/>
      <c r="BC77" s="79"/>
      <c r="BD77" s="68"/>
      <c r="BE77" s="68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'dpc-covid19-ita-andamento-naz'!J18+'dpc-covid19-ita-andamento-naz'!K18</f>
        <v>1872</v>
      </c>
      <c r="E78" s="10">
        <f>Tabella8[[#This Row],[Italy cumulative]]*NOT(ISBLANK(Tabella8[[#This Row],[Italy cumulative]]))</f>
        <v>1872</v>
      </c>
      <c r="F78" s="10">
        <f>Tabella8[[#This Row],[region fit]]+Tabella8[[#This Row],[rest of Italy fit]]</f>
        <v>2190.2545183341754</v>
      </c>
      <c r="G78" s="72">
        <f>Tabella8[[#This Row],[Italy sum of regions]]/K_sum</f>
        <v>9.3202319324389403E-3</v>
      </c>
      <c r="H78" s="10">
        <f>Tabella8[[#This Row],[Italy sum of regions]]*NOT(ISBLANK(Tabella8[[#This Row],[Italy cumulative]]))</f>
        <v>2190.2545183341754</v>
      </c>
      <c r="I78" s="132">
        <f>MAX(Kt*(TANH(psi_t*(Tabella8[[#This Row],[Day]]-pt)-phi_t)+TANH(phi_t))/(1+TANH(phi_t)),0)</f>
        <v>1913.1968345634587</v>
      </c>
      <c r="J78" s="109">
        <f>Tabella8[[#This Row],[Italy fit]]/Kt</f>
        <v>8.1412630729892198E-3</v>
      </c>
      <c r="K78" s="10">
        <f>Tabella8[[#This Row],[Italy fit]]*NOT(ISBLANK(Tabella8[[#This Row],[Italy cumulative]]))</f>
        <v>1913.1968345634587</v>
      </c>
      <c r="L78" s="10">
        <f>Tabella8[[#This Row],[Italy sum of regions]]+CI</f>
        <v>4948.1868838120954</v>
      </c>
      <c r="M78" s="10">
        <f>MAX(Tabella8[[#This Row],[Italy sum of regions]]-CI,0)</f>
        <v>0</v>
      </c>
      <c r="N78" s="57">
        <f t="shared" si="0"/>
        <v>13</v>
      </c>
      <c r="O78" s="10">
        <f>Tabella8[[#This Row],[region data]]*NOT(ISBLANK(Tabella8[[#This Row],[region data]]))</f>
        <v>13</v>
      </c>
      <c r="P78" s="107">
        <f>MAX(Kr*(TANH(psi_r*(Tabella8[[#This Row],[Day]]-pr)-phi_r)+TANH(phi_r))/(1+TANH(phi_r)),0)</f>
        <v>0</v>
      </c>
      <c r="Q78" s="107">
        <f>Tabella8[[#This Row],[region fit]]/Kr</f>
        <v>0</v>
      </c>
      <c r="R78" s="10">
        <f>Tabella8[[#This Row],[region fit]]*NOT(ISBLANK(Tabella8[[#This Row],[region data]]))</f>
        <v>0</v>
      </c>
      <c r="S78" s="10">
        <f>Tabella8[[#This Row],[region fit]]+CIr</f>
        <v>169.91071626612398</v>
      </c>
      <c r="T78" s="10">
        <f>MAX(Tabella8[[#This Row],[region fit]]-CIr,0)</f>
        <v>0</v>
      </c>
      <c r="U78" s="10">
        <f>Tabella8[[#This Row],[Italy cumulative]]-Tabella8[[#This Row],[region data]]</f>
        <v>1859</v>
      </c>
      <c r="V78" s="10">
        <f>Tabella8[[#This Row],[rest of Italy ]]*NOT(ISBLANK(Tabella8[[#This Row],[rest of Italy ]]))</f>
        <v>1859</v>
      </c>
      <c r="W78" s="108">
        <f>MAX(Ko*(TANH(psi_o*(Tabella8[[#This Row],[Day]]-po)-phi_o)+TANH(phi_o))/(1+TANH(phi_o)),0)</f>
        <v>2190.2545183341754</v>
      </c>
      <c r="X78" s="108">
        <f>Tabella8[[#This Row],[rest of Italy fit]]/Ko</f>
        <v>9.8729439059267159E-3</v>
      </c>
      <c r="Y78" s="22">
        <f>Tabella8[[#This Row],[rest of Italy fit]]*NOT(ISBLANK(Tabella8[[#This Row],[rest of Italy ]]))</f>
        <v>2190.2545183341754</v>
      </c>
      <c r="Z78" s="10">
        <f>Tabella8[[#This Row],[rest of Italy fit]]+CIo</f>
        <v>5004.2267231186388</v>
      </c>
      <c r="AA78" s="10">
        <f>MAX(Tabella8[[#This Row],[rest of Italy fit]]-CIo,0)</f>
        <v>0</v>
      </c>
      <c r="AC78" s="55" t="s">
        <v>158</v>
      </c>
      <c r="AD78" s="87">
        <v>70</v>
      </c>
      <c r="AE78" s="87">
        <v>73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65"/>
      <c r="AY78" s="65"/>
      <c r="AZ78" s="79"/>
      <c r="BA78" s="32"/>
      <c r="BB78" s="32"/>
      <c r="BC78" s="79"/>
      <c r="BD78" s="68"/>
      <c r="BE78" s="6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5">
        <v>43902</v>
      </c>
      <c r="C79" s="4">
        <v>72</v>
      </c>
      <c r="D79" s="10">
        <f>'dpc-covid19-ita-andamento-naz'!J19+'dpc-covid19-ita-andamento-naz'!K19</f>
        <v>2274</v>
      </c>
      <c r="E79" s="10">
        <f>Tabella8[[#This Row],[Italy cumulative]]*NOT(ISBLANK(Tabella8[[#This Row],[Italy cumulative]]))</f>
        <v>2274</v>
      </c>
      <c r="F79" s="10">
        <f>Tabella8[[#This Row],[region fit]]+Tabella8[[#This Row],[rest of Italy fit]]</f>
        <v>2959.9562438705416</v>
      </c>
      <c r="G79" s="72">
        <f>Tabella8[[#This Row],[Italy sum of regions]]/K_sum</f>
        <v>1.2595558402831757E-2</v>
      </c>
      <c r="H79" s="10">
        <f>Tabella8[[#This Row],[Italy sum of regions]]*NOT(ISBLANK(Tabella8[[#This Row],[Italy cumulative]]))</f>
        <v>2959.9562438705416</v>
      </c>
      <c r="I79" s="132">
        <f>MAX(Kt*(TANH(psi_t*(Tabella8[[#This Row],[Day]]-pt)-phi_t)+TANH(phi_t))/(1+TANH(phi_t)),0)</f>
        <v>2733.0005089265746</v>
      </c>
      <c r="J79" s="109">
        <f>Tabella8[[#This Row],[Italy fit]]/Kt</f>
        <v>1.1629789324244598E-2</v>
      </c>
      <c r="K79" s="10">
        <f>Tabella8[[#This Row],[Italy fit]]*NOT(ISBLANK(Tabella8[[#This Row],[Italy cumulative]]))</f>
        <v>2733.0005089265746</v>
      </c>
      <c r="L79" s="10">
        <f>Tabella8[[#This Row],[Italy sum of regions]]+CI</f>
        <v>5717.8886093484616</v>
      </c>
      <c r="M79" s="10">
        <f>MAX(Tabella8[[#This Row],[Italy sum of regions]]-CI,0)</f>
        <v>202.02387839262201</v>
      </c>
      <c r="N79" s="57">
        <f t="shared" si="0"/>
        <v>31</v>
      </c>
      <c r="O79" s="10">
        <f>Tabella8[[#This Row],[region data]]*NOT(ISBLANK(Tabella8[[#This Row],[region data]]))</f>
        <v>31</v>
      </c>
      <c r="P79" s="107">
        <f>MAX(Kr*(TANH(psi_r*(Tabella8[[#This Row],[Day]]-pr)-phi_r)+TANH(phi_r))/(1+TANH(phi_r)),0)</f>
        <v>0</v>
      </c>
      <c r="Q79" s="107">
        <f>Tabella8[[#This Row],[region fit]]/Kr</f>
        <v>0</v>
      </c>
      <c r="R79" s="10">
        <f>Tabella8[[#This Row],[region fit]]*NOT(ISBLANK(Tabella8[[#This Row],[region data]]))</f>
        <v>0</v>
      </c>
      <c r="S79" s="10">
        <f>Tabella8[[#This Row],[region fit]]+CIr</f>
        <v>169.91071626612398</v>
      </c>
      <c r="T79" s="10">
        <f>MAX(Tabella8[[#This Row],[region fit]]-CIr,0)</f>
        <v>0</v>
      </c>
      <c r="U79" s="10">
        <f>Tabella8[[#This Row],[Italy cumulative]]-Tabella8[[#This Row],[region data]]</f>
        <v>2243</v>
      </c>
      <c r="V79" s="10">
        <f>Tabella8[[#This Row],[rest of Italy ]]*NOT(ISBLANK(Tabella8[[#This Row],[rest of Italy ]]))</f>
        <v>2243</v>
      </c>
      <c r="W79" s="108">
        <f>MAX(Ko*(TANH(psi_o*(Tabella8[[#This Row],[Day]]-po)-phi_o)+TANH(phi_o))/(1+TANH(phi_o)),0)</f>
        <v>2959.9562438705416</v>
      </c>
      <c r="X79" s="108">
        <f>Tabella8[[#This Row],[rest of Italy fit]]/Ko</f>
        <v>1.3342505044554216E-2</v>
      </c>
      <c r="Y79" s="22">
        <f>Tabella8[[#This Row],[rest of Italy fit]]*NOT(ISBLANK(Tabella8[[#This Row],[rest of Italy ]]))</f>
        <v>2959.9562438705416</v>
      </c>
      <c r="Z79" s="10">
        <f>Tabella8[[#This Row],[rest of Italy fit]]+CIo</f>
        <v>5773.928448655005</v>
      </c>
      <c r="AA79" s="10">
        <f>MAX(Tabella8[[#This Row],[rest of Italy fit]]-CIo,0)</f>
        <v>145.98403908607816</v>
      </c>
      <c r="AC79" s="55" t="s">
        <v>159</v>
      </c>
      <c r="AD79" s="87">
        <v>85</v>
      </c>
      <c r="AE79" s="87">
        <v>91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65"/>
      <c r="AY79" s="65"/>
      <c r="AZ79" s="79"/>
      <c r="BA79" s="32"/>
      <c r="BB79" s="32"/>
      <c r="BC79" s="79"/>
      <c r="BD79" s="68"/>
      <c r="BE79" s="68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'dpc-covid19-ita-andamento-naz'!J20+'dpc-covid19-ita-andamento-naz'!K20</f>
        <v>2705</v>
      </c>
      <c r="E80" s="10">
        <f>Tabella8[[#This Row],[Italy cumulative]]*NOT(ISBLANK(Tabella8[[#This Row],[Italy cumulative]]))</f>
        <v>2705</v>
      </c>
      <c r="F80" s="10">
        <f>Tabella8[[#This Row],[region fit]]+Tabella8[[#This Row],[rest of Italy fit]]</f>
        <v>3764.3783741574816</v>
      </c>
      <c r="G80" s="72">
        <f>Tabella8[[#This Row],[Italy sum of regions]]/K_sum</f>
        <v>1.6018631275459883E-2</v>
      </c>
      <c r="H80" s="10">
        <f>Tabella8[[#This Row],[Italy sum of regions]]*NOT(ISBLANK(Tabella8[[#This Row],[Italy cumulative]]))</f>
        <v>3764.3783741574816</v>
      </c>
      <c r="I80" s="132">
        <f>MAX(Kt*(TANH(psi_t*(Tabella8[[#This Row],[Day]]-pt)-phi_t)+TANH(phi_t))/(1+TANH(phi_t)),0)</f>
        <v>3589.083756533872</v>
      </c>
      <c r="J80" s="109">
        <f>Tabella8[[#This Row],[Italy fit]]/Kt</f>
        <v>1.5272696737239695E-2</v>
      </c>
      <c r="K80" s="10">
        <f>Tabella8[[#This Row],[Italy fit]]*NOT(ISBLANK(Tabella8[[#This Row],[Italy cumulative]]))</f>
        <v>3589.083756533872</v>
      </c>
      <c r="L80" s="10">
        <f>Tabella8[[#This Row],[Italy sum of regions]]+CI</f>
        <v>6522.3107396354008</v>
      </c>
      <c r="M80" s="10">
        <f>MAX(Tabella8[[#This Row],[Italy sum of regions]]-CI,0)</f>
        <v>1006.4460086795621</v>
      </c>
      <c r="N80" s="57">
        <f t="shared" si="0"/>
        <v>41</v>
      </c>
      <c r="O80" s="10">
        <f>Tabella8[[#This Row],[region data]]*NOT(ISBLANK(Tabella8[[#This Row],[region data]]))</f>
        <v>41</v>
      </c>
      <c r="P80" s="107">
        <f>MAX(Kr*(TANH(psi_r*(Tabella8[[#This Row],[Day]]-pr)-phi_r)+TANH(phi_r))/(1+TANH(phi_r)),0)</f>
        <v>0</v>
      </c>
      <c r="Q80" s="107">
        <f>Tabella8[[#This Row],[region fit]]/Kr</f>
        <v>0</v>
      </c>
      <c r="R80" s="10">
        <f>Tabella8[[#This Row],[region fit]]*NOT(ISBLANK(Tabella8[[#This Row],[region data]]))</f>
        <v>0</v>
      </c>
      <c r="S80" s="10">
        <f>Tabella8[[#This Row],[region fit]]+CIr</f>
        <v>169.91071626612398</v>
      </c>
      <c r="T80" s="10">
        <f>MAX(Tabella8[[#This Row],[region fit]]-CIr,0)</f>
        <v>0</v>
      </c>
      <c r="U80" s="10">
        <f>Tabella8[[#This Row],[Italy cumulative]]-Tabella8[[#This Row],[region data]]</f>
        <v>2664</v>
      </c>
      <c r="V80" s="10">
        <f>Tabella8[[#This Row],[rest of Italy ]]*NOT(ISBLANK(Tabella8[[#This Row],[rest of Italy ]]))</f>
        <v>2664</v>
      </c>
      <c r="W80" s="108">
        <f>MAX(Ko*(TANH(psi_o*(Tabella8[[#This Row],[Day]]-po)-phi_o)+TANH(phi_o))/(1+TANH(phi_o)),0)</f>
        <v>3764.3783741574816</v>
      </c>
      <c r="X80" s="108">
        <f>Tabella8[[#This Row],[rest of Italy fit]]/Ko</f>
        <v>1.6968574299304311E-2</v>
      </c>
      <c r="Y80" s="22">
        <f>Tabella8[[#This Row],[rest of Italy fit]]*NOT(ISBLANK(Tabella8[[#This Row],[rest of Italy ]]))</f>
        <v>3764.3783741574816</v>
      </c>
      <c r="Z80" s="10">
        <f>Tabella8[[#This Row],[rest of Italy fit]]+CIo</f>
        <v>6578.3505789419451</v>
      </c>
      <c r="AA80" s="10">
        <f>MAX(Tabella8[[#This Row],[rest of Italy fit]]-CIo,0)</f>
        <v>950.4061693730182</v>
      </c>
      <c r="AC80" s="55" t="s">
        <v>160</v>
      </c>
      <c r="AD80" s="87">
        <v>101</v>
      </c>
      <c r="AE80" s="87">
        <v>119</v>
      </c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65"/>
      <c r="AY80" s="65"/>
      <c r="AZ80" s="79"/>
      <c r="BA80" s="32"/>
      <c r="BB80" s="32"/>
      <c r="BC80" s="79"/>
      <c r="BD80" s="68"/>
      <c r="BE80" s="68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'dpc-covid19-ita-andamento-naz'!J21+'dpc-covid19-ita-andamento-naz'!K21</f>
        <v>3407</v>
      </c>
      <c r="E81" s="10">
        <f>Tabella8[[#This Row],[Italy cumulative]]*NOT(ISBLANK(Tabella8[[#This Row],[Italy cumulative]]))</f>
        <v>3407</v>
      </c>
      <c r="F81" s="10">
        <f>Tabella8[[#This Row],[region fit]]+Tabella8[[#This Row],[rest of Italy fit]]</f>
        <v>4604.7922121401743</v>
      </c>
      <c r="G81" s="72">
        <f>Tabella8[[#This Row],[Italy sum of regions]]/K_sum</f>
        <v>1.9594860350054935E-2</v>
      </c>
      <c r="H81" s="10">
        <f>Tabella8[[#This Row],[Italy sum of regions]]*NOT(ISBLANK(Tabella8[[#This Row],[Italy cumulative]]))</f>
        <v>4604.7922121401743</v>
      </c>
      <c r="I81" s="132">
        <f>MAX(Kt*(TANH(psi_t*(Tabella8[[#This Row],[Day]]-pt)-phi_t)+TANH(phi_t))/(1+TANH(phi_t)),0)</f>
        <v>4482.7429220722188</v>
      </c>
      <c r="J81" s="109">
        <f>Tabella8[[#This Row],[Italy fit]]/Kt</f>
        <v>1.9075501672308377E-2</v>
      </c>
      <c r="K81" s="10">
        <f>Tabella8[[#This Row],[Italy fit]]*NOT(ISBLANK(Tabella8[[#This Row],[Italy cumulative]]))</f>
        <v>4482.7429220722188</v>
      </c>
      <c r="L81" s="10">
        <f>Tabella8[[#This Row],[Italy sum of regions]]+CI</f>
        <v>7362.7245776180935</v>
      </c>
      <c r="M81" s="10">
        <f>MAX(Tabella8[[#This Row],[Italy sum of regions]]-CI,0)</f>
        <v>1846.8598466622548</v>
      </c>
      <c r="N81" s="57">
        <f t="shared" si="0"/>
        <v>79</v>
      </c>
      <c r="O81" s="10">
        <f>Tabella8[[#This Row],[region data]]*NOT(ISBLANK(Tabella8[[#This Row],[region data]]))</f>
        <v>79</v>
      </c>
      <c r="P81" s="107">
        <f>MAX(Kr*(TANH(psi_r*(Tabella8[[#This Row],[Day]]-pr)-phi_r)+TANH(phi_r))/(1+TANH(phi_r)),0)</f>
        <v>0</v>
      </c>
      <c r="Q81" s="107">
        <f>Tabella8[[#This Row],[region fit]]/Kr</f>
        <v>0</v>
      </c>
      <c r="R81" s="10">
        <f>Tabella8[[#This Row],[region fit]]*NOT(ISBLANK(Tabella8[[#This Row],[region data]]))</f>
        <v>0</v>
      </c>
      <c r="S81" s="10">
        <f>Tabella8[[#This Row],[region fit]]+CIr</f>
        <v>169.91071626612398</v>
      </c>
      <c r="T81" s="10">
        <f>MAX(Tabella8[[#This Row],[region fit]]-CIr,0)</f>
        <v>0</v>
      </c>
      <c r="U81" s="10">
        <f>Tabella8[[#This Row],[Italy cumulative]]-Tabella8[[#This Row],[region data]]</f>
        <v>3328</v>
      </c>
      <c r="V81" s="10">
        <f>Tabella8[[#This Row],[rest of Italy ]]*NOT(ISBLANK(Tabella8[[#This Row],[rest of Italy ]]))</f>
        <v>3328</v>
      </c>
      <c r="W81" s="108">
        <f>MAX(Ko*(TANH(psi_o*(Tabella8[[#This Row],[Day]]-po)-phi_o)+TANH(phi_o))/(1+TANH(phi_o)),0)</f>
        <v>4604.7922121401743</v>
      </c>
      <c r="X81" s="108">
        <f>Tabella8[[#This Row],[rest of Italy fit]]/Ko</f>
        <v>2.0756882283929936E-2</v>
      </c>
      <c r="Y81" s="22">
        <f>Tabella8[[#This Row],[rest of Italy fit]]*NOT(ISBLANK(Tabella8[[#This Row],[rest of Italy ]]))</f>
        <v>4604.7922121401743</v>
      </c>
      <c r="Z81" s="10">
        <f>Tabella8[[#This Row],[rest of Italy fit]]+CIo</f>
        <v>7418.7644169246378</v>
      </c>
      <c r="AA81" s="10">
        <f>MAX(Tabella8[[#This Row],[rest of Italy fit]]-CIo,0)</f>
        <v>1790.8200073557109</v>
      </c>
      <c r="AC81" s="55" t="s">
        <v>161</v>
      </c>
      <c r="AD81" s="87">
        <v>125</v>
      </c>
      <c r="AE81" s="87">
        <v>152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65"/>
      <c r="AY81" s="65"/>
      <c r="AZ81" s="79"/>
      <c r="BA81" s="32"/>
      <c r="BB81" s="32"/>
      <c r="BC81" s="79"/>
      <c r="BD81" s="68"/>
      <c r="BE81" s="68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'dpc-covid19-ita-andamento-naz'!J22+'dpc-covid19-ita-andamento-naz'!K22</f>
        <v>4144</v>
      </c>
      <c r="E82" s="10">
        <f>Tabella8[[#This Row],[Italy cumulative]]*NOT(ISBLANK(Tabella8[[#This Row],[Italy cumulative]]))</f>
        <v>4144</v>
      </c>
      <c r="F82" s="10">
        <f>Tabella8[[#This Row],[region fit]]+Tabella8[[#This Row],[rest of Italy fit]]</f>
        <v>5482.4863523891363</v>
      </c>
      <c r="G82" s="72">
        <f>Tabella8[[#This Row],[Italy sum of regions]]/K_sum</f>
        <v>2.3329729007732468E-2</v>
      </c>
      <c r="H82" s="10">
        <f>Tabella8[[#This Row],[Italy sum of regions]]*NOT(ISBLANK(Tabella8[[#This Row],[Italy cumulative]]))</f>
        <v>5482.4863523891363</v>
      </c>
      <c r="I82" s="132">
        <f>MAX(Kt*(TANH(psi_t*(Tabella8[[#This Row],[Day]]-pt)-phi_t)+TANH(phi_t))/(1+TANH(phi_t)),0)</f>
        <v>5415.2905334872894</v>
      </c>
      <c r="J82" s="109">
        <f>Tabella8[[#This Row],[Italy fit]]/Kt</f>
        <v>2.3043789354715159E-2</v>
      </c>
      <c r="K82" s="10">
        <f>Tabella8[[#This Row],[Italy fit]]*NOT(ISBLANK(Tabella8[[#This Row],[Italy cumulative]]))</f>
        <v>5415.2905334872894</v>
      </c>
      <c r="L82" s="10">
        <f>Tabella8[[#This Row],[Italy sum of regions]]+CI</f>
        <v>8240.4187178670563</v>
      </c>
      <c r="M82" s="10">
        <f>MAX(Tabella8[[#This Row],[Italy sum of regions]]-CI,0)</f>
        <v>2724.5539869112167</v>
      </c>
      <c r="N82" s="57">
        <f t="shared" si="0"/>
        <v>66</v>
      </c>
      <c r="O82" s="10">
        <f>Tabella8[[#This Row],[region data]]*NOT(ISBLANK(Tabella8[[#This Row],[region data]]))</f>
        <v>66</v>
      </c>
      <c r="P82" s="107">
        <f>MAX(Kr*(TANH(psi_r*(Tabella8[[#This Row],[Day]]-pr)-phi_r)+TANH(phi_r))/(1+TANH(phi_r)),0)</f>
        <v>0</v>
      </c>
      <c r="Q82" s="107">
        <f>Tabella8[[#This Row],[region fit]]/Kr</f>
        <v>0</v>
      </c>
      <c r="R82" s="10">
        <f>Tabella8[[#This Row],[region fit]]*NOT(ISBLANK(Tabella8[[#This Row],[region data]]))</f>
        <v>0</v>
      </c>
      <c r="S82" s="10">
        <f>Tabella8[[#This Row],[region fit]]+CIr</f>
        <v>169.91071626612398</v>
      </c>
      <c r="T82" s="10">
        <f>MAX(Tabella8[[#This Row],[region fit]]-CIr,0)</f>
        <v>0</v>
      </c>
      <c r="U82" s="10">
        <f>Tabella8[[#This Row],[Italy cumulative]]-Tabella8[[#This Row],[region data]]</f>
        <v>4078</v>
      </c>
      <c r="V82" s="10">
        <f>Tabella8[[#This Row],[rest of Italy ]]*NOT(ISBLANK(Tabella8[[#This Row],[rest of Italy ]]))</f>
        <v>4078</v>
      </c>
      <c r="W82" s="108">
        <f>MAX(Ko*(TANH(psi_o*(Tabella8[[#This Row],[Day]]-po)-phi_o)+TANH(phi_o))/(1+TANH(phi_o)),0)</f>
        <v>5482.4863523891363</v>
      </c>
      <c r="X82" s="108">
        <f>Tabella8[[#This Row],[rest of Italy fit]]/Ko</f>
        <v>2.471323755711945E-2</v>
      </c>
      <c r="Y82" s="22">
        <f>Tabella8[[#This Row],[rest of Italy fit]]*NOT(ISBLANK(Tabella8[[#This Row],[rest of Italy ]]))</f>
        <v>5482.4863523891363</v>
      </c>
      <c r="Z82" s="10">
        <f>Tabella8[[#This Row],[rest of Italy fit]]+CIo</f>
        <v>8296.4585571735988</v>
      </c>
      <c r="AA82" s="10">
        <f>MAX(Tabella8[[#This Row],[rest of Italy fit]]-CIo,0)</f>
        <v>2668.5141476046729</v>
      </c>
      <c r="AC82" s="55" t="s">
        <v>162</v>
      </c>
      <c r="AD82" s="87">
        <v>143</v>
      </c>
      <c r="AE82" s="87">
        <v>171</v>
      </c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65"/>
      <c r="AY82" s="65"/>
      <c r="AZ82" s="79"/>
      <c r="BA82" s="32"/>
      <c r="BB82" s="32"/>
      <c r="BC82" s="79"/>
      <c r="BD82" s="68"/>
      <c r="BE82" s="68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'dpc-covid19-ita-andamento-naz'!J23+'dpc-covid19-ita-andamento-naz'!K23</f>
        <v>4907</v>
      </c>
      <c r="E83" s="10">
        <f>Tabella8[[#This Row],[Italy cumulative]]*NOT(ISBLANK(Tabella8[[#This Row],[Italy cumulative]]))</f>
        <v>4907</v>
      </c>
      <c r="F83" s="10">
        <f>Tabella8[[#This Row],[region fit]]+Tabella8[[#This Row],[rest of Italy fit]]</f>
        <v>6398.7637263480547</v>
      </c>
      <c r="G83" s="72">
        <f>Tabella8[[#This Row],[Italy sum of regions]]/K_sum</f>
        <v>2.7228781637578584E-2</v>
      </c>
      <c r="H83" s="10">
        <f>Tabella8[[#This Row],[Italy sum of regions]]*NOT(ISBLANK(Tabella8[[#This Row],[Italy cumulative]]))</f>
        <v>6398.7637263480547</v>
      </c>
      <c r="I83" s="132">
        <f>MAX(Kt*(TANH(psi_t*(Tabella8[[#This Row],[Day]]-pt)-phi_t)+TANH(phi_t))/(1+TANH(phi_t)),0)</f>
        <v>6388.0522630551823</v>
      </c>
      <c r="J83" s="109">
        <f>Tabella8[[#This Row],[Italy fit]]/Kt</f>
        <v>2.7183200943045136E-2</v>
      </c>
      <c r="K83" s="10">
        <f>Tabella8[[#This Row],[Italy fit]]*NOT(ISBLANK(Tabella8[[#This Row],[Italy cumulative]]))</f>
        <v>6388.0522630551823</v>
      </c>
      <c r="L83" s="10">
        <f>Tabella8[[#This Row],[Italy sum of regions]]+CI</f>
        <v>9156.6960918259738</v>
      </c>
      <c r="M83" s="10">
        <f>MAX(Tabella8[[#This Row],[Italy sum of regions]]-CI,0)</f>
        <v>3640.8313608701351</v>
      </c>
      <c r="N83" s="57">
        <f t="shared" si="0"/>
        <v>92</v>
      </c>
      <c r="O83" s="10">
        <f>Tabella8[[#This Row],[region data]]*NOT(ISBLANK(Tabella8[[#This Row],[region data]]))</f>
        <v>92</v>
      </c>
      <c r="P83" s="107">
        <f>MAX(Kr*(TANH(psi_r*(Tabella8[[#This Row],[Day]]-pr)-phi_r)+TANH(phi_r))/(1+TANH(phi_r)),0)</f>
        <v>0</v>
      </c>
      <c r="Q83" s="107">
        <f>Tabella8[[#This Row],[region fit]]/Kr</f>
        <v>0</v>
      </c>
      <c r="R83" s="10">
        <f>Tabella8[[#This Row],[region fit]]*NOT(ISBLANK(Tabella8[[#This Row],[region data]]))</f>
        <v>0</v>
      </c>
      <c r="S83" s="10">
        <f>Tabella8[[#This Row],[region fit]]+CIr</f>
        <v>169.91071626612398</v>
      </c>
      <c r="T83" s="10">
        <f>MAX(Tabella8[[#This Row],[region fit]]-CIr,0)</f>
        <v>0</v>
      </c>
      <c r="U83" s="10">
        <f>Tabella8[[#This Row],[Italy cumulative]]-Tabella8[[#This Row],[region data]]</f>
        <v>4815</v>
      </c>
      <c r="V83" s="10">
        <f>Tabella8[[#This Row],[rest of Italy ]]*NOT(ISBLANK(Tabella8[[#This Row],[rest of Italy ]]))</f>
        <v>4815</v>
      </c>
      <c r="W83" s="108">
        <f>MAX(Ko*(TANH(psi_o*(Tabella8[[#This Row],[Day]]-po)-phi_o)+TANH(phi_o))/(1+TANH(phi_o)),0)</f>
        <v>6398.7637263480547</v>
      </c>
      <c r="X83" s="108">
        <f>Tabella8[[#This Row],[rest of Italy fit]]/Ko</f>
        <v>2.884351330344986E-2</v>
      </c>
      <c r="Y83" s="22">
        <f>Tabella8[[#This Row],[rest of Italy fit]]*NOT(ISBLANK(Tabella8[[#This Row],[rest of Italy ]]))</f>
        <v>6398.7637263480547</v>
      </c>
      <c r="Z83" s="10">
        <f>Tabella8[[#This Row],[rest of Italy fit]]+CIo</f>
        <v>9212.7359311325181</v>
      </c>
      <c r="AA83" s="10">
        <f>MAX(Tabella8[[#This Row],[rest of Italy fit]]-CIo,0)</f>
        <v>3584.7915215635912</v>
      </c>
      <c r="AC83" s="55" t="s">
        <v>163</v>
      </c>
      <c r="AD83" s="87">
        <v>159</v>
      </c>
      <c r="AE83" s="87">
        <v>212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65"/>
      <c r="AY83" s="65"/>
      <c r="AZ83" s="79"/>
      <c r="BA83" s="32"/>
      <c r="BB83" s="32"/>
      <c r="BC83" s="79"/>
      <c r="BD83" s="68"/>
      <c r="BE83" s="68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'dpc-covid19-ita-andamento-naz'!J24+'dpc-covid19-ita-andamento-naz'!K24</f>
        <v>5444</v>
      </c>
      <c r="E84" s="10">
        <f>Tabella8[[#This Row],[Italy cumulative]]*NOT(ISBLANK(Tabella8[[#This Row],[Italy cumulative]]))</f>
        <v>5444</v>
      </c>
      <c r="F84" s="10">
        <f>Tabella8[[#This Row],[region fit]]+Tabella8[[#This Row],[rest of Italy fit]]</f>
        <v>7389.4138836783432</v>
      </c>
      <c r="G84" s="72">
        <f>Tabella8[[#This Row],[Italy sum of regions]]/K_sum</f>
        <v>3.1444314194611162E-2</v>
      </c>
      <c r="H84" s="10">
        <f>Tabella8[[#This Row],[Italy sum of regions]]*NOT(ISBLANK(Tabella8[[#This Row],[Italy cumulative]]))</f>
        <v>7389.4138836783432</v>
      </c>
      <c r="I84" s="132">
        <f>MAX(Kt*(TANH(psi_t*(Tabella8[[#This Row],[Day]]-pt)-phi_t)+TANH(phi_t))/(1+TANH(phi_t)),0)</f>
        <v>7402.3635199757218</v>
      </c>
      <c r="J84" s="109">
        <f>Tabella8[[#This Row],[Italy fit]]/Kt</f>
        <v>3.1499419029601128E-2</v>
      </c>
      <c r="K84" s="10">
        <f>Tabella8[[#This Row],[Italy fit]]*NOT(ISBLANK(Tabella8[[#This Row],[Italy cumulative]]))</f>
        <v>7402.3635199757218</v>
      </c>
      <c r="L84" s="10">
        <f>Tabella8[[#This Row],[Italy sum of regions]]+CI</f>
        <v>10147.346249156262</v>
      </c>
      <c r="M84" s="10">
        <f>MAX(Tabella8[[#This Row],[Italy sum of regions]]-CI,0)</f>
        <v>4631.481518200424</v>
      </c>
      <c r="N84" s="57">
        <f t="shared" si="0"/>
        <v>117</v>
      </c>
      <c r="O84" s="10">
        <f>Tabella8[[#This Row],[region data]]*NOT(ISBLANK(Tabella8[[#This Row],[region data]]))</f>
        <v>117</v>
      </c>
      <c r="P84" s="107">
        <f>MAX(Kr*(TANH(psi_r*(Tabella8[[#This Row],[Day]]-pr)-phi_r)+TANH(phi_r))/(1+TANH(phi_r)),0)</f>
        <v>34.475609649753139</v>
      </c>
      <c r="Q84" s="107">
        <f>Tabella8[[#This Row],[region fit]]/Kr</f>
        <v>2.6205465961816788E-3</v>
      </c>
      <c r="R84" s="10">
        <f>Tabella8[[#This Row],[region fit]]*NOT(ISBLANK(Tabella8[[#This Row],[region data]]))</f>
        <v>34.475609649753139</v>
      </c>
      <c r="S84" s="10">
        <f>Tabella8[[#This Row],[region fit]]+CIr</f>
        <v>204.38632591587714</v>
      </c>
      <c r="T84" s="10">
        <f>MAX(Tabella8[[#This Row],[region fit]]-CIr,0)</f>
        <v>0</v>
      </c>
      <c r="U84" s="10">
        <f>Tabella8[[#This Row],[Italy cumulative]]-Tabella8[[#This Row],[region data]]</f>
        <v>5327</v>
      </c>
      <c r="V84" s="10">
        <f>Tabella8[[#This Row],[rest of Italy ]]*NOT(ISBLANK(Tabella8[[#This Row],[rest of Italy ]]))</f>
        <v>5327</v>
      </c>
      <c r="W84" s="108">
        <f>MAX(Ko*(TANH(psi_o*(Tabella8[[#This Row],[Day]]-po)-phi_o)+TANH(phi_o))/(1+TANH(phi_o)),0)</f>
        <v>7354.9382740285901</v>
      </c>
      <c r="X84" s="108">
        <f>Tabella8[[#This Row],[rest of Italy fit]]/Ko</f>
        <v>3.3153632330486356E-2</v>
      </c>
      <c r="Y84" s="22">
        <f>Tabella8[[#This Row],[rest of Italy fit]]*NOT(ISBLANK(Tabella8[[#This Row],[rest of Italy ]]))</f>
        <v>7354.9382740285901</v>
      </c>
      <c r="Z84" s="10">
        <f>Tabella8[[#This Row],[rest of Italy fit]]+CIo</f>
        <v>10168.910478813053</v>
      </c>
      <c r="AA84" s="10">
        <f>MAX(Tabella8[[#This Row],[rest of Italy fit]]-CIo,0)</f>
        <v>4540.9660692441266</v>
      </c>
      <c r="AC84" s="55" t="s">
        <v>164</v>
      </c>
      <c r="AD84" s="87">
        <v>193</v>
      </c>
      <c r="AE84" s="87">
        <v>231</v>
      </c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65"/>
      <c r="AY84" s="65"/>
      <c r="AZ84" s="79"/>
      <c r="BA84" s="32"/>
      <c r="BB84" s="32"/>
      <c r="BC84" s="79"/>
      <c r="BD84" s="68"/>
      <c r="BE84" s="68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'dpc-covid19-ita-andamento-naz'!J25+'dpc-covid19-ita-andamento-naz'!K25</f>
        <v>7003</v>
      </c>
      <c r="E85" s="10">
        <f>Tabella8[[#This Row],[Italy cumulative]]*NOT(ISBLANK(Tabella8[[#This Row],[Italy cumulative]]))</f>
        <v>7003</v>
      </c>
      <c r="F85" s="10">
        <f>Tabella8[[#This Row],[region fit]]+Tabella8[[#This Row],[rest of Italy fit]]</f>
        <v>8441.8094643272179</v>
      </c>
      <c r="G85" s="72">
        <f>Tabella8[[#This Row],[Italy sum of regions]]/K_sum</f>
        <v>3.5922593232145708E-2</v>
      </c>
      <c r="H85" s="10">
        <f>Tabella8[[#This Row],[Italy sum of regions]]*NOT(ISBLANK(Tabella8[[#This Row],[Italy cumulative]]))</f>
        <v>8441.8094643272179</v>
      </c>
      <c r="I85" s="132">
        <f>MAX(Kt*(TANH(psi_t*(Tabella8[[#This Row],[Day]]-pt)-phi_t)+TANH(phi_t))/(1+TANH(phi_t)),0)</f>
        <v>8459.5656563862358</v>
      </c>
      <c r="J85" s="109">
        <f>Tabella8[[#This Row],[Italy fit]]/Kt</f>
        <v>3.599815149578154E-2</v>
      </c>
      <c r="K85" s="10">
        <f>Tabella8[[#This Row],[Italy fit]]*NOT(ISBLANK(Tabella8[[#This Row],[Italy cumulative]]))</f>
        <v>8459.5656563862358</v>
      </c>
      <c r="L85" s="10">
        <f>Tabella8[[#This Row],[Italy sum of regions]]+CI</f>
        <v>11199.741829805138</v>
      </c>
      <c r="M85" s="10">
        <f>MAX(Tabella8[[#This Row],[Italy sum of regions]]-CI,0)</f>
        <v>5683.8770988492979</v>
      </c>
      <c r="N85" s="57">
        <f t="shared" si="0"/>
        <v>143</v>
      </c>
      <c r="O85" s="10">
        <f>Tabella8[[#This Row],[region data]]*NOT(ISBLANK(Tabella8[[#This Row],[region data]]))</f>
        <v>143</v>
      </c>
      <c r="P85" s="107">
        <f>MAX(Kr*(TANH(psi_r*(Tabella8[[#This Row],[Day]]-pr)-phi_r)+TANH(phi_r))/(1+TANH(phi_r)),0)</f>
        <v>89.478241588311164</v>
      </c>
      <c r="Q85" s="107">
        <f>Tabella8[[#This Row],[region fit]]/Kr</f>
        <v>6.8013852056202796E-3</v>
      </c>
      <c r="R85" s="10">
        <f>Tabella8[[#This Row],[region fit]]*NOT(ISBLANK(Tabella8[[#This Row],[region data]]))</f>
        <v>89.478241588311164</v>
      </c>
      <c r="S85" s="10">
        <f>Tabella8[[#This Row],[region fit]]+CIr</f>
        <v>259.38895785443515</v>
      </c>
      <c r="T85" s="10">
        <f>MAX(Tabella8[[#This Row],[region fit]]-CIr,0)</f>
        <v>0</v>
      </c>
      <c r="U85" s="10">
        <f>Tabella8[[#This Row],[Italy cumulative]]-Tabella8[[#This Row],[region data]]</f>
        <v>6860</v>
      </c>
      <c r="V85" s="10">
        <f>Tabella8[[#This Row],[rest of Italy ]]*NOT(ISBLANK(Tabella8[[#This Row],[rest of Italy ]]))</f>
        <v>6860</v>
      </c>
      <c r="W85" s="108">
        <f>MAX(Ko*(TANH(psi_o*(Tabella8[[#This Row],[Day]]-po)-phi_o)+TANH(phi_o))/(1+TANH(phi_o)),0)</f>
        <v>8352.3312227389069</v>
      </c>
      <c r="X85" s="108">
        <f>Tabella8[[#This Row],[rest of Italy fit]]/Ko</f>
        <v>3.764955029451969E-2</v>
      </c>
      <c r="Y85" s="22">
        <f>Tabella8[[#This Row],[rest of Italy fit]]*NOT(ISBLANK(Tabella8[[#This Row],[rest of Italy ]]))</f>
        <v>8352.3312227389069</v>
      </c>
      <c r="Z85" s="10">
        <f>Tabella8[[#This Row],[rest of Italy fit]]+CIo</f>
        <v>11166.303427523369</v>
      </c>
      <c r="AA85" s="10">
        <f>MAX(Tabella8[[#This Row],[rest of Italy fit]]-CIo,0)</f>
        <v>5538.3590179544435</v>
      </c>
      <c r="AC85" s="55" t="s">
        <v>165</v>
      </c>
      <c r="AD85" s="87">
        <v>225</v>
      </c>
      <c r="AE85" s="87">
        <v>254</v>
      </c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65"/>
      <c r="AY85" s="65"/>
      <c r="AZ85" s="79"/>
      <c r="BA85" s="32"/>
      <c r="BB85" s="32"/>
      <c r="BC85" s="79"/>
      <c r="BD85" s="68"/>
      <c r="BE85" s="68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'dpc-covid19-ita-andamento-naz'!J26+'dpc-covid19-ita-andamento-naz'!K26</f>
        <v>7845</v>
      </c>
      <c r="E86" s="10">
        <f>Tabella8[[#This Row],[Italy cumulative]]*NOT(ISBLANK(Tabella8[[#This Row],[Italy cumulative]]))</f>
        <v>7845</v>
      </c>
      <c r="F86" s="10">
        <f>Tabella8[[#This Row],[region fit]]+Tabella8[[#This Row],[rest of Italy fit]]</f>
        <v>9538.5211994804795</v>
      </c>
      <c r="G86" s="72">
        <f>Tabella8[[#This Row],[Italy sum of regions]]/K_sum</f>
        <v>4.0589451649326425E-2</v>
      </c>
      <c r="H86" s="10">
        <f>Tabella8[[#This Row],[Italy sum of regions]]*NOT(ISBLANK(Tabella8[[#This Row],[Italy cumulative]]))</f>
        <v>9538.5211994804795</v>
      </c>
      <c r="I86" s="132">
        <f>MAX(Kt*(TANH(psi_t*(Tabella8[[#This Row],[Day]]-pt)-phi_t)+TANH(phi_t))/(1+TANH(phi_t)),0)</f>
        <v>9561.0017700512126</v>
      </c>
      <c r="J86" s="109">
        <f>Tabella8[[#This Row],[Italy fit]]/Kt</f>
        <v>4.0685113651185427E-2</v>
      </c>
      <c r="K86" s="10">
        <f>Tabella8[[#This Row],[Italy fit]]*NOT(ISBLANK(Tabella8[[#This Row],[Italy cumulative]]))</f>
        <v>9561.0017700512126</v>
      </c>
      <c r="L86" s="10">
        <f>Tabella8[[#This Row],[Italy sum of regions]]+CI</f>
        <v>12296.4535649584</v>
      </c>
      <c r="M86" s="10">
        <f>MAX(Tabella8[[#This Row],[Italy sum of regions]]-CI,0)</f>
        <v>6780.5888340025595</v>
      </c>
      <c r="N86" s="57">
        <f t="shared" si="0"/>
        <v>176</v>
      </c>
      <c r="O86" s="10">
        <f>Tabella8[[#This Row],[region data]]*NOT(ISBLANK(Tabella8[[#This Row],[region data]]))</f>
        <v>176</v>
      </c>
      <c r="P86" s="107">
        <f>MAX(Kr*(TANH(psi_r*(Tabella8[[#This Row],[Day]]-pr)-phi_r)+TANH(phi_r))/(1+TANH(phi_r)),0)</f>
        <v>146.25424474947047</v>
      </c>
      <c r="Q86" s="107">
        <f>Tabella8[[#This Row],[region fit]]/Kr</f>
        <v>1.1117020616866492E-2</v>
      </c>
      <c r="R86" s="10">
        <f>Tabella8[[#This Row],[region fit]]*NOT(ISBLANK(Tabella8[[#This Row],[region data]]))</f>
        <v>146.25424474947047</v>
      </c>
      <c r="S86" s="10">
        <f>Tabella8[[#This Row],[region fit]]+CIr</f>
        <v>316.16496101559449</v>
      </c>
      <c r="T86" s="10">
        <f>MAX(Tabella8[[#This Row],[region fit]]-CIr,0)</f>
        <v>0</v>
      </c>
      <c r="U86" s="10">
        <f>Tabella8[[#This Row],[Italy cumulative]]-Tabella8[[#This Row],[region data]]</f>
        <v>7669</v>
      </c>
      <c r="V86" s="10">
        <f>Tabella8[[#This Row],[rest of Italy ]]*NOT(ISBLANK(Tabella8[[#This Row],[rest of Italy ]]))</f>
        <v>7669</v>
      </c>
      <c r="W86" s="108">
        <f>MAX(Ko*(TANH(psi_o*(Tabella8[[#This Row],[Day]]-po)-phi_o)+TANH(phi_o))/(1+TANH(phi_o)),0)</f>
        <v>9392.2669547310088</v>
      </c>
      <c r="X86" s="108">
        <f>Tabella8[[#This Row],[rest of Italy fit]]/Ko</f>
        <v>4.233723707328535E-2</v>
      </c>
      <c r="Y86" s="22">
        <f>Tabella8[[#This Row],[rest of Italy fit]]*NOT(ISBLANK(Tabella8[[#This Row],[rest of Italy ]]))</f>
        <v>9392.2669547310088</v>
      </c>
      <c r="Z86" s="10">
        <f>Tabella8[[#This Row],[rest of Italy fit]]+CIo</f>
        <v>12206.239159515473</v>
      </c>
      <c r="AA86" s="10">
        <f>MAX(Tabella8[[#This Row],[rest of Italy fit]]-CIo,0)</f>
        <v>6578.2947499465454</v>
      </c>
      <c r="AC86" s="55" t="s">
        <v>166</v>
      </c>
      <c r="AD86" s="87">
        <v>260</v>
      </c>
      <c r="AE86" s="87">
        <v>280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65"/>
      <c r="AY86" s="65"/>
      <c r="AZ86" s="79"/>
      <c r="BA86" s="32"/>
      <c r="BB86" s="32"/>
      <c r="BC86" s="79"/>
      <c r="BD86" s="68"/>
      <c r="BE86" s="68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'dpc-covid19-ita-andamento-naz'!J27+'dpc-covid19-ita-andamento-naz'!K27</f>
        <v>9161</v>
      </c>
      <c r="E87" s="10">
        <f>Tabella8[[#This Row],[Italy cumulative]]*NOT(ISBLANK(Tabella8[[#This Row],[Italy cumulative]]))</f>
        <v>9161</v>
      </c>
      <c r="F87" s="10">
        <f>Tabella8[[#This Row],[region fit]]+Tabella8[[#This Row],[rest of Italy fit]]</f>
        <v>10680.910902604917</v>
      </c>
      <c r="G87" s="72">
        <f>Tabella8[[#This Row],[Italy sum of regions]]/K_sum</f>
        <v>4.545068439703822E-2</v>
      </c>
      <c r="H87" s="10">
        <f>Tabella8[[#This Row],[Italy sum of regions]]*NOT(ISBLANK(Tabella8[[#This Row],[Italy cumulative]]))</f>
        <v>10680.910902604917</v>
      </c>
      <c r="I87" s="132">
        <f>MAX(Kt*(TANH(psi_t*(Tabella8[[#This Row],[Day]]-pt)-phi_t)+TANH(phi_t))/(1+TANH(phi_t)),0)</f>
        <v>10708.01208875074</v>
      </c>
      <c r="J87" s="109">
        <f>Tabella8[[#This Row],[Italy fit]]/Kt</f>
        <v>4.5566008592712322E-2</v>
      </c>
      <c r="K87" s="10">
        <f>Tabella8[[#This Row],[Italy fit]]*NOT(ISBLANK(Tabella8[[#This Row],[Italy cumulative]]))</f>
        <v>10708.01208875074</v>
      </c>
      <c r="L87" s="10">
        <f>Tabella8[[#This Row],[Italy sum of regions]]+CI</f>
        <v>13438.843268082837</v>
      </c>
      <c r="M87" s="10">
        <f>MAX(Tabella8[[#This Row],[Italy sum of regions]]-CI,0)</f>
        <v>7922.9785371269973</v>
      </c>
      <c r="N87" s="57">
        <f t="shared" si="0"/>
        <v>220</v>
      </c>
      <c r="O87" s="10">
        <f>Tabella8[[#This Row],[region data]]*NOT(ISBLANK(Tabella8[[#This Row],[region data]]))</f>
        <v>220</v>
      </c>
      <c r="P87" s="107">
        <f>MAX(Kr*(TANH(psi_r*(Tabella8[[#This Row],[Day]]-pr)-phi_r)+TANH(phi_r))/(1+TANH(phi_r)),0)</f>
        <v>204.84245522195209</v>
      </c>
      <c r="Q87" s="107">
        <f>Tabella8[[#This Row],[region fit]]/Kr</f>
        <v>1.5570404823551197E-2</v>
      </c>
      <c r="R87" s="10">
        <f>Tabella8[[#This Row],[region fit]]*NOT(ISBLANK(Tabella8[[#This Row],[region data]]))</f>
        <v>204.84245522195209</v>
      </c>
      <c r="S87" s="10">
        <f>Tabella8[[#This Row],[region fit]]+CIr</f>
        <v>374.75317148807608</v>
      </c>
      <c r="T87" s="10">
        <f>MAX(Tabella8[[#This Row],[region fit]]-CIr,0)</f>
        <v>34.931738955828109</v>
      </c>
      <c r="U87" s="10">
        <f>Tabella8[[#This Row],[Italy cumulative]]-Tabella8[[#This Row],[region data]]</f>
        <v>8941</v>
      </c>
      <c r="V87" s="10">
        <f>Tabella8[[#This Row],[rest of Italy ]]*NOT(ISBLANK(Tabella8[[#This Row],[rest of Italy ]]))</f>
        <v>8941</v>
      </c>
      <c r="W87" s="108">
        <f>MAX(Ko*(TANH(psi_o*(Tabella8[[#This Row],[Day]]-po)-phi_o)+TANH(phi_o))/(1+TANH(phi_o)),0)</f>
        <v>10476.068447382966</v>
      </c>
      <c r="X87" s="108">
        <f>Tabella8[[#This Row],[rest of Italy fit]]/Ko</f>
        <v>4.7222656211811161E-2</v>
      </c>
      <c r="Y87" s="22">
        <f>Tabella8[[#This Row],[rest of Italy fit]]*NOT(ISBLANK(Tabella8[[#This Row],[rest of Italy ]]))</f>
        <v>10476.068447382966</v>
      </c>
      <c r="Z87" s="10">
        <f>Tabella8[[#This Row],[rest of Italy fit]]+CIo</f>
        <v>13290.04065216743</v>
      </c>
      <c r="AA87" s="10">
        <f>MAX(Tabella8[[#This Row],[rest of Italy fit]]-CIo,0)</f>
        <v>7662.0962425985026</v>
      </c>
      <c r="AC87" s="55" t="s">
        <v>167</v>
      </c>
      <c r="AD87" s="87">
        <v>305</v>
      </c>
      <c r="AE87" s="87">
        <v>331</v>
      </c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65"/>
      <c r="AY87" s="65"/>
      <c r="AZ87" s="79"/>
      <c r="BA87" s="32"/>
      <c r="BB87" s="32"/>
      <c r="BC87" s="79"/>
      <c r="BD87" s="68"/>
      <c r="BE87" s="68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'dpc-covid19-ita-andamento-naz'!J28+'dpc-covid19-ita-andamento-naz'!K28</f>
        <v>10897</v>
      </c>
      <c r="E88" s="10">
        <f>Tabella8[[#This Row],[Italy cumulative]]*NOT(ISBLANK(Tabella8[[#This Row],[Italy cumulative]]))</f>
        <v>10897</v>
      </c>
      <c r="F88" s="10">
        <f>Tabella8[[#This Row],[region fit]]+Tabella8[[#This Row],[rest of Italy fit]]</f>
        <v>11870.333464420413</v>
      </c>
      <c r="G88" s="72">
        <f>Tabella8[[#This Row],[Italy sum of regions]]/K_sum</f>
        <v>5.0512056967668723E-2</v>
      </c>
      <c r="H88" s="10">
        <f>Tabella8[[#This Row],[Italy sum of regions]]*NOT(ISBLANK(Tabella8[[#This Row],[Italy cumulative]]))</f>
        <v>11870.333464420413</v>
      </c>
      <c r="I88" s="132">
        <f>MAX(Kt*(TANH(psi_t*(Tabella8[[#This Row],[Day]]-pt)-phi_t)+TANH(phi_t))/(1+TANH(phi_t)),0)</f>
        <v>11901.928923616581</v>
      </c>
      <c r="J88" s="109">
        <f>Tabella8[[#This Row],[Italy fit]]/Kt</f>
        <v>5.0646505729396787E-2</v>
      </c>
      <c r="K88" s="10">
        <f>Tabella8[[#This Row],[Italy fit]]*NOT(ISBLANK(Tabella8[[#This Row],[Italy cumulative]]))</f>
        <v>11901.928923616581</v>
      </c>
      <c r="L88" s="10">
        <f>Tabella8[[#This Row],[Italy sum of regions]]+CI</f>
        <v>14628.265829898333</v>
      </c>
      <c r="M88" s="10">
        <f>MAX(Tabella8[[#This Row],[Italy sum of regions]]-CI,0)</f>
        <v>9112.4010989424933</v>
      </c>
      <c r="N88" s="57">
        <f t="shared" si="0"/>
        <v>277</v>
      </c>
      <c r="O88" s="10">
        <f>Tabella8[[#This Row],[region data]]*NOT(ISBLANK(Tabella8[[#This Row],[region data]]))</f>
        <v>277</v>
      </c>
      <c r="P88" s="107">
        <f>MAX(Kr*(TANH(psi_r*(Tabella8[[#This Row],[Day]]-pr)-phi_r)+TANH(phi_r))/(1+TANH(phi_r)),0)</f>
        <v>265.28119267678937</v>
      </c>
      <c r="Q88" s="107">
        <f>Tabella8[[#This Row],[region fit]]/Kr</f>
        <v>2.0164450565565394E-2</v>
      </c>
      <c r="R88" s="10">
        <f>Tabella8[[#This Row],[region fit]]*NOT(ISBLANK(Tabella8[[#This Row],[region data]]))</f>
        <v>265.28119267678937</v>
      </c>
      <c r="S88" s="10">
        <f>Tabella8[[#This Row],[region fit]]+CIr</f>
        <v>435.19190894291336</v>
      </c>
      <c r="T88" s="10">
        <f>MAX(Tabella8[[#This Row],[region fit]]-CIr,0)</f>
        <v>95.37047641066539</v>
      </c>
      <c r="U88" s="10">
        <f>Tabella8[[#This Row],[Italy cumulative]]-Tabella8[[#This Row],[region data]]</f>
        <v>10620</v>
      </c>
      <c r="V88" s="10">
        <f>Tabella8[[#This Row],[rest of Italy ]]*NOT(ISBLANK(Tabella8[[#This Row],[rest of Italy ]]))</f>
        <v>10620</v>
      </c>
      <c r="W88" s="108">
        <f>MAX(Ko*(TANH(psi_o*(Tabella8[[#This Row],[Day]]-po)-phi_o)+TANH(phi_o))/(1+TANH(phi_o)),0)</f>
        <v>11605.052271743623</v>
      </c>
      <c r="X88" s="108">
        <f>Tabella8[[#This Row],[rest of Italy fit]]/Ko</f>
        <v>5.2311742377508887E-2</v>
      </c>
      <c r="Y88" s="22">
        <f>Tabella8[[#This Row],[rest of Italy fit]]*NOT(ISBLANK(Tabella8[[#This Row],[rest of Italy ]]))</f>
        <v>11605.052271743623</v>
      </c>
      <c r="Z88" s="10">
        <f>Tabella8[[#This Row],[rest of Italy fit]]+CIo</f>
        <v>14419.024476528088</v>
      </c>
      <c r="AA88" s="10">
        <f>MAX(Tabella8[[#This Row],[rest of Italy fit]]-CIo,0)</f>
        <v>8791.080066959159</v>
      </c>
      <c r="AC88" s="55" t="s">
        <v>168</v>
      </c>
      <c r="AD88" s="87">
        <v>378</v>
      </c>
      <c r="AE88" s="87">
        <v>358</v>
      </c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65"/>
      <c r="AY88" s="65"/>
      <c r="AZ88" s="79"/>
      <c r="BA88" s="32"/>
      <c r="BB88" s="32"/>
      <c r="BC88" s="79"/>
      <c r="BD88" s="68"/>
      <c r="BE88" s="6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'dpc-covid19-ita-andamento-naz'!J29+'dpc-covid19-ita-andamento-naz'!K29</f>
        <v>12500</v>
      </c>
      <c r="E89" s="10">
        <f>Tabella8[[#This Row],[Italy cumulative]]*NOT(ISBLANK(Tabella8[[#This Row],[Italy cumulative]]))</f>
        <v>12500</v>
      </c>
      <c r="F89" s="10">
        <f>Tabella8[[#This Row],[region fit]]+Tabella8[[#This Row],[rest of Italy fit]]</f>
        <v>13108.131275381153</v>
      </c>
      <c r="G89" s="72">
        <f>Tabella8[[#This Row],[Italy sum of regions]]/K_sum</f>
        <v>5.5779281660985905E-2</v>
      </c>
      <c r="H89" s="10">
        <f>Tabella8[[#This Row],[Italy sum of regions]]*NOT(ISBLANK(Tabella8[[#This Row],[Italy cumulative]]))</f>
        <v>13108.131275381153</v>
      </c>
      <c r="I89" s="132">
        <f>MAX(Kt*(TANH(psi_t*(Tabella8[[#This Row],[Day]]-pt)-phi_t)+TANH(phi_t))/(1+TANH(phi_t)),0)</f>
        <v>13144.07118138202</v>
      </c>
      <c r="J89" s="109">
        <f>Tabella8[[#This Row],[Italy fit]]/Kt</f>
        <v>5.5932217430280227E-2</v>
      </c>
      <c r="K89" s="10">
        <f>Tabella8[[#This Row],[Italy fit]]*NOT(ISBLANK(Tabella8[[#This Row],[Italy cumulative]]))</f>
        <v>13144.07118138202</v>
      </c>
      <c r="L89" s="10">
        <f>Tabella8[[#This Row],[Italy sum of regions]]+CI</f>
        <v>15866.063640859073</v>
      </c>
      <c r="M89" s="10">
        <f>MAX(Tabella8[[#This Row],[Italy sum of regions]]-CI,0)</f>
        <v>10350.198909903233</v>
      </c>
      <c r="N89" s="57">
        <f t="shared" si="0"/>
        <v>314</v>
      </c>
      <c r="O89" s="10">
        <f>Tabella8[[#This Row],[region data]]*NOT(ISBLANK(Tabella8[[#This Row],[region data]]))</f>
        <v>314</v>
      </c>
      <c r="P89" s="107">
        <f>MAX(Kr*(TANH(psi_r*(Tabella8[[#This Row],[Day]]-pr)-phi_r)+TANH(phi_r))/(1+TANH(phi_r)),0)</f>
        <v>327.60813738385758</v>
      </c>
      <c r="Q89" s="107">
        <f>Tabella8[[#This Row],[region fit]]/Kr</f>
        <v>2.4902021980888599E-2</v>
      </c>
      <c r="R89" s="10">
        <f>Tabella8[[#This Row],[region fit]]*NOT(ISBLANK(Tabella8[[#This Row],[region data]]))</f>
        <v>327.60813738385758</v>
      </c>
      <c r="S89" s="10">
        <f>Tabella8[[#This Row],[region fit]]+CIr</f>
        <v>497.51885364998157</v>
      </c>
      <c r="T89" s="10">
        <f>MAX(Tabella8[[#This Row],[region fit]]-CIr,0)</f>
        <v>157.6974211177336</v>
      </c>
      <c r="U89" s="10">
        <f>Tabella8[[#This Row],[Italy cumulative]]-Tabella8[[#This Row],[region data]]</f>
        <v>12186</v>
      </c>
      <c r="V89" s="10">
        <f>Tabella8[[#This Row],[rest of Italy ]]*NOT(ISBLANK(Tabella8[[#This Row],[rest of Italy ]]))</f>
        <v>12186</v>
      </c>
      <c r="W89" s="108">
        <f>MAX(Ko*(TANH(psi_o*(Tabella8[[#This Row],[Day]]-po)-phi_o)+TANH(phi_o))/(1+TANH(phi_o)),0)</f>
        <v>12780.523137997296</v>
      </c>
      <c r="X89" s="108">
        <f>Tabella8[[#This Row],[rest of Italy fit]]/Ko</f>
        <v>5.7610376772930745E-2</v>
      </c>
      <c r="Y89" s="22">
        <f>Tabella8[[#This Row],[rest of Italy fit]]*NOT(ISBLANK(Tabella8[[#This Row],[rest of Italy ]]))</f>
        <v>12780.523137997296</v>
      </c>
      <c r="Z89" s="10">
        <f>Tabella8[[#This Row],[rest of Italy fit]]+CIo</f>
        <v>15594.49534278176</v>
      </c>
      <c r="AA89" s="10">
        <f>MAX(Tabella8[[#This Row],[rest of Italy fit]]-CIo,0)</f>
        <v>9966.5509332128313</v>
      </c>
      <c r="AC89" s="55" t="s">
        <v>169</v>
      </c>
      <c r="AD89" s="87">
        <v>420</v>
      </c>
      <c r="AE89" s="87">
        <v>377</v>
      </c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65"/>
      <c r="AY89" s="65"/>
      <c r="AZ89" s="79"/>
      <c r="BA89" s="32"/>
      <c r="BB89" s="32"/>
      <c r="BC89" s="79"/>
      <c r="BD89" s="68"/>
      <c r="BE89" s="68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5">
        <v>43913</v>
      </c>
      <c r="C90" s="4">
        <v>83</v>
      </c>
      <c r="D90" s="10">
        <f>'dpc-covid19-ita-andamento-naz'!J30+'dpc-covid19-ita-andamento-naz'!K30</f>
        <v>13509</v>
      </c>
      <c r="E90" s="10">
        <f>Tabella8[[#This Row],[Italy cumulative]]*NOT(ISBLANK(Tabella8[[#This Row],[Italy cumulative]]))</f>
        <v>13509</v>
      </c>
      <c r="F90" s="10">
        <f>Tabella8[[#This Row],[region fit]]+Tabella8[[#This Row],[rest of Italy fit]]</f>
        <v>14395.628180179738</v>
      </c>
      <c r="G90" s="72">
        <f>Tabella8[[#This Row],[Italy sum of regions]]/K_sum</f>
        <v>6.1257991858623871E-2</v>
      </c>
      <c r="H90" s="10">
        <f>Tabella8[[#This Row],[Italy sum of regions]]*NOT(ISBLANK(Tabella8[[#This Row],[Italy cumulative]]))</f>
        <v>14395.628180179738</v>
      </c>
      <c r="I90" s="132">
        <f>MAX(Kt*(TANH(psi_t*(Tabella8[[#This Row],[Day]]-pt)-phi_t)+TANH(phi_t))/(1+TANH(phi_t)),0)</f>
        <v>14435.738428760094</v>
      </c>
      <c r="J90" s="109">
        <f>Tabella8[[#This Row],[Italy fit]]/Kt</f>
        <v>6.1428673766446069E-2</v>
      </c>
      <c r="K90" s="10">
        <f>Tabella8[[#This Row],[Italy fit]]*NOT(ISBLANK(Tabella8[[#This Row],[Italy cumulative]]))</f>
        <v>14435.738428760094</v>
      </c>
      <c r="L90" s="10">
        <f>Tabella8[[#This Row],[Italy sum of regions]]+CI</f>
        <v>17153.560545657656</v>
      </c>
      <c r="M90" s="10">
        <f>MAX(Tabella8[[#This Row],[Italy sum of regions]]-CI,0)</f>
        <v>11637.695814701818</v>
      </c>
      <c r="N90" s="57">
        <f t="shared" si="0"/>
        <v>371</v>
      </c>
      <c r="O90" s="10">
        <f>Tabella8[[#This Row],[region data]]*NOT(ISBLANK(Tabella8[[#This Row],[region data]]))</f>
        <v>371</v>
      </c>
      <c r="P90" s="107">
        <f>MAX(Kr*(TANH(psi_r*(Tabella8[[#This Row],[Day]]-pr)-phi_r)+TANH(phi_r))/(1+TANH(phi_r)),0)</f>
        <v>391.86020047792823</v>
      </c>
      <c r="Q90" s="107">
        <f>Tabella8[[#This Row],[region fit]]/Kr</f>
        <v>2.978592474430276E-2</v>
      </c>
      <c r="R90" s="10">
        <f>Tabella8[[#This Row],[region fit]]*NOT(ISBLANK(Tabella8[[#This Row],[region data]]))</f>
        <v>391.86020047792823</v>
      </c>
      <c r="S90" s="10">
        <f>Tabella8[[#This Row],[region fit]]+CIr</f>
        <v>561.77091674405222</v>
      </c>
      <c r="T90" s="10">
        <f>MAX(Tabella8[[#This Row],[region fit]]-CIr,0)</f>
        <v>221.94948421180425</v>
      </c>
      <c r="U90" s="10">
        <f>Tabella8[[#This Row],[Italy cumulative]]-Tabella8[[#This Row],[region data]]</f>
        <v>13138</v>
      </c>
      <c r="V90" s="10">
        <f>Tabella8[[#This Row],[rest of Italy ]]*NOT(ISBLANK(Tabella8[[#This Row],[rest of Italy ]]))</f>
        <v>13138</v>
      </c>
      <c r="W90" s="108">
        <f>MAX(Ko*(TANH(psi_o*(Tabella8[[#This Row],[Day]]-po)-phi_o)+TANH(phi_o))/(1+TANH(phi_o)),0)</f>
        <v>14003.76797970181</v>
      </c>
      <c r="X90" s="108">
        <f>Tabella8[[#This Row],[rest of Italy fit]]/Ko</f>
        <v>6.3124360469468538E-2</v>
      </c>
      <c r="Y90" s="22">
        <f>Tabella8[[#This Row],[rest of Italy fit]]*NOT(ISBLANK(Tabella8[[#This Row],[rest of Italy ]]))</f>
        <v>14003.76797970181</v>
      </c>
      <c r="Z90" s="10">
        <f>Tabella8[[#This Row],[rest of Italy fit]]+CIo</f>
        <v>16817.740184486272</v>
      </c>
      <c r="AA90" s="10">
        <f>MAX(Tabella8[[#This Row],[rest of Italy fit]]-CIo,0)</f>
        <v>11189.795774917347</v>
      </c>
      <c r="AC90" s="55" t="s">
        <v>170</v>
      </c>
      <c r="AD90" s="87">
        <v>437</v>
      </c>
      <c r="AE90" s="87">
        <v>397</v>
      </c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65"/>
      <c r="AY90" s="65"/>
      <c r="AZ90" s="79"/>
      <c r="BA90" s="32"/>
      <c r="BB90" s="32"/>
      <c r="BC90" s="79"/>
      <c r="BD90" s="68"/>
      <c r="BE90" s="68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'dpc-covid19-ita-andamento-naz'!J31+'dpc-covid19-ita-andamento-naz'!K31</f>
        <v>15146</v>
      </c>
      <c r="E91" s="10">
        <f>Tabella8[[#This Row],[Italy cumulative]]*NOT(ISBLANK(Tabella8[[#This Row],[Italy cumulative]]))</f>
        <v>15146</v>
      </c>
      <c r="F91" s="10">
        <f>Tabella8[[#This Row],[region fit]]+Tabella8[[#This Row],[rest of Italy fit]]</f>
        <v>15734.122960103821</v>
      </c>
      <c r="G91" s="72">
        <f>Tabella8[[#This Row],[Italy sum of regions]]/K_sum</f>
        <v>6.695371428943038E-2</v>
      </c>
      <c r="H91" s="10">
        <f>Tabella8[[#This Row],[Italy sum of regions]]*NOT(ISBLANK(Tabella8[[#This Row],[Italy cumulative]]))</f>
        <v>15734.122960103821</v>
      </c>
      <c r="I91" s="132">
        <f>MAX(Kt*(TANH(psi_t*(Tabella8[[#This Row],[Day]]-pt)-phi_t)+TANH(phi_t))/(1+TANH(phi_t)),0)</f>
        <v>15778.204505976713</v>
      </c>
      <c r="J91" s="109">
        <f>Tabella8[[#This Row],[Italy fit]]/Kt</f>
        <v>6.7141295334565143E-2</v>
      </c>
      <c r="K91" s="10">
        <f>Tabella8[[#This Row],[Italy fit]]*NOT(ISBLANK(Tabella8[[#This Row],[Italy cumulative]]))</f>
        <v>15778.204505976713</v>
      </c>
      <c r="L91" s="10">
        <f>Tabella8[[#This Row],[Italy sum of regions]]+CI</f>
        <v>18492.055325581739</v>
      </c>
      <c r="M91" s="10">
        <f>MAX(Tabella8[[#This Row],[Italy sum of regions]]-CI,0)</f>
        <v>12976.190594625901</v>
      </c>
      <c r="N91" s="57">
        <f t="shared" si="0"/>
        <v>424</v>
      </c>
      <c r="O91" s="10">
        <f>Tabella8[[#This Row],[region data]]*NOT(ISBLANK(Tabella8[[#This Row],[region data]]))</f>
        <v>424</v>
      </c>
      <c r="P91" s="107">
        <f>MAX(Kr*(TANH(psi_r*(Tabella8[[#This Row],[Day]]-pr)-phi_r)+TANH(phi_r))/(1+TANH(phi_r)),0)</f>
        <v>458.07338755702551</v>
      </c>
      <c r="Q91" s="107">
        <f>Tabella8[[#This Row],[region fit]]/Kr</f>
        <v>3.4818895699283724E-2</v>
      </c>
      <c r="R91" s="10">
        <f>Tabella8[[#This Row],[region fit]]*NOT(ISBLANK(Tabella8[[#This Row],[region data]]))</f>
        <v>458.07338755702551</v>
      </c>
      <c r="S91" s="10">
        <f>Tabella8[[#This Row],[region fit]]+CIr</f>
        <v>627.98410382314955</v>
      </c>
      <c r="T91" s="10">
        <f>MAX(Tabella8[[#This Row],[region fit]]-CIr,0)</f>
        <v>288.16267129090153</v>
      </c>
      <c r="U91" s="10">
        <f>Tabella8[[#This Row],[Italy cumulative]]-Tabella8[[#This Row],[region data]]</f>
        <v>14722</v>
      </c>
      <c r="V91" s="10">
        <f>Tabella8[[#This Row],[rest of Italy ]]*NOT(ISBLANK(Tabella8[[#This Row],[rest of Italy ]]))</f>
        <v>14722</v>
      </c>
      <c r="W91" s="108">
        <f>MAX(Ko*(TANH(psi_o*(Tabella8[[#This Row],[Day]]-po)-phi_o)+TANH(phi_o))/(1+TANH(phi_o)),0)</f>
        <v>15276.049572546795</v>
      </c>
      <c r="X91" s="108">
        <f>Tabella8[[#This Row],[rest of Italy fit]]/Ko</f>
        <v>6.8859385642823817E-2</v>
      </c>
      <c r="Y91" s="22">
        <f>Tabella8[[#This Row],[rest of Italy fit]]*NOT(ISBLANK(Tabella8[[#This Row],[rest of Italy ]]))</f>
        <v>15276.049572546795</v>
      </c>
      <c r="Z91" s="10">
        <f>Tabella8[[#This Row],[rest of Italy fit]]+CIo</f>
        <v>18090.021777331258</v>
      </c>
      <c r="AA91" s="10">
        <f>MAX(Tabella8[[#This Row],[rest of Italy fit]]-CIo,0)</f>
        <v>12462.077367762333</v>
      </c>
      <c r="AC91" s="55" t="s">
        <v>171</v>
      </c>
      <c r="AD91" s="87">
        <v>480</v>
      </c>
      <c r="AE91" s="87">
        <v>428</v>
      </c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65"/>
      <c r="AY91" s="65"/>
      <c r="AZ91" s="79"/>
      <c r="BA91" s="32"/>
      <c r="BB91" s="32"/>
      <c r="BC91" s="79"/>
      <c r="BD91" s="68"/>
      <c r="BE91" s="68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'dpc-covid19-ita-andamento-naz'!J32+'dpc-covid19-ita-andamento-naz'!K32</f>
        <v>16865</v>
      </c>
      <c r="E92" s="10">
        <f>Tabella8[[#This Row],[Italy cumulative]]*NOT(ISBLANK(Tabella8[[#This Row],[Italy cumulative]]))</f>
        <v>16865</v>
      </c>
      <c r="F92" s="10">
        <f>Tabella8[[#This Row],[region fit]]+Tabella8[[#This Row],[rest of Italy fit]]</f>
        <v>17124.882343653757</v>
      </c>
      <c r="G92" s="72">
        <f>Tabella8[[#This Row],[Italy sum of regions]]/K_sum</f>
        <v>7.287183928741453E-2</v>
      </c>
      <c r="H92" s="10">
        <f>Tabella8[[#This Row],[Italy sum of regions]]*NOT(ISBLANK(Tabella8[[#This Row],[Italy cumulative]]))</f>
        <v>17124.882343653757</v>
      </c>
      <c r="I92" s="132">
        <f>MAX(Kt*(TANH(psi_t*(Tabella8[[#This Row],[Day]]-pt)-phi_t)+TANH(phi_t))/(1+TANH(phi_t)),0)</f>
        <v>17172.710690883545</v>
      </c>
      <c r="J92" s="109">
        <f>Tabella8[[#This Row],[Italy fit]]/Kt</f>
        <v>7.3075364168014537E-2</v>
      </c>
      <c r="K92" s="10">
        <f>Tabella8[[#This Row],[Italy fit]]*NOT(ISBLANK(Tabella8[[#This Row],[Italy cumulative]]))</f>
        <v>17172.710690883545</v>
      </c>
      <c r="L92" s="10">
        <f>Tabella8[[#This Row],[Italy sum of regions]]+CI</f>
        <v>19882.814709131675</v>
      </c>
      <c r="M92" s="10">
        <f>MAX(Tabella8[[#This Row],[Italy sum of regions]]-CI,0)</f>
        <v>14366.949978175837</v>
      </c>
      <c r="N92" s="57">
        <f t="shared" si="0"/>
        <v>479</v>
      </c>
      <c r="O92" s="10">
        <f>Tabella8[[#This Row],[region data]]*NOT(ISBLANK(Tabella8[[#This Row],[region data]]))</f>
        <v>479</v>
      </c>
      <c r="P92" s="107">
        <f>MAX(Kr*(TANH(psi_r*(Tabella8[[#This Row],[Day]]-pr)-phi_r)+TANH(phi_r))/(1+TANH(phi_r)),0)</f>
        <v>526.28265574970794</v>
      </c>
      <c r="Q92" s="107">
        <f>Tabella8[[#This Row],[region fit]]/Kr</f>
        <v>4.0003591993455191E-2</v>
      </c>
      <c r="R92" s="10">
        <f>Tabella8[[#This Row],[region fit]]*NOT(ISBLANK(Tabella8[[#This Row],[region data]]))</f>
        <v>526.28265574970794</v>
      </c>
      <c r="S92" s="10">
        <f>Tabella8[[#This Row],[region fit]]+CIr</f>
        <v>696.19337201583198</v>
      </c>
      <c r="T92" s="10">
        <f>MAX(Tabella8[[#This Row],[region fit]]-CIr,0)</f>
        <v>356.37193948358396</v>
      </c>
      <c r="U92" s="10">
        <f>Tabella8[[#This Row],[Italy cumulative]]-Tabella8[[#This Row],[region data]]</f>
        <v>16386</v>
      </c>
      <c r="V92" s="10">
        <f>Tabella8[[#This Row],[rest of Italy ]]*NOT(ISBLANK(Tabella8[[#This Row],[rest of Italy ]]))</f>
        <v>16386</v>
      </c>
      <c r="W92" s="108">
        <f>MAX(Ko*(TANH(psi_o*(Tabella8[[#This Row],[Day]]-po)-phi_o)+TANH(phi_o))/(1+TANH(phi_o)),0)</f>
        <v>16598.59968790405</v>
      </c>
      <c r="X92" s="108">
        <f>Tabella8[[#This Row],[rest of Italy fit]]/Ko</f>
        <v>7.482100471147439E-2</v>
      </c>
      <c r="Y92" s="22">
        <f>Tabella8[[#This Row],[rest of Italy fit]]*NOT(ISBLANK(Tabella8[[#This Row],[rest of Italy ]]))</f>
        <v>16598.59968790405</v>
      </c>
      <c r="Z92" s="10">
        <f>Tabella8[[#This Row],[rest of Italy fit]]+CIo</f>
        <v>19412.571892688513</v>
      </c>
      <c r="AA92" s="10">
        <f>MAX(Tabella8[[#This Row],[rest of Italy fit]]-CIo,0)</f>
        <v>13784.627483119588</v>
      </c>
      <c r="AC92" s="55" t="s">
        <v>172</v>
      </c>
      <c r="AD92" s="87">
        <v>555</v>
      </c>
      <c r="AE92" s="87">
        <v>460</v>
      </c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65"/>
      <c r="AY92" s="65"/>
      <c r="AZ92" s="79"/>
      <c r="BA92" s="32"/>
      <c r="BB92" s="32"/>
      <c r="BC92" s="79"/>
      <c r="BD92" s="68"/>
      <c r="BE92" s="68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'dpc-covid19-ita-andamento-naz'!J33+'dpc-covid19-ita-andamento-naz'!K33</f>
        <v>18526</v>
      </c>
      <c r="E93" s="10">
        <f>Tabella8[[#This Row],[Italy cumulative]]*NOT(ISBLANK(Tabella8[[#This Row],[Italy cumulative]]))</f>
        <v>18526</v>
      </c>
      <c r="F93" s="10">
        <f>Tabella8[[#This Row],[region fit]]+Tabella8[[#This Row],[rest of Italy fit]]</f>
        <v>18569.133551064984</v>
      </c>
      <c r="G93" s="72">
        <f>Tabella8[[#This Row],[Italy sum of regions]]/K_sum</f>
        <v>7.9017589066310248E-2</v>
      </c>
      <c r="H93" s="10">
        <f>Tabella8[[#This Row],[Italy sum of regions]]*NOT(ISBLANK(Tabella8[[#This Row],[Italy cumulative]]))</f>
        <v>18569.133551064984</v>
      </c>
      <c r="I93" s="132">
        <f>MAX(Kt*(TANH(psi_t*(Tabella8[[#This Row],[Day]]-pt)-phi_t)+TANH(phi_t))/(1+TANH(phi_t)),0)</f>
        <v>18620.458420082512</v>
      </c>
      <c r="J93" s="109">
        <f>Tabella8[[#This Row],[Italy fit]]/Kt</f>
        <v>7.9235992762939494E-2</v>
      </c>
      <c r="K93" s="10">
        <f>Tabella8[[#This Row],[Italy fit]]*NOT(ISBLANK(Tabella8[[#This Row],[Italy cumulative]]))</f>
        <v>18620.458420082512</v>
      </c>
      <c r="L93" s="10">
        <f>Tabella8[[#This Row],[Italy sum of regions]]+CI</f>
        <v>21327.065916542902</v>
      </c>
      <c r="M93" s="10">
        <f>MAX(Tabella8[[#This Row],[Italy sum of regions]]-CI,0)</f>
        <v>15811.201185587064</v>
      </c>
      <c r="N93" s="57">
        <f t="shared" si="0"/>
        <v>540</v>
      </c>
      <c r="O93" s="10">
        <f>Tabella8[[#This Row],[region data]]*NOT(ISBLANK(Tabella8[[#This Row],[region data]]))</f>
        <v>540</v>
      </c>
      <c r="P93" s="107">
        <f>MAX(Kr*(TANH(psi_r*(Tabella8[[#This Row],[Day]]-pr)-phi_r)+TANH(phi_r))/(1+TANH(phi_r)),0)</f>
        <v>596.52176444625877</v>
      </c>
      <c r="Q93" s="107">
        <f>Tabella8[[#This Row],[region fit]]/Kr</f>
        <v>4.5342579732426162E-2</v>
      </c>
      <c r="R93" s="10">
        <f>Tabella8[[#This Row],[region fit]]*NOT(ISBLANK(Tabella8[[#This Row],[region data]]))</f>
        <v>596.52176444625877</v>
      </c>
      <c r="S93" s="10">
        <f>Tabella8[[#This Row],[region fit]]+CIr</f>
        <v>766.43248071238281</v>
      </c>
      <c r="T93" s="10">
        <f>MAX(Tabella8[[#This Row],[region fit]]-CIr,0)</f>
        <v>426.61104818013479</v>
      </c>
      <c r="U93" s="10">
        <f>Tabella8[[#This Row],[Italy cumulative]]-Tabella8[[#This Row],[region data]]</f>
        <v>17986</v>
      </c>
      <c r="V93" s="10">
        <f>Tabella8[[#This Row],[rest of Italy ]]*NOT(ISBLANK(Tabella8[[#This Row],[rest of Italy ]]))</f>
        <v>17986</v>
      </c>
      <c r="W93" s="108">
        <f>MAX(Ko*(TANH(psi_o*(Tabella8[[#This Row],[Day]]-po)-phi_o)+TANH(phi_o))/(1+TANH(phi_o)),0)</f>
        <v>17972.611786618727</v>
      </c>
      <c r="X93" s="108">
        <f>Tabella8[[#This Row],[rest of Italy fit]]/Ko</f>
        <v>8.1014597402698271E-2</v>
      </c>
      <c r="Y93" s="22">
        <f>Tabella8[[#This Row],[rest of Italy fit]]*NOT(ISBLANK(Tabella8[[#This Row],[rest of Italy ]]))</f>
        <v>17972.611786618727</v>
      </c>
      <c r="Z93" s="10">
        <f>Tabella8[[#This Row],[rest of Italy fit]]+CIo</f>
        <v>20786.583991403189</v>
      </c>
      <c r="AA93" s="10">
        <f>MAX(Tabella8[[#This Row],[rest of Italy fit]]-CIo,0)</f>
        <v>15158.639581834264</v>
      </c>
      <c r="AC93" s="55" t="s">
        <v>173</v>
      </c>
      <c r="AD93" s="87">
        <v>634</v>
      </c>
      <c r="AE93" s="87">
        <v>488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65"/>
      <c r="AY93" s="65"/>
      <c r="AZ93" s="79"/>
      <c r="BA93" s="32"/>
      <c r="BB93" s="32"/>
      <c r="BC93" s="79"/>
      <c r="BD93" s="68"/>
      <c r="BE93" s="68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'dpc-covid19-ita-andamento-naz'!J34+'dpc-covid19-ita-andamento-naz'!K34</f>
        <v>20084</v>
      </c>
      <c r="E94" s="10">
        <f>Tabella8[[#This Row],[Italy cumulative]]*NOT(ISBLANK(Tabella8[[#This Row],[Italy cumulative]]))</f>
        <v>20084</v>
      </c>
      <c r="F94" s="10">
        <f>Tabella8[[#This Row],[region fit]]+Tabella8[[#This Row],[rest of Italy fit]]</f>
        <v>20068.056384284446</v>
      </c>
      <c r="G94" s="72">
        <f>Tabella8[[#This Row],[Italy sum of regions]]/K_sum</f>
        <v>8.5395984059901758E-2</v>
      </c>
      <c r="H94" s="10">
        <f>Tabella8[[#This Row],[Italy sum of regions]]*NOT(ISBLANK(Tabella8[[#This Row],[Italy cumulative]]))</f>
        <v>20068.056384284446</v>
      </c>
      <c r="I94" s="132">
        <f>MAX(Kt*(TANH(psi_t*(Tabella8[[#This Row],[Day]]-pt)-phi_t)+TANH(phi_t))/(1+TANH(phi_t)),0)</f>
        <v>20122.601579114606</v>
      </c>
      <c r="J94" s="109">
        <f>Tabella8[[#This Row],[Italy fit]]/Kt</f>
        <v>8.5628091270546408E-2</v>
      </c>
      <c r="K94" s="10">
        <f>Tabella8[[#This Row],[Italy fit]]*NOT(ISBLANK(Tabella8[[#This Row],[Italy cumulative]]))</f>
        <v>20122.601579114606</v>
      </c>
      <c r="L94" s="10">
        <f>Tabella8[[#This Row],[Italy sum of regions]]+CI</f>
        <v>22825.988749762364</v>
      </c>
      <c r="M94" s="10">
        <f>MAX(Tabella8[[#This Row],[Italy sum of regions]]-CI,0)</f>
        <v>17310.124018806528</v>
      </c>
      <c r="N94" s="57">
        <f t="shared" si="0"/>
        <v>636</v>
      </c>
      <c r="O94" s="10">
        <f>Tabella8[[#This Row],[region data]]*NOT(ISBLANK(Tabella8[[#This Row],[region data]]))</f>
        <v>636</v>
      </c>
      <c r="P94" s="107">
        <f>MAX(Kr*(TANH(psi_r*(Tabella8[[#This Row],[Day]]-pr)-phi_r)+TANH(phi_r))/(1+TANH(phi_r)),0)</f>
        <v>668.82311995188422</v>
      </c>
      <c r="Q94" s="107">
        <f>Tabella8[[#This Row],[region fit]]/Kr</f>
        <v>5.0838322171630423E-2</v>
      </c>
      <c r="R94" s="10">
        <f>Tabella8[[#This Row],[region fit]]*NOT(ISBLANK(Tabella8[[#This Row],[region data]]))</f>
        <v>668.82311995188422</v>
      </c>
      <c r="S94" s="10">
        <f>Tabella8[[#This Row],[region fit]]+CIr</f>
        <v>838.73383621800826</v>
      </c>
      <c r="T94" s="10">
        <f>MAX(Tabella8[[#This Row],[region fit]]-CIr,0)</f>
        <v>498.91240368576024</v>
      </c>
      <c r="U94" s="10">
        <f>Tabella8[[#This Row],[Italy cumulative]]-Tabella8[[#This Row],[region data]]</f>
        <v>19448</v>
      </c>
      <c r="V94" s="10">
        <f>Tabella8[[#This Row],[rest of Italy ]]*NOT(ISBLANK(Tabella8[[#This Row],[rest of Italy ]]))</f>
        <v>19448</v>
      </c>
      <c r="W94" s="108">
        <f>MAX(Ko*(TANH(psi_o*(Tabella8[[#This Row],[Day]]-po)-phi_o)+TANH(phi_o))/(1+TANH(phi_o)),0)</f>
        <v>19399.233264332561</v>
      </c>
      <c r="X94" s="108">
        <f>Tabella8[[#This Row],[rest of Italy fit]]/Ko</f>
        <v>8.7445335797052298E-2</v>
      </c>
      <c r="Y94" s="22">
        <f>Tabella8[[#This Row],[rest of Italy fit]]*NOT(ISBLANK(Tabella8[[#This Row],[rest of Italy ]]))</f>
        <v>19399.233264332561</v>
      </c>
      <c r="Z94" s="10">
        <f>Tabella8[[#This Row],[rest of Italy fit]]+CIo</f>
        <v>22213.205469117023</v>
      </c>
      <c r="AA94" s="10">
        <f>MAX(Tabella8[[#This Row],[rest of Italy fit]]-CIo,0)</f>
        <v>16585.261059548098</v>
      </c>
      <c r="AC94" s="55" t="s">
        <v>174</v>
      </c>
      <c r="AD94" s="87">
        <v>700</v>
      </c>
      <c r="AE94" s="87">
        <v>519</v>
      </c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65"/>
      <c r="AY94" s="65"/>
      <c r="AZ94" s="79"/>
      <c r="BA94" s="32"/>
      <c r="BB94" s="32"/>
      <c r="BC94" s="79"/>
      <c r="BD94" s="68"/>
      <c r="BE94" s="68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'dpc-covid19-ita-andamento-naz'!J35+'dpc-covid19-ita-andamento-naz'!K35</f>
        <v>22407</v>
      </c>
      <c r="E95" s="10">
        <f>Tabella8[[#This Row],[Italy cumulative]]*NOT(ISBLANK(Tabella8[[#This Row],[Italy cumulative]]))</f>
        <v>22407</v>
      </c>
      <c r="F95" s="10">
        <f>Tabella8[[#This Row],[region fit]]+Tabella8[[#This Row],[rest of Italy fit]]</f>
        <v>21622.774880525831</v>
      </c>
      <c r="G95" s="72">
        <f>Tabella8[[#This Row],[Italy sum of regions]]/K_sum</f>
        <v>9.2011807405237525E-2</v>
      </c>
      <c r="H95" s="10">
        <f>Tabella8[[#This Row],[Italy sum of regions]]*NOT(ISBLANK(Tabella8[[#This Row],[Italy cumulative]]))</f>
        <v>21622.774880525831</v>
      </c>
      <c r="I95" s="132">
        <f>MAX(Kt*(TANH(psi_t*(Tabella8[[#This Row],[Day]]-pt)-phi_t)+TANH(phi_t))/(1+TANH(phi_t)),0)</f>
        <v>21680.238380000101</v>
      </c>
      <c r="J95" s="109">
        <f>Tabella8[[#This Row],[Italy fit]]/Kt</f>
        <v>9.2256332933444443E-2</v>
      </c>
      <c r="K95" s="10">
        <f>Tabella8[[#This Row],[Italy fit]]*NOT(ISBLANK(Tabella8[[#This Row],[Italy cumulative]]))</f>
        <v>21680.238380000101</v>
      </c>
      <c r="L95" s="10">
        <f>Tabella8[[#This Row],[Italy sum of regions]]+CI</f>
        <v>24380.707246003749</v>
      </c>
      <c r="M95" s="10">
        <f>MAX(Tabella8[[#This Row],[Italy sum of regions]]-CI,0)</f>
        <v>18864.842515047912</v>
      </c>
      <c r="N95" s="57">
        <f t="shared" si="0"/>
        <v>736</v>
      </c>
      <c r="O95" s="10">
        <f>Tabella8[[#This Row],[region data]]*NOT(ISBLANK(Tabella8[[#This Row],[region data]]))</f>
        <v>736</v>
      </c>
      <c r="P95" s="107">
        <f>MAX(Kr*(TANH(psi_r*(Tabella8[[#This Row],[Day]]-pr)-phi_r)+TANH(phi_r))/(1+TANH(phi_r)),0)</f>
        <v>743.21761438747058</v>
      </c>
      <c r="Q95" s="107">
        <f>Tabella8[[#This Row],[region fit]]/Kr</f>
        <v>5.6493167470913729E-2</v>
      </c>
      <c r="R95" s="10">
        <f>Tabella8[[#This Row],[region fit]]*NOT(ISBLANK(Tabella8[[#This Row],[region data]]))</f>
        <v>743.21761438747058</v>
      </c>
      <c r="S95" s="10">
        <f>Tabella8[[#This Row],[region fit]]+CIr</f>
        <v>913.1283306535945</v>
      </c>
      <c r="T95" s="10">
        <f>MAX(Tabella8[[#This Row],[region fit]]-CIr,0)</f>
        <v>573.30689812134665</v>
      </c>
      <c r="U95" s="10">
        <f>Tabella8[[#This Row],[Italy cumulative]]-Tabella8[[#This Row],[region data]]</f>
        <v>21671</v>
      </c>
      <c r="V95" s="10">
        <f>Tabella8[[#This Row],[rest of Italy ]]*NOT(ISBLANK(Tabella8[[#This Row],[rest of Italy ]]))</f>
        <v>21671</v>
      </c>
      <c r="W95" s="108">
        <f>MAX(Ko*(TANH(psi_o*(Tabella8[[#This Row],[Day]]-po)-phi_o)+TANH(phi_o))/(1+TANH(phi_o)),0)</f>
        <v>20879.557266138359</v>
      </c>
      <c r="X95" s="108">
        <f>Tabella8[[#This Row],[rest of Italy fit]]/Ko</f>
        <v>9.4118147431538207E-2</v>
      </c>
      <c r="Y95" s="22">
        <f>Tabella8[[#This Row],[rest of Italy fit]]*NOT(ISBLANK(Tabella8[[#This Row],[rest of Italy ]]))</f>
        <v>20879.557266138359</v>
      </c>
      <c r="Z95" s="10">
        <f>Tabella8[[#This Row],[rest of Italy fit]]+CIo</f>
        <v>23693.529470922822</v>
      </c>
      <c r="AA95" s="10">
        <f>MAX(Tabella8[[#This Row],[rest of Italy fit]]-CIo,0)</f>
        <v>18065.585061353897</v>
      </c>
      <c r="AC95" s="55" t="s">
        <v>175</v>
      </c>
      <c r="AD95" s="87">
        <v>767</v>
      </c>
      <c r="AE95" s="87">
        <v>542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65"/>
      <c r="AY95" s="65"/>
      <c r="AZ95" s="79"/>
      <c r="BA95" s="32"/>
      <c r="BB95" s="32"/>
      <c r="BC95" s="79"/>
      <c r="BD95" s="68"/>
      <c r="BE95" s="68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'dpc-covid19-ita-andamento-naz'!J36+'dpc-covid19-ita-andamento-naz'!K36</f>
        <v>23809</v>
      </c>
      <c r="E96" s="10">
        <f>Tabella8[[#This Row],[Italy cumulative]]*NOT(ISBLANK(Tabella8[[#This Row],[Italy cumulative]]))</f>
        <v>23809</v>
      </c>
      <c r="F96" s="10">
        <f>Tabella8[[#This Row],[region fit]]+Tabella8[[#This Row],[rest of Italy fit]]</f>
        <v>23234.348554755386</v>
      </c>
      <c r="G96" s="72">
        <f>Tabella8[[#This Row],[Italy sum of regions]]/K_sum</f>
        <v>9.8869567676612785E-2</v>
      </c>
      <c r="H96" s="10">
        <f>Tabella8[[#This Row],[Italy sum of regions]]*NOT(ISBLANK(Tabella8[[#This Row],[Italy cumulative]]))</f>
        <v>23234.348554755386</v>
      </c>
      <c r="I96" s="132">
        <f>MAX(Kt*(TANH(psi_t*(Tabella8[[#This Row],[Day]]-pt)-phi_t)+TANH(phi_t))/(1+TANH(phi_t)),0)</f>
        <v>23294.402851245672</v>
      </c>
      <c r="J96" s="109">
        <f>Tabella8[[#This Row],[Italy fit]]/Kt</f>
        <v>9.9125117872910035E-2</v>
      </c>
      <c r="K96" s="10">
        <f>Tabella8[[#This Row],[Italy fit]]*NOT(ISBLANK(Tabella8[[#This Row],[Italy cumulative]]))</f>
        <v>23294.402851245672</v>
      </c>
      <c r="L96" s="10">
        <f>Tabella8[[#This Row],[Italy sum of regions]]+CI</f>
        <v>25992.280920233305</v>
      </c>
      <c r="M96" s="10">
        <f>MAX(Tabella8[[#This Row],[Italy sum of regions]]-CI,0)</f>
        <v>20476.416189277468</v>
      </c>
      <c r="N96" s="57">
        <f t="shared" si="0"/>
        <v>797</v>
      </c>
      <c r="O96" s="10">
        <f>Tabella8[[#This Row],[region data]]*NOT(ISBLANK(Tabella8[[#This Row],[region data]]))</f>
        <v>797</v>
      </c>
      <c r="P96" s="107">
        <f>MAX(Kr*(TANH(psi_r*(Tabella8[[#This Row],[Day]]-pr)-phi_r)+TANH(phi_r))/(1+TANH(phi_r)),0)</f>
        <v>819.73445923514714</v>
      </c>
      <c r="Q96" s="107">
        <f>Tabella8[[#This Row],[region fit]]/Kr</f>
        <v>6.2309336042064033E-2</v>
      </c>
      <c r="R96" s="10">
        <f>Tabella8[[#This Row],[region fit]]*NOT(ISBLANK(Tabella8[[#This Row],[region data]]))</f>
        <v>819.73445923514714</v>
      </c>
      <c r="S96" s="10">
        <f>Tabella8[[#This Row],[region fit]]+CIr</f>
        <v>989.64517550127107</v>
      </c>
      <c r="T96" s="10">
        <f>MAX(Tabella8[[#This Row],[region fit]]-CIr,0)</f>
        <v>649.82374296902321</v>
      </c>
      <c r="U96" s="10">
        <f>Tabella8[[#This Row],[Italy cumulative]]-Tabella8[[#This Row],[region data]]</f>
        <v>23012</v>
      </c>
      <c r="V96" s="10">
        <f>Tabella8[[#This Row],[rest of Italy ]]*NOT(ISBLANK(Tabella8[[#This Row],[rest of Italy ]]))</f>
        <v>23012</v>
      </c>
      <c r="W96" s="108">
        <f>MAX(Ko*(TANH(psi_o*(Tabella8[[#This Row],[Day]]-po)-phi_o)+TANH(phi_o))/(1+TANH(phi_o)),0)</f>
        <v>22414.614095520239</v>
      </c>
      <c r="X96" s="108">
        <f>Tabella8[[#This Row],[rest of Italy fit]]/Ko</f>
        <v>0.10103767657394296</v>
      </c>
      <c r="Y96" s="22">
        <f>Tabella8[[#This Row],[rest of Italy fit]]*NOT(ISBLANK(Tabella8[[#This Row],[rest of Italy ]]))</f>
        <v>22414.614095520239</v>
      </c>
      <c r="Z96" s="10">
        <f>Tabella8[[#This Row],[rest of Italy fit]]+CIo</f>
        <v>25228.586300304702</v>
      </c>
      <c r="AA96" s="10">
        <f>MAX(Tabella8[[#This Row],[rest of Italy fit]]-CIo,0)</f>
        <v>19600.641890735777</v>
      </c>
      <c r="AC96" s="55" t="s">
        <v>176</v>
      </c>
      <c r="AD96" s="87">
        <v>800</v>
      </c>
      <c r="AE96" s="87">
        <v>556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65"/>
      <c r="AY96" s="65"/>
      <c r="AZ96" s="79"/>
      <c r="BA96" s="32"/>
      <c r="BB96" s="32"/>
      <c r="BC96" s="79"/>
      <c r="BD96" s="81"/>
      <c r="BE96" s="68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'dpc-covid19-ita-andamento-naz'!J37+'dpc-covid19-ita-andamento-naz'!K37</f>
        <v>26211</v>
      </c>
      <c r="E97" s="10">
        <f>Tabella8[[#This Row],[Italy cumulative]]*NOT(ISBLANK(Tabella8[[#This Row],[Italy cumulative]]))</f>
        <v>26211</v>
      </c>
      <c r="F97" s="10">
        <f>Tabella8[[#This Row],[region fit]]+Tabella8[[#This Row],[rest of Italy fit]]</f>
        <v>24903.763264309178</v>
      </c>
      <c r="G97" s="72">
        <f>Tabella8[[#This Row],[Italy sum of regions]]/K_sum</f>
        <v>0.10597346001160057</v>
      </c>
      <c r="H97" s="10">
        <f>Tabella8[[#This Row],[Italy sum of regions]]*NOT(ISBLANK(Tabella8[[#This Row],[Italy cumulative]]))</f>
        <v>24903.763264309178</v>
      </c>
      <c r="I97" s="132">
        <f>MAX(Kt*(TANH(psi_t*(Tabella8[[#This Row],[Day]]-pt)-phi_t)+TANH(phi_t))/(1+TANH(phi_t)),0)</f>
        <v>24966.055972823433</v>
      </c>
      <c r="J97" s="109">
        <f>Tabella8[[#This Row],[Italy fit]]/Kt</f>
        <v>0.10623853536539375</v>
      </c>
      <c r="K97" s="10">
        <f>Tabella8[[#This Row],[Italy fit]]*NOT(ISBLANK(Tabella8[[#This Row],[Italy cumulative]]))</f>
        <v>24966.055972823433</v>
      </c>
      <c r="L97" s="10">
        <f>Tabella8[[#This Row],[Italy sum of regions]]+CI</f>
        <v>27661.695629787097</v>
      </c>
      <c r="M97" s="10">
        <f>MAX(Tabella8[[#This Row],[Italy sum of regions]]-CI,0)</f>
        <v>22145.83089883126</v>
      </c>
      <c r="N97" s="57">
        <f t="shared" si="0"/>
        <v>834</v>
      </c>
      <c r="O97" s="10">
        <f>Tabella8[[#This Row],[region data]]*NOT(ISBLANK(Tabella8[[#This Row],[region data]]))</f>
        <v>834</v>
      </c>
      <c r="P97" s="107">
        <f>MAX(Kr*(TANH(psi_r*(Tabella8[[#This Row],[Day]]-pr)-phi_r)+TANH(phi_r))/(1+TANH(phi_r)),0)</f>
        <v>898.40101400151593</v>
      </c>
      <c r="Q97" s="107">
        <f>Tabella8[[#This Row],[region fit]]/Kr</f>
        <v>6.8288907525227746E-2</v>
      </c>
      <c r="R97" s="10">
        <f>Tabella8[[#This Row],[region fit]]*NOT(ISBLANK(Tabella8[[#This Row],[region data]]))</f>
        <v>898.40101400151593</v>
      </c>
      <c r="S97" s="10">
        <f>Tabella8[[#This Row],[region fit]]+CIr</f>
        <v>1068.3117302676399</v>
      </c>
      <c r="T97" s="10">
        <f>MAX(Tabella8[[#This Row],[region fit]]-CIr,0)</f>
        <v>728.49029773539201</v>
      </c>
      <c r="U97" s="10">
        <f>Tabella8[[#This Row],[Italy cumulative]]-Tabella8[[#This Row],[region data]]</f>
        <v>25377</v>
      </c>
      <c r="V97" s="10">
        <f>Tabella8[[#This Row],[rest of Italy ]]*NOT(ISBLANK(Tabella8[[#This Row],[rest of Italy ]]))</f>
        <v>25377</v>
      </c>
      <c r="W97" s="108">
        <f>MAX(Ko*(TANH(psi_o*(Tabella8[[#This Row],[Day]]-po)-phi_o)+TANH(phi_o))/(1+TANH(phi_o)),0)</f>
        <v>24005.362250307662</v>
      </c>
      <c r="X97" s="108">
        <f>Tabella8[[#This Row],[rest of Italy fit]]/Ko</f>
        <v>0.10820824381588047</v>
      </c>
      <c r="Y97" s="22">
        <f>Tabella8[[#This Row],[rest of Italy fit]]*NOT(ISBLANK(Tabella8[[#This Row],[rest of Italy ]]))</f>
        <v>24005.362250307662</v>
      </c>
      <c r="Z97" s="10">
        <f>Tabella8[[#This Row],[rest of Italy fit]]+CIo</f>
        <v>26819.334455092125</v>
      </c>
      <c r="AA97" s="10">
        <f>MAX(Tabella8[[#This Row],[rest of Italy fit]]-CIo,0)</f>
        <v>21191.3900455232</v>
      </c>
      <c r="AC97" s="55" t="s">
        <v>177</v>
      </c>
      <c r="AD97" s="87">
        <v>837</v>
      </c>
      <c r="AE97" s="87">
        <v>595</v>
      </c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65"/>
      <c r="AY97" s="65"/>
      <c r="AZ97"/>
      <c r="BA97" s="32"/>
      <c r="BB97" s="32"/>
      <c r="BC97"/>
      <c r="BD97" s="81"/>
      <c r="BE97" s="68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'dpc-covid19-ita-andamento-naz'!J38+'dpc-covid19-ita-andamento-naz'!K38</f>
        <v>28157</v>
      </c>
      <c r="E98" s="10">
        <f>Tabella8[[#This Row],[Italy cumulative]]*NOT(ISBLANK(Tabella8[[#This Row],[Italy cumulative]]))</f>
        <v>28157</v>
      </c>
      <c r="F98" s="10">
        <f>Tabella8[[#This Row],[region fit]]+Tabella8[[#This Row],[rest of Italy fit]]</f>
        <v>26631.921737257591</v>
      </c>
      <c r="G98" s="72">
        <f>Tabella8[[#This Row],[Italy sum of regions]]/K_sum</f>
        <v>0.11332732580622018</v>
      </c>
      <c r="H98" s="10">
        <f>Tabella8[[#This Row],[Italy sum of regions]]*NOT(ISBLANK(Tabella8[[#This Row],[Italy cumulative]]))</f>
        <v>26631.921737257591</v>
      </c>
      <c r="I98" s="132">
        <f>MAX(Kt*(TANH(psi_t*(Tabella8[[#This Row],[Day]]-pt)-phi_t)+TANH(phi_t))/(1+TANH(phi_t)),0)</f>
        <v>26696.07649652844</v>
      </c>
      <c r="J98" s="109">
        <f>Tabella8[[#This Row],[Italy fit]]/Kt</f>
        <v>0.11360032478021199</v>
      </c>
      <c r="K98" s="10">
        <f>Tabella8[[#This Row],[Italy fit]]*NOT(ISBLANK(Tabella8[[#This Row],[Italy cumulative]]))</f>
        <v>26696.07649652844</v>
      </c>
      <c r="L98" s="10">
        <f>Tabella8[[#This Row],[Italy sum of regions]]+CI</f>
        <v>29389.85410273551</v>
      </c>
      <c r="M98" s="10">
        <f>MAX(Tabella8[[#This Row],[Italy sum of regions]]-CI,0)</f>
        <v>23873.989371779673</v>
      </c>
      <c r="N98" s="57">
        <f t="shared" si="0"/>
        <v>908</v>
      </c>
      <c r="O98" s="10">
        <f>Tabella8[[#This Row],[region data]]*NOT(ISBLANK(Tabella8[[#This Row],[region data]]))</f>
        <v>908</v>
      </c>
      <c r="P98" s="107">
        <f>MAX(Kr*(TANH(psi_r*(Tabella8[[#This Row],[Day]]-pr)-phi_r)+TANH(phi_r))/(1+TANH(phi_r)),0)</f>
        <v>979.24261055032537</v>
      </c>
      <c r="Q98" s="107">
        <f>Tabella8[[#This Row],[region fit]]/Kr</f>
        <v>7.4433807436153382E-2</v>
      </c>
      <c r="R98" s="10">
        <f>Tabella8[[#This Row],[region fit]]*NOT(ISBLANK(Tabella8[[#This Row],[region data]]))</f>
        <v>979.24261055032537</v>
      </c>
      <c r="S98" s="10">
        <f>Tabella8[[#This Row],[region fit]]+CIr</f>
        <v>1149.1533268164494</v>
      </c>
      <c r="T98" s="10">
        <f>MAX(Tabella8[[#This Row],[region fit]]-CIr,0)</f>
        <v>809.33189428420133</v>
      </c>
      <c r="U98" s="10">
        <f>Tabella8[[#This Row],[Italy cumulative]]-Tabella8[[#This Row],[region data]]</f>
        <v>27249</v>
      </c>
      <c r="V98" s="10">
        <f>Tabella8[[#This Row],[rest of Italy ]]*NOT(ISBLANK(Tabella8[[#This Row],[rest of Italy ]]))</f>
        <v>27249</v>
      </c>
      <c r="W98" s="108">
        <f>MAX(Ko*(TANH(psi_o*(Tabella8[[#This Row],[Day]]-po)-phi_o)+TANH(phi_o))/(1+TANH(phi_o)),0)</f>
        <v>25652.679126707266</v>
      </c>
      <c r="X98" s="108">
        <f>Tabella8[[#This Row],[rest of Italy fit]]/Ko</f>
        <v>0.11563380416963762</v>
      </c>
      <c r="Y98" s="22">
        <f>Tabella8[[#This Row],[rest of Italy fit]]*NOT(ISBLANK(Tabella8[[#This Row],[rest of Italy ]]))</f>
        <v>25652.679126707266</v>
      </c>
      <c r="Z98" s="10">
        <f>Tabella8[[#This Row],[rest of Italy fit]]+CIo</f>
        <v>28466.651331491728</v>
      </c>
      <c r="AA98" s="10">
        <f>MAX(Tabella8[[#This Row],[rest of Italy fit]]-CIo,0)</f>
        <v>22838.706921922803</v>
      </c>
      <c r="AC98" s="55" t="s">
        <v>178</v>
      </c>
      <c r="AD98" s="87">
        <v>925</v>
      </c>
      <c r="AE98" s="87">
        <v>620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65"/>
      <c r="AY98" s="65"/>
      <c r="AZ98"/>
      <c r="BA98" s="32"/>
      <c r="BB98" s="32"/>
      <c r="BC98"/>
      <c r="BD98" s="81"/>
      <c r="BE98" s="6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'dpc-covid19-ita-andamento-naz'!J39+'dpc-covid19-ita-andamento-naz'!K39</f>
        <v>30002</v>
      </c>
      <c r="E99" s="10">
        <f>Tabella8[[#This Row],[Italy cumulative]]*NOT(ISBLANK(Tabella8[[#This Row],[Italy cumulative]]))</f>
        <v>30002</v>
      </c>
      <c r="F99" s="10">
        <f>Tabella8[[#This Row],[region fit]]+Tabella8[[#This Row],[rest of Italy fit]]</f>
        <v>28419.633815037767</v>
      </c>
      <c r="G99" s="72">
        <f>Tabella8[[#This Row],[Italy sum of regions]]/K_sum</f>
        <v>0.12093461119422429</v>
      </c>
      <c r="H99" s="10">
        <f>Tabella8[[#This Row],[Italy sum of regions]]*NOT(ISBLANK(Tabella8[[#This Row],[Italy cumulative]]))</f>
        <v>28419.633815037767</v>
      </c>
      <c r="I99" s="132">
        <f>MAX(Kt*(TANH(psi_t*(Tabella8[[#This Row],[Day]]-pt)-phi_t)+TANH(phi_t))/(1+TANH(phi_t)),0)</f>
        <v>28485.251500457278</v>
      </c>
      <c r="J99" s="109">
        <f>Tabella8[[#This Row],[Italy fit]]/Kt</f>
        <v>0.12121383538583916</v>
      </c>
      <c r="K99" s="10">
        <f>Tabella8[[#This Row],[Italy fit]]*NOT(ISBLANK(Tabella8[[#This Row],[Italy cumulative]]))</f>
        <v>28485.251500457278</v>
      </c>
      <c r="L99" s="10">
        <f>Tabella8[[#This Row],[Italy sum of regions]]+CI</f>
        <v>31177.566180515685</v>
      </c>
      <c r="M99" s="10">
        <f>MAX(Tabella8[[#This Row],[Italy sum of regions]]-CI,0)</f>
        <v>25661.701449559849</v>
      </c>
      <c r="N99" s="57">
        <f t="shared" si="0"/>
        <v>1015</v>
      </c>
      <c r="O99" s="10">
        <f>Tabella8[[#This Row],[region data]]*NOT(ISBLANK(Tabella8[[#This Row],[region data]]))</f>
        <v>1015</v>
      </c>
      <c r="P99" s="107">
        <f>MAX(Kr*(TANH(psi_r*(Tabella8[[#This Row],[Day]]-pr)-phi_r)+TANH(phi_r))/(1+TANH(phi_r)),0)</f>
        <v>1062.2823737383162</v>
      </c>
      <c r="Q99" s="107">
        <f>Tabella8[[#This Row],[region fit]]/Kr</f>
        <v>8.0745793532433482E-2</v>
      </c>
      <c r="R99" s="10">
        <f>Tabella8[[#This Row],[region fit]]*NOT(ISBLANK(Tabella8[[#This Row],[region data]]))</f>
        <v>1062.2823737383162</v>
      </c>
      <c r="S99" s="10">
        <f>Tabella8[[#This Row],[region fit]]+CIr</f>
        <v>1232.1930900044401</v>
      </c>
      <c r="T99" s="10">
        <f>MAX(Tabella8[[#This Row],[region fit]]-CIr,0)</f>
        <v>892.37165747219228</v>
      </c>
      <c r="U99" s="10">
        <f>Tabella8[[#This Row],[Italy cumulative]]-Tabella8[[#This Row],[region data]]</f>
        <v>28987</v>
      </c>
      <c r="V99" s="10">
        <f>Tabella8[[#This Row],[rest of Italy ]]*NOT(ISBLANK(Tabella8[[#This Row],[rest of Italy ]]))</f>
        <v>28987</v>
      </c>
      <c r="W99" s="108">
        <f>MAX(Ko*(TANH(psi_o*(Tabella8[[#This Row],[Day]]-po)-phi_o)+TANH(phi_o))/(1+TANH(phi_o)),0)</f>
        <v>27357.351441299452</v>
      </c>
      <c r="X99" s="108">
        <f>Tabella8[[#This Row],[rest of Italy fit]]/Ko</f>
        <v>0.12331790389369857</v>
      </c>
      <c r="Y99" s="22">
        <f>Tabella8[[#This Row],[rest of Italy fit]]*NOT(ISBLANK(Tabella8[[#This Row],[rest of Italy ]]))</f>
        <v>27357.351441299452</v>
      </c>
      <c r="Z99" s="10">
        <f>Tabella8[[#This Row],[rest of Italy fit]]+CIo</f>
        <v>30171.323646083914</v>
      </c>
      <c r="AA99" s="10">
        <f>MAX(Tabella8[[#This Row],[rest of Italy fit]]-CIo,0)</f>
        <v>24543.379236514989</v>
      </c>
      <c r="AC99" s="55" t="s">
        <v>179</v>
      </c>
      <c r="AD99" s="87">
        <v>1007</v>
      </c>
      <c r="AE99" s="87">
        <v>654</v>
      </c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65"/>
      <c r="AY99" s="65"/>
      <c r="AZ99"/>
      <c r="BA99" s="32"/>
      <c r="BB99" s="32"/>
      <c r="BC99"/>
      <c r="BD99" s="81"/>
      <c r="BE99" s="68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'dpc-covid19-ita-andamento-naz'!J40+'dpc-covid19-ita-andamento-naz'!K40</f>
        <v>32193</v>
      </c>
      <c r="E100" s="10">
        <f>Tabella8[[#This Row],[Italy cumulative]]*NOT(ISBLANK(Tabella8[[#This Row],[Italy cumulative]]))</f>
        <v>32193</v>
      </c>
      <c r="F100" s="10">
        <f>Tabella8[[#This Row],[region fit]]+Tabella8[[#This Row],[rest of Italy fit]]</f>
        <v>30267.606469172108</v>
      </c>
      <c r="G100" s="72">
        <f>Tabella8[[#This Row],[Italy sum of regions]]/K_sum</f>
        <v>0.12879832456505044</v>
      </c>
      <c r="H100" s="10">
        <f>Tabella8[[#This Row],[Italy sum of regions]]*NOT(ISBLANK(Tabella8[[#This Row],[Italy cumulative]]))</f>
        <v>30267.606469172108</v>
      </c>
      <c r="I100" s="132">
        <f>MAX(Kt*(TANH(psi_t*(Tabella8[[#This Row],[Day]]-pt)-phi_t)+TANH(phi_t))/(1+TANH(phi_t)),0)</f>
        <v>30334.266735034074</v>
      </c>
      <c r="J100" s="109">
        <f>Tabella8[[#This Row],[Italy fit]]/Kt</f>
        <v>0.12908198526916748</v>
      </c>
      <c r="K100" s="10">
        <f>Tabella8[[#This Row],[Italy fit]]*NOT(ISBLANK(Tabella8[[#This Row],[Italy cumulative]]))</f>
        <v>30334.266735034074</v>
      </c>
      <c r="L100" s="10">
        <f>Tabella8[[#This Row],[Italy sum of regions]]+CI</f>
        <v>33025.538834650026</v>
      </c>
      <c r="M100" s="10">
        <f>MAX(Tabella8[[#This Row],[Italy sum of regions]]-CI,0)</f>
        <v>27509.674103694189</v>
      </c>
      <c r="N100" s="57">
        <f t="shared" si="0"/>
        <v>1122</v>
      </c>
      <c r="O100" s="10">
        <f>Tabella8[[#This Row],[region data]]*NOT(ISBLANK(Tabella8[[#This Row],[region data]]))</f>
        <v>1122</v>
      </c>
      <c r="P100" s="107">
        <f>MAX(Kr*(TANH(psi_r*(Tabella8[[#This Row],[Day]]-pr)-phi_r)+TANH(phi_r))/(1+TANH(phi_r)),0)</f>
        <v>1147.5410390720715</v>
      </c>
      <c r="Q100" s="107">
        <f>Tabella8[[#This Row],[region fit]]/Kr</f>
        <v>8.7226441953308184E-2</v>
      </c>
      <c r="R100" s="10">
        <f>Tabella8[[#This Row],[region fit]]*NOT(ISBLANK(Tabella8[[#This Row],[region data]]))</f>
        <v>1147.5410390720715</v>
      </c>
      <c r="S100" s="10">
        <f>Tabella8[[#This Row],[region fit]]+CIr</f>
        <v>1317.4517553381954</v>
      </c>
      <c r="T100" s="10">
        <f>MAX(Tabella8[[#This Row],[region fit]]-CIr,0)</f>
        <v>977.63032280594757</v>
      </c>
      <c r="U100" s="10">
        <f>Tabella8[[#This Row],[Italy cumulative]]-Tabella8[[#This Row],[region data]]</f>
        <v>31071</v>
      </c>
      <c r="V100" s="10">
        <f>Tabella8[[#This Row],[rest of Italy ]]*NOT(ISBLANK(Tabella8[[#This Row],[rest of Italy ]]))</f>
        <v>31071</v>
      </c>
      <c r="W100" s="108">
        <f>MAX(Ko*(TANH(psi_o*(Tabella8[[#This Row],[Day]]-po)-phi_o)+TANH(phi_o))/(1+TANH(phi_o)),0)</f>
        <v>29120.065430100036</v>
      </c>
      <c r="X100" s="108">
        <f>Tabella8[[#This Row],[rest of Italy fit]]/Ko</f>
        <v>0.13126363631335211</v>
      </c>
      <c r="Y100" s="22">
        <f>Tabella8[[#This Row],[rest of Italy fit]]*NOT(ISBLANK(Tabella8[[#This Row],[rest of Italy ]]))</f>
        <v>29120.065430100036</v>
      </c>
      <c r="Z100" s="10">
        <f>Tabella8[[#This Row],[rest of Italy fit]]+CIo</f>
        <v>31934.037634884498</v>
      </c>
      <c r="AA100" s="10">
        <f>MAX(Tabella8[[#This Row],[rest of Italy fit]]-CIo,0)</f>
        <v>26306.093225315573</v>
      </c>
      <c r="AC100" s="55" t="s">
        <v>180</v>
      </c>
      <c r="AD100" s="87">
        <v>1085</v>
      </c>
      <c r="AE100" s="87">
        <v>682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65"/>
      <c r="AY100" s="65"/>
      <c r="AZ100"/>
      <c r="BA100" s="32"/>
      <c r="BB100" s="32"/>
      <c r="BC100"/>
      <c r="BD100" s="81"/>
      <c r="BE100" s="68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'dpc-covid19-ita-andamento-naz'!J41+'dpc-covid19-ita-andamento-naz'!K41</f>
        <v>34439</v>
      </c>
      <c r="E101" s="10">
        <f>Tabella8[[#This Row],[Italy cumulative]]*NOT(ISBLANK(Tabella8[[#This Row],[Italy cumulative]]))</f>
        <v>34439</v>
      </c>
      <c r="F101" s="10">
        <f>Tabella8[[#This Row],[region fit]]+Tabella8[[#This Row],[rest of Italy fit]]</f>
        <v>32176.433661451116</v>
      </c>
      <c r="G101" s="72">
        <f>Tabella8[[#This Row],[Italy sum of regions]]/K_sum</f>
        <v>0.13692099341566305</v>
      </c>
      <c r="H101" s="10">
        <f>Tabella8[[#This Row],[Italy sum of regions]]*NOT(ISBLANK(Tabella8[[#This Row],[Italy cumulative]]))</f>
        <v>32176.433661451116</v>
      </c>
      <c r="I101" s="132">
        <f>MAX(Kt*(TANH(psi_t*(Tabella8[[#This Row],[Day]]-pt)-phi_t)+TANH(phi_t))/(1+TANH(phi_t)),0)</f>
        <v>32243.696826918273</v>
      </c>
      <c r="J101" s="109">
        <f>Tabella8[[#This Row],[Italy fit]]/Kt</f>
        <v>0.13720721965000848</v>
      </c>
      <c r="K101" s="10">
        <f>Tabella8[[#This Row],[Italy fit]]*NOT(ISBLANK(Tabella8[[#This Row],[Italy cumulative]]))</f>
        <v>32243.696826918273</v>
      </c>
      <c r="L101" s="10">
        <f>Tabella8[[#This Row],[Italy sum of regions]]+CI</f>
        <v>34934.366026929034</v>
      </c>
      <c r="M101" s="10">
        <f>MAX(Tabella8[[#This Row],[Italy sum of regions]]-CI,0)</f>
        <v>29418.501295973198</v>
      </c>
      <c r="N101" s="57">
        <f t="shared" si="0"/>
        <v>1219</v>
      </c>
      <c r="O101" s="10">
        <f>Tabella8[[#This Row],[region data]]*NOT(ISBLANK(Tabella8[[#This Row],[region data]]))</f>
        <v>1219</v>
      </c>
      <c r="P101" s="107">
        <f>MAX(Kr*(TANH(psi_r*(Tabella8[[#This Row],[Day]]-pr)-phi_r)+TANH(phi_r))/(1+TANH(phi_r)),0)</f>
        <v>1235.0367681893113</v>
      </c>
      <c r="Q101" s="107">
        <f>Tabella8[[#This Row],[region fit]]/Kr</f>
        <v>9.3877133194101334E-2</v>
      </c>
      <c r="R101" s="10">
        <f>Tabella8[[#This Row],[region fit]]*NOT(ISBLANK(Tabella8[[#This Row],[region data]]))</f>
        <v>1235.0367681893113</v>
      </c>
      <c r="S101" s="10">
        <f>Tabella8[[#This Row],[region fit]]+CIr</f>
        <v>1404.9474844554352</v>
      </c>
      <c r="T101" s="10">
        <f>MAX(Tabella8[[#This Row],[region fit]]-CIr,0)</f>
        <v>1065.1260519231873</v>
      </c>
      <c r="U101" s="10">
        <f>Tabella8[[#This Row],[Italy cumulative]]-Tabella8[[#This Row],[region data]]</f>
        <v>33220</v>
      </c>
      <c r="V101" s="10">
        <f>Tabella8[[#This Row],[rest of Italy ]]*NOT(ISBLANK(Tabella8[[#This Row],[rest of Italy ]]))</f>
        <v>33220</v>
      </c>
      <c r="W101" s="108">
        <f>MAX(Ko*(TANH(psi_o*(Tabella8[[#This Row],[Day]]-po)-phi_o)+TANH(phi_o))/(1+TANH(phi_o)),0)</f>
        <v>30941.396893261805</v>
      </c>
      <c r="X101" s="108">
        <f>Tabella8[[#This Row],[rest of Italy fit]]/Ko</f>
        <v>0.13947359694549449</v>
      </c>
      <c r="Y101" s="22">
        <f>Tabella8[[#This Row],[rest of Italy fit]]*NOT(ISBLANK(Tabella8[[#This Row],[rest of Italy ]]))</f>
        <v>30941.396893261805</v>
      </c>
      <c r="Z101" s="10">
        <f>Tabella8[[#This Row],[rest of Italy fit]]+CIo</f>
        <v>33755.369098046271</v>
      </c>
      <c r="AA101" s="10">
        <f>MAX(Tabella8[[#This Row],[rest of Italy fit]]-CIo,0)</f>
        <v>28127.424688477342</v>
      </c>
      <c r="AC101" s="55" t="s">
        <v>181</v>
      </c>
      <c r="AD101" s="87">
        <v>1181</v>
      </c>
      <c r="AE101" s="87">
        <v>709</v>
      </c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65"/>
      <c r="AY101" s="65"/>
      <c r="AZ101"/>
      <c r="BA101" s="32"/>
      <c r="BB101" s="32"/>
      <c r="BC101"/>
      <c r="BD101" s="81"/>
      <c r="BE101" s="68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'dpc-covid19-ita-andamento-naz'!J42+'dpc-covid19-ita-andamento-naz'!K42</f>
        <v>36358</v>
      </c>
      <c r="E102" s="10">
        <f>Tabella8[[#This Row],[Italy cumulative]]*NOT(ISBLANK(Tabella8[[#This Row],[Italy cumulative]]))</f>
        <v>36358</v>
      </c>
      <c r="F102" s="10">
        <f>Tabella8[[#This Row],[region fit]]+Tabella8[[#This Row],[rest of Italy fit]]</f>
        <v>34146.58612663333</v>
      </c>
      <c r="G102" s="72">
        <f>Tabella8[[#This Row],[Italy sum of regions]]/K_sum</f>
        <v>0.14530462087268126</v>
      </c>
      <c r="H102" s="10">
        <f>Tabella8[[#This Row],[Italy sum of regions]]*NOT(ISBLANK(Tabella8[[#This Row],[Italy cumulative]]))</f>
        <v>34146.58612663333</v>
      </c>
      <c r="I102" s="132">
        <f>MAX(Kt*(TANH(psi_t*(Tabella8[[#This Row],[Day]]-pt)-phi_t)+TANH(phi_t))/(1+TANH(phi_t)),0)</f>
        <v>34213.995416125072</v>
      </c>
      <c r="J102" s="109">
        <f>Tabella8[[#This Row],[Italy fit]]/Kt</f>
        <v>0.1455914689113931</v>
      </c>
      <c r="K102" s="10">
        <f>Tabella8[[#This Row],[Italy fit]]*NOT(ISBLANK(Tabella8[[#This Row],[Italy cumulative]]))</f>
        <v>34213.995416125072</v>
      </c>
      <c r="L102" s="10">
        <f>Tabella8[[#This Row],[Italy sum of regions]]+CI</f>
        <v>36904.518492111252</v>
      </c>
      <c r="M102" s="10">
        <f>MAX(Tabella8[[#This Row],[Italy sum of regions]]-CI,0)</f>
        <v>31388.653761155412</v>
      </c>
      <c r="N102" s="57">
        <f t="shared" si="0"/>
        <v>1309</v>
      </c>
      <c r="O102" s="10">
        <f>Tabella8[[#This Row],[region data]]*NOT(ISBLANK(Tabella8[[#This Row],[region data]]))</f>
        <v>1309</v>
      </c>
      <c r="P102" s="107">
        <f>MAX(Kr*(TANH(psi_r*(Tabella8[[#This Row],[Day]]-pr)-phi_r)+TANH(phi_r))/(1+TANH(phi_r)),0)</f>
        <v>1324.7849630542669</v>
      </c>
      <c r="Q102" s="107">
        <f>Tabella8[[#This Row],[region fit]]/Kr</f>
        <v>0.10069903798291174</v>
      </c>
      <c r="R102" s="10">
        <f>Tabella8[[#This Row],[region fit]]*NOT(ISBLANK(Tabella8[[#This Row],[region data]]))</f>
        <v>1324.7849630542669</v>
      </c>
      <c r="S102" s="10">
        <f>Tabella8[[#This Row],[region fit]]+CIr</f>
        <v>1494.6956793203908</v>
      </c>
      <c r="T102" s="10">
        <f>MAX(Tabella8[[#This Row],[region fit]]-CIr,0)</f>
        <v>1154.874246788143</v>
      </c>
      <c r="U102" s="10">
        <f>Tabella8[[#This Row],[Italy cumulative]]-Tabella8[[#This Row],[region data]]</f>
        <v>35049</v>
      </c>
      <c r="V102" s="10">
        <f>Tabella8[[#This Row],[rest of Italy ]]*NOT(ISBLANK(Tabella8[[#This Row],[rest of Italy ]]))</f>
        <v>35049</v>
      </c>
      <c r="W102" s="108">
        <f>MAX(Ko*(TANH(psi_o*(Tabella8[[#This Row],[Day]]-po)-phi_o)+TANH(phi_o))/(1+TANH(phi_o)),0)</f>
        <v>32821.801163579061</v>
      </c>
      <c r="X102" s="108">
        <f>Tabella8[[#This Row],[rest of Italy fit]]/Ko</f>
        <v>0.14794983827996153</v>
      </c>
      <c r="Y102" s="22">
        <f>Tabella8[[#This Row],[rest of Italy fit]]*NOT(ISBLANK(Tabella8[[#This Row],[rest of Italy ]]))</f>
        <v>32821.801163579061</v>
      </c>
      <c r="Z102" s="10">
        <f>Tabella8[[#This Row],[rest of Italy fit]]+CIo</f>
        <v>35635.773368363523</v>
      </c>
      <c r="AA102" s="10">
        <f>MAX(Tabella8[[#This Row],[rest of Italy fit]]-CIo,0)</f>
        <v>30007.828958794598</v>
      </c>
      <c r="AC102" s="55" t="s">
        <v>182</v>
      </c>
      <c r="AD102" s="87">
        <v>1309</v>
      </c>
      <c r="AE102" s="87">
        <v>734</v>
      </c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65"/>
      <c r="AY102" s="65"/>
      <c r="AZ102"/>
      <c r="BA102" s="32"/>
      <c r="BB102" s="32"/>
      <c r="BC102"/>
      <c r="BD102" s="81"/>
      <c r="BE102" s="68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'dpc-covid19-ita-andamento-naz'!J43+'dpc-covid19-ita-andamento-naz'!K43</f>
        <v>37702</v>
      </c>
      <c r="E103" s="10">
        <f>Tabella8[[#This Row],[Italy cumulative]]*NOT(ISBLANK(Tabella8[[#This Row],[Italy cumulative]]))</f>
        <v>37702</v>
      </c>
      <c r="F103" s="10">
        <f>Tabella8[[#This Row],[region fit]]+Tabella8[[#This Row],[rest of Italy fit]]</f>
        <v>36178.401166320909</v>
      </c>
      <c r="G103" s="72">
        <f>Tabella8[[#This Row],[Italy sum of regions]]/K_sum</f>
        <v>0.15395064226206237</v>
      </c>
      <c r="H103" s="10">
        <f>Tabella8[[#This Row],[Italy sum of regions]]*NOT(ISBLANK(Tabella8[[#This Row],[Italy cumulative]]))</f>
        <v>36178.401166320909</v>
      </c>
      <c r="I103" s="132">
        <f>MAX(Kt*(TANH(psi_t*(Tabella8[[#This Row],[Day]]-pt)-phi_t)+TANH(phi_t))/(1+TANH(phi_t)),0)</f>
        <v>36245.48531060703</v>
      </c>
      <c r="J103" s="109">
        <f>Tabella8[[#This Row],[Italy fit]]/Kt</f>
        <v>0.15423610670417437</v>
      </c>
      <c r="K103" s="10">
        <f>Tabella8[[#This Row],[Italy fit]]*NOT(ISBLANK(Tabella8[[#This Row],[Italy cumulative]]))</f>
        <v>36245.48531060703</v>
      </c>
      <c r="L103" s="10">
        <f>Tabella8[[#This Row],[Italy sum of regions]]+CI</f>
        <v>38936.333531798831</v>
      </c>
      <c r="M103" s="10">
        <f>MAX(Tabella8[[#This Row],[Italy sum of regions]]-CI,0)</f>
        <v>33420.468800842988</v>
      </c>
      <c r="N103" s="57">
        <f t="shared" si="0"/>
        <v>1356</v>
      </c>
      <c r="O103" s="10">
        <f>Tabella8[[#This Row],[region data]]*NOT(ISBLANK(Tabella8[[#This Row],[region data]]))</f>
        <v>1356</v>
      </c>
      <c r="P103" s="107">
        <f>MAX(Kr*(TANH(psi_r*(Tabella8[[#This Row],[Day]]-pr)-phi_r)+TANH(phi_r))/(1+TANH(phi_r)),0)</f>
        <v>1416.7980798425967</v>
      </c>
      <c r="Q103" s="107">
        <f>Tabella8[[#This Row],[region fit]]/Kr</f>
        <v>0.10769310313370602</v>
      </c>
      <c r="R103" s="10">
        <f>Tabella8[[#This Row],[region fit]]*NOT(ISBLANK(Tabella8[[#This Row],[region data]]))</f>
        <v>1416.7980798425967</v>
      </c>
      <c r="S103" s="10">
        <f>Tabella8[[#This Row],[region fit]]+CIr</f>
        <v>1586.7087961087207</v>
      </c>
      <c r="T103" s="10">
        <f>MAX(Tabella8[[#This Row],[region fit]]-CIr,0)</f>
        <v>1246.8873635764728</v>
      </c>
      <c r="U103" s="10">
        <f>Tabella8[[#This Row],[Italy cumulative]]-Tabella8[[#This Row],[region data]]</f>
        <v>36346</v>
      </c>
      <c r="V103" s="10">
        <f>Tabella8[[#This Row],[rest of Italy ]]*NOT(ISBLANK(Tabella8[[#This Row],[rest of Italy ]]))</f>
        <v>36346</v>
      </c>
      <c r="W103" s="108">
        <f>MAX(Ko*(TANH(psi_o*(Tabella8[[#This Row],[Day]]-po)-phi_o)+TANH(phi_o))/(1+TANH(phi_o)),0)</f>
        <v>34761.60308647831</v>
      </c>
      <c r="X103" s="108">
        <f>Tabella8[[#This Row],[rest of Italy fit]]/Ko</f>
        <v>0.15669382461263626</v>
      </c>
      <c r="Y103" s="22">
        <f>Tabella8[[#This Row],[rest of Italy fit]]*NOT(ISBLANK(Tabella8[[#This Row],[rest of Italy ]]))</f>
        <v>34761.60308647831</v>
      </c>
      <c r="Z103" s="10">
        <f>Tabella8[[#This Row],[rest of Italy fit]]+CIo</f>
        <v>37575.575291262772</v>
      </c>
      <c r="AA103" s="10">
        <f>MAX(Tabella8[[#This Row],[rest of Italy fit]]-CIo,0)</f>
        <v>31947.630881693847</v>
      </c>
      <c r="AC103" s="55" t="s">
        <v>183</v>
      </c>
      <c r="AD103" s="87">
        <v>1412</v>
      </c>
      <c r="AE103" s="87">
        <v>749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65"/>
      <c r="AY103" s="65"/>
      <c r="AZ103"/>
      <c r="BA103" s="32"/>
      <c r="BB103" s="32"/>
      <c r="BC103"/>
      <c r="BD103" s="81"/>
      <c r="BE103" s="68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'dpc-covid19-ita-andamento-naz'!J44+'dpc-covid19-ita-andamento-naz'!K44</f>
        <v>39360</v>
      </c>
      <c r="E104" s="10">
        <f>Tabella8[[#This Row],[Italy cumulative]]*NOT(ISBLANK(Tabella8[[#This Row],[Italy cumulative]]))</f>
        <v>39360</v>
      </c>
      <c r="F104" s="10">
        <f>Tabella8[[#This Row],[region fit]]+Tabella8[[#This Row],[rest of Italy fit]]</f>
        <v>38272.072552003163</v>
      </c>
      <c r="G104" s="72">
        <f>Tabella8[[#This Row],[Italy sum of regions]]/K_sum</f>
        <v>0.16285988214332997</v>
      </c>
      <c r="H104" s="10">
        <f>Tabella8[[#This Row],[Italy sum of regions]]*NOT(ISBLANK(Tabella8[[#This Row],[Italy cumulative]]))</f>
        <v>38272.072552003163</v>
      </c>
      <c r="I104" s="132">
        <f>MAX(Kt*(TANH(psi_t*(Tabella8[[#This Row],[Day]]-pt)-phi_t)+TANH(phi_t))/(1+TANH(phi_t)),0)</f>
        <v>38338.348751196274</v>
      </c>
      <c r="J104" s="109">
        <f>Tabella8[[#This Row],[Italy fit]]/Kt</f>
        <v>0.16314190852124988</v>
      </c>
      <c r="K104" s="10">
        <f>Tabella8[[#This Row],[Italy fit]]*NOT(ISBLANK(Tabella8[[#This Row],[Italy cumulative]]))</f>
        <v>38338.348751196274</v>
      </c>
      <c r="L104" s="10">
        <f>Tabella8[[#This Row],[Italy sum of regions]]+CI</f>
        <v>41030.004917481085</v>
      </c>
      <c r="M104" s="10">
        <f>MAX(Tabella8[[#This Row],[Italy sum of regions]]-CI,0)</f>
        <v>35514.140186525241</v>
      </c>
      <c r="N104" s="57">
        <f t="shared" si="0"/>
        <v>1432</v>
      </c>
      <c r="O104" s="10">
        <f>Tabella8[[#This Row],[region data]]*NOT(ISBLANK(Tabella8[[#This Row],[region data]]))</f>
        <v>1432</v>
      </c>
      <c r="P104" s="107">
        <f>MAX(Kr*(TANH(psi_r*(Tabella8[[#This Row],[Day]]-pr)-phi_r)+TANH(phi_r))/(1+TANH(phi_r)),0)</f>
        <v>1511.0854435755471</v>
      </c>
      <c r="Q104" s="107">
        <f>Tabella8[[#This Row],[region fit]]/Kr</f>
        <v>0.11486003745636261</v>
      </c>
      <c r="R104" s="10">
        <f>Tabella8[[#This Row],[region fit]]*NOT(ISBLANK(Tabella8[[#This Row],[region data]]))</f>
        <v>1511.0854435755471</v>
      </c>
      <c r="S104" s="10">
        <f>Tabella8[[#This Row],[region fit]]+CIr</f>
        <v>1680.996159841671</v>
      </c>
      <c r="T104" s="10">
        <f>MAX(Tabella8[[#This Row],[region fit]]-CIr,0)</f>
        <v>1341.1747273094231</v>
      </c>
      <c r="U104" s="10">
        <f>Tabella8[[#This Row],[Italy cumulative]]-Tabella8[[#This Row],[region data]]</f>
        <v>37928</v>
      </c>
      <c r="V104" s="10">
        <f>Tabella8[[#This Row],[rest of Italy ]]*NOT(ISBLANK(Tabella8[[#This Row],[rest of Italy ]]))</f>
        <v>37928</v>
      </c>
      <c r="W104" s="108">
        <f>MAX(Ko*(TANH(psi_o*(Tabella8[[#This Row],[Day]]-po)-phi_o)+TANH(phi_o))/(1+TANH(phi_o)),0)</f>
        <v>36760.987108427616</v>
      </c>
      <c r="X104" s="108">
        <f>Tabella8[[#This Row],[rest of Italy fit]]/Ko</f>
        <v>0.1657063873672722</v>
      </c>
      <c r="Y104" s="22">
        <f>Tabella8[[#This Row],[rest of Italy fit]]*NOT(ISBLANK(Tabella8[[#This Row],[rest of Italy ]]))</f>
        <v>36760.987108427616</v>
      </c>
      <c r="Z104" s="10">
        <f>Tabella8[[#This Row],[rest of Italy fit]]+CIo</f>
        <v>39574.959313212079</v>
      </c>
      <c r="AA104" s="10">
        <f>MAX(Tabella8[[#This Row],[rest of Italy fit]]-CIo,0)</f>
        <v>33947.014903643154</v>
      </c>
      <c r="AC104" s="55" t="s">
        <v>184</v>
      </c>
      <c r="AD104" s="87">
        <v>1471</v>
      </c>
      <c r="AE104" s="87">
        <v>760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65"/>
      <c r="AY104" s="65"/>
      <c r="AZ104"/>
      <c r="BA104" s="32"/>
      <c r="BB104" s="32"/>
      <c r="BC104"/>
      <c r="BD104" s="81"/>
      <c r="BE104" s="68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'dpc-covid19-ita-andamento-naz'!J45+'dpc-covid19-ita-andamento-naz'!K45</f>
        <v>41519</v>
      </c>
      <c r="E105" s="10">
        <f>Tabella8[[#This Row],[Italy cumulative]]*NOT(ISBLANK(Tabella8[[#This Row],[Italy cumulative]]))</f>
        <v>41519</v>
      </c>
      <c r="F105" s="10">
        <f>Tabella8[[#This Row],[region fit]]+Tabella8[[#This Row],[rest of Italy fit]]</f>
        <v>40427.640644093641</v>
      </c>
      <c r="G105" s="72">
        <f>Tabella8[[#This Row],[Italy sum of regions]]/K_sum</f>
        <v>0.17203251226292363</v>
      </c>
      <c r="H105" s="10">
        <f>Tabella8[[#This Row],[Italy sum of regions]]*NOT(ISBLANK(Tabella8[[#This Row],[Italy cumulative]]))</f>
        <v>40427.640644093641</v>
      </c>
      <c r="I105" s="132">
        <f>MAX(Kt*(TANH(psi_t*(Tabella8[[#This Row],[Day]]-pt)-phi_t)+TANH(phi_t))/(1+TANH(phi_t)),0)</f>
        <v>40492.617887984932</v>
      </c>
      <c r="J105" s="109">
        <f>Tabella8[[#This Row],[Italy fit]]/Kt</f>
        <v>0.17230901117152145</v>
      </c>
      <c r="K105" s="10">
        <f>Tabella8[[#This Row],[Italy fit]]*NOT(ISBLANK(Tabella8[[#This Row],[Italy cumulative]]))</f>
        <v>40492.617887984932</v>
      </c>
      <c r="L105" s="10">
        <f>Tabella8[[#This Row],[Italy sum of regions]]+CI</f>
        <v>43185.573009571563</v>
      </c>
      <c r="M105" s="10">
        <f>MAX(Tabella8[[#This Row],[Italy sum of regions]]-CI,0)</f>
        <v>37669.708278615719</v>
      </c>
      <c r="N105" s="57">
        <f t="shared" si="0"/>
        <v>1545</v>
      </c>
      <c r="O105" s="10">
        <f>Tabella8[[#This Row],[region data]]*NOT(ISBLANK(Tabella8[[#This Row],[region data]]))</f>
        <v>1545</v>
      </c>
      <c r="P105" s="107">
        <f>MAX(Kr*(TANH(psi_r*(Tabella8[[#This Row],[Day]]-pr)-phi_r)+TANH(phi_r))/(1+TANH(phi_r)),0)</f>
        <v>1607.6530646446565</v>
      </c>
      <c r="Q105" s="107">
        <f>Tabella8[[#This Row],[region fit]]/Kr</f>
        <v>0.1222002978104193</v>
      </c>
      <c r="R105" s="10">
        <f>Tabella8[[#This Row],[region fit]]*NOT(ISBLANK(Tabella8[[#This Row],[region data]]))</f>
        <v>1607.6530646446565</v>
      </c>
      <c r="S105" s="10">
        <f>Tabella8[[#This Row],[region fit]]+CIr</f>
        <v>1777.5637809107805</v>
      </c>
      <c r="T105" s="10">
        <f>MAX(Tabella8[[#This Row],[region fit]]-CIr,0)</f>
        <v>1437.7423483785326</v>
      </c>
      <c r="U105" s="10">
        <f>Tabella8[[#This Row],[Italy cumulative]]-Tabella8[[#This Row],[region data]]</f>
        <v>39974</v>
      </c>
      <c r="V105" s="10">
        <f>Tabella8[[#This Row],[rest of Italy ]]*NOT(ISBLANK(Tabella8[[#This Row],[rest of Italy ]]))</f>
        <v>39974</v>
      </c>
      <c r="W105" s="108">
        <f>MAX(Ko*(TANH(psi_o*(Tabella8[[#This Row],[Day]]-po)-phi_o)+TANH(phi_o))/(1+TANH(phi_o)),0)</f>
        <v>38819.987579448985</v>
      </c>
      <c r="X105" s="108">
        <f>Tabella8[[#This Row],[rest of Italy fit]]/Ko</f>
        <v>0.17498768138242238</v>
      </c>
      <c r="Y105" s="22">
        <f>Tabella8[[#This Row],[rest of Italy fit]]*NOT(ISBLANK(Tabella8[[#This Row],[rest of Italy ]]))</f>
        <v>38819.987579448985</v>
      </c>
      <c r="Z105" s="10">
        <f>Tabella8[[#This Row],[rest of Italy fit]]+CIo</f>
        <v>41633.959784233448</v>
      </c>
      <c r="AA105" s="10">
        <f>MAX(Tabella8[[#This Row],[rest of Italy fit]]-CIo,0)</f>
        <v>36006.015374664523</v>
      </c>
      <c r="AC105" s="55" t="s">
        <v>185</v>
      </c>
      <c r="AD105" s="87">
        <v>1549</v>
      </c>
      <c r="AE105" s="87">
        <v>793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65"/>
      <c r="AY105" s="65"/>
      <c r="AZ105"/>
      <c r="BA105" s="32"/>
      <c r="BB105" s="32"/>
      <c r="BC105"/>
      <c r="BD105" s="81"/>
      <c r="BE105" s="68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'dpc-covid19-ita-andamento-naz'!J46+'dpc-covid19-ita-andamento-naz'!K46</f>
        <v>44160</v>
      </c>
      <c r="E106" s="10">
        <f>Tabella8[[#This Row],[Italy cumulative]]*NOT(ISBLANK(Tabella8[[#This Row],[Italy cumulative]]))</f>
        <v>44160</v>
      </c>
      <c r="F106" s="10">
        <f>Tabella8[[#This Row],[region fit]]+Tabella8[[#This Row],[rest of Italy fit]]</f>
        <v>42644.982841863493</v>
      </c>
      <c r="G106" s="72">
        <f>Tabella8[[#This Row],[Italy sum of regions]]/K_sum</f>
        <v>0.18146801091561757</v>
      </c>
      <c r="H106" s="10">
        <f>Tabella8[[#This Row],[Italy sum of regions]]*NOT(ISBLANK(Tabella8[[#This Row],[Italy cumulative]]))</f>
        <v>42644.982841863493</v>
      </c>
      <c r="I106" s="132">
        <f>MAX(Kt*(TANH(psi_t*(Tabella8[[#This Row],[Day]]-pt)-phi_t)+TANH(phi_t))/(1+TANH(phi_t)),0)</f>
        <v>42708.165576693667</v>
      </c>
      <c r="J106" s="109">
        <f>Tabella8[[#This Row],[Italy fit]]/Kt</f>
        <v>0.18173687361550606</v>
      </c>
      <c r="K106" s="10">
        <f>Tabella8[[#This Row],[Italy fit]]*NOT(ISBLANK(Tabella8[[#This Row],[Italy cumulative]]))</f>
        <v>42708.165576693667</v>
      </c>
      <c r="L106" s="10">
        <f>Tabella8[[#This Row],[Italy sum of regions]]+CI</f>
        <v>45402.915207341415</v>
      </c>
      <c r="M106" s="10">
        <f>MAX(Tabella8[[#This Row],[Italy sum of regions]]-CI,0)</f>
        <v>39887.050476385572</v>
      </c>
      <c r="N106" s="57">
        <f t="shared" si="0"/>
        <v>1661</v>
      </c>
      <c r="O106" s="10">
        <f>Tabella8[[#This Row],[region data]]*NOT(ISBLANK(Tabella8[[#This Row],[region data]]))</f>
        <v>1661</v>
      </c>
      <c r="P106" s="107">
        <f>MAX(Kr*(TANH(psi_r*(Tabella8[[#This Row],[Day]]-pr)-phi_r)+TANH(phi_r))/(1+TANH(phi_r)),0)</f>
        <v>1706.5034584457503</v>
      </c>
      <c r="Q106" s="107">
        <f>Tabella8[[#This Row],[region fit]]/Kr</f>
        <v>0.12971407539516258</v>
      </c>
      <c r="R106" s="10">
        <f>Tabella8[[#This Row],[region fit]]*NOT(ISBLANK(Tabella8[[#This Row],[region data]]))</f>
        <v>1706.5034584457503</v>
      </c>
      <c r="S106" s="10">
        <f>Tabella8[[#This Row],[region fit]]+CIr</f>
        <v>1876.4141747118742</v>
      </c>
      <c r="T106" s="10">
        <f>MAX(Tabella8[[#This Row],[region fit]]-CIr,0)</f>
        <v>1536.5927421796264</v>
      </c>
      <c r="U106" s="10">
        <f>Tabella8[[#This Row],[Italy cumulative]]-Tabella8[[#This Row],[region data]]</f>
        <v>42499</v>
      </c>
      <c r="V106" s="10">
        <f>Tabella8[[#This Row],[rest of Italy ]]*NOT(ISBLANK(Tabella8[[#This Row],[rest of Italy ]]))</f>
        <v>42499</v>
      </c>
      <c r="W106" s="108">
        <f>MAX(Ko*(TANH(psi_o*(Tabella8[[#This Row],[Day]]-po)-phi_o)+TANH(phi_o))/(1+TANH(phi_o)),0)</f>
        <v>40938.47938341774</v>
      </c>
      <c r="X106" s="108">
        <f>Tabella8[[#This Row],[rest of Italy fit]]/Ko</f>
        <v>0.18453714267592389</v>
      </c>
      <c r="Y106" s="22">
        <f>Tabella8[[#This Row],[rest of Italy fit]]*NOT(ISBLANK(Tabella8[[#This Row],[rest of Italy ]]))</f>
        <v>40938.47938341774</v>
      </c>
      <c r="Z106" s="10">
        <f>Tabella8[[#This Row],[rest of Italy fit]]+CIo</f>
        <v>43752.451588202202</v>
      </c>
      <c r="AA106" s="10">
        <f>MAX(Tabella8[[#This Row],[rest of Italy fit]]-CIo,0)</f>
        <v>38124.507178633277</v>
      </c>
      <c r="AC106" s="55" t="s">
        <v>190</v>
      </c>
      <c r="AD106" s="87">
        <v>1665</v>
      </c>
      <c r="AE106" s="87">
        <v>807</v>
      </c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65"/>
      <c r="AY106" s="65"/>
      <c r="AZ106"/>
      <c r="BA106" s="32"/>
      <c r="BB106" s="32"/>
      <c r="BC106"/>
      <c r="BD106" s="81"/>
      <c r="BE106" s="68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'dpc-covid19-ita-andamento-naz'!J47+'dpc-covid19-ita-andamento-naz'!K47</f>
        <v>46749</v>
      </c>
      <c r="E107" s="10">
        <f>Tabella8[[#This Row],[Italy cumulative]]*NOT(ISBLANK(Tabella8[[#This Row],[Italy cumulative]]))</f>
        <v>46749</v>
      </c>
      <c r="F107" s="10">
        <f>Tabella8[[#This Row],[region fit]]+Tabella8[[#This Row],[rest of Italy fit]]</f>
        <v>44923.8044862346</v>
      </c>
      <c r="G107" s="72">
        <f>Tabella8[[#This Row],[Italy sum of regions]]/K_sum</f>
        <v>0.19116512423300239</v>
      </c>
      <c r="H107" s="10">
        <f>Tabella8[[#This Row],[Italy sum of regions]]*NOT(ISBLANK(Tabella8[[#This Row],[Italy cumulative]]))</f>
        <v>44923.8044862346</v>
      </c>
      <c r="I107" s="132">
        <f>MAX(Kt*(TANH(psi_t*(Tabella8[[#This Row],[Day]]-pt)-phi_t)+TANH(phi_t))/(1+TANH(phi_t)),0)</f>
        <v>44984.696610108731</v>
      </c>
      <c r="J107" s="109">
        <f>Tabella8[[#This Row],[Italy fit]]/Kt</f>
        <v>0.19142423965230226</v>
      </c>
      <c r="K107" s="10">
        <f>Tabella8[[#This Row],[Italy fit]]*NOT(ISBLANK(Tabella8[[#This Row],[Italy cumulative]]))</f>
        <v>44984.696610108731</v>
      </c>
      <c r="L107" s="10">
        <f>Tabella8[[#This Row],[Italy sum of regions]]+CI</f>
        <v>47681.736851712521</v>
      </c>
      <c r="M107" s="10">
        <f>MAX(Tabella8[[#This Row],[Italy sum of regions]]-CI,0)</f>
        <v>42165.872120756678</v>
      </c>
      <c r="N107" s="57">
        <f t="shared" si="0"/>
        <v>1767</v>
      </c>
      <c r="O107" s="10">
        <f>Tabella8[[#This Row],[region data]]*NOT(ISBLANK(Tabella8[[#This Row],[region data]]))</f>
        <v>1767</v>
      </c>
      <c r="P107" s="107">
        <f>MAX(Kr*(TANH(psi_r*(Tabella8[[#This Row],[Day]]-pr)-phi_r)+TANH(phi_r))/(1+TANH(phi_r)),0)</f>
        <v>1807.6354694130687</v>
      </c>
      <c r="Q107" s="107">
        <f>Tabella8[[#This Row],[region fit]]/Kr</f>
        <v>0.13740128237417862</v>
      </c>
      <c r="R107" s="10">
        <f>Tabella8[[#This Row],[region fit]]*NOT(ISBLANK(Tabella8[[#This Row],[region data]]))</f>
        <v>1807.6354694130687</v>
      </c>
      <c r="S107" s="10">
        <f>Tabella8[[#This Row],[region fit]]+CIr</f>
        <v>1977.5461856791926</v>
      </c>
      <c r="T107" s="10">
        <f>MAX(Tabella8[[#This Row],[region fit]]-CIr,0)</f>
        <v>1637.7247531469447</v>
      </c>
      <c r="U107" s="10">
        <f>Tabella8[[#This Row],[Italy cumulative]]-Tabella8[[#This Row],[region data]]</f>
        <v>44982</v>
      </c>
      <c r="V107" s="10">
        <f>Tabella8[[#This Row],[rest of Italy ]]*NOT(ISBLANK(Tabella8[[#This Row],[rest of Italy ]]))</f>
        <v>44982</v>
      </c>
      <c r="W107" s="108">
        <f>MAX(Ko*(TANH(psi_o*(Tabella8[[#This Row],[Day]]-po)-phi_o)+TANH(phi_o))/(1+TANH(phi_o)),0)</f>
        <v>43116.169016821528</v>
      </c>
      <c r="X107" s="108">
        <f>Tabella8[[#This Row],[rest of Italy fit]]/Ko</f>
        <v>0.19435344823089015</v>
      </c>
      <c r="Y107" s="22">
        <f>Tabella8[[#This Row],[rest of Italy fit]]*NOT(ISBLANK(Tabella8[[#This Row],[rest of Italy ]]))</f>
        <v>43116.169016821528</v>
      </c>
      <c r="Z107" s="10">
        <f>Tabella8[[#This Row],[rest of Italy fit]]+CIo</f>
        <v>45930.141221605991</v>
      </c>
      <c r="AA107" s="10">
        <f>MAX(Tabella8[[#This Row],[rest of Italy fit]]-CIo,0)</f>
        <v>40302.196812037066</v>
      </c>
      <c r="AC107" s="55" t="s">
        <v>191</v>
      </c>
      <c r="AD107" s="87">
        <v>1774</v>
      </c>
      <c r="AE107" s="87">
        <v>828</v>
      </c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65"/>
      <c r="AY107" s="65"/>
      <c r="AZ107"/>
      <c r="BA107" s="32"/>
      <c r="BB107" s="32"/>
      <c r="BC107"/>
      <c r="BD107" s="81"/>
      <c r="BE107" s="68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'dpc-covid19-ita-andamento-naz'!J48+'dpc-covid19-ita-andamento-naz'!K48</f>
        <v>49304</v>
      </c>
      <c r="E108" s="10">
        <f>Tabella8[[#This Row],[Italy cumulative]]*NOT(ISBLANK(Tabella8[[#This Row],[Italy cumulative]]))</f>
        <v>49304</v>
      </c>
      <c r="F108" s="10">
        <f>Tabella8[[#This Row],[region fit]]+Tabella8[[#This Row],[rest of Italy fit]]</f>
        <v>47263.630343155382</v>
      </c>
      <c r="G108" s="72">
        <f>Tabella8[[#This Row],[Italy sum of regions]]/K_sum</f>
        <v>0.2011218299425313</v>
      </c>
      <c r="H108" s="10">
        <f>Tabella8[[#This Row],[Italy sum of regions]]*NOT(ISBLANK(Tabella8[[#This Row],[Italy cumulative]]))</f>
        <v>47263.630343155382</v>
      </c>
      <c r="I108" s="132">
        <f>MAX(Kt*(TANH(psi_t*(Tabella8[[#This Row],[Day]]-pt)-phi_t)+TANH(phi_t))/(1+TANH(phi_t)),0)</f>
        <v>47321.739504998819</v>
      </c>
      <c r="J108" s="109">
        <f>Tabella8[[#This Row],[Italy fit]]/Kt</f>
        <v>0.2013691029703005</v>
      </c>
      <c r="K108" s="10">
        <f>Tabella8[[#This Row],[Italy fit]]*NOT(ISBLANK(Tabella8[[#This Row],[Italy cumulative]]))</f>
        <v>47321.739504998819</v>
      </c>
      <c r="L108" s="10">
        <f>Tabella8[[#This Row],[Italy sum of regions]]+CI</f>
        <v>50021.562708633304</v>
      </c>
      <c r="M108" s="10">
        <f>MAX(Tabella8[[#This Row],[Italy sum of regions]]-CI,0)</f>
        <v>44505.697977677461</v>
      </c>
      <c r="N108" s="57">
        <f t="shared" si="0"/>
        <v>1890</v>
      </c>
      <c r="O108" s="10">
        <f>Tabella8[[#This Row],[region data]]*NOT(ISBLANK(Tabella8[[#This Row],[region data]]))</f>
        <v>1890</v>
      </c>
      <c r="P108" s="107">
        <f>MAX(Kr*(TANH(psi_r*(Tabella8[[#This Row],[Day]]-pr)-phi_r)+TANH(phi_r))/(1+TANH(phi_r)),0)</f>
        <v>1911.0441008093981</v>
      </c>
      <c r="Q108" s="107">
        <f>Tabella8[[#This Row],[region fit]]/Kr</f>
        <v>0.14526153893742685</v>
      </c>
      <c r="R108" s="10">
        <f>Tabella8[[#This Row],[region fit]]*NOT(ISBLANK(Tabella8[[#This Row],[region data]]))</f>
        <v>1911.0441008093981</v>
      </c>
      <c r="S108" s="10">
        <f>Tabella8[[#This Row],[region fit]]+CIr</f>
        <v>2080.954817075522</v>
      </c>
      <c r="T108" s="10">
        <f>MAX(Tabella8[[#This Row],[region fit]]-CIr,0)</f>
        <v>1741.1333845432741</v>
      </c>
      <c r="U108" s="10">
        <f>Tabella8[[#This Row],[Italy cumulative]]-Tabella8[[#This Row],[region data]]</f>
        <v>47414</v>
      </c>
      <c r="V108" s="10">
        <f>Tabella8[[#This Row],[rest of Italy ]]*NOT(ISBLANK(Tabella8[[#This Row],[rest of Italy ]]))</f>
        <v>47414</v>
      </c>
      <c r="W108" s="108">
        <f>MAX(Ko*(TANH(psi_o*(Tabella8[[#This Row],[Day]]-po)-phi_o)+TANH(phi_o))/(1+TANH(phi_o)),0)</f>
        <v>45352.586242345984</v>
      </c>
      <c r="X108" s="108">
        <f>Tabella8[[#This Row],[rest of Italy fit]]/Ko</f>
        <v>0.20443447837283205</v>
      </c>
      <c r="Y108" s="22">
        <f>Tabella8[[#This Row],[rest of Italy fit]]*NOT(ISBLANK(Tabella8[[#This Row],[rest of Italy ]]))</f>
        <v>45352.586242345984</v>
      </c>
      <c r="Z108" s="10">
        <f>Tabella8[[#This Row],[rest of Italy fit]]+CIo</f>
        <v>48166.558447130446</v>
      </c>
      <c r="AA108" s="10">
        <f>MAX(Tabella8[[#This Row],[rest of Italy fit]]-CIo,0)</f>
        <v>42538.614037561521</v>
      </c>
      <c r="AC108" s="55" t="s">
        <v>192</v>
      </c>
      <c r="AD108" s="87">
        <v>1863</v>
      </c>
      <c r="AE108" s="87">
        <v>866</v>
      </c>
      <c r="BA108" s="32"/>
      <c r="BB108" s="32"/>
      <c r="BD108" s="68"/>
      <c r="BE108" s="68"/>
    </row>
    <row r="109" spans="2:378" x14ac:dyDescent="0.3">
      <c r="B109" s="9">
        <v>43932</v>
      </c>
      <c r="C109" s="4">
        <v>102</v>
      </c>
      <c r="D109" s="10">
        <f>'dpc-covid19-ita-andamento-naz'!J49+'dpc-covid19-ita-andamento-naz'!K49</f>
        <v>52002</v>
      </c>
      <c r="E109" s="10">
        <f>Tabella8[[#This Row],[Italy cumulative]]*NOT(ISBLANK(Tabella8[[#This Row],[Italy cumulative]]))</f>
        <v>52002</v>
      </c>
      <c r="F109" s="10">
        <f>Tabella8[[#This Row],[region fit]]+Tabella8[[#This Row],[rest of Italy fit]]</f>
        <v>49663.796799462943</v>
      </c>
      <c r="G109" s="72">
        <f>Tabella8[[#This Row],[Italy sum of regions]]/K_sum</f>
        <v>0.21133530415842305</v>
      </c>
      <c r="H109" s="10">
        <f>Tabella8[[#This Row],[Italy sum of regions]]*NOT(ISBLANK(Tabella8[[#This Row],[Italy cumulative]]))</f>
        <v>49663.796799462943</v>
      </c>
      <c r="I109" s="132">
        <f>MAX(Kt*(TANH(psi_t*(Tabella8[[#This Row],[Day]]-pt)-phi_t)+TANH(phi_t))/(1+TANH(phi_t)),0)</f>
        <v>49718.638968802377</v>
      </c>
      <c r="J109" s="109">
        <f>Tabella8[[#This Row],[Italy fit]]/Kt</f>
        <v>0.21156867509053356</v>
      </c>
      <c r="K109" s="10">
        <f>Tabella8[[#This Row],[Italy fit]]*NOT(ISBLANK(Tabella8[[#This Row],[Italy cumulative]]))</f>
        <v>49718.638968802377</v>
      </c>
      <c r="L109" s="10">
        <f>Tabella8[[#This Row],[Italy sum of regions]]+CI</f>
        <v>52421.729164940865</v>
      </c>
      <c r="M109" s="10">
        <f>MAX(Tabella8[[#This Row],[Italy sum of regions]]-CI,0)</f>
        <v>46905.864433985022</v>
      </c>
      <c r="N109" s="57">
        <f t="shared" si="0"/>
        <v>2043</v>
      </c>
      <c r="O109" s="10">
        <f>Tabella8[[#This Row],[region data]]*NOT(ISBLANK(Tabella8[[#This Row],[region data]]))</f>
        <v>2043</v>
      </c>
      <c r="P109" s="107">
        <f>MAX(Kr*(TANH(psi_r*(Tabella8[[#This Row],[Day]]-pr)-phi_r)+TANH(phi_r))/(1+TANH(phi_r)),0)</f>
        <v>2016.7203516848165</v>
      </c>
      <c r="Q109" s="107">
        <f>Tabella8[[#This Row],[region fit]]/Kr</f>
        <v>0.15329416090821199</v>
      </c>
      <c r="R109" s="10">
        <f>Tabella8[[#This Row],[region fit]]*NOT(ISBLANK(Tabella8[[#This Row],[region data]]))</f>
        <v>2016.7203516848165</v>
      </c>
      <c r="S109" s="10">
        <f>Tabella8[[#This Row],[region fit]]+CIr</f>
        <v>2186.6310679509406</v>
      </c>
      <c r="T109" s="10">
        <f>MAX(Tabella8[[#This Row],[region fit]]-CIr,0)</f>
        <v>1846.8096354186926</v>
      </c>
      <c r="U109" s="10">
        <f>Tabella8[[#This Row],[Italy cumulative]]-Tabella8[[#This Row],[region data]]</f>
        <v>49959</v>
      </c>
      <c r="V109" s="10">
        <f>Tabella8[[#This Row],[rest of Italy ]]*NOT(ISBLANK(Tabella8[[#This Row],[rest of Italy ]]))</f>
        <v>49959</v>
      </c>
      <c r="W109" s="108">
        <f>MAX(Ko*(TANH(psi_o*(Tabella8[[#This Row],[Day]]-po)-phi_o)+TANH(phi_o))/(1+TANH(phi_o)),0)</f>
        <v>47647.076447778127</v>
      </c>
      <c r="X109" s="108">
        <f>Tabella8[[#This Row],[rest of Italy fit]]/Ko</f>
        <v>0.21477728232611831</v>
      </c>
      <c r="Y109" s="22">
        <f>Tabella8[[#This Row],[rest of Italy fit]]*NOT(ISBLANK(Tabella8[[#This Row],[rest of Italy ]]))</f>
        <v>47647.076447778127</v>
      </c>
      <c r="Z109" s="10">
        <f>Tabella8[[#This Row],[rest of Italy fit]]+CIo</f>
        <v>50461.048652562589</v>
      </c>
      <c r="AA109" s="10">
        <f>MAX(Tabella8[[#This Row],[rest of Italy fit]]-CIo,0)</f>
        <v>44833.104242993664</v>
      </c>
      <c r="AC109" s="55" t="s">
        <v>193</v>
      </c>
      <c r="AD109" s="87">
        <v>1992</v>
      </c>
      <c r="AE109" s="87">
        <v>897</v>
      </c>
      <c r="BA109" s="32"/>
      <c r="BB109" s="32"/>
      <c r="BD109" s="68"/>
      <c r="BE109" s="68"/>
    </row>
    <row r="110" spans="2:378" x14ac:dyDescent="0.3">
      <c r="B110" s="9">
        <v>43933</v>
      </c>
      <c r="C110" s="4">
        <v>103</v>
      </c>
      <c r="D110" s="10">
        <f>'dpc-covid19-ita-andamento-naz'!J50+'dpc-covid19-ita-andamento-naz'!K50</f>
        <v>54110</v>
      </c>
      <c r="E110" s="10">
        <f>Tabella8[[#This Row],[Italy cumulative]]*NOT(ISBLANK(Tabella8[[#This Row],[Italy cumulative]]))</f>
        <v>54110</v>
      </c>
      <c r="F110" s="10">
        <f>Tabella8[[#This Row],[region fit]]+Tabella8[[#This Row],[rest of Italy fit]]</f>
        <v>52123.444905455843</v>
      </c>
      <c r="G110" s="72">
        <f>Tabella8[[#This Row],[Italy sum of regions]]/K_sum</f>
        <v>0.2218018917755889</v>
      </c>
      <c r="H110" s="10">
        <f>Tabella8[[#This Row],[Italy sum of regions]]*NOT(ISBLANK(Tabella8[[#This Row],[Italy cumulative]]))</f>
        <v>52123.444905455843</v>
      </c>
      <c r="I110" s="132">
        <f>MAX(Kt*(TANH(psi_t*(Tabella8[[#This Row],[Day]]-pt)-phi_t)+TANH(phi_t))/(1+TANH(phi_t)),0)</f>
        <v>52174.549172553001</v>
      </c>
      <c r="J110" s="109">
        <f>Tabella8[[#This Row],[Italy fit]]/Kt</f>
        <v>0.22201935674082729</v>
      </c>
      <c r="K110" s="10">
        <f>Tabella8[[#This Row],[Italy fit]]*NOT(ISBLANK(Tabella8[[#This Row],[Italy cumulative]]))</f>
        <v>52174.549172553001</v>
      </c>
      <c r="L110" s="10">
        <f>Tabella8[[#This Row],[Italy sum of regions]]+CI</f>
        <v>54881.377270933765</v>
      </c>
      <c r="M110" s="10">
        <f>MAX(Tabella8[[#This Row],[Italy sum of regions]]-CI,0)</f>
        <v>49365.512539977921</v>
      </c>
      <c r="N110" s="57">
        <f t="shared" si="0"/>
        <v>2161</v>
      </c>
      <c r="O110" s="10">
        <f>Tabella8[[#This Row],[region data]]*NOT(ISBLANK(Tabella8[[#This Row],[region data]]))</f>
        <v>2161</v>
      </c>
      <c r="P110" s="107">
        <f>MAX(Kr*(TANH(psi_r*(Tabella8[[#This Row],[Day]]-pr)-phi_r)+TANH(phi_r))/(1+TANH(phi_r)),0)</f>
        <v>2124.6510624632015</v>
      </c>
      <c r="Q110" s="107">
        <f>Tabella8[[#This Row],[region fit]]/Kr</f>
        <v>0.16149814800596565</v>
      </c>
      <c r="R110" s="10">
        <f>Tabella8[[#This Row],[region fit]]*NOT(ISBLANK(Tabella8[[#This Row],[region data]]))</f>
        <v>2124.6510624632015</v>
      </c>
      <c r="S110" s="10">
        <f>Tabella8[[#This Row],[region fit]]+CIr</f>
        <v>2294.5617787293254</v>
      </c>
      <c r="T110" s="10">
        <f>MAX(Tabella8[[#This Row],[region fit]]-CIr,0)</f>
        <v>1954.7403461970775</v>
      </c>
      <c r="U110" s="10">
        <f>Tabella8[[#This Row],[Italy cumulative]]-Tabella8[[#This Row],[region data]]</f>
        <v>51949</v>
      </c>
      <c r="V110" s="10">
        <f>Tabella8[[#This Row],[rest of Italy ]]*NOT(ISBLANK(Tabella8[[#This Row],[rest of Italy ]]))</f>
        <v>51949</v>
      </c>
      <c r="W110" s="108">
        <f>MAX(Ko*(TANH(psi_o*(Tabella8[[#This Row],[Day]]-po)-phi_o)+TANH(phi_o))/(1+TANH(phi_o)),0)</f>
        <v>49998.793842992643</v>
      </c>
      <c r="X110" s="108">
        <f>Tabella8[[#This Row],[rest of Italy fit]]/Ko</f>
        <v>0.22537804754823687</v>
      </c>
      <c r="Y110" s="22">
        <f>Tabella8[[#This Row],[rest of Italy fit]]*NOT(ISBLANK(Tabella8[[#This Row],[rest of Italy ]]))</f>
        <v>49998.793842992643</v>
      </c>
      <c r="Z110" s="10">
        <f>Tabella8[[#This Row],[rest of Italy fit]]+CIo</f>
        <v>52812.766047777106</v>
      </c>
      <c r="AA110" s="10">
        <f>MAX(Tabella8[[#This Row],[rest of Italy fit]]-CIo,0)</f>
        <v>47184.821638208181</v>
      </c>
      <c r="AC110" s="55" t="s">
        <v>265</v>
      </c>
      <c r="AD110" s="87">
        <v>2110</v>
      </c>
      <c r="AE110" s="87">
        <v>928</v>
      </c>
      <c r="BA110" s="32"/>
      <c r="BB110" s="32"/>
      <c r="BD110" s="68"/>
      <c r="BE110" s="68"/>
    </row>
    <row r="111" spans="2:378" x14ac:dyDescent="0.3">
      <c r="B111" s="9">
        <v>43934</v>
      </c>
      <c r="C111" s="4">
        <v>104</v>
      </c>
      <c r="D111" s="10">
        <f>'dpc-covid19-ita-andamento-naz'!J51+'dpc-covid19-ita-andamento-naz'!K51</f>
        <v>55900</v>
      </c>
      <c r="E111" s="10">
        <f>Tabella8[[#This Row],[Italy cumulative]]*NOT(ISBLANK(Tabella8[[#This Row],[Italy cumulative]]))</f>
        <v>55900</v>
      </c>
      <c r="F111" s="10">
        <f>Tabella8[[#This Row],[region fit]]+Tabella8[[#This Row],[rest of Italy fit]]</f>
        <v>54641.514398602907</v>
      </c>
      <c r="G111" s="72">
        <f>Tabella8[[#This Row],[Italy sum of regions]]/K_sum</f>
        <v>0.23251708103860624</v>
      </c>
      <c r="H111" s="10">
        <f>Tabella8[[#This Row],[Italy sum of regions]]*NOT(ISBLANK(Tabella8[[#This Row],[Italy cumulative]]))</f>
        <v>54641.514398602907</v>
      </c>
      <c r="I111" s="132">
        <f>MAX(Kt*(TANH(psi_t*(Tabella8[[#This Row],[Day]]-pt)-phi_t)+TANH(phi_t))/(1+TANH(phi_t)),0)</f>
        <v>54688.427956744141</v>
      </c>
      <c r="J111" s="109">
        <f>Tabella8[[#This Row],[Italy fit]]/Kt</f>
        <v>0.232716713199906</v>
      </c>
      <c r="K111" s="10">
        <f>Tabella8[[#This Row],[Italy fit]]*NOT(ISBLANK(Tabella8[[#This Row],[Italy cumulative]]))</f>
        <v>54688.427956744141</v>
      </c>
      <c r="L111" s="10">
        <f>Tabella8[[#This Row],[Italy sum of regions]]+CI</f>
        <v>57399.446764080829</v>
      </c>
      <c r="M111" s="10">
        <f>MAX(Tabella8[[#This Row],[Italy sum of regions]]-CI,0)</f>
        <v>51883.582033124985</v>
      </c>
      <c r="N111" s="57">
        <f t="shared" si="0"/>
        <v>2231</v>
      </c>
      <c r="O111" s="10">
        <f>Tabella8[[#This Row],[region data]]*NOT(ISBLANK(Tabella8[[#This Row],[region data]]))</f>
        <v>2231</v>
      </c>
      <c r="P111" s="107">
        <f>MAX(Kr*(TANH(psi_r*(Tabella8[[#This Row],[Day]]-pr)-phi_r)+TANH(phi_r))/(1+TANH(phi_r)),0)</f>
        <v>2234.8187706507611</v>
      </c>
      <c r="Q111" s="107">
        <f>Tabella8[[#This Row],[region fit]]/Kr</f>
        <v>0.16987217287841958</v>
      </c>
      <c r="R111" s="10">
        <f>Tabella8[[#This Row],[region fit]]*NOT(ISBLANK(Tabella8[[#This Row],[region data]]))</f>
        <v>2234.8187706507611</v>
      </c>
      <c r="S111" s="10">
        <f>Tabella8[[#This Row],[region fit]]+CIr</f>
        <v>2404.729486916885</v>
      </c>
      <c r="T111" s="10">
        <f>MAX(Tabella8[[#This Row],[region fit]]-CIr,0)</f>
        <v>2064.9080543846371</v>
      </c>
      <c r="U111" s="10">
        <f>Tabella8[[#This Row],[Italy cumulative]]-Tabella8[[#This Row],[region data]]</f>
        <v>53669</v>
      </c>
      <c r="V111" s="10">
        <f>Tabella8[[#This Row],[rest of Italy ]]*NOT(ISBLANK(Tabella8[[#This Row],[rest of Italy ]]))</f>
        <v>53669</v>
      </c>
      <c r="W111" s="108">
        <f>MAX(Ko*(TANH(psi_o*(Tabella8[[#This Row],[Day]]-po)-phi_o)+TANH(phi_o))/(1+TANH(phi_o)),0)</f>
        <v>52406.695627952147</v>
      </c>
      <c r="X111" s="108">
        <f>Tabella8[[#This Row],[rest of Italy fit]]/Ko</f>
        <v>0.23623207344106642</v>
      </c>
      <c r="Y111" s="22">
        <f>Tabella8[[#This Row],[rest of Italy fit]]*NOT(ISBLANK(Tabella8[[#This Row],[rest of Italy ]]))</f>
        <v>52406.695627952147</v>
      </c>
      <c r="Z111" s="10">
        <f>Tabella8[[#This Row],[rest of Italy fit]]+CIo</f>
        <v>55220.66783273661</v>
      </c>
      <c r="AA111" s="10">
        <f>MAX(Tabella8[[#This Row],[rest of Italy fit]]-CIo,0)</f>
        <v>49592.723423167685</v>
      </c>
      <c r="AC111" s="55" t="s">
        <v>266</v>
      </c>
      <c r="AD111" s="87">
        <v>2216</v>
      </c>
      <c r="AE111" s="87">
        <v>957</v>
      </c>
      <c r="BA111" s="32"/>
      <c r="BB111" s="32"/>
      <c r="BD111" s="68"/>
      <c r="BE111" s="68"/>
    </row>
    <row r="112" spans="2:378" x14ac:dyDescent="0.3">
      <c r="B112" s="9">
        <v>43935</v>
      </c>
      <c r="C112" s="4">
        <v>105</v>
      </c>
      <c r="D112" s="10">
        <f>'dpc-covid19-ita-andamento-naz'!J52+'dpc-covid19-ita-andamento-naz'!K52</f>
        <v>58197</v>
      </c>
      <c r="E112" s="10">
        <f>Tabella8[[#This Row],[Italy cumulative]]*NOT(ISBLANK(Tabella8[[#This Row],[Italy cumulative]]))</f>
        <v>58197</v>
      </c>
      <c r="F112" s="10">
        <f>Tabella8[[#This Row],[region fit]]+Tabella8[[#This Row],[rest of Italy fit]]</f>
        <v>57216.738840653212</v>
      </c>
      <c r="G112" s="72">
        <f>Tabella8[[#This Row],[Italy sum of regions]]/K_sum</f>
        <v>0.24347548284856999</v>
      </c>
      <c r="H112" s="10">
        <f>Tabella8[[#This Row],[Italy sum of regions]]*NOT(ISBLANK(Tabella8[[#This Row],[Italy cumulative]]))</f>
        <v>57216.738840653212</v>
      </c>
      <c r="I112" s="132">
        <f>MAX(Kt*(TANH(psi_t*(Tabella8[[#This Row],[Day]]-pt)-phi_t)+TANH(phi_t))/(1+TANH(phi_t)),0)</f>
        <v>57259.032094910166</v>
      </c>
      <c r="J112" s="109">
        <f>Tabella8[[#This Row],[Italy fit]]/Kt</f>
        <v>0.24365545414241835</v>
      </c>
      <c r="K112" s="10">
        <f>Tabella8[[#This Row],[Italy fit]]*NOT(ISBLANK(Tabella8[[#This Row],[Italy cumulative]]))</f>
        <v>57259.032094910166</v>
      </c>
      <c r="L112" s="10">
        <f>Tabella8[[#This Row],[Italy sum of regions]]+CI</f>
        <v>59974.671206131134</v>
      </c>
      <c r="M112" s="10">
        <f>MAX(Tabella8[[#This Row],[Italy sum of regions]]-CI,0)</f>
        <v>54458.80647517529</v>
      </c>
      <c r="N112" s="57">
        <f t="shared" si="0"/>
        <v>2342</v>
      </c>
      <c r="O112" s="10">
        <f>Tabella8[[#This Row],[region data]]*NOT(ISBLANK(Tabella8[[#This Row],[region data]]))</f>
        <v>2342</v>
      </c>
      <c r="P112" s="107">
        <f>MAX(Kr*(TANH(psi_r*(Tabella8[[#This Row],[Day]]-pr)-phi_r)+TANH(phi_r))/(1+TANH(phi_r)),0)</f>
        <v>2347.2015781827786</v>
      </c>
      <c r="Q112" s="107">
        <f>Tabella8[[#This Row],[region fit]]/Kr</f>
        <v>0.17841457101841818</v>
      </c>
      <c r="R112" s="10">
        <f>Tabella8[[#This Row],[region fit]]*NOT(ISBLANK(Tabella8[[#This Row],[region data]]))</f>
        <v>2347.2015781827786</v>
      </c>
      <c r="S112" s="10">
        <f>Tabella8[[#This Row],[region fit]]+CIr</f>
        <v>2517.1122944489025</v>
      </c>
      <c r="T112" s="10">
        <f>MAX(Tabella8[[#This Row],[region fit]]-CIr,0)</f>
        <v>2177.2908619166546</v>
      </c>
      <c r="U112" s="10">
        <f>Tabella8[[#This Row],[Italy cumulative]]-Tabella8[[#This Row],[region data]]</f>
        <v>55855</v>
      </c>
      <c r="V112" s="10">
        <f>Tabella8[[#This Row],[rest of Italy ]]*NOT(ISBLANK(Tabella8[[#This Row],[rest of Italy ]]))</f>
        <v>55855</v>
      </c>
      <c r="W112" s="108">
        <f>MAX(Ko*(TANH(psi_o*(Tabella8[[#This Row],[Day]]-po)-phi_o)+TANH(phi_o))/(1+TANH(phi_o)),0)</f>
        <v>54869.537262470432</v>
      </c>
      <c r="X112" s="108">
        <f>Tabella8[[#This Row],[rest of Italy fit]]/Ko</f>
        <v>0.24733375002853139</v>
      </c>
      <c r="Y112" s="22">
        <f>Tabella8[[#This Row],[rest of Italy fit]]*NOT(ISBLANK(Tabella8[[#This Row],[rest of Italy ]]))</f>
        <v>54869.537262470432</v>
      </c>
      <c r="Z112" s="10">
        <f>Tabella8[[#This Row],[rest of Italy fit]]+CIo</f>
        <v>57683.509467254895</v>
      </c>
      <c r="AA112" s="10">
        <f>MAX(Tabella8[[#This Row],[rest of Italy fit]]-CIo,0)</f>
        <v>52055.56505768597</v>
      </c>
      <c r="AC112" s="55" t="s">
        <v>267</v>
      </c>
      <c r="AD112" s="87">
        <v>2311</v>
      </c>
      <c r="AE112" s="87">
        <v>990</v>
      </c>
      <c r="BA112" s="32"/>
      <c r="BB112" s="32"/>
      <c r="BD112" s="68"/>
      <c r="BE112" s="68"/>
    </row>
    <row r="113" spans="2:57" x14ac:dyDescent="0.3">
      <c r="B113" s="9">
        <v>43936</v>
      </c>
      <c r="C113" s="4">
        <v>106</v>
      </c>
      <c r="D113" s="10">
        <f>'dpc-covid19-ita-andamento-naz'!J53+'dpc-covid19-ita-andamento-naz'!K53</f>
        <v>59737</v>
      </c>
      <c r="E113" s="10">
        <f>Tabella8[[#This Row],[Italy cumulative]]*NOT(ISBLANK(Tabella8[[#This Row],[Italy cumulative]]))</f>
        <v>59737</v>
      </c>
      <c r="F113" s="10">
        <f>Tabella8[[#This Row],[region fit]]+Tabella8[[#This Row],[rest of Italy fit]]</f>
        <v>59847.641995690487</v>
      </c>
      <c r="G113" s="72">
        <f>Tabella8[[#This Row],[Italy sum of regions]]/K_sum</f>
        <v>0.25467081535055802</v>
      </c>
      <c r="H113" s="10">
        <f>Tabella8[[#This Row],[Italy sum of regions]]*NOT(ISBLANK(Tabella8[[#This Row],[Italy cumulative]]))</f>
        <v>59847.641995690487</v>
      </c>
      <c r="I113" s="132">
        <f>MAX(Kt*(TANH(psi_t*(Tabella8[[#This Row],[Day]]-pt)-phi_t)+TANH(phi_t))/(1+TANH(phi_t)),0)</f>
        <v>59884.913735434537</v>
      </c>
      <c r="J113" s="109">
        <f>Tabella8[[#This Row],[Italy fit]]/Kt</f>
        <v>0.25482941849769564</v>
      </c>
      <c r="K113" s="10">
        <f>Tabella8[[#This Row],[Italy fit]]*NOT(ISBLANK(Tabella8[[#This Row],[Italy cumulative]]))</f>
        <v>59884.913735434537</v>
      </c>
      <c r="L113" s="10">
        <f>Tabella8[[#This Row],[Italy sum of regions]]+CI</f>
        <v>62605.574361168408</v>
      </c>
      <c r="M113" s="10">
        <f>MAX(Tabella8[[#This Row],[Italy sum of regions]]-CI,0)</f>
        <v>57089.709630212565</v>
      </c>
      <c r="N113" s="57">
        <f t="shared" si="0"/>
        <v>2472</v>
      </c>
      <c r="O113" s="10">
        <f>Tabella8[[#This Row],[region data]]*NOT(ISBLANK(Tabella8[[#This Row],[region data]]))</f>
        <v>2472</v>
      </c>
      <c r="P113" s="107">
        <f>MAX(Kr*(TANH(psi_r*(Tabella8[[#This Row],[Day]]-pr)-phi_r)+TANH(phi_r))/(1+TANH(phi_r)),0)</f>
        <v>2461.773031932195</v>
      </c>
      <c r="Q113" s="107">
        <f>Tabella8[[#This Row],[region fit]]/Kr</f>
        <v>0.18712333168118342</v>
      </c>
      <c r="R113" s="10">
        <f>Tabella8[[#This Row],[region fit]]*NOT(ISBLANK(Tabella8[[#This Row],[region data]]))</f>
        <v>2461.773031932195</v>
      </c>
      <c r="S113" s="10">
        <f>Tabella8[[#This Row],[region fit]]+CIr</f>
        <v>2631.6837481983189</v>
      </c>
      <c r="T113" s="10">
        <f>MAX(Tabella8[[#This Row],[region fit]]-CIr,0)</f>
        <v>2291.862315666071</v>
      </c>
      <c r="U113" s="10">
        <f>Tabella8[[#This Row],[Italy cumulative]]-Tabella8[[#This Row],[region data]]</f>
        <v>57265</v>
      </c>
      <c r="V113" s="10">
        <f>Tabella8[[#This Row],[rest of Italy ]]*NOT(ISBLANK(Tabella8[[#This Row],[rest of Italy ]]))</f>
        <v>57265</v>
      </c>
      <c r="W113" s="108">
        <f>MAX(Ko*(TANH(psi_o*(Tabella8[[#This Row],[Day]]-po)-phi_o)+TANH(phi_o))/(1+TANH(phi_o)),0)</f>
        <v>57385.868963758294</v>
      </c>
      <c r="X113" s="108">
        <f>Tabella8[[#This Row],[rest of Italy fit]]/Ko</f>
        <v>0.25867654216869568</v>
      </c>
      <c r="Y113" s="22">
        <f>Tabella8[[#This Row],[rest of Italy fit]]*NOT(ISBLANK(Tabella8[[#This Row],[rest of Italy ]]))</f>
        <v>57385.868963758294</v>
      </c>
      <c r="Z113" s="10">
        <f>Tabella8[[#This Row],[rest of Italy fit]]+CIo</f>
        <v>60199.841168542756</v>
      </c>
      <c r="AA113" s="10">
        <f>MAX(Tabella8[[#This Row],[rest of Italy fit]]-CIo,0)</f>
        <v>54571.896758973831</v>
      </c>
      <c r="AC113" s="55" t="s">
        <v>289</v>
      </c>
      <c r="AD113" s="87">
        <v>2420</v>
      </c>
      <c r="AE113" s="87">
        <v>1022</v>
      </c>
      <c r="BA113" s="32"/>
      <c r="BB113" s="32"/>
      <c r="BD113" s="68"/>
      <c r="BE113" s="68"/>
    </row>
    <row r="114" spans="2:57" x14ac:dyDescent="0.3">
      <c r="B114" s="9">
        <v>43937</v>
      </c>
      <c r="C114" s="4">
        <v>107</v>
      </c>
      <c r="D114" s="10">
        <f>'dpc-covid19-ita-andamento-naz'!J54+'dpc-covid19-ita-andamento-naz'!K54</f>
        <v>62334</v>
      </c>
      <c r="E114" s="10">
        <f>Tabella8[[#This Row],[Italy cumulative]]*NOT(ISBLANK(Tabella8[[#This Row],[Italy cumulative]]))</f>
        <v>62334</v>
      </c>
      <c r="F114" s="10">
        <f>Tabella8[[#This Row],[region fit]]+Tabella8[[#This Row],[rest of Italy fit]]</f>
        <v>62532.535569234526</v>
      </c>
      <c r="G114" s="72">
        <f>Tabella8[[#This Row],[Italy sum of regions]]/K_sum</f>
        <v>0.26609589431278635</v>
      </c>
      <c r="H114" s="10">
        <f>Tabella8[[#This Row],[Italy sum of regions]]*NOT(ISBLANK(Tabella8[[#This Row],[Italy cumulative]]))</f>
        <v>62532.535569234526</v>
      </c>
      <c r="I114" s="132">
        <f>MAX(Kt*(TANH(psi_t*(Tabella8[[#This Row],[Day]]-pt)-phi_t)+TANH(phi_t))/(1+TANH(phi_t)),0)</f>
        <v>62564.418135340435</v>
      </c>
      <c r="J114" s="109">
        <f>Tabella8[[#This Row],[Italy fit]]/Kt</f>
        <v>0.26623156480630772</v>
      </c>
      <c r="K114" s="10">
        <f>Tabella8[[#This Row],[Italy fit]]*NOT(ISBLANK(Tabella8[[#This Row],[Italy cumulative]]))</f>
        <v>62564.418135340435</v>
      </c>
      <c r="L114" s="10">
        <f>Tabella8[[#This Row],[Italy sum of regions]]+CI</f>
        <v>65290.467934712447</v>
      </c>
      <c r="M114" s="10">
        <f>MAX(Tabella8[[#This Row],[Italy sum of regions]]-CI,0)</f>
        <v>59774.603203756604</v>
      </c>
      <c r="N114" s="57">
        <f t="shared" si="0"/>
        <v>2602</v>
      </c>
      <c r="O114" s="10">
        <f>Tabella8[[#This Row],[region data]]*NOT(ISBLANK(Tabella8[[#This Row],[region data]]))</f>
        <v>2602</v>
      </c>
      <c r="P114" s="107">
        <f>MAX(Kr*(TANH(psi_r*(Tabella8[[#This Row],[Day]]-pr)-phi_r)+TANH(phi_r))/(1+TANH(phi_r)),0)</f>
        <v>2578.5020188950489</v>
      </c>
      <c r="Q114" s="107">
        <f>Tabella8[[#This Row],[region fit]]/Kr</f>
        <v>0.19599608991719136</v>
      </c>
      <c r="R114" s="10">
        <f>Tabella8[[#This Row],[region fit]]*NOT(ISBLANK(Tabella8[[#This Row],[region data]]))</f>
        <v>2578.5020188950489</v>
      </c>
      <c r="S114" s="10">
        <f>Tabella8[[#This Row],[region fit]]+CIr</f>
        <v>2748.4127351611728</v>
      </c>
      <c r="T114" s="10">
        <f>MAX(Tabella8[[#This Row],[region fit]]-CIr,0)</f>
        <v>2408.591302628925</v>
      </c>
      <c r="U114" s="10">
        <f>Tabella8[[#This Row],[Italy cumulative]]-Tabella8[[#This Row],[region data]]</f>
        <v>59732</v>
      </c>
      <c r="V114" s="10">
        <f>Tabella8[[#This Row],[rest of Italy ]]*NOT(ISBLANK(Tabella8[[#This Row],[rest of Italy ]]))</f>
        <v>59732</v>
      </c>
      <c r="W114" s="108">
        <f>MAX(Ko*(TANH(psi_o*(Tabella8[[#This Row],[Day]]-po)-phi_o)+TANH(phi_o))/(1+TANH(phi_o)),0)</f>
        <v>59954.033550339474</v>
      </c>
      <c r="X114" s="108">
        <f>Tabella8[[#This Row],[rest of Italy fit]]/Ko</f>
        <v>0.27025297983484775</v>
      </c>
      <c r="Y114" s="22">
        <f>Tabella8[[#This Row],[rest of Italy fit]]*NOT(ISBLANK(Tabella8[[#This Row],[rest of Italy ]]))</f>
        <v>59954.033550339474</v>
      </c>
      <c r="Z114" s="10">
        <f>Tabella8[[#This Row],[rest of Italy fit]]+CIo</f>
        <v>62768.005755123937</v>
      </c>
      <c r="AA114" s="10">
        <f>MAX(Tabella8[[#This Row],[rest of Italy fit]]-CIo,0)</f>
        <v>57140.061345555012</v>
      </c>
      <c r="AC114" s="55" t="s">
        <v>333</v>
      </c>
      <c r="AD114" s="87">
        <v>2536</v>
      </c>
      <c r="AE114" s="87">
        <v>1047</v>
      </c>
      <c r="BA114" s="32"/>
      <c r="BB114" s="32"/>
      <c r="BD114" s="68"/>
      <c r="BE114" s="68"/>
    </row>
    <row r="115" spans="2:57" x14ac:dyDescent="0.3">
      <c r="B115" s="9">
        <v>43938</v>
      </c>
      <c r="C115" s="4">
        <v>108</v>
      </c>
      <c r="D115" s="10">
        <f>'dpc-covid19-ita-andamento-naz'!J55+'dpc-covid19-ita-andamento-naz'!K55</f>
        <v>65472</v>
      </c>
      <c r="E115" s="10">
        <f>Tabella8[[#This Row],[Italy cumulative]]*NOT(ISBLANK(Tabella8[[#This Row],[Italy cumulative]]))</f>
        <v>65472</v>
      </c>
      <c r="F115" s="10">
        <f>Tabella8[[#This Row],[region fit]]+Tabella8[[#This Row],[rest of Italy fit]]</f>
        <v>65269.518418237632</v>
      </c>
      <c r="G115" s="72">
        <f>Tabella8[[#This Row],[Italy sum of regions]]/K_sum</f>
        <v>0.27774262976489161</v>
      </c>
      <c r="H115" s="10">
        <f>Tabella8[[#This Row],[Italy sum of regions]]*NOT(ISBLANK(Tabella8[[#This Row],[Italy cumulative]]))</f>
        <v>65269.518418237632</v>
      </c>
      <c r="I115" s="132">
        <f>MAX(Kt*(TANH(psi_t*(Tabella8[[#This Row],[Day]]-pt)-phi_t)+TANH(phi_t))/(1+TANH(phi_t)),0)</f>
        <v>65295.682790488063</v>
      </c>
      <c r="J115" s="109">
        <f>Tabella8[[#This Row],[Italy fit]]/Kt</f>
        <v>0.27785396751877489</v>
      </c>
      <c r="K115" s="10">
        <f>Tabella8[[#This Row],[Italy fit]]*NOT(ISBLANK(Tabella8[[#This Row],[Italy cumulative]]))</f>
        <v>65295.682790488063</v>
      </c>
      <c r="L115" s="10">
        <f>Tabella8[[#This Row],[Italy sum of regions]]+CI</f>
        <v>68027.450783715554</v>
      </c>
      <c r="M115" s="10">
        <f>MAX(Tabella8[[#This Row],[Italy sum of regions]]-CI,0)</f>
        <v>62511.586052759711</v>
      </c>
      <c r="N115" s="57">
        <f t="shared" si="0"/>
        <v>2729</v>
      </c>
      <c r="O115" s="10">
        <f>Tabella8[[#This Row],[region data]]*NOT(ISBLANK(Tabella8[[#This Row],[region data]]))</f>
        <v>2729</v>
      </c>
      <c r="P115" s="107">
        <f>MAX(Kr*(TANH(psi_r*(Tabella8[[#This Row],[Day]]-pr)-phi_r)+TANH(phi_r))/(1+TANH(phi_r)),0)</f>
        <v>2697.3526775422256</v>
      </c>
      <c r="Q115" s="107">
        <f>Tabella8[[#This Row],[region fit]]/Kr</f>
        <v>0.20503011983387595</v>
      </c>
      <c r="R115" s="10">
        <f>Tabella8[[#This Row],[region fit]]*NOT(ISBLANK(Tabella8[[#This Row],[region data]]))</f>
        <v>2697.3526775422256</v>
      </c>
      <c r="S115" s="10">
        <f>Tabella8[[#This Row],[region fit]]+CIr</f>
        <v>2867.2633938083495</v>
      </c>
      <c r="T115" s="10">
        <f>MAX(Tabella8[[#This Row],[region fit]]-CIr,0)</f>
        <v>2527.4419612761017</v>
      </c>
      <c r="U115" s="10">
        <f>Tabella8[[#This Row],[Italy cumulative]]-Tabella8[[#This Row],[region data]]</f>
        <v>62743</v>
      </c>
      <c r="V115" s="10">
        <f>Tabella8[[#This Row],[rest of Italy ]]*NOT(ISBLANK(Tabella8[[#This Row],[rest of Italy ]]))</f>
        <v>62743</v>
      </c>
      <c r="W115" s="108">
        <f>MAX(Ko*(TANH(psi_o*(Tabella8[[#This Row],[Day]]-po)-phi_o)+TANH(phi_o))/(1+TANH(phi_o)),0)</f>
        <v>62572.165740695404</v>
      </c>
      <c r="X115" s="108">
        <f>Tabella8[[#This Row],[rest of Italy fit]]/Ko</f>
        <v>0.28205465495402277</v>
      </c>
      <c r="Y115" s="22">
        <f>Tabella8[[#This Row],[rest of Italy fit]]*NOT(ISBLANK(Tabella8[[#This Row],[rest of Italy ]]))</f>
        <v>62572.165740695404</v>
      </c>
      <c r="Z115" s="10">
        <f>Tabella8[[#This Row],[rest of Italy fit]]+CIo</f>
        <v>65386.137945479866</v>
      </c>
      <c r="AA115" s="10">
        <f>MAX(Tabella8[[#This Row],[rest of Italy fit]]-CIo,0)</f>
        <v>59758.193535910941</v>
      </c>
      <c r="AC115" s="55" t="s">
        <v>355</v>
      </c>
      <c r="AD115" s="87">
        <v>2660</v>
      </c>
      <c r="AE115" s="87">
        <v>1076</v>
      </c>
      <c r="BA115" s="32"/>
      <c r="BB115" s="32"/>
      <c r="BD115" s="68"/>
      <c r="BE115" s="68"/>
    </row>
    <row r="116" spans="2:57" x14ac:dyDescent="0.3">
      <c r="B116" s="9">
        <v>43939</v>
      </c>
      <c r="C116" s="4">
        <v>109</v>
      </c>
      <c r="D116" s="10">
        <f>'dpc-covid19-ita-andamento-naz'!J56+'dpc-covid19-ita-andamento-naz'!K56</f>
        <v>68154</v>
      </c>
      <c r="E116" s="10">
        <f>Tabella8[[#This Row],[Italy cumulative]]*NOT(ISBLANK(Tabella8[[#This Row],[Italy cumulative]]))</f>
        <v>68154</v>
      </c>
      <c r="F116" s="10">
        <f>Tabella8[[#This Row],[region fit]]+Tabella8[[#This Row],[rest of Italy fit]]</f>
        <v>68056.477328725043</v>
      </c>
      <c r="G116" s="72">
        <f>Tabella8[[#This Row],[Italy sum of regions]]/K_sum</f>
        <v>0.28960202930703965</v>
      </c>
      <c r="H116" s="10">
        <f>Tabella8[[#This Row],[Italy sum of regions]]*NOT(ISBLANK(Tabella8[[#This Row],[Italy cumulative]]))</f>
        <v>68056.477328725043</v>
      </c>
      <c r="I116" s="132">
        <f>MAX(Kt*(TANH(psi_t*(Tabella8[[#This Row],[Day]]-pt)-phi_t)+TANH(phi_t))/(1+TANH(phi_t)),0)</f>
        <v>68076.638054658382</v>
      </c>
      <c r="J116" s="109">
        <f>Tabella8[[#This Row],[Italy fit]]/Kt</f>
        <v>0.28968781962996698</v>
      </c>
      <c r="K116" s="10">
        <f>Tabella8[[#This Row],[Italy fit]]*NOT(ISBLANK(Tabella8[[#This Row],[Italy cumulative]]))</f>
        <v>68076.638054658382</v>
      </c>
      <c r="L116" s="10">
        <f>Tabella8[[#This Row],[Italy sum of regions]]+CI</f>
        <v>70814.409694202957</v>
      </c>
      <c r="M116" s="10">
        <f>MAX(Tabella8[[#This Row],[Italy sum of regions]]-CI,0)</f>
        <v>65298.544963247121</v>
      </c>
      <c r="N116" s="57">
        <f t="shared" si="0"/>
        <v>2889</v>
      </c>
      <c r="O116" s="10">
        <f>Tabella8[[#This Row],[region data]]*NOT(ISBLANK(Tabella8[[#This Row],[region data]]))</f>
        <v>2889</v>
      </c>
      <c r="P116" s="107">
        <f>MAX(Kr*(TANH(psi_r*(Tabella8[[#This Row],[Day]]-pr)-phi_r)+TANH(phi_r))/(1+TANH(phi_r)),0)</f>
        <v>2818.2843267829389</v>
      </c>
      <c r="Q116" s="107">
        <f>Tabella8[[#This Row],[region fit]]/Kr</f>
        <v>0.21422232919602882</v>
      </c>
      <c r="R116" s="10">
        <f>Tabella8[[#This Row],[region fit]]*NOT(ISBLANK(Tabella8[[#This Row],[region data]]))</f>
        <v>2818.2843267829389</v>
      </c>
      <c r="S116" s="10">
        <f>Tabella8[[#This Row],[region fit]]+CIr</f>
        <v>2988.1950430490629</v>
      </c>
      <c r="T116" s="10">
        <f>MAX(Tabella8[[#This Row],[region fit]]-CIr,0)</f>
        <v>2648.373610516815</v>
      </c>
      <c r="U116" s="10">
        <f>Tabella8[[#This Row],[Italy cumulative]]-Tabella8[[#This Row],[region data]]</f>
        <v>65265</v>
      </c>
      <c r="V116" s="10">
        <f>Tabella8[[#This Row],[rest of Italy ]]*NOT(ISBLANK(Tabella8[[#This Row],[rest of Italy ]]))</f>
        <v>65265</v>
      </c>
      <c r="W116" s="108">
        <f>MAX(Ko*(TANH(psi_o*(Tabella8[[#This Row],[Day]]-po)-phi_o)+TANH(phi_o))/(1+TANH(phi_o)),0)</f>
        <v>65238.193001942105</v>
      </c>
      <c r="X116" s="108">
        <f>Tabella8[[#This Row],[rest of Italy fit]]/Ko</f>
        <v>0.29407222523255794</v>
      </c>
      <c r="Y116" s="22">
        <f>Tabella8[[#This Row],[rest of Italy fit]]*NOT(ISBLANK(Tabella8[[#This Row],[rest of Italy ]]))</f>
        <v>65238.193001942105</v>
      </c>
      <c r="Z116" s="10">
        <f>Tabella8[[#This Row],[rest of Italy fit]]+CIo</f>
        <v>68052.165206726568</v>
      </c>
      <c r="AA116" s="10">
        <f>MAX(Tabella8[[#This Row],[rest of Italy fit]]-CIo,0)</f>
        <v>62424.220797157643</v>
      </c>
      <c r="AC116" s="55" t="s">
        <v>378</v>
      </c>
      <c r="AD116" s="87">
        <v>2775</v>
      </c>
      <c r="AE116" s="87">
        <v>1093</v>
      </c>
      <c r="BA116" s="32"/>
      <c r="BB116" s="32"/>
      <c r="BD116" s="68"/>
      <c r="BE116" s="68"/>
    </row>
    <row r="117" spans="2:57" x14ac:dyDescent="0.3">
      <c r="B117" s="9">
        <v>43940</v>
      </c>
      <c r="C117" s="4">
        <v>110</v>
      </c>
      <c r="D117" s="10">
        <f>'dpc-covid19-ita-andamento-naz'!J57+'dpc-covid19-ita-andamento-naz'!K57</f>
        <v>70715</v>
      </c>
      <c r="E117" s="10">
        <f>Tabella8[[#This Row],[Italy cumulative]]*NOT(ISBLANK(Tabella8[[#This Row],[Italy cumulative]]))</f>
        <v>70715</v>
      </c>
      <c r="F117" s="10">
        <f>Tabella8[[#This Row],[region fit]]+Tabella8[[#This Row],[rest of Italy fit]]</f>
        <v>70891.089441934222</v>
      </c>
      <c r="G117" s="72">
        <f>Tabella8[[#This Row],[Italy sum of regions]]/K_sum</f>
        <v>0.30166420843392211</v>
      </c>
      <c r="H117" s="10">
        <f>Tabella8[[#This Row],[Italy sum of regions]]*NOT(ISBLANK(Tabella8[[#This Row],[Italy cumulative]]))</f>
        <v>70891.089441934222</v>
      </c>
      <c r="I117" s="132">
        <f>MAX(Kt*(TANH(psi_t*(Tabella8[[#This Row],[Day]]-pt)-phi_t)+TANH(phi_t))/(1+TANH(phi_t)),0)</f>
        <v>70905.009325486972</v>
      </c>
      <c r="J117" s="109">
        <f>Tabella8[[#This Row],[Italy fit]]/Kt</f>
        <v>0.30172344198094919</v>
      </c>
      <c r="K117" s="10">
        <f>Tabella8[[#This Row],[Italy fit]]*NOT(ISBLANK(Tabella8[[#This Row],[Italy cumulative]]))</f>
        <v>70905.009325486972</v>
      </c>
      <c r="L117" s="10">
        <f>Tabella8[[#This Row],[Italy sum of regions]]+CI</f>
        <v>73649.021807412137</v>
      </c>
      <c r="M117" s="10">
        <f>MAX(Tabella8[[#This Row],[Italy sum of regions]]-CI,0)</f>
        <v>68133.157076456308</v>
      </c>
      <c r="N117" s="57">
        <f t="shared" si="0"/>
        <v>3038</v>
      </c>
      <c r="O117" s="10">
        <f>Tabella8[[#This Row],[region data]]*NOT(ISBLANK(Tabella8[[#This Row],[region data]]))</f>
        <v>3038</v>
      </c>
      <c r="P117" s="107">
        <f>MAX(Kr*(TANH(psi_r*(Tabella8[[#This Row],[Day]]-pr)-phi_r)+TANH(phi_r))/(1+TANH(phi_r)),0)</f>
        <v>2941.2514139225377</v>
      </c>
      <c r="Q117" s="107">
        <f>Tabella8[[#This Row],[region fit]]/Kr</f>
        <v>0.22356925546998838</v>
      </c>
      <c r="R117" s="10">
        <f>Tabella8[[#This Row],[region fit]]*NOT(ISBLANK(Tabella8[[#This Row],[region data]]))</f>
        <v>2941.2514139225377</v>
      </c>
      <c r="S117" s="10">
        <f>Tabella8[[#This Row],[region fit]]+CIr</f>
        <v>3111.1621301886616</v>
      </c>
      <c r="T117" s="10">
        <f>MAX(Tabella8[[#This Row],[region fit]]-CIr,0)</f>
        <v>2771.3406976564138</v>
      </c>
      <c r="U117" s="10">
        <f>Tabella8[[#This Row],[Italy cumulative]]-Tabella8[[#This Row],[region data]]</f>
        <v>67677</v>
      </c>
      <c r="V117" s="10">
        <f>Tabella8[[#This Row],[rest of Italy ]]*NOT(ISBLANK(Tabella8[[#This Row],[rest of Italy ]]))</f>
        <v>67677</v>
      </c>
      <c r="W117" s="108">
        <f>MAX(Ko*(TANH(psi_o*(Tabella8[[#This Row],[Day]]-po)-phi_o)+TANH(phi_o))/(1+TANH(phi_o)),0)</f>
        <v>67949.838028011683</v>
      </c>
      <c r="X117" s="108">
        <f>Tabella8[[#This Row],[rest of Italy fit]]/Ko</f>
        <v>0.30629542532691584</v>
      </c>
      <c r="Y117" s="22">
        <f>Tabella8[[#This Row],[rest of Italy fit]]*NOT(ISBLANK(Tabella8[[#This Row],[rest of Italy ]]))</f>
        <v>67949.838028011683</v>
      </c>
      <c r="Z117" s="10">
        <f>Tabella8[[#This Row],[rest of Italy fit]]+CIo</f>
        <v>70763.810232796153</v>
      </c>
      <c r="AA117" s="10">
        <f>MAX(Tabella8[[#This Row],[rest of Italy fit]]-CIo,0)</f>
        <v>65135.865823227221</v>
      </c>
      <c r="AC117" s="55" t="s">
        <v>4345</v>
      </c>
      <c r="AD117" s="87">
        <v>2894</v>
      </c>
      <c r="AE117" s="87">
        <v>1114</v>
      </c>
      <c r="BA117" s="32"/>
      <c r="BB117" s="32"/>
      <c r="BD117" s="68"/>
      <c r="BE117" s="68"/>
    </row>
    <row r="118" spans="2:57" x14ac:dyDescent="0.3">
      <c r="B118" s="9">
        <v>43941</v>
      </c>
      <c r="C118" s="4">
        <v>111</v>
      </c>
      <c r="D118" s="10">
        <f>'dpc-covid19-ita-andamento-naz'!J58+'dpc-covid19-ita-andamento-naz'!K58</f>
        <v>72991</v>
      </c>
      <c r="E118" s="10">
        <f>Tabella8[[#This Row],[Italy cumulative]]*NOT(ISBLANK(Tabella8[[#This Row],[Italy cumulative]]))</f>
        <v>72991</v>
      </c>
      <c r="F118" s="10">
        <f>Tabella8[[#This Row],[region fit]]+Tabella8[[#This Row],[rest of Italy fit]]</f>
        <v>73770.826391250637</v>
      </c>
      <c r="G118" s="72">
        <f>Tabella8[[#This Row],[Italy sum of regions]]/K_sum</f>
        <v>0.31391840813873839</v>
      </c>
      <c r="H118" s="10">
        <f>Tabella8[[#This Row],[Italy sum of regions]]*NOT(ISBLANK(Tabella8[[#This Row],[Italy cumulative]]))</f>
        <v>73770.826391250637</v>
      </c>
      <c r="I118" s="132">
        <f>MAX(Kt*(TANH(psi_t*(Tabella8[[#This Row],[Day]]-pt)-phi_t)+TANH(phi_t))/(1+TANH(phi_t)),0)</f>
        <v>73778.320858230261</v>
      </c>
      <c r="J118" s="109">
        <f>Tabella8[[#This Row],[Italy fit]]/Kt</f>
        <v>0.3139502994877747</v>
      </c>
      <c r="K118" s="10">
        <f>Tabella8[[#This Row],[Italy fit]]*NOT(ISBLANK(Tabella8[[#This Row],[Italy cumulative]]))</f>
        <v>73778.320858230261</v>
      </c>
      <c r="L118" s="10">
        <f>Tabella8[[#This Row],[Italy sum of regions]]+CI</f>
        <v>76528.758756728552</v>
      </c>
      <c r="M118" s="10">
        <f>MAX(Tabella8[[#This Row],[Italy sum of regions]]-CI,0)</f>
        <v>71012.894025772723</v>
      </c>
      <c r="N118" s="57">
        <f t="shared" si="0"/>
        <v>3173</v>
      </c>
      <c r="O118" s="10">
        <f>Tabella8[[#This Row],[region data]]*NOT(ISBLANK(Tabella8[[#This Row],[region data]]))</f>
        <v>3173</v>
      </c>
      <c r="P118" s="107">
        <f>MAX(Kr*(TANH(psi_r*(Tabella8[[#This Row],[Day]]-pr)-phi_r)+TANH(phi_r))/(1+TANH(phi_r)),0)</f>
        <v>3066.203482914575</v>
      </c>
      <c r="Q118" s="107">
        <f>Tabella8[[#This Row],[region fit]]/Kr</f>
        <v>0.23306706341042857</v>
      </c>
      <c r="R118" s="10">
        <f>Tabella8[[#This Row],[region fit]]*NOT(ISBLANK(Tabella8[[#This Row],[region data]]))</f>
        <v>3066.203482914575</v>
      </c>
      <c r="S118" s="10">
        <f>Tabella8[[#This Row],[region fit]]+CIr</f>
        <v>3236.114199180699</v>
      </c>
      <c r="T118" s="10">
        <f>MAX(Tabella8[[#This Row],[region fit]]-CIr,0)</f>
        <v>2896.2927666484511</v>
      </c>
      <c r="U118" s="10">
        <f>Tabella8[[#This Row],[Italy cumulative]]-Tabella8[[#This Row],[region data]]</f>
        <v>69818</v>
      </c>
      <c r="V118" s="10">
        <f>Tabella8[[#This Row],[rest of Italy ]]*NOT(ISBLANK(Tabella8[[#This Row],[rest of Italy ]]))</f>
        <v>69818</v>
      </c>
      <c r="W118" s="108">
        <f>MAX(Ko*(TANH(psi_o*(Tabella8[[#This Row],[Day]]-po)-phi_o)+TANH(phi_o))/(1+TANH(phi_o)),0)</f>
        <v>70704.622908336067</v>
      </c>
      <c r="X118" s="108">
        <f>Tabella8[[#This Row],[rest of Italy fit]]/Ko</f>
        <v>0.31871308563473399</v>
      </c>
      <c r="Y118" s="22">
        <f>Tabella8[[#This Row],[rest of Italy fit]]*NOT(ISBLANK(Tabella8[[#This Row],[rest of Italy ]]))</f>
        <v>70704.622908336067</v>
      </c>
      <c r="Z118" s="10">
        <f>Tabella8[[#This Row],[rest of Italy fit]]+CIo</f>
        <v>73518.595113120537</v>
      </c>
      <c r="AA118" s="10">
        <f>MAX(Tabella8[[#This Row],[rest of Italy fit]]-CIo,0)</f>
        <v>67890.650703551597</v>
      </c>
      <c r="AC118" s="55" t="s">
        <v>4378</v>
      </c>
      <c r="AD118" s="87">
        <v>2934</v>
      </c>
      <c r="AE118" s="87">
        <v>1128</v>
      </c>
      <c r="BA118" s="32"/>
      <c r="BB118" s="32"/>
      <c r="BD118" s="68"/>
      <c r="BE118" s="68"/>
    </row>
    <row r="119" spans="2:57" x14ac:dyDescent="0.3">
      <c r="B119" s="9">
        <v>43942</v>
      </c>
      <c r="C119" s="4">
        <v>112</v>
      </c>
      <c r="D119" s="10">
        <f>'dpc-covid19-ita-andamento-naz'!J59+'dpc-covid19-ita-andamento-naz'!K59</f>
        <v>76248</v>
      </c>
      <c r="E119" s="10">
        <f>Tabella8[[#This Row],[Italy cumulative]]*NOT(ISBLANK(Tabella8[[#This Row],[Italy cumulative]]))</f>
        <v>76248</v>
      </c>
      <c r="F119" s="10">
        <f>Tabella8[[#This Row],[region fit]]+Tabella8[[#This Row],[rest of Italy fit]]</f>
        <v>76692.960191236518</v>
      </c>
      <c r="G119" s="72">
        <f>Tabella8[[#This Row],[Italy sum of regions]]/K_sum</f>
        <v>0.32635301997289246</v>
      </c>
      <c r="H119" s="10">
        <f>Tabella8[[#This Row],[Italy sum of regions]]*NOT(ISBLANK(Tabella8[[#This Row],[Italy cumulative]]))</f>
        <v>76692.960191236518</v>
      </c>
      <c r="I119" s="132">
        <f>MAX(Kt*(TANH(psi_t*(Tabella8[[#This Row],[Day]]-pt)-phi_t)+TANH(phi_t))/(1+TANH(phi_t)),0)</f>
        <v>76693.901249090486</v>
      </c>
      <c r="J119" s="109">
        <f>Tabella8[[#This Row],[Italy fit]]/Kt</f>
        <v>0.32635702447478204</v>
      </c>
      <c r="K119" s="10">
        <f>Tabella8[[#This Row],[Italy fit]]*NOT(ISBLANK(Tabella8[[#This Row],[Italy cumulative]]))</f>
        <v>76693.901249090486</v>
      </c>
      <c r="L119" s="10">
        <f>Tabella8[[#This Row],[Italy sum of regions]]+CI</f>
        <v>79450.892556714432</v>
      </c>
      <c r="M119" s="10">
        <f>MAX(Tabella8[[#This Row],[Italy sum of regions]]-CI,0)</f>
        <v>73935.027825758603</v>
      </c>
      <c r="N119" s="57">
        <f t="shared" si="0"/>
        <v>3301</v>
      </c>
      <c r="O119" s="10">
        <f>Tabella8[[#This Row],[region data]]*NOT(ISBLANK(Tabella8[[#This Row],[region data]]))</f>
        <v>3301</v>
      </c>
      <c r="P119" s="107">
        <f>MAX(Kr*(TANH(psi_r*(Tabella8[[#This Row],[Day]]-pr)-phi_r)+TANH(phi_r))/(1+TANH(phi_r)),0)</f>
        <v>3193.0851641045883</v>
      </c>
      <c r="Q119" s="107">
        <f>Tabella8[[#This Row],[region fit]]/Kr</f>
        <v>0.24271154428076697</v>
      </c>
      <c r="R119" s="10">
        <f>Tabella8[[#This Row],[region fit]]*NOT(ISBLANK(Tabella8[[#This Row],[region data]]))</f>
        <v>3193.0851641045883</v>
      </c>
      <c r="S119" s="10">
        <f>Tabella8[[#This Row],[region fit]]+CIr</f>
        <v>3362.9958803707123</v>
      </c>
      <c r="T119" s="10">
        <f>MAX(Tabella8[[#This Row],[region fit]]-CIr,0)</f>
        <v>3023.1744478384644</v>
      </c>
      <c r="U119" s="10">
        <f>Tabella8[[#This Row],[Italy cumulative]]-Tabella8[[#This Row],[region data]]</f>
        <v>72947</v>
      </c>
      <c r="V119" s="10">
        <f>Tabella8[[#This Row],[rest of Italy ]]*NOT(ISBLANK(Tabella8[[#This Row],[rest of Italy ]]))</f>
        <v>72947</v>
      </c>
      <c r="W119" s="108">
        <f>MAX(Ko*(TANH(psi_o*(Tabella8[[#This Row],[Day]]-po)-phi_o)+TANH(phi_o))/(1+TANH(phi_o)),0)</f>
        <v>73499.87502713193</v>
      </c>
      <c r="X119" s="108">
        <f>Tabella8[[#This Row],[rest of Italy fit]]/Ko</f>
        <v>0.33131315888685259</v>
      </c>
      <c r="Y119" s="22">
        <f>Tabella8[[#This Row],[rest of Italy fit]]*NOT(ISBLANK(Tabella8[[#This Row],[rest of Italy ]]))</f>
        <v>73499.87502713193</v>
      </c>
      <c r="Z119" s="10">
        <f>Tabella8[[#This Row],[rest of Italy fit]]+CIo</f>
        <v>76313.847231916399</v>
      </c>
      <c r="AA119" s="10">
        <f>MAX(Tabella8[[#This Row],[rest of Italy fit]]-CIo,0)</f>
        <v>70685.90282234746</v>
      </c>
      <c r="AC119" s="55" t="s">
        <v>4425</v>
      </c>
      <c r="AD119" s="87">
        <v>3060</v>
      </c>
      <c r="AE119" s="87">
        <v>1141</v>
      </c>
      <c r="BA119" s="32"/>
      <c r="BB119" s="32"/>
      <c r="BD119" s="68"/>
      <c r="BE119" s="68"/>
    </row>
    <row r="120" spans="2:57" x14ac:dyDescent="0.3">
      <c r="B120" s="9">
        <v>43943</v>
      </c>
      <c r="C120" s="4">
        <v>113</v>
      </c>
      <c r="D120" s="10">
        <f>'dpc-covid19-ita-andamento-naz'!J60+'dpc-covid19-ita-andamento-naz'!K60</f>
        <v>79628</v>
      </c>
      <c r="E120" s="10">
        <f>Tabella8[[#This Row],[Italy cumulative]]*NOT(ISBLANK(Tabella8[[#This Row],[Italy cumulative]]))</f>
        <v>79628</v>
      </c>
      <c r="F120" s="10">
        <f>Tabella8[[#This Row],[region fit]]+Tabella8[[#This Row],[rest of Italy fit]]</f>
        <v>79654.570896913807</v>
      </c>
      <c r="G120" s="72">
        <f>Tabella8[[#This Row],[Italy sum of regions]]/K_sum</f>
        <v>0.33895561863868595</v>
      </c>
      <c r="H120" s="10">
        <f>Tabella8[[#This Row],[Italy sum of regions]]*NOT(ISBLANK(Tabella8[[#This Row],[Italy cumulative]]))</f>
        <v>79654.570896913807</v>
      </c>
      <c r="I120" s="132">
        <f>MAX(Kt*(TANH(psi_t*(Tabella8[[#This Row],[Day]]-pt)-phi_t)+TANH(phi_t))/(1+TANH(phi_t)),0)</f>
        <v>79648.890608561604</v>
      </c>
      <c r="J120" s="109">
        <f>Tabella8[[#This Row],[Italy fit]]/Kt</f>
        <v>0.33893144719947133</v>
      </c>
      <c r="K120" s="10">
        <f>Tabella8[[#This Row],[Italy fit]]*NOT(ISBLANK(Tabella8[[#This Row],[Italy cumulative]]))</f>
        <v>79648.890608561604</v>
      </c>
      <c r="L120" s="10">
        <f>Tabella8[[#This Row],[Italy sum of regions]]+CI</f>
        <v>82412.503262391721</v>
      </c>
      <c r="M120" s="10">
        <f>MAX(Tabella8[[#This Row],[Italy sum of regions]]-CI,0)</f>
        <v>76896.638531435892</v>
      </c>
      <c r="N120" s="57">
        <f t="shared" si="0"/>
        <v>3442</v>
      </c>
      <c r="O120" s="10">
        <f>Tabella8[[#This Row],[region data]]*NOT(ISBLANK(Tabella8[[#This Row],[region data]]))</f>
        <v>3442</v>
      </c>
      <c r="P120" s="107">
        <f>MAX(Kr*(TANH(psi_r*(Tabella8[[#This Row],[Day]]-pr)-phi_r)+TANH(phi_r))/(1+TANH(phi_r)),0)</f>
        <v>3321.8361865405759</v>
      </c>
      <c r="Q120" s="107">
        <f>Tabella8[[#This Row],[region fit]]/Kr</f>
        <v>0.25249811678890399</v>
      </c>
      <c r="R120" s="10">
        <f>Tabella8[[#This Row],[region fit]]*NOT(ISBLANK(Tabella8[[#This Row],[region data]]))</f>
        <v>3321.8361865405759</v>
      </c>
      <c r="S120" s="10">
        <f>Tabella8[[#This Row],[region fit]]+CIr</f>
        <v>3491.7469028066998</v>
      </c>
      <c r="T120" s="10">
        <f>MAX(Tabella8[[#This Row],[region fit]]-CIr,0)</f>
        <v>3151.925470274452</v>
      </c>
      <c r="U120" s="10">
        <f>Tabella8[[#This Row],[Italy cumulative]]-Tabella8[[#This Row],[region data]]</f>
        <v>76186</v>
      </c>
      <c r="V120" s="10">
        <f>Tabella8[[#This Row],[rest of Italy ]]*NOT(ISBLANK(Tabella8[[#This Row],[rest of Italy ]]))</f>
        <v>76186</v>
      </c>
      <c r="W120" s="108">
        <f>MAX(Ko*(TANH(psi_o*(Tabella8[[#This Row],[Day]]-po)-phi_o)+TANH(phi_o))/(1+TANH(phi_o)),0)</f>
        <v>76332.734710373232</v>
      </c>
      <c r="X120" s="108">
        <f>Tabella8[[#This Row],[rest of Italy fit]]/Ko</f>
        <v>0.34408275461734084</v>
      </c>
      <c r="Y120" s="22">
        <f>Tabella8[[#This Row],[rest of Italy fit]]*NOT(ISBLANK(Tabella8[[#This Row],[rest of Italy ]]))</f>
        <v>76332.734710373232</v>
      </c>
      <c r="Z120" s="10">
        <f>Tabella8[[#This Row],[rest of Italy fit]]+CIo</f>
        <v>79146.706915157702</v>
      </c>
      <c r="AA120" s="10">
        <f>MAX(Tabella8[[#This Row],[rest of Italy fit]]-CIo,0)</f>
        <v>73518.762505588762</v>
      </c>
      <c r="AC120" s="55" t="s">
        <v>4680</v>
      </c>
      <c r="AD120" s="87">
        <v>3161</v>
      </c>
      <c r="AE120" s="87">
        <v>1152</v>
      </c>
      <c r="BA120" s="32"/>
      <c r="BB120" s="32"/>
      <c r="BD120" s="68"/>
      <c r="BE120" s="68"/>
    </row>
    <row r="121" spans="2:57" x14ac:dyDescent="0.3">
      <c r="B121" s="9">
        <v>43944</v>
      </c>
      <c r="C121" s="4">
        <v>114</v>
      </c>
      <c r="D121" s="10">
        <f>'dpc-covid19-ita-andamento-naz'!J61+'dpc-covid19-ita-andamento-naz'!K61</f>
        <v>83125</v>
      </c>
      <c r="E121" s="10">
        <f>Tabella8[[#This Row],[Italy cumulative]]*NOT(ISBLANK(Tabella8[[#This Row],[Italy cumulative]]))</f>
        <v>83125</v>
      </c>
      <c r="F121" s="10">
        <f>Tabella8[[#This Row],[region fit]]+Tabella8[[#This Row],[rest of Italy fit]]</f>
        <v>82652.556026585313</v>
      </c>
      <c r="G121" s="72">
        <f>Tabella8[[#This Row],[Italy sum of regions]]/K_sum</f>
        <v>0.3517130020864293</v>
      </c>
      <c r="H121" s="10">
        <f>Tabella8[[#This Row],[Italy sum of regions]]*NOT(ISBLANK(Tabella8[[#This Row],[Italy cumulative]]))</f>
        <v>82652.556026585313</v>
      </c>
      <c r="I121" s="132">
        <f>MAX(Kt*(TANH(psi_t*(Tabella8[[#This Row],[Day]]-pt)-phi_t)+TANH(phi_t))/(1+TANH(phi_t)),0)</f>
        <v>82640.249422332548</v>
      </c>
      <c r="J121" s="109">
        <f>Tabella8[[#This Row],[Italy fit]]/Kt</f>
        <v>0.35166063355847499</v>
      </c>
      <c r="K121" s="10">
        <f>Tabella8[[#This Row],[Italy fit]]*NOT(ISBLANK(Tabella8[[#This Row],[Italy cumulative]]))</f>
        <v>82640.249422332548</v>
      </c>
      <c r="L121" s="10">
        <f>Tabella8[[#This Row],[Italy sum of regions]]+CI</f>
        <v>85410.488392063227</v>
      </c>
      <c r="M121" s="10">
        <f>MAX(Tabella8[[#This Row],[Italy sum of regions]]-CI,0)</f>
        <v>79894.623661107398</v>
      </c>
      <c r="N121" s="57">
        <f t="shared" si="0"/>
        <v>3583</v>
      </c>
      <c r="O121" s="10">
        <f>Tabella8[[#This Row],[region data]]*NOT(ISBLANK(Tabella8[[#This Row],[region data]]))</f>
        <v>3583</v>
      </c>
      <c r="P121" s="107">
        <f>MAX(Kr*(TANH(psi_r*(Tabella8[[#This Row],[Day]]-pr)-phi_r)+TANH(phi_r))/(1+TANH(phi_r)),0)</f>
        <v>3452.3914137831289</v>
      </c>
      <c r="Q121" s="107">
        <f>Tabella8[[#This Row],[region fit]]/Kr</f>
        <v>0.2624218298092087</v>
      </c>
      <c r="R121" s="10">
        <f>Tabella8[[#This Row],[region fit]]*NOT(ISBLANK(Tabella8[[#This Row],[region data]]))</f>
        <v>3452.3914137831289</v>
      </c>
      <c r="S121" s="10">
        <f>Tabella8[[#This Row],[region fit]]+CIr</f>
        <v>3622.3021300492528</v>
      </c>
      <c r="T121" s="10">
        <f>MAX(Tabella8[[#This Row],[region fit]]-CIr,0)</f>
        <v>3282.480697517005</v>
      </c>
      <c r="U121" s="10">
        <f>Tabella8[[#This Row],[Italy cumulative]]-Tabella8[[#This Row],[region data]]</f>
        <v>79542</v>
      </c>
      <c r="V121" s="10">
        <f>Tabella8[[#This Row],[rest of Italy ]]*NOT(ISBLANK(Tabella8[[#This Row],[rest of Italy ]]))</f>
        <v>79542</v>
      </c>
      <c r="W121" s="108">
        <f>MAX(Ko*(TANH(psi_o*(Tabella8[[#This Row],[Day]]-po)-phi_o)+TANH(phi_o))/(1+TANH(phi_o)),0)</f>
        <v>79200.164612802182</v>
      </c>
      <c r="X121" s="108">
        <f>Tabella8[[#This Row],[rest of Italy fit]]/Ko</f>
        <v>0.35700818147704183</v>
      </c>
      <c r="Y121" s="22">
        <f>Tabella8[[#This Row],[rest of Italy fit]]*NOT(ISBLANK(Tabella8[[#This Row],[rest of Italy ]]))</f>
        <v>79200.164612802182</v>
      </c>
      <c r="Z121" s="10">
        <f>Tabella8[[#This Row],[rest of Italy fit]]+CIo</f>
        <v>82014.136817586652</v>
      </c>
      <c r="AA121" s="10">
        <f>MAX(Tabella8[[#This Row],[rest of Italy fit]]-CIo,0)</f>
        <v>76386.192408017712</v>
      </c>
      <c r="AC121" s="55" t="s">
        <v>4681</v>
      </c>
      <c r="AD121" s="87">
        <v>3275</v>
      </c>
      <c r="AE121" s="87">
        <v>1167</v>
      </c>
      <c r="BA121" s="32"/>
      <c r="BB121" s="32"/>
      <c r="BD121" s="68"/>
      <c r="BE121" s="68"/>
    </row>
    <row r="122" spans="2:57" x14ac:dyDescent="0.3">
      <c r="B122" s="9">
        <v>43945</v>
      </c>
      <c r="C122" s="4">
        <v>115</v>
      </c>
      <c r="D122" s="10">
        <f>'dpc-covid19-ita-andamento-naz'!J62+'dpc-covid19-ita-andamento-naz'!K62</f>
        <v>86467</v>
      </c>
      <c r="E122" s="10">
        <f>Tabella8[[#This Row],[Italy cumulative]]*NOT(ISBLANK(Tabella8[[#This Row],[Italy cumulative]]))</f>
        <v>86467</v>
      </c>
      <c r="F122" s="10">
        <f>Tabella8[[#This Row],[region fit]]+Tabella8[[#This Row],[rest of Italy fit]]</f>
        <v>85683.64171533499</v>
      </c>
      <c r="G122" s="72">
        <f>Tabella8[[#This Row],[Italy sum of regions]]/K_sum</f>
        <v>0.36461123897614456</v>
      </c>
      <c r="H122" s="10">
        <f>Tabella8[[#This Row],[Italy sum of regions]]*NOT(ISBLANK(Tabella8[[#This Row],[Italy cumulative]]))</f>
        <v>85683.64171533499</v>
      </c>
      <c r="I122" s="132">
        <f>MAX(Kt*(TANH(psi_t*(Tabella8[[#This Row],[Day]]-pt)-phi_t)+TANH(phi_t))/(1+TANH(phi_t)),0)</f>
        <v>85664.76907311067</v>
      </c>
      <c r="J122" s="109">
        <f>Tabella8[[#This Row],[Italy fit]]/Kt</f>
        <v>0.36453092986127472</v>
      </c>
      <c r="K122" s="10">
        <f>Tabella8[[#This Row],[Italy fit]]*NOT(ISBLANK(Tabella8[[#This Row],[Italy cumulative]]))</f>
        <v>85664.76907311067</v>
      </c>
      <c r="L122" s="10">
        <f>Tabella8[[#This Row],[Italy sum of regions]]+CI</f>
        <v>88441.574080812905</v>
      </c>
      <c r="M122" s="10">
        <f>MAX(Tabella8[[#This Row],[Italy sum of regions]]-CI,0)</f>
        <v>82925.709349857076</v>
      </c>
      <c r="N122" s="57">
        <f t="shared" si="0"/>
        <v>3736</v>
      </c>
      <c r="O122" s="10">
        <f>Tabella8[[#This Row],[region data]]*NOT(ISBLANK(Tabella8[[#This Row],[region data]]))</f>
        <v>3736</v>
      </c>
      <c r="P122" s="107">
        <f>MAX(Kr*(TANH(psi_r*(Tabella8[[#This Row],[Day]]-pr)-phi_r)+TANH(phi_r))/(1+TANH(phi_r)),0)</f>
        <v>3584.6809039873392</v>
      </c>
      <c r="Q122" s="107">
        <f>Tabella8[[#This Row],[region fit]]/Kr</f>
        <v>0.2724773669494413</v>
      </c>
      <c r="R122" s="10">
        <f>Tabella8[[#This Row],[region fit]]*NOT(ISBLANK(Tabella8[[#This Row],[region data]]))</f>
        <v>3584.6809039873392</v>
      </c>
      <c r="S122" s="10">
        <f>Tabella8[[#This Row],[region fit]]+CIr</f>
        <v>3754.5916202534631</v>
      </c>
      <c r="T122" s="10">
        <f>MAX(Tabella8[[#This Row],[region fit]]-CIr,0)</f>
        <v>3414.7701877212153</v>
      </c>
      <c r="U122" s="10">
        <f>Tabella8[[#This Row],[Italy cumulative]]-Tabella8[[#This Row],[region data]]</f>
        <v>82731</v>
      </c>
      <c r="V122" s="10">
        <f>Tabella8[[#This Row],[rest of Italy ]]*NOT(ISBLANK(Tabella8[[#This Row],[rest of Italy ]]))</f>
        <v>82731</v>
      </c>
      <c r="W122" s="108">
        <f>MAX(Ko*(TANH(psi_o*(Tabella8[[#This Row],[Day]]-po)-phi_o)+TANH(phi_o))/(1+TANH(phi_o)),0)</f>
        <v>82098.960811347657</v>
      </c>
      <c r="X122" s="108">
        <f>Tabella8[[#This Row],[rest of Italy fit]]/Ko</f>
        <v>0.37007499723903831</v>
      </c>
      <c r="Y122" s="22">
        <f>Tabella8[[#This Row],[rest of Italy fit]]*NOT(ISBLANK(Tabella8[[#This Row],[rest of Italy ]]))</f>
        <v>82098.960811347657</v>
      </c>
      <c r="Z122" s="10">
        <f>Tabella8[[#This Row],[rest of Italy fit]]+CIo</f>
        <v>84912.933016132127</v>
      </c>
      <c r="AA122" s="10">
        <f>MAX(Tabella8[[#This Row],[rest of Italy fit]]-CIo,0)</f>
        <v>79284.988606563187</v>
      </c>
      <c r="AC122" s="55" t="s">
        <v>4682</v>
      </c>
      <c r="AD122" s="87">
        <v>3424</v>
      </c>
      <c r="AE122" s="87">
        <v>1184</v>
      </c>
      <c r="BA122" s="32"/>
      <c r="BB122" s="32"/>
      <c r="BD122" s="68"/>
      <c r="BE122" s="68"/>
    </row>
    <row r="123" spans="2:57" x14ac:dyDescent="0.3">
      <c r="B123" s="9">
        <v>43946</v>
      </c>
      <c r="C123" s="4">
        <v>116</v>
      </c>
      <c r="D123" s="10">
        <f>'dpc-covid19-ita-andamento-naz'!J63+'dpc-covid19-ita-andamento-naz'!K63</f>
        <v>89504</v>
      </c>
      <c r="E123" s="10">
        <f>Tabella8[[#This Row],[Italy cumulative]]*NOT(ISBLANK(Tabella8[[#This Row],[Italy cumulative]]))</f>
        <v>89504</v>
      </c>
      <c r="F123" s="10">
        <f>Tabella8[[#This Row],[region fit]]+Tabella8[[#This Row],[rest of Italy fit]]</f>
        <v>88744.395539481207</v>
      </c>
      <c r="G123" s="72">
        <f>Tabella8[[#This Row],[Italy sum of regions]]/K_sum</f>
        <v>0.37763572324970685</v>
      </c>
      <c r="H123" s="10">
        <f>Tabella8[[#This Row],[Italy sum of regions]]*NOT(ISBLANK(Tabella8[[#This Row],[Italy cumulative]]))</f>
        <v>88744.395539481207</v>
      </c>
      <c r="I123" s="132">
        <f>MAX(Kt*(TANH(psi_t*(Tabella8[[#This Row],[Day]]-pt)-phi_t)+TANH(phi_t))/(1+TANH(phi_t)),0)</f>
        <v>88719.08397179193</v>
      </c>
      <c r="J123" s="109">
        <f>Tabella8[[#This Row],[Italy fit]]/Kt</f>
        <v>0.37752801445220147</v>
      </c>
      <c r="K123" s="10">
        <f>Tabella8[[#This Row],[Italy fit]]*NOT(ISBLANK(Tabella8[[#This Row],[Italy cumulative]]))</f>
        <v>88719.08397179193</v>
      </c>
      <c r="L123" s="10">
        <f>Tabella8[[#This Row],[Italy sum of regions]]+CI</f>
        <v>91502.327904959122</v>
      </c>
      <c r="M123" s="10">
        <f>MAX(Tabella8[[#This Row],[Italy sum of regions]]-CI,0)</f>
        <v>85986.463174003293</v>
      </c>
      <c r="N123" s="57">
        <f t="shared" si="0"/>
        <v>3868</v>
      </c>
      <c r="O123" s="10">
        <f>Tabella8[[#This Row],[region data]]*NOT(ISBLANK(Tabella8[[#This Row],[region data]]))</f>
        <v>3868</v>
      </c>
      <c r="P123" s="107">
        <f>MAX(Kr*(TANH(psi_r*(Tabella8[[#This Row],[Day]]-pr)-phi_r)+TANH(phi_r))/(1+TANH(phi_r)),0)</f>
        <v>3718.6299948500086</v>
      </c>
      <c r="Q123" s="107">
        <f>Tabella8[[#This Row],[region fit]]/Kr</f>
        <v>0.2826590530077272</v>
      </c>
      <c r="R123" s="10">
        <f>Tabella8[[#This Row],[region fit]]*NOT(ISBLANK(Tabella8[[#This Row],[region data]]))</f>
        <v>3718.6299948500086</v>
      </c>
      <c r="S123" s="10">
        <f>Tabella8[[#This Row],[region fit]]+CIr</f>
        <v>3888.5407111161326</v>
      </c>
      <c r="T123" s="10">
        <f>MAX(Tabella8[[#This Row],[region fit]]-CIr,0)</f>
        <v>3548.7192785838847</v>
      </c>
      <c r="U123" s="10">
        <f>Tabella8[[#This Row],[Italy cumulative]]-Tabella8[[#This Row],[region data]]</f>
        <v>85636</v>
      </c>
      <c r="V123" s="10">
        <f>Tabella8[[#This Row],[rest of Italy ]]*NOT(ISBLANK(Tabella8[[#This Row],[rest of Italy ]]))</f>
        <v>85636</v>
      </c>
      <c r="W123" s="108">
        <f>MAX(Ko*(TANH(psi_o*(Tabella8[[#This Row],[Day]]-po)-phi_o)+TANH(phi_o))/(1+TANH(phi_o)),0)</f>
        <v>85025.765544631198</v>
      </c>
      <c r="X123" s="108">
        <f>Tabella8[[#This Row],[rest of Italy fit]]/Ko</f>
        <v>0.38326806622413806</v>
      </c>
      <c r="Y123" s="22">
        <f>Tabella8[[#This Row],[rest of Italy fit]]*NOT(ISBLANK(Tabella8[[#This Row],[rest of Italy ]]))</f>
        <v>85025.765544631198</v>
      </c>
      <c r="Z123" s="10">
        <f>Tabella8[[#This Row],[rest of Italy fit]]+CIo</f>
        <v>87839.737749415668</v>
      </c>
      <c r="AA123" s="10">
        <f>MAX(Tabella8[[#This Row],[rest of Italy fit]]-CIo,0)</f>
        <v>82211.793339846728</v>
      </c>
      <c r="AC123" s="55" t="s">
        <v>4683</v>
      </c>
      <c r="AD123" s="87">
        <v>3519</v>
      </c>
      <c r="AE123" s="87">
        <v>1195</v>
      </c>
      <c r="BA123" s="32"/>
      <c r="BB123" s="32"/>
      <c r="BD123" s="68"/>
      <c r="BE123" s="68"/>
    </row>
    <row r="124" spans="2:57" x14ac:dyDescent="0.3">
      <c r="B124" s="9">
        <v>43947</v>
      </c>
      <c r="C124" s="4">
        <v>117</v>
      </c>
      <c r="D124" s="10">
        <f>'dpc-covid19-ita-andamento-naz'!J64+'dpc-covid19-ita-andamento-naz'!K64</f>
        <v>91572</v>
      </c>
      <c r="E124" s="10">
        <f>Tabella8[[#This Row],[Italy cumulative]]*NOT(ISBLANK(Tabella8[[#This Row],[Italy cumulative]]))</f>
        <v>91572</v>
      </c>
      <c r="F124" s="10">
        <f>Tabella8[[#This Row],[region fit]]+Tabella8[[#This Row],[rest of Italy fit]]</f>
        <v>91831.240925264763</v>
      </c>
      <c r="G124" s="72">
        <f>Tabella8[[#This Row],[Italy sum of regions]]/K_sum</f>
        <v>0.39077123544440973</v>
      </c>
      <c r="H124" s="10">
        <f>Tabella8[[#This Row],[Italy sum of regions]]*NOT(ISBLANK(Tabella8[[#This Row],[Italy cumulative]]))</f>
        <v>91831.240925264763</v>
      </c>
      <c r="I124" s="132">
        <f>MAX(Kt*(TANH(psi_t*(Tabella8[[#This Row],[Day]]-pt)-phi_t)+TANH(phi_t))/(1+TANH(phi_t)),0)</f>
        <v>91799.685221234817</v>
      </c>
      <c r="J124" s="109">
        <f>Tabella8[[#This Row],[Italy fit]]/Kt</f>
        <v>0.3906369558541542</v>
      </c>
      <c r="K124" s="10">
        <f>Tabella8[[#This Row],[Italy fit]]*NOT(ISBLANK(Tabella8[[#This Row],[Italy cumulative]]))</f>
        <v>91799.685221234817</v>
      </c>
      <c r="L124" s="10">
        <f>Tabella8[[#This Row],[Italy sum of regions]]+CI</f>
        <v>94589.173290742678</v>
      </c>
      <c r="M124" s="10">
        <f>MAX(Tabella8[[#This Row],[Italy sum of regions]]-CI,0)</f>
        <v>89073.308559786848</v>
      </c>
      <c r="N124" s="57">
        <f t="shared" si="0"/>
        <v>4008</v>
      </c>
      <c r="O124" s="10">
        <f>Tabella8[[#This Row],[region data]]*NOT(ISBLANK(Tabella8[[#This Row],[region data]]))</f>
        <v>4008</v>
      </c>
      <c r="P124" s="107">
        <f>MAX(Kr*(TANH(psi_r*(Tabella8[[#This Row],[Day]]-pr)-phi_r)+TANH(phi_r))/(1+TANH(phi_r)),0)</f>
        <v>3854.1594138208616</v>
      </c>
      <c r="Q124" s="107">
        <f>Tabella8[[#This Row],[region fit]]/Kr</f>
        <v>0.29296086234988894</v>
      </c>
      <c r="R124" s="10">
        <f>Tabella8[[#This Row],[region fit]]*NOT(ISBLANK(Tabella8[[#This Row],[region data]]))</f>
        <v>3854.1594138208616</v>
      </c>
      <c r="S124" s="10">
        <f>Tabella8[[#This Row],[region fit]]+CIr</f>
        <v>4024.0701300869855</v>
      </c>
      <c r="T124" s="10">
        <f>MAX(Tabella8[[#This Row],[region fit]]-CIr,0)</f>
        <v>3684.2486975547376</v>
      </c>
      <c r="U124" s="10">
        <f>Tabella8[[#This Row],[Italy cumulative]]-Tabella8[[#This Row],[region data]]</f>
        <v>87564</v>
      </c>
      <c r="V124" s="10">
        <f>Tabella8[[#This Row],[rest of Italy ]]*NOT(ISBLANK(Tabella8[[#This Row],[rest of Italy ]]))</f>
        <v>87564</v>
      </c>
      <c r="W124" s="108">
        <f>MAX(Ko*(TANH(psi_o*(Tabella8[[#This Row],[Day]]-po)-phi_o)+TANH(phi_o))/(1+TANH(phi_o)),0)</f>
        <v>87977.081511443903</v>
      </c>
      <c r="X124" s="108">
        <f>Tabella8[[#This Row],[rest of Italy fit]]/Ko</f>
        <v>0.39657162375368449</v>
      </c>
      <c r="Y124" s="22">
        <f>Tabella8[[#This Row],[rest of Italy fit]]*NOT(ISBLANK(Tabella8[[#This Row],[rest of Italy ]]))</f>
        <v>87977.081511443903</v>
      </c>
      <c r="Z124" s="10">
        <f>Tabella8[[#This Row],[rest of Italy fit]]+CIo</f>
        <v>90791.053716228373</v>
      </c>
      <c r="AA124" s="10">
        <f>MAX(Tabella8[[#This Row],[rest of Italy fit]]-CIo,0)</f>
        <v>85163.109306659433</v>
      </c>
      <c r="AC124" s="55" t="s">
        <v>4684</v>
      </c>
      <c r="AD124" s="87">
        <v>3599</v>
      </c>
      <c r="AE124" s="87">
        <v>1209</v>
      </c>
      <c r="BA124" s="32"/>
      <c r="BB124" s="32"/>
      <c r="BD124" s="68"/>
      <c r="BE124" s="68"/>
    </row>
    <row r="125" spans="2:57" x14ac:dyDescent="0.3">
      <c r="B125" s="9">
        <v>43948</v>
      </c>
      <c r="C125" s="4">
        <v>118</v>
      </c>
      <c r="D125" s="10">
        <f>'dpc-covid19-ita-andamento-naz'!J65+'dpc-covid19-ita-andamento-naz'!K65</f>
        <v>93601</v>
      </c>
      <c r="E125" s="10">
        <f>Tabella8[[#This Row],[Italy cumulative]]*NOT(ISBLANK(Tabella8[[#This Row],[Italy cumulative]]))</f>
        <v>93601</v>
      </c>
      <c r="F125" s="10">
        <f>Tabella8[[#This Row],[region fit]]+Tabella8[[#This Row],[rest of Italy fit]]</f>
        <v>94940.473028572465</v>
      </c>
      <c r="G125" s="72">
        <f>Tabella8[[#This Row],[Italy sum of regions]]/K_sum</f>
        <v>0.40400201026625687</v>
      </c>
      <c r="H125" s="10">
        <f>Tabella8[[#This Row],[Italy sum of regions]]*NOT(ISBLANK(Tabella8[[#This Row],[Italy cumulative]]))</f>
        <v>94940.473028572465</v>
      </c>
      <c r="I125" s="132">
        <f>MAX(Kt*(TANH(psi_t*(Tabella8[[#This Row],[Day]]-pt)-phi_t)+TANH(phi_t))/(1+TANH(phi_t)),0)</f>
        <v>94902.935711064769</v>
      </c>
      <c r="J125" s="109">
        <f>Tabella8[[#This Row],[Italy fit]]/Kt</f>
        <v>0.40384227700180964</v>
      </c>
      <c r="K125" s="10">
        <f>Tabella8[[#This Row],[Italy fit]]*NOT(ISBLANK(Tabella8[[#This Row],[Italy cumulative]]))</f>
        <v>94902.935711064769</v>
      </c>
      <c r="L125" s="10">
        <f>Tabella8[[#This Row],[Italy sum of regions]]+CI</f>
        <v>97698.40539405038</v>
      </c>
      <c r="M125" s="10">
        <f>MAX(Tabella8[[#This Row],[Italy sum of regions]]-CI,0)</f>
        <v>92182.540663094551</v>
      </c>
      <c r="N125" s="57">
        <f t="shared" si="0"/>
        <v>4062</v>
      </c>
      <c r="O125" s="10">
        <f>Tabella8[[#This Row],[region data]]*NOT(ISBLANK(Tabella8[[#This Row],[region data]]))</f>
        <v>4062</v>
      </c>
      <c r="P125" s="107">
        <f>MAX(Kr*(TANH(psi_r*(Tabella8[[#This Row],[Day]]-pr)-phi_r)+TANH(phi_r))/(1+TANH(phi_r)),0)</f>
        <v>3991.1854137672908</v>
      </c>
      <c r="Q125" s="107">
        <f>Tabella8[[#This Row],[region fit]]/Kr</f>
        <v>0.30337642922154184</v>
      </c>
      <c r="R125" s="10">
        <f>Tabella8[[#This Row],[region fit]]*NOT(ISBLANK(Tabella8[[#This Row],[region data]]))</f>
        <v>3991.1854137672908</v>
      </c>
      <c r="S125" s="10">
        <f>Tabella8[[#This Row],[region fit]]+CIr</f>
        <v>4161.0961300334147</v>
      </c>
      <c r="T125" s="10">
        <f>MAX(Tabella8[[#This Row],[region fit]]-CIr,0)</f>
        <v>3821.2746975011669</v>
      </c>
      <c r="U125" s="10">
        <f>Tabella8[[#This Row],[Italy cumulative]]-Tabella8[[#This Row],[region data]]</f>
        <v>89539</v>
      </c>
      <c r="V125" s="10">
        <f>Tabella8[[#This Row],[rest of Italy ]]*NOT(ISBLANK(Tabella8[[#This Row],[rest of Italy ]]))</f>
        <v>89539</v>
      </c>
      <c r="W125" s="108">
        <f>MAX(Ko*(TANH(psi_o*(Tabella8[[#This Row],[Day]]-po)-phi_o)+TANH(phi_o))/(1+TANH(phi_o)),0)</f>
        <v>90949.287614805173</v>
      </c>
      <c r="X125" s="108">
        <f>Tabella8[[#This Row],[rest of Italy fit]]/Ko</f>
        <v>0.40996934711857319</v>
      </c>
      <c r="Y125" s="22">
        <f>Tabella8[[#This Row],[rest of Italy fit]]*NOT(ISBLANK(Tabella8[[#This Row],[rest of Italy ]]))</f>
        <v>90949.287614805173</v>
      </c>
      <c r="Z125" s="10">
        <f>Tabella8[[#This Row],[rest of Italy fit]]+CIo</f>
        <v>93763.259819589643</v>
      </c>
      <c r="AA125" s="10">
        <f>MAX(Tabella8[[#This Row],[rest of Italy fit]]-CIo,0)</f>
        <v>88135.315410020703</v>
      </c>
      <c r="AC125" s="55" t="s">
        <v>4685</v>
      </c>
      <c r="AD125" s="87">
        <v>3683</v>
      </c>
      <c r="AE125" s="87">
        <v>1221</v>
      </c>
      <c r="BA125" s="32"/>
      <c r="BB125" s="32"/>
      <c r="BD125" s="68"/>
      <c r="BE125" s="68"/>
    </row>
    <row r="126" spans="2:57" x14ac:dyDescent="0.3">
      <c r="B126" s="9">
        <v>43949</v>
      </c>
      <c r="C126" s="4">
        <v>119</v>
      </c>
      <c r="D126" s="10">
        <f>'dpc-covid19-ita-andamento-naz'!J66+'dpc-covid19-ita-andamento-naz'!K66</f>
        <v>96300</v>
      </c>
      <c r="E126" s="10">
        <f>Tabella8[[#This Row],[Italy cumulative]]*NOT(ISBLANK(Tabella8[[#This Row],[Italy cumulative]]))</f>
        <v>96300</v>
      </c>
      <c r="F126" s="10">
        <f>Tabella8[[#This Row],[region fit]]+Tabella8[[#This Row],[rest of Italy fit]]</f>
        <v>98068.275947182163</v>
      </c>
      <c r="G126" s="72">
        <f>Tabella8[[#This Row],[Italy sum of regions]]/K_sum</f>
        <v>0.4173118098335572</v>
      </c>
      <c r="H126" s="10">
        <f>Tabella8[[#This Row],[Italy sum of regions]]*NOT(ISBLANK(Tabella8[[#This Row],[Italy cumulative]]))</f>
        <v>98068.275947182163</v>
      </c>
      <c r="I126" s="132">
        <f>MAX(Kt*(TANH(psi_t*(Tabella8[[#This Row],[Day]]-pt)-phi_t)+TANH(phi_t))/(1+TANH(phi_t)),0)</f>
        <v>98025.086518036347</v>
      </c>
      <c r="J126" s="109">
        <f>Tabella8[[#This Row],[Italy fit]]/Kt</f>
        <v>0.41712802503039709</v>
      </c>
      <c r="K126" s="10">
        <f>Tabella8[[#This Row],[Italy fit]]*NOT(ISBLANK(Tabella8[[#This Row],[Italy cumulative]]))</f>
        <v>98025.086518036347</v>
      </c>
      <c r="L126" s="10">
        <f>Tabella8[[#This Row],[Italy sum of regions]]+CI</f>
        <v>100826.20831266008</v>
      </c>
      <c r="M126" s="10">
        <f>MAX(Tabella8[[#This Row],[Italy sum of regions]]-CI,0)</f>
        <v>95310.343581704248</v>
      </c>
      <c r="N126" s="57">
        <f t="shared" si="0"/>
        <v>4201</v>
      </c>
      <c r="O126" s="10">
        <f>Tabella8[[#This Row],[region data]]*NOT(ISBLANK(Tabella8[[#This Row],[region data]]))</f>
        <v>4201</v>
      </c>
      <c r="P126" s="107">
        <f>MAX(Kr*(TANH(psi_r*(Tabella8[[#This Row],[Day]]-pr)-phi_r)+TANH(phi_r))/(1+TANH(phi_r)),0)</f>
        <v>4129.6199340608719</v>
      </c>
      <c r="Q126" s="107">
        <f>Tabella8[[#This Row],[region fit]]/Kr</f>
        <v>0.31389905999253925</v>
      </c>
      <c r="R126" s="10">
        <f>Tabella8[[#This Row],[region fit]]*NOT(ISBLANK(Tabella8[[#This Row],[region data]]))</f>
        <v>4129.6199340608719</v>
      </c>
      <c r="S126" s="10">
        <f>Tabella8[[#This Row],[region fit]]+CIr</f>
        <v>4299.5306503269958</v>
      </c>
      <c r="T126" s="10">
        <f>MAX(Tabella8[[#This Row],[region fit]]-CIr,0)</f>
        <v>3959.7092177947479</v>
      </c>
      <c r="U126" s="10">
        <f>Tabella8[[#This Row],[Italy cumulative]]-Tabella8[[#This Row],[region data]]</f>
        <v>92099</v>
      </c>
      <c r="V126" s="10">
        <f>Tabella8[[#This Row],[rest of Italy ]]*NOT(ISBLANK(Tabella8[[#This Row],[rest of Italy ]]))</f>
        <v>92099</v>
      </c>
      <c r="W126" s="108">
        <f>MAX(Ko*(TANH(psi_o*(Tabella8[[#This Row],[Day]]-po)-phi_o)+TANH(phi_o))/(1+TANH(phi_o)),0)</f>
        <v>93938.65601312129</v>
      </c>
      <c r="X126" s="108">
        <f>Tabella8[[#This Row],[rest of Italy fit]]/Ko</f>
        <v>0.42344443244024266</v>
      </c>
      <c r="Y126" s="22">
        <f>Tabella8[[#This Row],[rest of Italy fit]]*NOT(ISBLANK(Tabella8[[#This Row],[rest of Italy ]]))</f>
        <v>93938.65601312129</v>
      </c>
      <c r="Z126" s="10">
        <f>Tabella8[[#This Row],[rest of Italy fit]]+CIo</f>
        <v>96752.62821790576</v>
      </c>
      <c r="AA126" s="10">
        <f>MAX(Tabella8[[#This Row],[rest of Italy fit]]-CIo,0)</f>
        <v>91124.68380833682</v>
      </c>
      <c r="AC126" s="55" t="s">
        <v>4686</v>
      </c>
      <c r="AD126" s="87">
        <v>3816</v>
      </c>
      <c r="AE126" s="87">
        <v>1232</v>
      </c>
      <c r="BA126" s="32"/>
      <c r="BB126" s="32"/>
      <c r="BD126" s="68"/>
      <c r="BE126" s="68"/>
    </row>
    <row r="127" spans="2:57" x14ac:dyDescent="0.3">
      <c r="B127" s="9">
        <v>43950</v>
      </c>
      <c r="C127" s="4">
        <v>120</v>
      </c>
      <c r="D127" s="10">
        <f>'dpc-covid19-ita-andamento-naz'!J67+'dpc-covid19-ita-andamento-naz'!K67</f>
        <v>98934</v>
      </c>
      <c r="E127" s="10">
        <f>Tabella8[[#This Row],[Italy cumulative]]*NOT(ISBLANK(Tabella8[[#This Row],[Italy cumulative]]))</f>
        <v>98934</v>
      </c>
      <c r="F127" s="10">
        <f>Tabella8[[#This Row],[region fit]]+Tabella8[[#This Row],[rest of Italy fit]]</f>
        <v>101210.74110351775</v>
      </c>
      <c r="G127" s="72">
        <f>Tabella8[[#This Row],[Italy sum of regions]]/K_sum</f>
        <v>0.43068400190141398</v>
      </c>
      <c r="H127" s="10">
        <f>Tabella8[[#This Row],[Italy sum of regions]]*NOT(ISBLANK(Tabella8[[#This Row],[Italy cumulative]]))</f>
        <v>101210.74110351775</v>
      </c>
      <c r="I127" s="132">
        <f>MAX(Kt*(TANH(psi_t*(Tabella8[[#This Row],[Day]]-pt)-phi_t)+TANH(phi_t))/(1+TANH(phi_t)),0)</f>
        <v>101162.29446410119</v>
      </c>
      <c r="J127" s="109">
        <f>Tabella8[[#This Row],[Italy fit]]/Kt</f>
        <v>0.43047784599088063</v>
      </c>
      <c r="K127" s="10">
        <f>Tabella8[[#This Row],[Italy fit]]*NOT(ISBLANK(Tabella8[[#This Row],[Italy cumulative]]))</f>
        <v>101162.29446410119</v>
      </c>
      <c r="L127" s="10">
        <f>Tabella8[[#This Row],[Italy sum of regions]]+CI</f>
        <v>103968.67346899566</v>
      </c>
      <c r="M127" s="10">
        <f>MAX(Tabella8[[#This Row],[Italy sum of regions]]-CI,0)</f>
        <v>98452.808738039836</v>
      </c>
      <c r="N127" s="57">
        <f t="shared" si="0"/>
        <v>4313</v>
      </c>
      <c r="O127" s="10">
        <f>Tabella8[[#This Row],[region data]]*NOT(ISBLANK(Tabella8[[#This Row],[region data]]))</f>
        <v>4313</v>
      </c>
      <c r="P127" s="107">
        <f>MAX(Kr*(TANH(psi_r*(Tabella8[[#This Row],[Day]]-pr)-phi_r)+TANH(phi_r))/(1+TANH(phi_r)),0)</f>
        <v>4269.3707868230831</v>
      </c>
      <c r="Q127" s="107">
        <f>Tabella8[[#This Row],[region fit]]/Kr</f>
        <v>0.32452174731380967</v>
      </c>
      <c r="R127" s="10">
        <f>Tabella8[[#This Row],[region fit]]*NOT(ISBLANK(Tabella8[[#This Row],[region data]]))</f>
        <v>4269.3707868230831</v>
      </c>
      <c r="S127" s="10">
        <f>Tabella8[[#This Row],[region fit]]+CIr</f>
        <v>4439.281503089207</v>
      </c>
      <c r="T127" s="10">
        <f>MAX(Tabella8[[#This Row],[region fit]]-CIr,0)</f>
        <v>4099.4600705569592</v>
      </c>
      <c r="U127" s="10">
        <f>Tabella8[[#This Row],[Italy cumulative]]-Tabella8[[#This Row],[region data]]</f>
        <v>94621</v>
      </c>
      <c r="V127" s="10">
        <f>Tabella8[[#This Row],[rest of Italy ]]*NOT(ISBLANK(Tabella8[[#This Row],[rest of Italy ]]))</f>
        <v>94621</v>
      </c>
      <c r="W127" s="108">
        <f>MAX(Ko*(TANH(psi_o*(Tabella8[[#This Row],[Day]]-po)-phi_o)+TANH(phi_o))/(1+TANH(phi_o)),0)</f>
        <v>96941.370316694665</v>
      </c>
      <c r="X127" s="108">
        <f>Tabella8[[#This Row],[rest of Italy fit]]/Ko</f>
        <v>0.43697967669452736</v>
      </c>
      <c r="Y127" s="22">
        <f>Tabella8[[#This Row],[rest of Italy fit]]*NOT(ISBLANK(Tabella8[[#This Row],[rest of Italy ]]))</f>
        <v>96941.370316694665</v>
      </c>
      <c r="Z127" s="10">
        <f>Tabella8[[#This Row],[rest of Italy fit]]+CIo</f>
        <v>99755.342521479135</v>
      </c>
      <c r="AA127" s="10">
        <f>MAX(Tabella8[[#This Row],[rest of Italy fit]]-CIo,0)</f>
        <v>94127.398111910195</v>
      </c>
      <c r="AC127" s="55" t="s">
        <v>4687</v>
      </c>
      <c r="AD127" s="87">
        <v>4002</v>
      </c>
      <c r="AE127" s="87">
        <v>1243</v>
      </c>
      <c r="BA127" s="32"/>
      <c r="BB127" s="32"/>
      <c r="BD127" s="68"/>
      <c r="BE127" s="68"/>
    </row>
    <row r="128" spans="2:57" x14ac:dyDescent="0.3">
      <c r="B128" s="9">
        <v>43951</v>
      </c>
      <c r="C128" s="4">
        <v>121</v>
      </c>
      <c r="D128" s="10">
        <f>'dpc-covid19-ita-andamento-naz'!J68+'dpc-covid19-ita-andamento-naz'!K68</f>
        <v>103912</v>
      </c>
      <c r="E128" s="10">
        <f>Tabella8[[#This Row],[Italy cumulative]]*NOT(ISBLANK(Tabella8[[#This Row],[Italy cumulative]]))</f>
        <v>103912</v>
      </c>
      <c r="F128" s="10">
        <f>Tabella8[[#This Row],[region fit]]+Tabella8[[#This Row],[rest of Italy fit]]</f>
        <v>104363.88661484266</v>
      </c>
      <c r="G128" s="72">
        <f>Tabella8[[#This Row],[Italy sum of regions]]/K_sum</f>
        <v>0.44410164228807936</v>
      </c>
      <c r="H128" s="10">
        <f>Tabella8[[#This Row],[Italy sum of regions]]*NOT(ISBLANK(Tabella8[[#This Row],[Italy cumulative]]))</f>
        <v>104363.88661484266</v>
      </c>
      <c r="I128" s="132">
        <f>MAX(Kt*(TANH(psi_t*(Tabella8[[#This Row],[Day]]-pt)-phi_t)+TANH(phi_t))/(1+TANH(phi_t)),0)</f>
        <v>104310.64066404921</v>
      </c>
      <c r="J128" s="109">
        <f>Tabella8[[#This Row],[Italy fit]]/Kt</f>
        <v>0.44387506377609148</v>
      </c>
      <c r="K128" s="10">
        <f>Tabella8[[#This Row],[Italy fit]]*NOT(ISBLANK(Tabella8[[#This Row],[Italy cumulative]]))</f>
        <v>104310.64066404921</v>
      </c>
      <c r="L128" s="10">
        <f>Tabella8[[#This Row],[Italy sum of regions]]+CI</f>
        <v>107121.81898032058</v>
      </c>
      <c r="M128" s="10">
        <f>MAX(Tabella8[[#This Row],[Italy sum of regions]]-CI,0)</f>
        <v>101605.95424936475</v>
      </c>
      <c r="N128" s="57">
        <f t="shared" si="0"/>
        <v>4442</v>
      </c>
      <c r="O128" s="10">
        <f>Tabella8[[#This Row],[region data]]*NOT(ISBLANK(Tabella8[[#This Row],[region data]]))</f>
        <v>4442</v>
      </c>
      <c r="P128" s="107">
        <f>MAX(Kr*(TANH(psi_r*(Tabella8[[#This Row],[Day]]-pr)-phi_r)+TANH(phi_r))/(1+TANH(phi_r)),0)</f>
        <v>4410.3418678302087</v>
      </c>
      <c r="Q128" s="107">
        <f>Tabella8[[#This Row],[region fit]]/Kr</f>
        <v>0.33523718614857789</v>
      </c>
      <c r="R128" s="10">
        <f>Tabella8[[#This Row],[region fit]]*NOT(ISBLANK(Tabella8[[#This Row],[region data]]))</f>
        <v>4410.3418678302087</v>
      </c>
      <c r="S128" s="10">
        <f>Tabella8[[#This Row],[region fit]]+CIr</f>
        <v>4580.2525840963326</v>
      </c>
      <c r="T128" s="10">
        <f>MAX(Tabella8[[#This Row],[region fit]]-CIr,0)</f>
        <v>4240.4311515640848</v>
      </c>
      <c r="U128" s="10">
        <f>Tabella8[[#This Row],[Italy cumulative]]-Tabella8[[#This Row],[region data]]</f>
        <v>99470</v>
      </c>
      <c r="V128" s="10">
        <f>Tabella8[[#This Row],[rest of Italy ]]*NOT(ISBLANK(Tabella8[[#This Row],[rest of Italy ]]))</f>
        <v>99470</v>
      </c>
      <c r="W128" s="108">
        <f>MAX(Ko*(TANH(psi_o*(Tabella8[[#This Row],[Day]]-po)-phi_o)+TANH(phi_o))/(1+TANH(phi_o)),0)</f>
        <v>99953.544747012449</v>
      </c>
      <c r="X128" s="108">
        <f>Tabella8[[#This Row],[rest of Italy fit]]/Ko</f>
        <v>0.45055756407540243</v>
      </c>
      <c r="Y128" s="22">
        <f>Tabella8[[#This Row],[rest of Italy fit]]*NOT(ISBLANK(Tabella8[[#This Row],[rest of Italy ]]))</f>
        <v>99953.544747012449</v>
      </c>
      <c r="Z128" s="10">
        <f>Tabella8[[#This Row],[rest of Italy fit]]+CIo</f>
        <v>102767.51695179692</v>
      </c>
      <c r="AA128" s="10">
        <f>MAX(Tabella8[[#This Row],[rest of Italy fit]]-CIo,0)</f>
        <v>97139.572542227979</v>
      </c>
      <c r="AC128" s="55" t="s">
        <v>4688</v>
      </c>
      <c r="AD128" s="87">
        <v>4143</v>
      </c>
      <c r="AE128" s="87">
        <v>1254</v>
      </c>
      <c r="BA128" s="32"/>
      <c r="BB128" s="32"/>
      <c r="BD128" s="68"/>
      <c r="BE128" s="68"/>
    </row>
    <row r="129" spans="2:57" x14ac:dyDescent="0.3">
      <c r="B129" s="9">
        <v>43952</v>
      </c>
      <c r="C129" s="4">
        <v>122</v>
      </c>
      <c r="D129" s="10">
        <f>'dpc-covid19-ita-andamento-naz'!J69+'dpc-covid19-ita-andamento-naz'!K69</f>
        <v>106485</v>
      </c>
      <c r="E129" s="10">
        <f>Tabella8[[#This Row],[Italy cumulative]]*NOT(ISBLANK(Tabella8[[#This Row],[Italy cumulative]]))</f>
        <v>106485</v>
      </c>
      <c r="F129" s="10">
        <f>Tabella8[[#This Row],[region fit]]+Tabella8[[#This Row],[rest of Italy fit]]</f>
        <v>107523.67744977848</v>
      </c>
      <c r="G129" s="72">
        <f>Tabella8[[#This Row],[Italy sum of regions]]/K_sum</f>
        <v>0.45754756064737362</v>
      </c>
      <c r="H129" s="10">
        <f>Tabella8[[#This Row],[Italy sum of regions]]*NOT(ISBLANK(Tabella8[[#This Row],[Italy cumulative]]))</f>
        <v>107523.67744977848</v>
      </c>
      <c r="I129" s="132">
        <f>MAX(Kt*(TANH(psi_t*(Tabella8[[#This Row],[Day]]-pt)-phi_t)+TANH(phi_t))/(1+TANH(phi_t)),0)</f>
        <v>107466.14987693875</v>
      </c>
      <c r="J129" s="109">
        <f>Tabella8[[#This Row],[Italy fit]]/Kt</f>
        <v>0.45730276246723883</v>
      </c>
      <c r="K129" s="10">
        <f>Tabella8[[#This Row],[Italy fit]]*NOT(ISBLANK(Tabella8[[#This Row],[Italy cumulative]]))</f>
        <v>107466.14987693875</v>
      </c>
      <c r="L129" s="10">
        <f>Tabella8[[#This Row],[Italy sum of regions]]+CI</f>
        <v>110281.60981525639</v>
      </c>
      <c r="M129" s="10">
        <f>MAX(Tabella8[[#This Row],[Italy sum of regions]]-CI,0)</f>
        <v>104765.74508430056</v>
      </c>
      <c r="N129" s="57">
        <f t="shared" ref="N129:N163" si="1">GETPIVOTDATA("dimessi_guariti",AD122,"data",ROW(AD122))+GETPIVOTDATA("deceduti",AD122,"data",ROW(AD122))</f>
        <v>4608</v>
      </c>
      <c r="O129" s="10">
        <f>Tabella8[[#This Row],[region data]]*NOT(ISBLANK(Tabella8[[#This Row],[region data]]))</f>
        <v>4608</v>
      </c>
      <c r="P129" s="107">
        <f>MAX(Kr*(TANH(psi_r*(Tabella8[[#This Row],[Day]]-pr)-phi_r)+TANH(phi_r))/(1+TANH(phi_r)),0)</f>
        <v>4552.4333913365735</v>
      </c>
      <c r="Q129" s="107">
        <f>Tabella8[[#This Row],[region fit]]/Kr</f>
        <v>0.34603779162165726</v>
      </c>
      <c r="R129" s="10">
        <f>Tabella8[[#This Row],[region fit]]*NOT(ISBLANK(Tabella8[[#This Row],[region data]]))</f>
        <v>4552.4333913365735</v>
      </c>
      <c r="S129" s="10">
        <f>Tabella8[[#This Row],[region fit]]+CIr</f>
        <v>4722.3441076026975</v>
      </c>
      <c r="T129" s="10">
        <f>MAX(Tabella8[[#This Row],[region fit]]-CIr,0)</f>
        <v>4382.5226750704496</v>
      </c>
      <c r="U129" s="10">
        <f>Tabella8[[#This Row],[Italy cumulative]]-Tabella8[[#This Row],[region data]]</f>
        <v>101877</v>
      </c>
      <c r="V129" s="10">
        <f>Tabella8[[#This Row],[rest of Italy ]]*NOT(ISBLANK(Tabella8[[#This Row],[rest of Italy ]]))</f>
        <v>101877</v>
      </c>
      <c r="W129" s="108">
        <f>MAX(Ko*(TANH(psi_o*(Tabella8[[#This Row],[Day]]-po)-phi_o)+TANH(phi_o))/(1+TANH(phi_o)),0)</f>
        <v>102971.24405844191</v>
      </c>
      <c r="X129" s="108">
        <f>Tabella8[[#This Row],[rest of Italy fit]]/Ko</f>
        <v>0.4641603557954061</v>
      </c>
      <c r="Y129" s="22">
        <f>Tabella8[[#This Row],[rest of Italy fit]]*NOT(ISBLANK(Tabella8[[#This Row],[rest of Italy ]]))</f>
        <v>102971.24405844191</v>
      </c>
      <c r="Z129" s="10">
        <f>Tabella8[[#This Row],[rest of Italy fit]]+CIo</f>
        <v>105785.21626322638</v>
      </c>
      <c r="AA129" s="10">
        <f>MAX(Tabella8[[#This Row],[rest of Italy fit]]-CIo,0)</f>
        <v>100157.27185365744</v>
      </c>
      <c r="AC129" s="55" t="s">
        <v>4689</v>
      </c>
      <c r="AD129" s="87">
        <v>4282</v>
      </c>
      <c r="AE129" s="87">
        <v>1265</v>
      </c>
      <c r="BA129" s="32"/>
      <c r="BB129" s="32"/>
      <c r="BD129" s="68"/>
      <c r="BE129" s="68"/>
    </row>
    <row r="130" spans="2:57" x14ac:dyDescent="0.3">
      <c r="B130" s="9">
        <v>43953</v>
      </c>
      <c r="C130" s="4">
        <v>123</v>
      </c>
      <c r="D130" s="10">
        <f>'dpc-covid19-ita-andamento-naz'!J70+'dpc-covid19-ita-andamento-naz'!K70</f>
        <v>108624</v>
      </c>
      <c r="E130" s="10">
        <f>Tabella8[[#This Row],[Italy cumulative]]*NOT(ISBLANK(Tabella8[[#This Row],[Italy cumulative]]))</f>
        <v>108624</v>
      </c>
      <c r="F130" s="10">
        <f>Tabella8[[#This Row],[region fit]]+Tabella8[[#This Row],[rest of Italy fit]]</f>
        <v>110686.04615550228</v>
      </c>
      <c r="G130" s="72">
        <f>Tabella8[[#This Row],[Italy sum of regions]]/K_sum</f>
        <v>0.47100444866952429</v>
      </c>
      <c r="H130" s="10">
        <f>Tabella8[[#This Row],[Italy sum of regions]]*NOT(ISBLANK(Tabella8[[#This Row],[Italy cumulative]]))</f>
        <v>110686.04615550228</v>
      </c>
      <c r="I130" s="132">
        <f>MAX(Kt*(TANH(psi_t*(Tabella8[[#This Row],[Day]]-pt)-phi_t)+TANH(phi_t))/(1+TANH(phi_t)),0)</f>
        <v>110624.81046098692</v>
      </c>
      <c r="J130" s="109">
        <f>Tabella8[[#This Row],[Italy fit]]/Kt</f>
        <v>0.47074387124833583</v>
      </c>
      <c r="K130" s="10">
        <f>Tabella8[[#This Row],[Italy fit]]*NOT(ISBLANK(Tabella8[[#This Row],[Italy cumulative]]))</f>
        <v>110624.81046098692</v>
      </c>
      <c r="L130" s="10">
        <f>Tabella8[[#This Row],[Italy sum of regions]]+CI</f>
        <v>113443.97852098019</v>
      </c>
      <c r="M130" s="10">
        <f>MAX(Tabella8[[#This Row],[Italy sum of regions]]-CI,0)</f>
        <v>107928.11379002436</v>
      </c>
      <c r="N130" s="57">
        <f t="shared" si="1"/>
        <v>4714</v>
      </c>
      <c r="O130" s="10">
        <f>Tabella8[[#This Row],[region data]]*NOT(ISBLANK(Tabella8[[#This Row],[region data]]))</f>
        <v>4714</v>
      </c>
      <c r="P130" s="107">
        <f>MAX(Kr*(TANH(psi_r*(Tabella8[[#This Row],[Day]]-pr)-phi_r)+TANH(phi_r))/(1+TANH(phi_r)),0)</f>
        <v>4695.5421478342996</v>
      </c>
      <c r="Q130" s="107">
        <f>Tabella8[[#This Row],[region fit]]/Kr</f>
        <v>0.35691571861218385</v>
      </c>
      <c r="R130" s="10">
        <f>Tabella8[[#This Row],[region fit]]*NOT(ISBLANK(Tabella8[[#This Row],[region data]]))</f>
        <v>4695.5421478342996</v>
      </c>
      <c r="S130" s="10">
        <f>Tabella8[[#This Row],[region fit]]+CIr</f>
        <v>4865.4528641004235</v>
      </c>
      <c r="T130" s="10">
        <f>MAX(Tabella8[[#This Row],[region fit]]-CIr,0)</f>
        <v>4525.6314315681757</v>
      </c>
      <c r="U130" s="10">
        <f>Tabella8[[#This Row],[Italy cumulative]]-Tabella8[[#This Row],[region data]]</f>
        <v>103910</v>
      </c>
      <c r="V130" s="10">
        <f>Tabella8[[#This Row],[rest of Italy ]]*NOT(ISBLANK(Tabella8[[#This Row],[rest of Italy ]]))</f>
        <v>103910</v>
      </c>
      <c r="W130" s="108">
        <f>MAX(Ko*(TANH(psi_o*(Tabella8[[#This Row],[Day]]-po)-phi_o)+TANH(phi_o))/(1+TANH(phi_o)),0)</f>
        <v>105990.50400766797</v>
      </c>
      <c r="X130" s="108">
        <f>Tabella8[[#This Row],[rest of Italy fit]]/Ko</f>
        <v>0.47777018235510277</v>
      </c>
      <c r="Y130" s="22">
        <f>Tabella8[[#This Row],[rest of Italy fit]]*NOT(ISBLANK(Tabella8[[#This Row],[rest of Italy ]]))</f>
        <v>105990.50400766797</v>
      </c>
      <c r="Z130" s="10">
        <f>Tabella8[[#This Row],[rest of Italy fit]]+CIo</f>
        <v>108804.47621245244</v>
      </c>
      <c r="AA130" s="10">
        <f>MAX(Tabella8[[#This Row],[rest of Italy fit]]-CIo,0)</f>
        <v>103176.5318028835</v>
      </c>
      <c r="AC130" s="55" t="s">
        <v>4690</v>
      </c>
      <c r="AD130" s="87">
        <v>4480</v>
      </c>
      <c r="AE130" s="87">
        <v>1276</v>
      </c>
      <c r="BD130" s="68"/>
      <c r="BE130" s="68"/>
    </row>
    <row r="131" spans="2:57" x14ac:dyDescent="0.3">
      <c r="B131" s="9">
        <v>43954</v>
      </c>
      <c r="C131" s="4">
        <v>124</v>
      </c>
      <c r="D131" s="10">
        <f>'dpc-covid19-ita-andamento-naz'!J71+'dpc-covid19-ita-andamento-naz'!K71</f>
        <v>110538</v>
      </c>
      <c r="E131" s="10">
        <f>Tabella8[[#This Row],[Italy cumulative]]*NOT(ISBLANK(Tabella8[[#This Row],[Italy cumulative]]))</f>
        <v>110538</v>
      </c>
      <c r="F131" s="10">
        <f>Tabella8[[#This Row],[region fit]]+Tabella8[[#This Row],[rest of Italy fit]]</f>
        <v>113846.91392937522</v>
      </c>
      <c r="G131" s="72">
        <f>Tabella8[[#This Row],[Italy sum of regions]]/K_sum</f>
        <v>0.48445494974767023</v>
      </c>
      <c r="H131" s="10">
        <f>Tabella8[[#This Row],[Italy sum of regions]]*NOT(ISBLANK(Tabella8[[#This Row],[Italy cumulative]]))</f>
        <v>113846.91392937522</v>
      </c>
      <c r="I131" s="132">
        <f>MAX(Kt*(TANH(psi_t*(Tabella8[[#This Row],[Day]]-pt)-phi_t)+TANH(phi_t))/(1+TANH(phi_t)),0)</f>
        <v>113782.59472055198</v>
      </c>
      <c r="J131" s="109">
        <f>Tabella8[[#This Row],[Italy fit]]/Kt</f>
        <v>0.48418125098910336</v>
      </c>
      <c r="K131" s="10">
        <f>Tabella8[[#This Row],[Italy fit]]*NOT(ISBLANK(Tabella8[[#This Row],[Italy cumulative]]))</f>
        <v>113782.59472055198</v>
      </c>
      <c r="L131" s="10">
        <f>Tabella8[[#This Row],[Italy sum of regions]]+CI</f>
        <v>116604.84629485314</v>
      </c>
      <c r="M131" s="10">
        <f>MAX(Tabella8[[#This Row],[Italy sum of regions]]-CI,0)</f>
        <v>111088.98156389731</v>
      </c>
      <c r="N131" s="57">
        <f t="shared" si="1"/>
        <v>4808</v>
      </c>
      <c r="O131" s="10">
        <f>Tabella8[[#This Row],[region data]]*NOT(ISBLANK(Tabella8[[#This Row],[region data]]))</f>
        <v>4808</v>
      </c>
      <c r="P131" s="107">
        <f>MAX(Kr*(TANH(psi_r*(Tabella8[[#This Row],[Day]]-pr)-phi_r)+TANH(phi_r))/(1+TANH(phi_r)),0)</f>
        <v>4839.5617835302974</v>
      </c>
      <c r="Q131" s="107">
        <f>Tabella8[[#This Row],[region fit]]/Kr</f>
        <v>0.36786288299711228</v>
      </c>
      <c r="R131" s="10">
        <f>Tabella8[[#This Row],[region fit]]*NOT(ISBLANK(Tabella8[[#This Row],[region data]]))</f>
        <v>4839.5617835302974</v>
      </c>
      <c r="S131" s="10">
        <f>Tabella8[[#This Row],[region fit]]+CIr</f>
        <v>5009.4724997964213</v>
      </c>
      <c r="T131" s="10">
        <f>MAX(Tabella8[[#This Row],[region fit]]-CIr,0)</f>
        <v>4669.6510672641734</v>
      </c>
      <c r="U131" s="10">
        <f>Tabella8[[#This Row],[Italy cumulative]]-Tabella8[[#This Row],[region data]]</f>
        <v>105730</v>
      </c>
      <c r="V131" s="10">
        <f>Tabella8[[#This Row],[rest of Italy ]]*NOT(ISBLANK(Tabella8[[#This Row],[rest of Italy ]]))</f>
        <v>105730</v>
      </c>
      <c r="W131" s="108">
        <f>MAX(Ko*(TANH(psi_o*(Tabella8[[#This Row],[Day]]-po)-phi_o)+TANH(phi_o))/(1+TANH(phi_o)),0)</f>
        <v>109007.35214584492</v>
      </c>
      <c r="X131" s="108">
        <f>Tabella8[[#This Row],[rest of Italy fit]]/Ko</f>
        <v>0.49136913726723508</v>
      </c>
      <c r="Y131" s="22">
        <f>Tabella8[[#This Row],[rest of Italy fit]]*NOT(ISBLANK(Tabella8[[#This Row],[rest of Italy ]]))</f>
        <v>109007.35214584492</v>
      </c>
      <c r="Z131" s="10">
        <f>Tabella8[[#This Row],[rest of Italy fit]]+CIo</f>
        <v>111821.32435062939</v>
      </c>
      <c r="AA131" s="10">
        <f>MAX(Tabella8[[#This Row],[rest of Italy fit]]-CIo,0)</f>
        <v>106193.37994106046</v>
      </c>
      <c r="AC131" s="55" t="s">
        <v>4712</v>
      </c>
      <c r="AD131" s="87">
        <v>4607</v>
      </c>
      <c r="AE131" s="87">
        <v>1281</v>
      </c>
      <c r="BD131" s="68"/>
      <c r="BE131" s="68"/>
    </row>
    <row r="132" spans="2:57" x14ac:dyDescent="0.3">
      <c r="B132" s="9">
        <v>43955</v>
      </c>
      <c r="C132" s="4">
        <v>125</v>
      </c>
      <c r="D132" s="10">
        <f>'dpc-covid19-ita-andamento-naz'!J72+'dpc-covid19-ita-andamento-naz'!K72</f>
        <v>111958</v>
      </c>
      <c r="E132" s="10">
        <f>Tabella8[[#This Row],[Italy cumulative]]*NOT(ISBLANK(Tabella8[[#This Row],[Italy cumulative]]))</f>
        <v>111958</v>
      </c>
      <c r="F132" s="10">
        <f>Tabella8[[#This Row],[region fit]]+Tabella8[[#This Row],[rest of Italy fit]]</f>
        <v>117002.21180237434</v>
      </c>
      <c r="G132" s="72">
        <f>Tabella8[[#This Row],[Italy sum of regions]]/K_sum</f>
        <v>0.49788174912012384</v>
      </c>
      <c r="H132" s="10">
        <f>Tabella8[[#This Row],[Italy sum of regions]]*NOT(ISBLANK(Tabella8[[#This Row],[Italy cumulative]]))</f>
        <v>117002.21180237434</v>
      </c>
      <c r="I132" s="132">
        <f>MAX(Kt*(TANH(psi_t*(Tabella8[[#This Row],[Day]]-pt)-phi_t)+TANH(phi_t))/(1+TANH(phi_t)),0)</f>
        <v>116935.47942661433</v>
      </c>
      <c r="J132" s="109">
        <f>Tabella8[[#This Row],[Italy fit]]/Kt</f>
        <v>0.49759778156616485</v>
      </c>
      <c r="K132" s="10">
        <f>Tabella8[[#This Row],[Italy fit]]*NOT(ISBLANK(Tabella8[[#This Row],[Italy cumulative]]))</f>
        <v>116935.47942661433</v>
      </c>
      <c r="L132" s="10">
        <f>Tabella8[[#This Row],[Italy sum of regions]]+CI</f>
        <v>119760.14416785225</v>
      </c>
      <c r="M132" s="10">
        <f>MAX(Tabella8[[#This Row],[Italy sum of regions]]-CI,0)</f>
        <v>114244.27943689642</v>
      </c>
      <c r="N132" s="57">
        <f t="shared" si="1"/>
        <v>4904</v>
      </c>
      <c r="O132" s="10">
        <f>Tabella8[[#This Row],[region data]]*NOT(ISBLANK(Tabella8[[#This Row],[region data]]))</f>
        <v>4904</v>
      </c>
      <c r="P132" s="107">
        <f>MAX(Kr*(TANH(psi_r*(Tabella8[[#This Row],[Day]]-pr)-phi_r)+TANH(phi_r))/(1+TANH(phi_r)),0)</f>
        <v>4984.3831000909086</v>
      </c>
      <c r="Q132" s="107">
        <f>Tabella8[[#This Row],[region fit]]/Kr</f>
        <v>0.37887098443528883</v>
      </c>
      <c r="R132" s="10">
        <f>Tabella8[[#This Row],[region fit]]*NOT(ISBLANK(Tabella8[[#This Row],[region data]]))</f>
        <v>4984.3831000909086</v>
      </c>
      <c r="S132" s="10">
        <f>Tabella8[[#This Row],[region fit]]+CIr</f>
        <v>5154.2938163570325</v>
      </c>
      <c r="T132" s="10">
        <f>MAX(Tabella8[[#This Row],[region fit]]-CIr,0)</f>
        <v>4814.4723838247846</v>
      </c>
      <c r="U132" s="10">
        <f>Tabella8[[#This Row],[Italy cumulative]]-Tabella8[[#This Row],[region data]]</f>
        <v>107054</v>
      </c>
      <c r="V132" s="10">
        <f>Tabella8[[#This Row],[rest of Italy ]]*NOT(ISBLANK(Tabella8[[#This Row],[rest of Italy ]]))</f>
        <v>107054</v>
      </c>
      <c r="W132" s="108">
        <f>MAX(Ko*(TANH(psi_o*(Tabella8[[#This Row],[Day]]-po)-phi_o)+TANH(phi_o))/(1+TANH(phi_o)),0)</f>
        <v>112017.82870228343</v>
      </c>
      <c r="X132" s="108">
        <f>Tabella8[[#This Row],[rest of Italy fit]]/Ko</f>
        <v>0.50493937119348686</v>
      </c>
      <c r="Y132" s="22">
        <f>Tabella8[[#This Row],[rest of Italy fit]]*NOT(ISBLANK(Tabella8[[#This Row],[rest of Italy ]]))</f>
        <v>112017.82870228343</v>
      </c>
      <c r="Z132" s="10">
        <f>Tabella8[[#This Row],[rest of Italy fit]]+CIo</f>
        <v>114831.8009070679</v>
      </c>
      <c r="AA132" s="10">
        <f>MAX(Tabella8[[#This Row],[rest of Italy fit]]-CIo,0)</f>
        <v>109203.85649749896</v>
      </c>
      <c r="AC132" s="55" t="s">
        <v>4736</v>
      </c>
      <c r="AD132" s="87">
        <v>4695</v>
      </c>
      <c r="AE132" s="87">
        <v>1293</v>
      </c>
      <c r="BD132" s="68"/>
      <c r="BE132" s="68"/>
    </row>
    <row r="133" spans="2:57" x14ac:dyDescent="0.3">
      <c r="B133" s="9">
        <v>43956</v>
      </c>
      <c r="C133" s="4">
        <v>126</v>
      </c>
      <c r="D133" s="10">
        <f>'dpc-covid19-ita-andamento-naz'!J73+'dpc-covid19-ita-andamento-naz'!K73</f>
        <v>114546</v>
      </c>
      <c r="E133" s="10">
        <f>Tabella8[[#This Row],[Italy cumulative]]*NOT(ISBLANK(Tabella8[[#This Row],[Italy cumulative]]))</f>
        <v>114546</v>
      </c>
      <c r="F133" s="10">
        <f>Tabella8[[#This Row],[region fit]]+Tabella8[[#This Row],[rest of Italy fit]]</f>
        <v>120147.90169973321</v>
      </c>
      <c r="G133" s="72">
        <f>Tabella8[[#This Row],[Italy sum of regions]]/K_sum</f>
        <v>0.51126766349011832</v>
      </c>
      <c r="H133" s="10">
        <f>Tabella8[[#This Row],[Italy sum of regions]]*NOT(ISBLANK(Tabella8[[#This Row],[Italy cumulative]]))</f>
        <v>120147.90169973321</v>
      </c>
      <c r="I133" s="132">
        <f>MAX(Kt*(TANH(psi_t*(Tabella8[[#This Row],[Day]]-pt)-phi_t)+TANH(phi_t))/(1+TANH(phi_t)),0)</f>
        <v>120079.46628895003</v>
      </c>
      <c r="J133" s="109">
        <f>Tabella8[[#This Row],[Italy fit]]/Kt</f>
        <v>0.51097644897867778</v>
      </c>
      <c r="K133" s="22">
        <f>Tabella8[[#This Row],[Italy fit]]*NOT(ISBLANK(Tabella8[[#This Row],[Italy cumulative]]))</f>
        <v>120079.46628895003</v>
      </c>
      <c r="L133" s="10">
        <f>Tabella8[[#This Row],[Italy sum of regions]]+CI</f>
        <v>122905.83406521112</v>
      </c>
      <c r="M133" s="10">
        <f>MAX(Tabella8[[#This Row],[Italy sum of regions]]-CI,0)</f>
        <v>117389.96933425529</v>
      </c>
      <c r="N133" s="57">
        <f t="shared" si="1"/>
        <v>5048</v>
      </c>
      <c r="O133" s="10">
        <f>Tabella8[[#This Row],[region data]]*NOT(ISBLANK(Tabella8[[#This Row],[region data]]))</f>
        <v>5048</v>
      </c>
      <c r="P133" s="107">
        <f>MAX(Kr*(TANH(psi_r*(Tabella8[[#This Row],[Day]]-pr)-phi_r)+TANH(phi_r))/(1+TANH(phi_r)),0)</f>
        <v>5129.8943729848661</v>
      </c>
      <c r="Q133" s="107">
        <f>Tabella8[[#This Row],[region fit]]/Kr</f>
        <v>0.38993153056521213</v>
      </c>
      <c r="R133" s="22">
        <f>Tabella8[[#This Row],[region fit]]*NOT(ISBLANK(Tabella8[[#This Row],[region data]]))</f>
        <v>5129.8943729848661</v>
      </c>
      <c r="S133" s="10">
        <f>Tabella8[[#This Row],[region fit]]+CIr</f>
        <v>5299.80508925099</v>
      </c>
      <c r="T133" s="10">
        <f>MAX(Tabella8[[#This Row],[region fit]]-CIr,0)</f>
        <v>4959.9836567187422</v>
      </c>
      <c r="U133" s="10">
        <f>Tabella8[[#This Row],[Italy cumulative]]-Tabella8[[#This Row],[region data]]</f>
        <v>109498</v>
      </c>
      <c r="V133" s="10">
        <f>Tabella8[[#This Row],[rest of Italy ]]*NOT(ISBLANK(Tabella8[[#This Row],[rest of Italy ]]))</f>
        <v>109498</v>
      </c>
      <c r="W133" s="108">
        <f>MAX(Ko*(TANH(psi_o*(Tabella8[[#This Row],[Day]]-po)-phi_o)+TANH(phi_o))/(1+TANH(phi_o)),0)</f>
        <v>115018.00732674834</v>
      </c>
      <c r="X133" s="108">
        <f>Tabella8[[#This Row],[rest of Italy fit]]/Ko</f>
        <v>0.51846318544391046</v>
      </c>
      <c r="Y133" s="22">
        <f>Tabella8[[#This Row],[rest of Italy fit]]*NOT(ISBLANK(Tabella8[[#This Row],[rest of Italy ]]))</f>
        <v>115018.00732674834</v>
      </c>
      <c r="Z133" s="10">
        <f>Tabella8[[#This Row],[rest of Italy fit]]+CIo</f>
        <v>117831.97953153281</v>
      </c>
      <c r="AA133" s="10">
        <f>MAX(Tabella8[[#This Row],[rest of Italy fit]]-CIo,0)</f>
        <v>112204.03512196387</v>
      </c>
      <c r="AC133" s="55" t="s">
        <v>4769</v>
      </c>
      <c r="AD133" s="87">
        <v>4783</v>
      </c>
      <c r="AE133" s="87">
        <v>1301</v>
      </c>
      <c r="BD133" s="68"/>
      <c r="BE133" s="68"/>
    </row>
    <row r="134" spans="2:57" x14ac:dyDescent="0.3">
      <c r="B134" s="9">
        <v>43957</v>
      </c>
      <c r="C134" s="4">
        <v>127</v>
      </c>
      <c r="D134" s="10">
        <f>'dpc-covid19-ita-andamento-naz'!J74+'dpc-covid19-ita-andamento-naz'!K74</f>
        <v>122929</v>
      </c>
      <c r="E134" s="10">
        <f>Tabella8[[#This Row],[Italy cumulative]]*NOT(ISBLANK(Tabella8[[#This Row],[Italy cumulative]]))</f>
        <v>122929</v>
      </c>
      <c r="F134" s="10">
        <f>Tabella8[[#This Row],[region fit]]+Tabella8[[#This Row],[rest of Italy fit]]</f>
        <v>123279.99714669076</v>
      </c>
      <c r="G134" s="72">
        <f>Tabella8[[#This Row],[Italy sum of regions]]/K_sum</f>
        <v>0.52459572913537611</v>
      </c>
      <c r="H134" s="10">
        <f>Tabella8[[#This Row],[Italy sum of regions]]*NOT(ISBLANK(Tabella8[[#This Row],[Italy cumulative]]))</f>
        <v>123279.99714669076</v>
      </c>
      <c r="I134" s="132">
        <f>MAX(Kt*(TANH(psi_t*(Tabella8[[#This Row],[Day]]-pt)-phi_t)+TANH(phi_t))/(1+TANH(phi_t)),0)</f>
        <v>123210.60215908688</v>
      </c>
      <c r="J134" s="109">
        <f>Tabella8[[#This Row],[Italy fit]]/Kt</f>
        <v>0.52430043131835868</v>
      </c>
      <c r="K134" s="22">
        <f>Tabella8[[#This Row],[Italy fit]]*NOT(ISBLANK(Tabella8[[#This Row],[Italy cumulative]]))</f>
        <v>123210.60215908688</v>
      </c>
      <c r="L134" s="10">
        <f>Tabella8[[#This Row],[Italy sum of regions]]+CI</f>
        <v>126037.92951216867</v>
      </c>
      <c r="M134" s="10">
        <f>MAX(Tabella8[[#This Row],[Italy sum of regions]]-CI,0)</f>
        <v>120522.06478121284</v>
      </c>
      <c r="N134" s="57">
        <f t="shared" si="1"/>
        <v>5245</v>
      </c>
      <c r="O134" s="10">
        <f>Tabella8[[#This Row],[region data]]*NOT(ISBLANK(Tabella8[[#This Row],[region data]]))</f>
        <v>5245</v>
      </c>
      <c r="P134" s="107">
        <f>MAX(Kr*(TANH(psi_r*(Tabella8[[#This Row],[Day]]-pr)-phi_r)+TANH(phi_r))/(1+TANH(phi_r)),0)</f>
        <v>5275.9816865499697</v>
      </c>
      <c r="Q134" s="107">
        <f>Tabella8[[#This Row],[region fit]]/Kr</f>
        <v>0.40103586247399098</v>
      </c>
      <c r="R134" s="22">
        <f>Tabella8[[#This Row],[region fit]]*NOT(ISBLANK(Tabella8[[#This Row],[region data]]))</f>
        <v>5275.9816865499697</v>
      </c>
      <c r="S134" s="10">
        <f>Tabella8[[#This Row],[region fit]]+CIr</f>
        <v>5445.8924028160936</v>
      </c>
      <c r="T134" s="10">
        <f>MAX(Tabella8[[#This Row],[region fit]]-CIr,0)</f>
        <v>5106.0709702838458</v>
      </c>
      <c r="U134" s="10">
        <f>Tabella8[[#This Row],[Italy cumulative]]-Tabella8[[#This Row],[region data]]</f>
        <v>117684</v>
      </c>
      <c r="V134" s="10">
        <f>Tabella8[[#This Row],[rest of Italy ]]*NOT(ISBLANK(Tabella8[[#This Row],[rest of Italy ]]))</f>
        <v>117684</v>
      </c>
      <c r="W134" s="108">
        <f>MAX(Ko*(TANH(psi_o*(Tabella8[[#This Row],[Day]]-po)-phi_o)+TANH(phi_o))/(1+TANH(phi_o)),0)</f>
        <v>118004.01546014078</v>
      </c>
      <c r="X134" s="108">
        <f>Tabella8[[#This Row],[rest of Italy fit]]/Ko</f>
        <v>0.53192312380123274</v>
      </c>
      <c r="Y134" s="22">
        <f>Tabella8[[#This Row],[rest of Italy fit]]*NOT(ISBLANK(Tabella8[[#This Row],[rest of Italy ]]))</f>
        <v>118004.01546014078</v>
      </c>
      <c r="Z134" s="10">
        <f>Tabella8[[#This Row],[rest of Italy fit]]+CIo</f>
        <v>120817.98766492525</v>
      </c>
      <c r="AA134" s="10">
        <f>MAX(Tabella8[[#This Row],[rest of Italy fit]]-CIo,0)</f>
        <v>115190.04325535632</v>
      </c>
      <c r="AC134" s="55" t="s">
        <v>4798</v>
      </c>
      <c r="AD134" s="87">
        <v>4898</v>
      </c>
      <c r="AE134" s="87">
        <v>1314</v>
      </c>
      <c r="BD134" s="68"/>
      <c r="BE134" s="68"/>
    </row>
    <row r="135" spans="2:57" x14ac:dyDescent="0.3">
      <c r="B135" s="9">
        <v>43958</v>
      </c>
      <c r="C135" s="4">
        <v>128</v>
      </c>
      <c r="D135" s="10">
        <f>'dpc-covid19-ita-andamento-naz'!J75+'dpc-covid19-ita-andamento-naz'!K75</f>
        <v>126234</v>
      </c>
      <c r="E135" s="10">
        <f>Tabella8[[#This Row],[Italy cumulative]]*NOT(ISBLANK(Tabella8[[#This Row],[Italy cumulative]]))</f>
        <v>126234</v>
      </c>
      <c r="F135" s="10">
        <f>Tabella8[[#This Row],[region fit]]+Tabella8[[#This Row],[rest of Italy fit]]</f>
        <v>126394.58339413148</v>
      </c>
      <c r="G135" s="72">
        <f>Tabella8[[#This Row],[Italy sum of regions]]/K_sum</f>
        <v>0.53784928754913075</v>
      </c>
      <c r="H135" s="10">
        <f>Tabella8[[#This Row],[Italy sum of regions]]*NOT(ISBLANK(Tabella8[[#This Row],[Italy cumulative]]))</f>
        <v>126394.58339413148</v>
      </c>
      <c r="I135" s="132">
        <f>MAX(Kt*(TANH(psi_t*(Tabella8[[#This Row],[Day]]-pt)-phi_t)+TANH(phi_t))/(1+TANH(phi_t)),0)</f>
        <v>126324.99874810832</v>
      </c>
      <c r="J135" s="109">
        <f>Tabella8[[#This Row],[Italy fit]]/Kt</f>
        <v>0.53755318267503194</v>
      </c>
      <c r="K135" s="22">
        <f>Tabella8[[#This Row],[Italy fit]]*NOT(ISBLANK(Tabella8[[#This Row],[Italy cumulative]]))</f>
        <v>126324.99874810832</v>
      </c>
      <c r="L135" s="10">
        <f>Tabella8[[#This Row],[Italy sum of regions]]+CI</f>
        <v>129152.51575960939</v>
      </c>
      <c r="M135" s="10">
        <f>MAX(Tabella8[[#This Row],[Italy sum of regions]]-CI,0)</f>
        <v>123636.65102865356</v>
      </c>
      <c r="N135" s="57">
        <f t="shared" si="1"/>
        <v>5397</v>
      </c>
      <c r="O135" s="10">
        <f>Tabella8[[#This Row],[region data]]*NOT(ISBLANK(Tabella8[[#This Row],[region data]]))</f>
        <v>5397</v>
      </c>
      <c r="P135" s="107">
        <f>MAX(Kr*(TANH(psi_r*(Tabella8[[#This Row],[Day]]-pr)-phi_r)+TANH(phi_r))/(1+TANH(phi_r)),0)</f>
        <v>5422.5292837210991</v>
      </c>
      <c r="Q135" s="107">
        <f>Tabella8[[#This Row],[region fit]]/Kr</f>
        <v>0.41217518128073344</v>
      </c>
      <c r="R135" s="22">
        <f>Tabella8[[#This Row],[region fit]]*NOT(ISBLANK(Tabella8[[#This Row],[region data]]))</f>
        <v>5422.5292837210991</v>
      </c>
      <c r="S135" s="10">
        <f>Tabella8[[#This Row],[region fit]]+CIr</f>
        <v>5592.439999987223</v>
      </c>
      <c r="T135" s="10">
        <f>MAX(Tabella8[[#This Row],[region fit]]-CIr,0)</f>
        <v>5252.6185674549752</v>
      </c>
      <c r="U135" s="10">
        <f>Tabella8[[#This Row],[Italy cumulative]]-Tabella8[[#This Row],[region data]]</f>
        <v>120837</v>
      </c>
      <c r="V135" s="10">
        <f>Tabella8[[#This Row],[rest of Italy ]]*NOT(ISBLANK(Tabella8[[#This Row],[rest of Italy ]]))</f>
        <v>120837</v>
      </c>
      <c r="W135" s="108">
        <f>MAX(Ko*(TANH(psi_o*(Tabella8[[#This Row],[Day]]-po)-phi_o)+TANH(phi_o))/(1+TANH(phi_o)),0)</f>
        <v>120972.05411041038</v>
      </c>
      <c r="X135" s="108">
        <f>Tabella8[[#This Row],[rest of Italy fit]]/Ko</f>
        <v>0.5453020616641352</v>
      </c>
      <c r="Y135" s="22">
        <f>Tabella8[[#This Row],[rest of Italy fit]]*NOT(ISBLANK(Tabella8[[#This Row],[rest of Italy ]]))</f>
        <v>120972.05411041038</v>
      </c>
      <c r="Z135" s="10">
        <f>Tabella8[[#This Row],[rest of Italy fit]]+CIo</f>
        <v>123786.02631519485</v>
      </c>
      <c r="AA135" s="10">
        <f>MAX(Tabella8[[#This Row],[rest of Italy fit]]-CIo,0)</f>
        <v>118158.08190562591</v>
      </c>
      <c r="AC135" s="55" t="s">
        <v>4860</v>
      </c>
      <c r="AD135" s="87">
        <v>5006</v>
      </c>
      <c r="AE135" s="87">
        <v>1329</v>
      </c>
      <c r="BD135" s="68"/>
      <c r="BE135" s="68"/>
    </row>
    <row r="136" spans="2:57" x14ac:dyDescent="0.3">
      <c r="B136" s="9">
        <v>43959</v>
      </c>
      <c r="C136" s="4">
        <v>129</v>
      </c>
      <c r="D136" s="10">
        <f>'dpc-covid19-ita-andamento-naz'!J76+'dpc-covid19-ita-andamento-naz'!K76</f>
        <v>129224</v>
      </c>
      <c r="E136" s="10">
        <f>Tabella8[[#This Row],[Italy cumulative]]*NOT(ISBLANK(Tabella8[[#This Row],[Italy cumulative]]))</f>
        <v>129224</v>
      </c>
      <c r="F136" s="10">
        <f>Tabella8[[#This Row],[region fit]]+Tabella8[[#This Row],[rest of Italy fit]]</f>
        <v>129487.83674997033</v>
      </c>
      <c r="G136" s="72">
        <f>Tabella8[[#This Row],[Italy sum of regions]]/K_sum</f>
        <v>0.55101206770133881</v>
      </c>
      <c r="H136" s="10">
        <f>Tabella8[[#This Row],[Italy sum of regions]]*NOT(ISBLANK(Tabella8[[#This Row],[Italy cumulative]]))</f>
        <v>129487.83674997033</v>
      </c>
      <c r="I136" s="132">
        <f>MAX(Kt*(TANH(psi_t*(Tabella8[[#This Row],[Day]]-pt)-phi_t)+TANH(phi_t))/(1+TANH(phi_t)),0)</f>
        <v>129418.85165228606</v>
      </c>
      <c r="J136" s="109">
        <f>Tabella8[[#This Row],[Italy fit]]/Kt</f>
        <v>0.5507185140967672</v>
      </c>
      <c r="K136" s="22">
        <f>Tabella8[[#This Row],[Italy fit]]*NOT(ISBLANK(Tabella8[[#This Row],[Italy cumulative]]))</f>
        <v>129418.85165228606</v>
      </c>
      <c r="L136" s="10">
        <f>Tabella8[[#This Row],[Italy sum of regions]]+CI</f>
        <v>132245.76911544826</v>
      </c>
      <c r="M136" s="10">
        <f>MAX(Tabella8[[#This Row],[Italy sum of regions]]-CI,0)</f>
        <v>126729.90438449242</v>
      </c>
      <c r="N136" s="57">
        <f t="shared" si="1"/>
        <v>5547</v>
      </c>
      <c r="O136" s="10">
        <f>Tabella8[[#This Row],[region data]]*NOT(ISBLANK(Tabella8[[#This Row],[region data]]))</f>
        <v>5547</v>
      </c>
      <c r="P136" s="107">
        <f>MAX(Kr*(TANH(psi_r*(Tabella8[[#This Row],[Day]]-pr)-phi_r)+TANH(phi_r))/(1+TANH(phi_r)),0)</f>
        <v>5569.4199281904339</v>
      </c>
      <c r="Q136" s="107">
        <f>Tabella8[[#This Row],[region fit]]/Kr</f>
        <v>0.42334057566492828</v>
      </c>
      <c r="R136" s="22">
        <f>Tabella8[[#This Row],[region fit]]*NOT(ISBLANK(Tabella8[[#This Row],[region data]]))</f>
        <v>5569.4199281904339</v>
      </c>
      <c r="S136" s="10">
        <f>Tabella8[[#This Row],[region fit]]+CIr</f>
        <v>5739.3306444565578</v>
      </c>
      <c r="T136" s="10">
        <f>MAX(Tabella8[[#This Row],[region fit]]-CIr,0)</f>
        <v>5399.50921192431</v>
      </c>
      <c r="U136" s="10">
        <f>Tabella8[[#This Row],[Italy cumulative]]-Tabella8[[#This Row],[region data]]</f>
        <v>123677</v>
      </c>
      <c r="V136" s="10">
        <f>Tabella8[[#This Row],[rest of Italy ]]*NOT(ISBLANK(Tabella8[[#This Row],[rest of Italy ]]))</f>
        <v>123677</v>
      </c>
      <c r="W136" s="108">
        <f>MAX(Ko*(TANH(psi_o*(Tabella8[[#This Row],[Day]]-po)-phi_o)+TANH(phi_o))/(1+TANH(phi_o)),0)</f>
        <v>123918.4168217799</v>
      </c>
      <c r="X136" s="108">
        <f>Tabella8[[#This Row],[rest of Italy fit]]/Ko</f>
        <v>0.55858329155425301</v>
      </c>
      <c r="Y136" s="22">
        <f>Tabella8[[#This Row],[rest of Italy fit]]*NOT(ISBLANK(Tabella8[[#This Row],[rest of Italy ]]))</f>
        <v>123918.4168217799</v>
      </c>
      <c r="Z136" s="10">
        <f>Tabella8[[#This Row],[rest of Italy fit]]+CIo</f>
        <v>126732.38902656437</v>
      </c>
      <c r="AA136" s="10">
        <f>MAX(Tabella8[[#This Row],[rest of Italy fit]]-CIo,0)</f>
        <v>121104.44461699543</v>
      </c>
      <c r="AC136" s="55" t="s">
        <v>5018</v>
      </c>
      <c r="AD136" s="87">
        <v>5121</v>
      </c>
      <c r="AE136" s="87">
        <v>1336</v>
      </c>
      <c r="BD136" s="68"/>
      <c r="BE136" s="68"/>
    </row>
    <row r="137" spans="2:57" x14ac:dyDescent="0.3">
      <c r="B137" s="9">
        <v>43960</v>
      </c>
      <c r="C137" s="4">
        <v>130</v>
      </c>
      <c r="D137" s="10">
        <f>'dpc-covid19-ita-andamento-naz'!J77+'dpc-covid19-ita-andamento-naz'!K77</f>
        <v>133426</v>
      </c>
      <c r="E137" s="10">
        <f>Tabella8[[#This Row],[Italy cumulative]]*NOT(ISBLANK(Tabella8[[#This Row],[Italy cumulative]]))</f>
        <v>133426</v>
      </c>
      <c r="F137" s="10">
        <f>Tabella8[[#This Row],[region fit]]+Tabella8[[#This Row],[rest of Italy fit]]</f>
        <v>132556.04291707158</v>
      </c>
      <c r="G137" s="72">
        <f>Tabella8[[#This Row],[Italy sum of regions]]/K_sum</f>
        <v>0.56406826407237631</v>
      </c>
      <c r="H137" s="10">
        <f>Tabella8[[#This Row],[Italy sum of regions]]*NOT(ISBLANK(Tabella8[[#This Row],[Italy cumulative]]))</f>
        <v>132556.04291707158</v>
      </c>
      <c r="I137" s="132">
        <f>MAX(Kt*(TANH(psi_t*(Tabella8[[#This Row],[Day]]-pt)-phi_t)+TANH(phi_t))/(1+TANH(phi_t)),0)</f>
        <v>132488.45849213048</v>
      </c>
      <c r="J137" s="109">
        <f>Tabella8[[#This Row],[Italy fit]]/Kt</f>
        <v>0.56378067077732785</v>
      </c>
      <c r="K137" s="22">
        <f>Tabella8[[#This Row],[Italy fit]]*NOT(ISBLANK(Tabella8[[#This Row],[Italy cumulative]]))</f>
        <v>132488.45849213048</v>
      </c>
      <c r="L137" s="10">
        <f>Tabella8[[#This Row],[Italy sum of regions]]+CI</f>
        <v>135313.97528254951</v>
      </c>
      <c r="M137" s="10">
        <f>MAX(Tabella8[[#This Row],[Italy sum of regions]]-CI,0)</f>
        <v>129798.11055159367</v>
      </c>
      <c r="N137" s="57">
        <f t="shared" si="1"/>
        <v>5756</v>
      </c>
      <c r="O137" s="10">
        <f>Tabella8[[#This Row],[region data]]*NOT(ISBLANK(Tabella8[[#This Row],[region data]]))</f>
        <v>5756</v>
      </c>
      <c r="P137" s="107">
        <f>MAX(Kr*(TANH(psi_r*(Tabella8[[#This Row],[Day]]-pr)-phi_r)+TANH(phi_r))/(1+TANH(phi_r)),0)</f>
        <v>5716.5352766275328</v>
      </c>
      <c r="Q137" s="107">
        <f>Tabella8[[#This Row],[region fit]]/Kr</f>
        <v>0.43452305015949266</v>
      </c>
      <c r="R137" s="22">
        <f>Tabella8[[#This Row],[region fit]]*NOT(ISBLANK(Tabella8[[#This Row],[region data]]))</f>
        <v>5716.5352766275328</v>
      </c>
      <c r="S137" s="10">
        <f>Tabella8[[#This Row],[region fit]]+CIr</f>
        <v>5886.4459928936567</v>
      </c>
      <c r="T137" s="10">
        <f>MAX(Tabella8[[#This Row],[region fit]]-CIr,0)</f>
        <v>5546.6245603614088</v>
      </c>
      <c r="U137" s="10">
        <f>Tabella8[[#This Row],[Italy cumulative]]-Tabella8[[#This Row],[region data]]</f>
        <v>127670</v>
      </c>
      <c r="V137" s="10">
        <f>Tabella8[[#This Row],[rest of Italy ]]*NOT(ISBLANK(Tabella8[[#This Row],[rest of Italy ]]))</f>
        <v>127670</v>
      </c>
      <c r="W137" s="108">
        <f>MAX(Ko*(TANH(psi_o*(Tabella8[[#This Row],[Day]]-po)-phi_o)+TANH(phi_o))/(1+TANH(phi_o)),0)</f>
        <v>126839.50764044405</v>
      </c>
      <c r="X137" s="108">
        <f>Tabella8[[#This Row],[rest of Italy fit]]/Ko</f>
        <v>0.57175060409961098</v>
      </c>
      <c r="Y137" s="22">
        <f>Tabella8[[#This Row],[rest of Italy fit]]*NOT(ISBLANK(Tabella8[[#This Row],[rest of Italy ]]))</f>
        <v>126839.50764044405</v>
      </c>
      <c r="Z137" s="10">
        <f>Tabella8[[#This Row],[rest of Italy fit]]+CIo</f>
        <v>129653.47984522852</v>
      </c>
      <c r="AA137" s="10">
        <f>MAX(Tabella8[[#This Row],[rest of Italy fit]]-CIo,0)</f>
        <v>124025.53543565958</v>
      </c>
      <c r="AC137" s="55" t="s">
        <v>5019</v>
      </c>
      <c r="AD137" s="87">
        <v>5232</v>
      </c>
      <c r="AE137" s="87">
        <v>1346</v>
      </c>
      <c r="BD137" s="68"/>
      <c r="BE137" s="68"/>
    </row>
    <row r="138" spans="2:57" x14ac:dyDescent="0.3">
      <c r="B138" s="9">
        <v>43961</v>
      </c>
      <c r="C138" s="4">
        <v>131</v>
      </c>
      <c r="D138" s="10">
        <f>'dpc-covid19-ita-andamento-naz'!J78+'dpc-covid19-ita-andamento-naz'!K78</f>
        <v>135746</v>
      </c>
      <c r="E138" s="10">
        <f>Tabella8[[#This Row],[Italy cumulative]]*NOT(ISBLANK(Tabella8[[#This Row],[Italy cumulative]]))</f>
        <v>135746</v>
      </c>
      <c r="F138" s="10">
        <f>Tabella8[[#This Row],[region fit]]+Tabella8[[#This Row],[rest of Italy fit]]</f>
        <v>135595.61415687006</v>
      </c>
      <c r="G138" s="72">
        <f>Tabella8[[#This Row],[Italy sum of regions]]/K_sum</f>
        <v>0.57700260968972461</v>
      </c>
      <c r="H138" s="10">
        <f>Tabella8[[#This Row],[Italy sum of regions]]*NOT(ISBLANK(Tabella8[[#This Row],[Italy cumulative]]))</f>
        <v>135595.61415687006</v>
      </c>
      <c r="I138" s="132">
        <f>MAX(Kt*(TANH(psi_t*(Tabella8[[#This Row],[Day]]-pt)-phi_t)+TANH(phi_t))/(1+TANH(phi_t)),0)</f>
        <v>135530.23598639676</v>
      </c>
      <c r="J138" s="109">
        <f>Tabella8[[#This Row],[Italy fit]]/Kt</f>
        <v>0.57672440471151565</v>
      </c>
      <c r="K138" s="22">
        <f>Tabella8[[#This Row],[Italy fit]]*NOT(ISBLANK(Tabella8[[#This Row],[Italy cumulative]]))</f>
        <v>135530.23598639676</v>
      </c>
      <c r="L138" s="10">
        <f>Tabella8[[#This Row],[Italy sum of regions]]+CI</f>
        <v>138353.54652234798</v>
      </c>
      <c r="M138" s="10">
        <f>MAX(Tabella8[[#This Row],[Italy sum of regions]]-CI,0)</f>
        <v>132837.68179139213</v>
      </c>
      <c r="N138" s="57">
        <f t="shared" si="1"/>
        <v>5888</v>
      </c>
      <c r="O138" s="10">
        <f>Tabella8[[#This Row],[region data]]*NOT(ISBLANK(Tabella8[[#This Row],[region data]]))</f>
        <v>5888</v>
      </c>
      <c r="P138" s="107">
        <f>MAX(Kr*(TANH(psi_r*(Tabella8[[#This Row],[Day]]-pr)-phi_r)+TANH(phi_r))/(1+TANH(phi_r)),0)</f>
        <v>5863.7562584701736</v>
      </c>
      <c r="Q138" s="107">
        <f>Tabella8[[#This Row],[region fit]]/Kr</f>
        <v>0.44571355401928503</v>
      </c>
      <c r="R138" s="22">
        <f>Tabella8[[#This Row],[region fit]]*NOT(ISBLANK(Tabella8[[#This Row],[region data]]))</f>
        <v>5863.7562584701736</v>
      </c>
      <c r="S138" s="10">
        <f>Tabella8[[#This Row],[region fit]]+CIr</f>
        <v>6033.6669747362976</v>
      </c>
      <c r="T138" s="10">
        <f>MAX(Tabella8[[#This Row],[region fit]]-CIr,0)</f>
        <v>5693.8455422040497</v>
      </c>
      <c r="U138" s="10">
        <f>Tabella8[[#This Row],[Italy cumulative]]-Tabella8[[#This Row],[region data]]</f>
        <v>129858</v>
      </c>
      <c r="V138" s="10">
        <f>Tabella8[[#This Row],[rest of Italy ]]*NOT(ISBLANK(Tabella8[[#This Row],[rest of Italy ]]))</f>
        <v>129858</v>
      </c>
      <c r="W138" s="108">
        <f>MAX(Ko*(TANH(psi_o*(Tabella8[[#This Row],[Day]]-po)-phi_o)+TANH(phi_o))/(1+TANH(phi_o)),0)</f>
        <v>129731.85789839989</v>
      </c>
      <c r="X138" s="108">
        <f>Tabella8[[#This Row],[rest of Italy fit]]/Ko</f>
        <v>0.58478836369058729</v>
      </c>
      <c r="Y138" s="22">
        <f>Tabella8[[#This Row],[rest of Italy fit]]*NOT(ISBLANK(Tabella8[[#This Row],[rest of Italy ]]))</f>
        <v>129731.85789839989</v>
      </c>
      <c r="Z138" s="10">
        <f>Tabella8[[#This Row],[rest of Italy fit]]+CIo</f>
        <v>132545.83010318436</v>
      </c>
      <c r="AA138" s="10">
        <f>MAX(Tabella8[[#This Row],[rest of Italy fit]]-CIo,0)</f>
        <v>126917.88569361542</v>
      </c>
      <c r="AC138" s="55" t="s">
        <v>5020</v>
      </c>
      <c r="AD138" s="87">
        <v>5348</v>
      </c>
      <c r="AE138" s="87">
        <v>1355</v>
      </c>
      <c r="BD138" s="68"/>
      <c r="BE138" s="68"/>
    </row>
    <row r="139" spans="2:57" x14ac:dyDescent="0.3">
      <c r="B139" s="9">
        <v>43962</v>
      </c>
      <c r="C139" s="4">
        <v>132</v>
      </c>
      <c r="D139" s="10">
        <f>'dpc-covid19-ita-andamento-naz'!J79+'dpc-covid19-ita-andamento-naz'!K79</f>
        <v>137326</v>
      </c>
      <c r="E139" s="10">
        <f>Tabella8[[#This Row],[Italy cumulative]]*NOT(ISBLANK(Tabella8[[#This Row],[Italy cumulative]]))</f>
        <v>137326</v>
      </c>
      <c r="F139" s="10">
        <f>Tabella8[[#This Row],[region fit]]+Tabella8[[#This Row],[rest of Italy fit]]</f>
        <v>138603.10511916946</v>
      </c>
      <c r="G139" s="72">
        <f>Tabella8[[#This Row],[Italy sum of regions]]/K_sum</f>
        <v>0.58980044348881355</v>
      </c>
      <c r="H139" s="10">
        <f>Tabella8[[#This Row],[Italy sum of regions]]*NOT(ISBLANK(Tabella8[[#This Row],[Italy cumulative]]))</f>
        <v>138603.10511916946</v>
      </c>
      <c r="I139" s="132">
        <f>MAX(Kt*(TANH(psi_t*(Tabella8[[#This Row],[Day]]-pt)-phi_t)+TANH(phi_t))/(1+TANH(phi_t)),0)</f>
        <v>138540.73580144349</v>
      </c>
      <c r="J139" s="109">
        <f>Tabella8[[#This Row],[Italy fit]]/Kt</f>
        <v>0.58953504213924957</v>
      </c>
      <c r="K139" s="22">
        <f>Tabella8[[#This Row],[Italy fit]]*NOT(ISBLANK(Tabella8[[#This Row],[Italy cumulative]]))</f>
        <v>138540.73580144349</v>
      </c>
      <c r="L139" s="10">
        <f>Tabella8[[#This Row],[Italy sum of regions]]+CI</f>
        <v>141361.03748464739</v>
      </c>
      <c r="M139" s="10">
        <f>MAX(Tabella8[[#This Row],[Italy sum of regions]]-CI,0)</f>
        <v>135845.17275369153</v>
      </c>
      <c r="N139" s="57">
        <f t="shared" si="1"/>
        <v>5988</v>
      </c>
      <c r="O139" s="10">
        <f>Tabella8[[#This Row],[region data]]*NOT(ISBLANK(Tabella8[[#This Row],[region data]]))</f>
        <v>5988</v>
      </c>
      <c r="P139" s="107">
        <f>MAX(Kr*(TANH(psi_r*(Tabella8[[#This Row],[Day]]-pr)-phi_r)+TANH(phi_r))/(1+TANH(phi_r)),0)</f>
        <v>6010.9634607081543</v>
      </c>
      <c r="Q139" s="107">
        <f>Tabella8[[#This Row],[region fit]]/Kr</f>
        <v>0.45690301046914161</v>
      </c>
      <c r="R139" s="22">
        <f>Tabella8[[#This Row],[region fit]]*NOT(ISBLANK(Tabella8[[#This Row],[region data]]))</f>
        <v>6010.9634607081543</v>
      </c>
      <c r="S139" s="10">
        <f>Tabella8[[#This Row],[region fit]]+CIr</f>
        <v>6180.8741769742783</v>
      </c>
      <c r="T139" s="10">
        <f>MAX(Tabella8[[#This Row],[region fit]]-CIr,0)</f>
        <v>5841.0527444420304</v>
      </c>
      <c r="U139" s="10">
        <f>Tabella8[[#This Row],[Italy cumulative]]-Tabella8[[#This Row],[region data]]</f>
        <v>131338</v>
      </c>
      <c r="V139" s="10">
        <f>Tabella8[[#This Row],[rest of Italy ]]*NOT(ISBLANK(Tabella8[[#This Row],[rest of Italy ]]))</f>
        <v>131338</v>
      </c>
      <c r="W139" s="108">
        <f>MAX(Ko*(TANH(psi_o*(Tabella8[[#This Row],[Day]]-po)-phi_o)+TANH(phi_o))/(1+TANH(phi_o)),0)</f>
        <v>132592.1416584613</v>
      </c>
      <c r="X139" s="108">
        <f>Tabella8[[#This Row],[rest of Italy fit]]/Ko</f>
        <v>0.59768157810093692</v>
      </c>
      <c r="Y139" s="22">
        <f>Tabella8[[#This Row],[rest of Italy fit]]*NOT(ISBLANK(Tabella8[[#This Row],[rest of Italy ]]))</f>
        <v>132592.1416584613</v>
      </c>
      <c r="Z139" s="10">
        <f>Tabella8[[#This Row],[rest of Italy fit]]+CIo</f>
        <v>135406.11386324576</v>
      </c>
      <c r="AA139" s="10">
        <f>MAX(Tabella8[[#This Row],[rest of Italy fit]]-CIo,0)</f>
        <v>129778.16945367683</v>
      </c>
      <c r="AC139" s="55" t="s">
        <v>5021</v>
      </c>
      <c r="AD139" s="87">
        <v>5485</v>
      </c>
      <c r="AE139" s="87">
        <v>1367</v>
      </c>
      <c r="BD139" s="68"/>
      <c r="BE139" s="68"/>
    </row>
    <row r="140" spans="2:57" x14ac:dyDescent="0.3">
      <c r="B140" s="9">
        <v>43963</v>
      </c>
      <c r="C140" s="4">
        <v>133</v>
      </c>
      <c r="D140" s="10">
        <f>'dpc-covid19-ita-andamento-naz'!J80+'dpc-covid19-ita-andamento-naz'!K80</f>
        <v>139950</v>
      </c>
      <c r="E140" s="10">
        <f>Tabella8[[#This Row],[Italy cumulative]]*NOT(ISBLANK(Tabella8[[#This Row],[Italy cumulative]]))</f>
        <v>139950</v>
      </c>
      <c r="F140" s="10">
        <f>Tabella8[[#This Row],[region fit]]+Tabella8[[#This Row],[rest of Italy fit]]</f>
        <v>141575.22720224608</v>
      </c>
      <c r="G140" s="72">
        <f>Tabella8[[#This Row],[Italy sum of regions]]/K_sum</f>
        <v>0.60244777141984596</v>
      </c>
      <c r="H140" s="10">
        <f>Tabella8[[#This Row],[Italy sum of regions]]*NOT(ISBLANK(Tabella8[[#This Row],[Italy cumulative]]))</f>
        <v>141575.22720224608</v>
      </c>
      <c r="I140" s="132">
        <f>MAX(Kt*(TANH(psi_t*(Tabella8[[#This Row],[Day]]-pt)-phi_t)+TANH(phi_t))/(1+TANH(phi_t)),0)</f>
        <v>141516.65903760181</v>
      </c>
      <c r="J140" s="109">
        <f>Tabella8[[#This Row],[Italy fit]]/Kt</f>
        <v>0.60219854518968952</v>
      </c>
      <c r="K140" s="22">
        <f>Tabella8[[#This Row],[Italy fit]]*NOT(ISBLANK(Tabella8[[#This Row],[Italy cumulative]]))</f>
        <v>141516.65903760181</v>
      </c>
      <c r="L140" s="10">
        <f>Tabella8[[#This Row],[Italy sum of regions]]+CI</f>
        <v>144333.15956772401</v>
      </c>
      <c r="M140" s="10">
        <f>MAX(Tabella8[[#This Row],[Italy sum of regions]]-CI,0)</f>
        <v>138817.29483676815</v>
      </c>
      <c r="N140" s="57">
        <f t="shared" si="1"/>
        <v>6084</v>
      </c>
      <c r="O140" s="10">
        <f>Tabella8[[#This Row],[region data]]*NOT(ISBLANK(Tabella8[[#This Row],[region data]]))</f>
        <v>6084</v>
      </c>
      <c r="P140" s="107">
        <f>MAX(Kr*(TANH(psi_r*(Tabella8[[#This Row],[Day]]-pr)-phi_r)+TANH(phi_r))/(1+TANH(phi_r)),0)</f>
        <v>6158.0375150236268</v>
      </c>
      <c r="Q140" s="107">
        <f>Tabella8[[#This Row],[region fit]]/Kr</f>
        <v>0.46808234613103644</v>
      </c>
      <c r="R140" s="22">
        <f>Tabella8[[#This Row],[region fit]]*NOT(ISBLANK(Tabella8[[#This Row],[region data]]))</f>
        <v>6158.0375150236268</v>
      </c>
      <c r="S140" s="10">
        <f>Tabella8[[#This Row],[region fit]]+CIr</f>
        <v>6327.9482312897508</v>
      </c>
      <c r="T140" s="10">
        <f>MAX(Tabella8[[#This Row],[region fit]]-CIr,0)</f>
        <v>5988.1267987575029</v>
      </c>
      <c r="U140" s="10">
        <f>Tabella8[[#This Row],[Italy cumulative]]-Tabella8[[#This Row],[region data]]</f>
        <v>133866</v>
      </c>
      <c r="V140" s="10">
        <f>Tabella8[[#This Row],[rest of Italy ]]*NOT(ISBLANK(Tabella8[[#This Row],[rest of Italy ]]))</f>
        <v>133866</v>
      </c>
      <c r="W140" s="108">
        <f>MAX(Ko*(TANH(psi_o*(Tabella8[[#This Row],[Day]]-po)-phi_o)+TANH(phi_o))/(1+TANH(phi_o)),0)</f>
        <v>135417.18968722245</v>
      </c>
      <c r="X140" s="108">
        <f>Tabella8[[#This Row],[rest of Italy fit]]/Ko</f>
        <v>0.61041596147329535</v>
      </c>
      <c r="Y140" s="22">
        <f>Tabella8[[#This Row],[rest of Italy fit]]*NOT(ISBLANK(Tabella8[[#This Row],[rest of Italy ]]))</f>
        <v>135417.18968722245</v>
      </c>
      <c r="Z140" s="10">
        <f>Tabella8[[#This Row],[rest of Italy fit]]+CIo</f>
        <v>138231.1618920069</v>
      </c>
      <c r="AA140" s="10">
        <f>MAX(Tabella8[[#This Row],[rest of Italy fit]]-CIo,0)</f>
        <v>132603.21748243799</v>
      </c>
      <c r="AC140" s="55" t="s">
        <v>5022</v>
      </c>
      <c r="AD140" s="87">
        <v>5617</v>
      </c>
      <c r="AE140" s="87">
        <v>1376</v>
      </c>
      <c r="BD140" s="68"/>
      <c r="BE140" s="68"/>
    </row>
    <row r="141" spans="2:57" x14ac:dyDescent="0.3">
      <c r="B141" s="9">
        <v>43964</v>
      </c>
      <c r="C141" s="4">
        <v>134</v>
      </c>
      <c r="D141" s="10">
        <f>'dpc-covid19-ita-andamento-naz'!J81+'dpc-covid19-ita-andamento-naz'!K81</f>
        <v>143647</v>
      </c>
      <c r="E141" s="10">
        <f>Tabella8[[#This Row],[Italy cumulative]]*NOT(ISBLANK(Tabella8[[#This Row],[Italy cumulative]]))</f>
        <v>143647</v>
      </c>
      <c r="F141" s="10">
        <f>Tabella8[[#This Row],[region fit]]+Tabella8[[#This Row],[rest of Italy fit]]</f>
        <v>144508.86133276008</v>
      </c>
      <c r="G141" s="72">
        <f>Tabella8[[#This Row],[Italy sum of regions]]/K_sum</f>
        <v>0.61493132083039781</v>
      </c>
      <c r="H141" s="10">
        <f>Tabella8[[#This Row],[Italy sum of regions]]*NOT(ISBLANK(Tabella8[[#This Row],[Italy cumulative]]))</f>
        <v>144508.86133276008</v>
      </c>
      <c r="I141" s="132">
        <f>MAX(Kt*(TANH(psi_t*(Tabella8[[#This Row],[Day]]-pt)-phi_t)+TANH(phi_t))/(1+TANH(phi_t)),0)</f>
        <v>144454.86923732565</v>
      </c>
      <c r="J141" s="109">
        <f>Tabella8[[#This Row],[Italy fit]]/Kt</f>
        <v>0.6147015672350663</v>
      </c>
      <c r="K141" s="22">
        <f>Tabella8[[#This Row],[Italy fit]]*NOT(ISBLANK(Tabella8[[#This Row],[Italy cumulative]]))</f>
        <v>144454.86923732565</v>
      </c>
      <c r="L141" s="10">
        <f>Tabella8[[#This Row],[Italy sum of regions]]+CI</f>
        <v>147266.79369823801</v>
      </c>
      <c r="M141" s="10">
        <f>MAX(Tabella8[[#This Row],[Italy sum of regions]]-CI,0)</f>
        <v>141750.92896728215</v>
      </c>
      <c r="N141" s="57">
        <f t="shared" si="1"/>
        <v>6212</v>
      </c>
      <c r="O141" s="10">
        <f>Tabella8[[#This Row],[region data]]*NOT(ISBLANK(Tabella8[[#This Row],[region data]]))</f>
        <v>6212</v>
      </c>
      <c r="P141" s="107">
        <f>MAX(Kr*(TANH(psi_r*(Tabella8[[#This Row],[Day]]-pr)-phi_r)+TANH(phi_r))/(1+TANH(phi_r)),0)</f>
        <v>6304.8594846236765</v>
      </c>
      <c r="Q141" s="107">
        <f>Tabella8[[#This Row],[region fit]]/Kr</f>
        <v>0.47924252042784848</v>
      </c>
      <c r="R141" s="22">
        <f>Tabella8[[#This Row],[region fit]]*NOT(ISBLANK(Tabella8[[#This Row],[region data]]))</f>
        <v>6304.8594846236765</v>
      </c>
      <c r="S141" s="10">
        <f>Tabella8[[#This Row],[region fit]]+CIr</f>
        <v>6474.7702008898004</v>
      </c>
      <c r="T141" s="10">
        <f>MAX(Tabella8[[#This Row],[region fit]]-CIr,0)</f>
        <v>6134.9487683575526</v>
      </c>
      <c r="U141" s="10">
        <f>Tabella8[[#This Row],[Italy cumulative]]-Tabella8[[#This Row],[region data]]</f>
        <v>137435</v>
      </c>
      <c r="V141" s="10">
        <f>Tabella8[[#This Row],[rest of Italy ]]*NOT(ISBLANK(Tabella8[[#This Row],[rest of Italy ]]))</f>
        <v>137435</v>
      </c>
      <c r="W141" s="108">
        <f>MAX(Ko*(TANH(psi_o*(Tabella8[[#This Row],[Day]]-po)-phi_o)+TANH(phi_o))/(1+TANH(phi_o)),0)</f>
        <v>138204.00184813639</v>
      </c>
      <c r="X141" s="108">
        <f>Tabella8[[#This Row],[rest of Italy fit]]/Ko</f>
        <v>0.62297799018308386</v>
      </c>
      <c r="Y141" s="22">
        <f>Tabella8[[#This Row],[rest of Italy fit]]*NOT(ISBLANK(Tabella8[[#This Row],[rest of Italy ]]))</f>
        <v>138204.00184813639</v>
      </c>
      <c r="Z141" s="10">
        <f>Tabella8[[#This Row],[rest of Italy fit]]+CIo</f>
        <v>141017.97405292085</v>
      </c>
      <c r="AA141" s="10">
        <f>MAX(Tabella8[[#This Row],[rest of Italy fit]]-CIo,0)</f>
        <v>135390.02964335194</v>
      </c>
      <c r="AC141" s="55" t="s">
        <v>5023</v>
      </c>
      <c r="AD141" s="87">
        <v>5725</v>
      </c>
      <c r="AE141" s="87">
        <v>1386</v>
      </c>
      <c r="BD141" s="68"/>
      <c r="BE141" s="68"/>
    </row>
    <row r="142" spans="2:57" x14ac:dyDescent="0.3">
      <c r="B142" s="9">
        <v>43965</v>
      </c>
      <c r="C142" s="4">
        <v>135</v>
      </c>
      <c r="D142" s="10">
        <f>'dpc-covid19-ita-andamento-naz'!J82+'dpc-covid19-ita-andamento-naz'!K82</f>
        <v>146656</v>
      </c>
      <c r="E142" s="10">
        <f>Tabella8[[#This Row],[Italy cumulative]]*NOT(ISBLANK(Tabella8[[#This Row],[Italy cumulative]]))</f>
        <v>146656</v>
      </c>
      <c r="F142" s="10">
        <f>Tabella8[[#This Row],[region fit]]+Tabella8[[#This Row],[rest of Italy fit]]</f>
        <v>147401.06908141807</v>
      </c>
      <c r="G142" s="72">
        <f>Tabella8[[#This Row],[Italy sum of regions]]/K_sum</f>
        <v>0.62723858776611052</v>
      </c>
      <c r="H142" s="10">
        <f>Tabella8[[#This Row],[Italy sum of regions]]*NOT(ISBLANK(Tabella8[[#This Row],[Italy cumulative]]))</f>
        <v>147401.06908141807</v>
      </c>
      <c r="I142" s="132">
        <f>MAX(Kt*(TANH(psi_t*(Tabella8[[#This Row],[Day]]-pt)-phi_t)+TANH(phi_t))/(1+TANH(phi_t)),0)</f>
        <v>147352.40382427152</v>
      </c>
      <c r="J142" s="109">
        <f>Tabella8[[#This Row],[Italy fit]]/Kt</f>
        <v>0.62703150156761711</v>
      </c>
      <c r="K142" s="22">
        <f>Tabella8[[#This Row],[Italy fit]]*NOT(ISBLANK(Tabella8[[#This Row],[Italy cumulative]]))</f>
        <v>147352.40382427152</v>
      </c>
      <c r="L142" s="10">
        <f>Tabella8[[#This Row],[Italy sum of regions]]+CI</f>
        <v>150159.001446896</v>
      </c>
      <c r="M142" s="10">
        <f>MAX(Tabella8[[#This Row],[Italy sum of regions]]-CI,0)</f>
        <v>144643.13671594014</v>
      </c>
      <c r="N142" s="57">
        <f t="shared" si="1"/>
        <v>6335</v>
      </c>
      <c r="O142" s="10">
        <f>Tabella8[[#This Row],[region data]]*NOT(ISBLANK(Tabella8[[#This Row],[region data]]))</f>
        <v>6335</v>
      </c>
      <c r="P142" s="107">
        <f>MAX(Kr*(TANH(psi_r*(Tabella8[[#This Row],[Day]]-pr)-phi_r)+TANH(phi_r))/(1+TANH(phi_r)),0)</f>
        <v>6451.31124810454</v>
      </c>
      <c r="Q142" s="107">
        <f>Tabella8[[#This Row],[region fit]]/Kr</f>
        <v>0.49037455476149888</v>
      </c>
      <c r="R142" s="22">
        <f>Tabella8[[#This Row],[region fit]]*NOT(ISBLANK(Tabella8[[#This Row],[region data]]))</f>
        <v>6451.31124810454</v>
      </c>
      <c r="S142" s="10">
        <f>Tabella8[[#This Row],[region fit]]+CIr</f>
        <v>6621.221964370664</v>
      </c>
      <c r="T142" s="10">
        <f>MAX(Tabella8[[#This Row],[region fit]]-CIr,0)</f>
        <v>6281.4005318384161</v>
      </c>
      <c r="U142" s="10">
        <f>Tabella8[[#This Row],[Italy cumulative]]-Tabella8[[#This Row],[region data]]</f>
        <v>140321</v>
      </c>
      <c r="V142" s="10">
        <f>Tabella8[[#This Row],[rest of Italy ]]*NOT(ISBLANK(Tabella8[[#This Row],[rest of Italy ]]))</f>
        <v>140321</v>
      </c>
      <c r="W142" s="108">
        <f>MAX(Ko*(TANH(psi_o*(Tabella8[[#This Row],[Day]]-po)-phi_o)+TANH(phi_o))/(1+TANH(phi_o)),0)</f>
        <v>140949.75783331352</v>
      </c>
      <c r="X142" s="108">
        <f>Tabella8[[#This Row],[rest of Italy fit]]/Ko</f>
        <v>0.6353549512139115</v>
      </c>
      <c r="Y142" s="22">
        <f>Tabella8[[#This Row],[rest of Italy fit]]*NOT(ISBLANK(Tabella8[[#This Row],[rest of Italy ]]))</f>
        <v>140949.75783331352</v>
      </c>
      <c r="Z142" s="10">
        <f>Tabella8[[#This Row],[rest of Italy fit]]+CIo</f>
        <v>143763.73003809797</v>
      </c>
      <c r="AA142" s="10">
        <f>MAX(Tabella8[[#This Row],[rest of Italy fit]]-CIo,0)</f>
        <v>138135.78562852906</v>
      </c>
      <c r="AC142" s="55" t="s">
        <v>5024</v>
      </c>
      <c r="AD142" s="87">
        <v>5872</v>
      </c>
      <c r="AE142" s="87">
        <v>1397</v>
      </c>
    </row>
    <row r="143" spans="2:57" x14ac:dyDescent="0.3">
      <c r="B143" s="9">
        <v>43966</v>
      </c>
      <c r="C143" s="4">
        <v>136</v>
      </c>
      <c r="D143" s="10">
        <f>'dpc-covid19-ita-andamento-naz'!J83+'dpc-covid19-ita-andamento-naz'!K83</f>
        <v>151815</v>
      </c>
      <c r="E143" s="10">
        <f>Tabella8[[#This Row],[Italy cumulative]]*NOT(ISBLANK(Tabella8[[#This Row],[Italy cumulative]]))</f>
        <v>151815</v>
      </c>
      <c r="F143" s="10">
        <f>Tabella8[[#This Row],[region fit]]+Tabella8[[#This Row],[rest of Italy fit]]</f>
        <v>150249.10205719361</v>
      </c>
      <c r="G143" s="72">
        <f>Tabella8[[#This Row],[Italy sum of regions]]/K_sum</f>
        <v>0.63935787694609636</v>
      </c>
      <c r="H143" s="10">
        <f>Tabella8[[#This Row],[Italy sum of regions]]*NOT(ISBLANK(Tabella8[[#This Row],[Italy cumulative]]))</f>
        <v>150249.10205719361</v>
      </c>
      <c r="I143" s="132">
        <f>MAX(Kt*(TANH(psi_t*(Tabella8[[#This Row],[Day]]-pt)-phi_t)+TANH(phi_t))/(1+TANH(phi_t)),0)</f>
        <v>150206.48390750558</v>
      </c>
      <c r="J143" s="109">
        <f>Tabella8[[#This Row],[Italy fit]]/Kt</f>
        <v>0.63917652311961504</v>
      </c>
      <c r="K143" s="22">
        <f>Tabella8[[#This Row],[Italy fit]]*NOT(ISBLANK(Tabella8[[#This Row],[Italy cumulative]]))</f>
        <v>150206.48390750558</v>
      </c>
      <c r="L143" s="10">
        <f>Tabella8[[#This Row],[Italy sum of regions]]+CI</f>
        <v>153007.03442267154</v>
      </c>
      <c r="M143" s="10">
        <f>MAX(Tabella8[[#This Row],[Italy sum of regions]]-CI,0)</f>
        <v>147491.16969171568</v>
      </c>
      <c r="N143" s="57">
        <f t="shared" si="1"/>
        <v>6457</v>
      </c>
      <c r="O143" s="10">
        <f>Tabella8[[#This Row],[region data]]*NOT(ISBLANK(Tabella8[[#This Row],[region data]]))</f>
        <v>6457</v>
      </c>
      <c r="P143" s="107">
        <f>MAX(Kr*(TANH(psi_r*(Tabella8[[#This Row],[Day]]-pr)-phi_r)+TANH(phi_r))/(1+TANH(phi_r)),0)</f>
        <v>6597.2758777218451</v>
      </c>
      <c r="Q143" s="107">
        <f>Tabella8[[#This Row],[region fit]]/Kr</f>
        <v>0.50146956126588094</v>
      </c>
      <c r="R143" s="22">
        <f>Tabella8[[#This Row],[region fit]]*NOT(ISBLANK(Tabella8[[#This Row],[region data]]))</f>
        <v>6597.2758777218451</v>
      </c>
      <c r="S143" s="10">
        <f>Tabella8[[#This Row],[region fit]]+CIr</f>
        <v>6767.186593987969</v>
      </c>
      <c r="T143" s="10">
        <f>MAX(Tabella8[[#This Row],[region fit]]-CIr,0)</f>
        <v>6427.3651614557211</v>
      </c>
      <c r="U143" s="10">
        <f>Tabella8[[#This Row],[Italy cumulative]]-Tabella8[[#This Row],[region data]]</f>
        <v>145358</v>
      </c>
      <c r="V143" s="10">
        <f>Tabella8[[#This Row],[rest of Italy ]]*NOT(ISBLANK(Tabella8[[#This Row],[rest of Italy ]]))</f>
        <v>145358</v>
      </c>
      <c r="W143" s="108">
        <f>MAX(Ko*(TANH(psi_o*(Tabella8[[#This Row],[Day]]-po)-phi_o)+TANH(phi_o))/(1+TANH(phi_o)),0)</f>
        <v>143651.82617947177</v>
      </c>
      <c r="X143" s="108">
        <f>Tabella8[[#This Row],[rest of Italy fit]]/Ko</f>
        <v>0.64753498279850119</v>
      </c>
      <c r="Y143" s="22">
        <f>Tabella8[[#This Row],[rest of Italy fit]]*NOT(ISBLANK(Tabella8[[#This Row],[rest of Italy ]]))</f>
        <v>143651.82617947177</v>
      </c>
      <c r="Z143" s="10">
        <f>Tabella8[[#This Row],[rest of Italy fit]]+CIo</f>
        <v>146465.79838425622</v>
      </c>
      <c r="AA143" s="10">
        <f>MAX(Tabella8[[#This Row],[rest of Italy fit]]-CIo,0)</f>
        <v>140837.85397468731</v>
      </c>
      <c r="AC143" s="55" t="s">
        <v>5271</v>
      </c>
      <c r="AD143" s="87">
        <v>6074</v>
      </c>
      <c r="AE143" s="87">
        <v>1407</v>
      </c>
    </row>
    <row r="144" spans="2:57" x14ac:dyDescent="0.3">
      <c r="B144" s="9">
        <v>43967</v>
      </c>
      <c r="C144" s="4">
        <v>137</v>
      </c>
      <c r="D144" s="10">
        <f>'dpc-covid19-ita-andamento-naz'!J84+'dpc-covid19-ita-andamento-naz'!K84</f>
        <v>154573</v>
      </c>
      <c r="E144" s="10">
        <f>Tabella8[[#This Row],[Italy cumulative]]*NOT(ISBLANK(Tabella8[[#This Row],[Italy cumulative]]))</f>
        <v>154573</v>
      </c>
      <c r="F144" s="10">
        <f>Tabella8[[#This Row],[region fit]]+Tabella8[[#This Row],[rest of Italy fit]]</f>
        <v>153050.40954956206</v>
      </c>
      <c r="G144" s="72">
        <f>Tabella8[[#This Row],[Italy sum of regions]]/K_sum</f>
        <v>0.65127833428308668</v>
      </c>
      <c r="H144" s="10">
        <f>Tabella8[[#This Row],[Italy sum of regions]]*NOT(ISBLANK(Tabella8[[#This Row],[Italy cumulative]]))</f>
        <v>153050.40954956206</v>
      </c>
      <c r="I144" s="132">
        <f>MAX(Kt*(TANH(psi_t*(Tabella8[[#This Row],[Day]]-pt)-phi_t)+TANH(phi_t))/(1+TANH(phi_t)),0)</f>
        <v>153014.52241017277</v>
      </c>
      <c r="J144" s="109">
        <f>Tabella8[[#This Row],[Italy fit]]/Kt</f>
        <v>0.65112562305345045</v>
      </c>
      <c r="K144" s="22">
        <f>Tabella8[[#This Row],[Italy fit]]*NOT(ISBLANK(Tabella8[[#This Row],[Italy cumulative]]))</f>
        <v>153014.52241017277</v>
      </c>
      <c r="L144" s="10">
        <f>Tabella8[[#This Row],[Italy sum of regions]]+CI</f>
        <v>155808.34191503999</v>
      </c>
      <c r="M144" s="10">
        <f>MAX(Tabella8[[#This Row],[Italy sum of regions]]-CI,0)</f>
        <v>150292.47718408413</v>
      </c>
      <c r="N144" s="57">
        <f t="shared" si="1"/>
        <v>6578</v>
      </c>
      <c r="O144" s="10">
        <f>Tabella8[[#This Row],[region data]]*NOT(ISBLANK(Tabella8[[#This Row],[region data]]))</f>
        <v>6578</v>
      </c>
      <c r="P144" s="107">
        <f>MAX(Kr*(TANH(psi_r*(Tabella8[[#This Row],[Day]]-pr)-phi_r)+TANH(phi_r))/(1+TANH(phi_r)),0)</f>
        <v>6742.6380095069053</v>
      </c>
      <c r="Q144" s="107">
        <f>Tabella8[[#This Row],[region fit]]/Kr</f>
        <v>0.51251877093999554</v>
      </c>
      <c r="R144" s="22">
        <f>Tabella8[[#This Row],[region fit]]*NOT(ISBLANK(Tabella8[[#This Row],[region data]]))</f>
        <v>6742.6380095069053</v>
      </c>
      <c r="S144" s="10">
        <f>Tabella8[[#This Row],[region fit]]+CIr</f>
        <v>6912.5487257730292</v>
      </c>
      <c r="T144" s="10">
        <f>MAX(Tabella8[[#This Row],[region fit]]-CIr,0)</f>
        <v>6572.7272932407814</v>
      </c>
      <c r="U144" s="10">
        <f>Tabella8[[#This Row],[Italy cumulative]]-Tabella8[[#This Row],[region data]]</f>
        <v>147995</v>
      </c>
      <c r="V144" s="10">
        <f>Tabella8[[#This Row],[rest of Italy ]]*NOT(ISBLANK(Tabella8[[#This Row],[rest of Italy ]]))</f>
        <v>147995</v>
      </c>
      <c r="W144" s="108">
        <f>MAX(Ko*(TANH(psi_o*(Tabella8[[#This Row],[Day]]-po)-phi_o)+TANH(phi_o))/(1+TANH(phi_o)),0)</f>
        <v>146307.77154005514</v>
      </c>
      <c r="X144" s="108">
        <f>Tabella8[[#This Row],[rest of Italy fit]]/Ko</f>
        <v>0.65950710719899752</v>
      </c>
      <c r="Y144" s="22">
        <f>Tabella8[[#This Row],[rest of Italy fit]]*NOT(ISBLANK(Tabella8[[#This Row],[rest of Italy ]]))</f>
        <v>146307.77154005514</v>
      </c>
      <c r="Z144" s="10">
        <f>Tabella8[[#This Row],[rest of Italy fit]]+CIo</f>
        <v>149121.74374483959</v>
      </c>
      <c r="AA144" s="10">
        <f>MAX(Tabella8[[#This Row],[rest of Italy fit]]-CIo,0)</f>
        <v>143493.79933527068</v>
      </c>
      <c r="AC144" s="55" t="s">
        <v>5272</v>
      </c>
      <c r="AD144" s="87">
        <v>6279</v>
      </c>
      <c r="AE144" s="87">
        <v>1414</v>
      </c>
    </row>
    <row r="145" spans="2:31" x14ac:dyDescent="0.3">
      <c r="B145" s="9">
        <v>43968</v>
      </c>
      <c r="C145" s="4">
        <v>138</v>
      </c>
      <c r="D145" s="10">
        <f>'dpc-covid19-ita-andamento-naz'!J85+'dpc-covid19-ita-andamento-naz'!K85</f>
        <v>157084</v>
      </c>
      <c r="E145" s="10">
        <f>Tabella8[[#This Row],[Italy cumulative]]*NOT(ISBLANK(Tabella8[[#This Row],[Italy cumulative]]))</f>
        <v>157084</v>
      </c>
      <c r="F145" s="10">
        <f>Tabella8[[#This Row],[region fit]]+Tabella8[[#This Row],[rest of Italy fit]]</f>
        <v>155802.64441406151</v>
      </c>
      <c r="G145" s="72">
        <f>Tabella8[[#This Row],[Italy sum of regions]]/K_sum</f>
        <v>0.66298997192837228</v>
      </c>
      <c r="H145" s="10">
        <f>Tabella8[[#This Row],[Italy sum of regions]]*NOT(ISBLANK(Tabella8[[#This Row],[Italy cumulative]]))</f>
        <v>155802.64441406151</v>
      </c>
      <c r="I145" s="132">
        <f>MAX(Kt*(TANH(psi_t*(Tabella8[[#This Row],[Day]]-pt)-phi_t)+TANH(phi_t))/(1+TANH(phi_t)),0)</f>
        <v>155774.13050662907</v>
      </c>
      <c r="J145" s="109">
        <f>Tabella8[[#This Row],[Italy fit]]/Kt</f>
        <v>0.66286863615368274</v>
      </c>
      <c r="K145" s="22">
        <f>Tabella8[[#This Row],[Italy fit]]*NOT(ISBLANK(Tabella8[[#This Row],[Italy cumulative]]))</f>
        <v>155774.13050662907</v>
      </c>
      <c r="L145" s="10">
        <f>Tabella8[[#This Row],[Italy sum of regions]]+CI</f>
        <v>158560.57677953943</v>
      </c>
      <c r="M145" s="10">
        <f>MAX(Tabella8[[#This Row],[Italy sum of regions]]-CI,0)</f>
        <v>153044.71204858358</v>
      </c>
      <c r="N145" s="57">
        <f t="shared" si="1"/>
        <v>6703</v>
      </c>
      <c r="O145" s="10">
        <f>Tabella8[[#This Row],[region data]]*NOT(ISBLANK(Tabella8[[#This Row],[region data]]))</f>
        <v>6703</v>
      </c>
      <c r="P145" s="107">
        <f>MAX(Kr*(TANH(psi_r*(Tabella8[[#This Row],[Day]]-pr)-phi_r)+TANH(phi_r))/(1+TANH(phi_r)),0)</f>
        <v>6887.2842027644974</v>
      </c>
      <c r="Q145" s="107">
        <f>Tabella8[[#This Row],[region fit]]/Kr</f>
        <v>0.52351356097395618</v>
      </c>
      <c r="R145" s="22">
        <f>Tabella8[[#This Row],[region fit]]*NOT(ISBLANK(Tabella8[[#This Row],[region data]]))</f>
        <v>6887.2842027644974</v>
      </c>
      <c r="S145" s="10">
        <f>Tabella8[[#This Row],[region fit]]+CIr</f>
        <v>7057.1949190306213</v>
      </c>
      <c r="T145" s="10">
        <f>MAX(Tabella8[[#This Row],[region fit]]-CIr,0)</f>
        <v>6717.3734864983735</v>
      </c>
      <c r="U145" s="10">
        <f>Tabella8[[#This Row],[Italy cumulative]]-Tabella8[[#This Row],[region data]]</f>
        <v>150381</v>
      </c>
      <c r="V145" s="10">
        <f>Tabella8[[#This Row],[rest of Italy ]]*NOT(ISBLANK(Tabella8[[#This Row],[rest of Italy ]]))</f>
        <v>150381</v>
      </c>
      <c r="W145" s="108">
        <f>MAX(Ko*(TANH(psi_o*(Tabella8[[#This Row],[Day]]-po)-phi_o)+TANH(phi_o))/(1+TANH(phi_o)),0)</f>
        <v>148915.360211297</v>
      </c>
      <c r="X145" s="108">
        <f>Tabella8[[#This Row],[rest of Italy fit]]/Ko</f>
        <v>0.67126125561663497</v>
      </c>
      <c r="Y145" s="22">
        <f>Tabella8[[#This Row],[rest of Italy fit]]*NOT(ISBLANK(Tabella8[[#This Row],[rest of Italy ]]))</f>
        <v>148915.360211297</v>
      </c>
      <c r="Z145" s="10">
        <f>Tabella8[[#This Row],[rest of Italy fit]]+CIo</f>
        <v>151729.33241608145</v>
      </c>
      <c r="AA145" s="10">
        <f>MAX(Tabella8[[#This Row],[rest of Italy fit]]-CIo,0)</f>
        <v>146101.38800651254</v>
      </c>
      <c r="AC145" s="55" t="s">
        <v>5273</v>
      </c>
      <c r="AD145" s="87">
        <v>6437</v>
      </c>
      <c r="AE145" s="87">
        <v>1419</v>
      </c>
    </row>
    <row r="146" spans="2:31" x14ac:dyDescent="0.3">
      <c r="B146" s="9">
        <v>43969</v>
      </c>
      <c r="C146" s="4">
        <v>139</v>
      </c>
      <c r="D146" s="10">
        <f>'dpc-covid19-ita-andamento-naz'!J86+'dpc-covid19-ita-andamento-naz'!K86</f>
        <v>159333</v>
      </c>
      <c r="E146" s="10">
        <f>Tabella8[[#This Row],[Italy cumulative]]*NOT(ISBLANK(Tabella8[[#This Row],[Italy cumulative]]))</f>
        <v>159333</v>
      </c>
      <c r="F146" s="10">
        <f>Tabella8[[#This Row],[region fit]]+Tabella8[[#This Row],[rest of Italy fit]]</f>
        <v>158503.66722101663</v>
      </c>
      <c r="G146" s="72">
        <f>Tabella8[[#This Row],[Italy sum of regions]]/K_sum</f>
        <v>0.6744836859259471</v>
      </c>
      <c r="H146" s="10">
        <f>Tabella8[[#This Row],[Italy sum of regions]]*NOT(ISBLANK(Tabella8[[#This Row],[Italy cumulative]]))</f>
        <v>158503.66722101663</v>
      </c>
      <c r="I146" s="132">
        <f>MAX(Kt*(TANH(psi_t*(Tabella8[[#This Row],[Day]]-pt)-phi_t)+TANH(phi_t))/(1+TANH(phi_t)),0)</f>
        <v>158483.12237572542</v>
      </c>
      <c r="J146" s="109">
        <f>Tabella8[[#This Row],[Italy fit]]/Kt</f>
        <v>0.67439626105378059</v>
      </c>
      <c r="K146" s="22">
        <f>Tabella8[[#This Row],[Italy fit]]*NOT(ISBLANK(Tabella8[[#This Row],[Italy cumulative]]))</f>
        <v>158483.12237572542</v>
      </c>
      <c r="L146" s="10">
        <f>Tabella8[[#This Row],[Italy sum of regions]]+CI</f>
        <v>161261.59958649456</v>
      </c>
      <c r="M146" s="10">
        <f>MAX(Tabella8[[#This Row],[Italy sum of regions]]-CI,0)</f>
        <v>155745.7348555387</v>
      </c>
      <c r="N146" s="57">
        <f t="shared" si="1"/>
        <v>6852</v>
      </c>
      <c r="O146" s="10">
        <f>Tabella8[[#This Row],[region data]]*NOT(ISBLANK(Tabella8[[#This Row],[region data]]))</f>
        <v>6852</v>
      </c>
      <c r="P146" s="107">
        <f>MAX(Kr*(TANH(psi_r*(Tabella8[[#This Row],[Day]]-pr)-phi_r)+TANH(phi_r))/(1+TANH(phi_r)),0)</f>
        <v>7031.1032866105488</v>
      </c>
      <c r="Q146" s="107">
        <f>Tabella8[[#This Row],[region fit]]/Kr</f>
        <v>0.534445481089876</v>
      </c>
      <c r="R146" s="22">
        <f>Tabella8[[#This Row],[region fit]]*NOT(ISBLANK(Tabella8[[#This Row],[region data]]))</f>
        <v>7031.1032866105488</v>
      </c>
      <c r="S146" s="10">
        <f>Tabella8[[#This Row],[region fit]]+CIr</f>
        <v>7201.0140028766727</v>
      </c>
      <c r="T146" s="10">
        <f>MAX(Tabella8[[#This Row],[region fit]]-CIr,0)</f>
        <v>6861.1925703444249</v>
      </c>
      <c r="U146" s="10">
        <f>Tabella8[[#This Row],[Italy cumulative]]-Tabella8[[#This Row],[region data]]</f>
        <v>152481</v>
      </c>
      <c r="V146" s="10">
        <f>Tabella8[[#This Row],[rest of Italy ]]*NOT(ISBLANK(Tabella8[[#This Row],[rest of Italy ]]))</f>
        <v>152481</v>
      </c>
      <c r="W146" s="108">
        <f>MAX(Ko*(TANH(psi_o*(Tabella8[[#This Row],[Day]]-po)-phi_o)+TANH(phi_o))/(1+TANH(phi_o)),0)</f>
        <v>151472.56393440609</v>
      </c>
      <c r="X146" s="108">
        <f>Tabella8[[#This Row],[rest of Italy fit]]/Ko</f>
        <v>0.68278828533073643</v>
      </c>
      <c r="Y146" s="22">
        <f>Tabella8[[#This Row],[rest of Italy fit]]*NOT(ISBLANK(Tabella8[[#This Row],[rest of Italy ]]))</f>
        <v>151472.56393440609</v>
      </c>
      <c r="Z146" s="10">
        <f>Tabella8[[#This Row],[rest of Italy fit]]+CIo</f>
        <v>154286.53613919055</v>
      </c>
      <c r="AA146" s="10">
        <f>MAX(Tabella8[[#This Row],[rest of Italy fit]]-CIo,0)</f>
        <v>148658.59172962164</v>
      </c>
      <c r="AC146" s="55" t="s">
        <v>5274</v>
      </c>
      <c r="AD146" s="87">
        <v>6516</v>
      </c>
      <c r="AE146" s="87">
        <v>1425</v>
      </c>
    </row>
    <row r="147" spans="2:31" x14ac:dyDescent="0.3">
      <c r="B147" s="9">
        <v>43970</v>
      </c>
      <c r="C147" s="4">
        <v>140</v>
      </c>
      <c r="D147" s="10">
        <f>'dpc-covid19-ita-andamento-naz'!J87+'dpc-covid19-ita-andamento-naz'!K87</f>
        <v>161570</v>
      </c>
      <c r="E147" s="10">
        <f>Tabella8[[#This Row],[Italy cumulative]]*NOT(ISBLANK(Tabella8[[#This Row],[Italy cumulative]]))</f>
        <v>161570</v>
      </c>
      <c r="F147" s="10">
        <f>Tabella8[[#This Row],[region fit]]+Tabella8[[#This Row],[rest of Italy fit]]</f>
        <v>161151.54871000181</v>
      </c>
      <c r="G147" s="72">
        <f>Tabella8[[#This Row],[Italy sum of regions]]/K_sum</f>
        <v>0.6857512666570319</v>
      </c>
      <c r="H147" s="10">
        <f>Tabella8[[#This Row],[Italy sum of regions]]*NOT(ISBLANK(Tabella8[[#This Row],[Italy cumulative]]))</f>
        <v>161151.54871000181</v>
      </c>
      <c r="I147" s="132">
        <f>MAX(Kt*(TANH(psi_t*(Tabella8[[#This Row],[Day]]-pt)-phi_t)+TANH(phi_t))/(1+TANH(phi_t)),0)</f>
        <v>161139.51830018082</v>
      </c>
      <c r="J147" s="109">
        <f>Tabella8[[#This Row],[Italy fit]]/Kt</f>
        <v>0.68570007342494332</v>
      </c>
      <c r="K147" s="22">
        <f>Tabella8[[#This Row],[Italy fit]]*NOT(ISBLANK(Tabella8[[#This Row],[Italy cumulative]]))</f>
        <v>161139.51830018082</v>
      </c>
      <c r="L147" s="10">
        <f>Tabella8[[#This Row],[Italy sum of regions]]+CI</f>
        <v>163909.48107547974</v>
      </c>
      <c r="M147" s="10">
        <f>MAX(Tabella8[[#This Row],[Italy sum of regions]]-CI,0)</f>
        <v>158393.61634452388</v>
      </c>
      <c r="N147" s="57">
        <f t="shared" si="1"/>
        <v>6993</v>
      </c>
      <c r="O147" s="10">
        <f>Tabella8[[#This Row],[region data]]*NOT(ISBLANK(Tabella8[[#This Row],[region data]]))</f>
        <v>6993</v>
      </c>
      <c r="P147" s="107">
        <f>MAX(Kr*(TANH(psi_r*(Tabella8[[#This Row],[Day]]-pr)-phi_r)+TANH(phi_r))/(1+TANH(phi_r)),0)</f>
        <v>7173.9866913570713</v>
      </c>
      <c r="Q147" s="107">
        <f>Tabella8[[#This Row],[region fit]]/Kr</f>
        <v>0.54530627873097093</v>
      </c>
      <c r="R147" s="22">
        <f>Tabella8[[#This Row],[region fit]]*NOT(ISBLANK(Tabella8[[#This Row],[region data]]))</f>
        <v>7173.9866913570713</v>
      </c>
      <c r="S147" s="10">
        <f>Tabella8[[#This Row],[region fit]]+CIr</f>
        <v>7343.8974076231952</v>
      </c>
      <c r="T147" s="10">
        <f>MAX(Tabella8[[#This Row],[region fit]]-CIr,0)</f>
        <v>7004.0759750909474</v>
      </c>
      <c r="U147" s="10">
        <f>Tabella8[[#This Row],[Italy cumulative]]-Tabella8[[#This Row],[region data]]</f>
        <v>154577</v>
      </c>
      <c r="V147" s="10">
        <f>Tabella8[[#This Row],[rest of Italy ]]*NOT(ISBLANK(Tabella8[[#This Row],[rest of Italy ]]))</f>
        <v>154577</v>
      </c>
      <c r="W147" s="108">
        <f>MAX(Ko*(TANH(psi_o*(Tabella8[[#This Row],[Day]]-po)-phi_o)+TANH(phi_o))/(1+TANH(phi_o)),0)</f>
        <v>153977.56201864473</v>
      </c>
      <c r="X147" s="108">
        <f>Tabella8[[#This Row],[rest of Italy fit]]/Ko</f>
        <v>0.69407998926884862</v>
      </c>
      <c r="Y147" s="22">
        <f>Tabella8[[#This Row],[rest of Italy fit]]*NOT(ISBLANK(Tabella8[[#This Row],[rest of Italy ]]))</f>
        <v>153977.56201864473</v>
      </c>
      <c r="Z147" s="10">
        <f>Tabella8[[#This Row],[rest of Italy fit]]+CIo</f>
        <v>156791.53422342919</v>
      </c>
      <c r="AA147" s="10">
        <f>MAX(Tabella8[[#This Row],[rest of Italy fit]]-CIo,0)</f>
        <v>151163.58981386028</v>
      </c>
      <c r="AC147" s="55" t="s">
        <v>5275</v>
      </c>
      <c r="AD147" s="87">
        <v>6681</v>
      </c>
      <c r="AE147" s="87">
        <v>1431</v>
      </c>
    </row>
    <row r="148" spans="2:31" x14ac:dyDescent="0.3">
      <c r="B148" s="9">
        <v>43971</v>
      </c>
      <c r="C148" s="4">
        <v>141</v>
      </c>
      <c r="D148" s="10">
        <f>'dpc-covid19-ita-andamento-naz'!J88+'dpc-covid19-ita-andamento-naz'!K88</f>
        <v>164612</v>
      </c>
      <c r="E148" s="10">
        <f>Tabella8[[#This Row],[Italy cumulative]]*NOT(ISBLANK(Tabella8[[#This Row],[Italy cumulative]]))</f>
        <v>164612</v>
      </c>
      <c r="F148" s="10">
        <f>Tabella8[[#This Row],[region fit]]+Tabella8[[#This Row],[rest of Italy fit]]</f>
        <v>163744.57061319341</v>
      </c>
      <c r="G148" s="72">
        <f>Tabella8[[#This Row],[Italy sum of regions]]/K_sum</f>
        <v>0.69678540234370134</v>
      </c>
      <c r="H148" s="10">
        <f>Tabella8[[#This Row],[Italy sum of regions]]*NOT(ISBLANK(Tabella8[[#This Row],[Italy cumulative]]))</f>
        <v>163744.57061319341</v>
      </c>
      <c r="I148" s="132">
        <f>MAX(Kt*(TANH(psi_t*(Tabella8[[#This Row],[Day]]-pt)-phi_t)+TANH(phi_t))/(1+TANH(phi_t)),0)</f>
        <v>163741.54616241201</v>
      </c>
      <c r="J148" s="109">
        <f>Tabella8[[#This Row],[Italy fit]]/Kt</f>
        <v>0.69677253234133363</v>
      </c>
      <c r="K148" s="22">
        <f>Tabella8[[#This Row],[Italy fit]]*NOT(ISBLANK(Tabella8[[#This Row],[Italy cumulative]]))</f>
        <v>163741.54616241201</v>
      </c>
      <c r="L148" s="10">
        <f>Tabella8[[#This Row],[Italy sum of regions]]+CI</f>
        <v>166502.50297867134</v>
      </c>
      <c r="M148" s="10">
        <f>MAX(Tabella8[[#This Row],[Italy sum of regions]]-CI,0)</f>
        <v>160986.63824771548</v>
      </c>
      <c r="N148" s="57">
        <f t="shared" si="1"/>
        <v>7111</v>
      </c>
      <c r="O148" s="10">
        <f>Tabella8[[#This Row],[region data]]*NOT(ISBLANK(Tabella8[[#This Row],[region data]]))</f>
        <v>7111</v>
      </c>
      <c r="P148" s="107">
        <f>MAX(Kr*(TANH(psi_r*(Tabella8[[#This Row],[Day]]-pr)-phi_r)+TANH(phi_r))/(1+TANH(phi_r)),0)</f>
        <v>7315.8287627235677</v>
      </c>
      <c r="Q148" s="107">
        <f>Tabella8[[#This Row],[region fit]]/Kr</f>
        <v>0.55608792294527398</v>
      </c>
      <c r="R148" s="22">
        <f>Tabella8[[#This Row],[region fit]]*NOT(ISBLANK(Tabella8[[#This Row],[region data]]))</f>
        <v>7315.8287627235677</v>
      </c>
      <c r="S148" s="10">
        <f>Tabella8[[#This Row],[region fit]]+CIr</f>
        <v>7485.7394789896916</v>
      </c>
      <c r="T148" s="10">
        <f>MAX(Tabella8[[#This Row],[region fit]]-CIr,0)</f>
        <v>7145.9180464574438</v>
      </c>
      <c r="U148" s="10">
        <f>Tabella8[[#This Row],[Italy cumulative]]-Tabella8[[#This Row],[region data]]</f>
        <v>157501</v>
      </c>
      <c r="V148" s="10">
        <f>Tabella8[[#This Row],[rest of Italy ]]*NOT(ISBLANK(Tabella8[[#This Row],[rest of Italy ]]))</f>
        <v>157501</v>
      </c>
      <c r="W148" s="108">
        <f>MAX(Ko*(TANH(psi_o*(Tabella8[[#This Row],[Day]]-po)-phi_o)+TANH(phi_o))/(1+TANH(phi_o)),0)</f>
        <v>156428.74185046984</v>
      </c>
      <c r="X148" s="108">
        <f>Tabella8[[#This Row],[rest of Italy fit]]/Ko</f>
        <v>0.7051290983017815</v>
      </c>
      <c r="Y148" s="22">
        <f>Tabella8[[#This Row],[rest of Italy fit]]*NOT(ISBLANK(Tabella8[[#This Row],[rest of Italy ]]))</f>
        <v>156428.74185046984</v>
      </c>
      <c r="Z148" s="10">
        <f>Tabella8[[#This Row],[rest of Italy fit]]+CIo</f>
        <v>159242.7140552543</v>
      </c>
      <c r="AA148" s="10">
        <f>MAX(Tabella8[[#This Row],[rest of Italy fit]]-CIo,0)</f>
        <v>153614.76964568539</v>
      </c>
      <c r="AC148" s="55" t="s">
        <v>5276</v>
      </c>
      <c r="AD148" s="87">
        <v>6882</v>
      </c>
      <c r="AE148" s="87">
        <v>1438</v>
      </c>
    </row>
    <row r="149" spans="2:31" x14ac:dyDescent="0.3">
      <c r="B149" s="9">
        <v>43972</v>
      </c>
      <c r="C149" s="4">
        <v>142</v>
      </c>
      <c r="D149" s="10">
        <f>'dpc-covid19-ita-andamento-naz'!J89+'dpc-covid19-ita-andamento-naz'!K89</f>
        <v>167046</v>
      </c>
      <c r="E149" s="10">
        <f>Tabella8[[#This Row],[Italy cumulative]]*NOT(ISBLANK(Tabella8[[#This Row],[Italy cumulative]]))</f>
        <v>167046</v>
      </c>
      <c r="F149" s="10">
        <f>Tabella8[[#This Row],[region fit]]+Tabella8[[#This Row],[rest of Italy fit]]</f>
        <v>166281.22492887668</v>
      </c>
      <c r="G149" s="72">
        <f>Tabella8[[#This Row],[Italy sum of regions]]/K_sum</f>
        <v>0.70757967595742344</v>
      </c>
      <c r="H149" s="10">
        <f>Tabella8[[#This Row],[Italy sum of regions]]*NOT(ISBLANK(Tabella8[[#This Row],[Italy cumulative]]))</f>
        <v>166281.22492887668</v>
      </c>
      <c r="I149" s="132">
        <f>MAX(Kt*(TANH(psi_t*(Tabella8[[#This Row],[Day]]-pt)-phi_t)+TANH(phi_t))/(1+TANH(phi_t)),0)</f>
        <v>166287.64140548036</v>
      </c>
      <c r="J149" s="109">
        <f>Tabella8[[#This Row],[Italy fit]]/Kt</f>
        <v>0.70760698011389422</v>
      </c>
      <c r="K149" s="22">
        <f>Tabella8[[#This Row],[Italy fit]]*NOT(ISBLANK(Tabella8[[#This Row],[Italy cumulative]]))</f>
        <v>166287.64140548036</v>
      </c>
      <c r="L149" s="10">
        <f>Tabella8[[#This Row],[Italy sum of regions]]+CI</f>
        <v>169039.15729435461</v>
      </c>
      <c r="M149" s="10">
        <f>MAX(Tabella8[[#This Row],[Italy sum of regions]]-CI,0)</f>
        <v>163523.29256339875</v>
      </c>
      <c r="N149" s="57">
        <f t="shared" si="1"/>
        <v>7269</v>
      </c>
      <c r="O149" s="10">
        <f>Tabella8[[#This Row],[region data]]*NOT(ISBLANK(Tabella8[[#This Row],[region data]]))</f>
        <v>7269</v>
      </c>
      <c r="P149" s="107">
        <f>MAX(Kr*(TANH(psi_r*(Tabella8[[#This Row],[Day]]-pr)-phi_r)+TANH(phi_r))/(1+TANH(phi_r)),0)</f>
        <v>7456.5270570461653</v>
      </c>
      <c r="Q149" s="107">
        <f>Tabella8[[#This Row],[region fit]]/Kr</f>
        <v>0.56678262682495695</v>
      </c>
      <c r="R149" s="22">
        <f>Tabella8[[#This Row],[region fit]]*NOT(ISBLANK(Tabella8[[#This Row],[region data]]))</f>
        <v>7456.5270570461653</v>
      </c>
      <c r="S149" s="10">
        <f>Tabella8[[#This Row],[region fit]]+CIr</f>
        <v>7626.4377733122892</v>
      </c>
      <c r="T149" s="10">
        <f>MAX(Tabella8[[#This Row],[region fit]]-CIr,0)</f>
        <v>7286.6163407800414</v>
      </c>
      <c r="U149" s="10">
        <f>Tabella8[[#This Row],[Italy cumulative]]-Tabella8[[#This Row],[region data]]</f>
        <v>159777</v>
      </c>
      <c r="V149" s="10">
        <f>Tabella8[[#This Row],[rest of Italy ]]*NOT(ISBLANK(Tabella8[[#This Row],[rest of Italy ]]))</f>
        <v>159777</v>
      </c>
      <c r="W149" s="108">
        <f>MAX(Ko*(TANH(psi_o*(Tabella8[[#This Row],[Day]]-po)-phi_o)+TANH(phi_o))/(1+TANH(phi_o)),0)</f>
        <v>158824.69787183052</v>
      </c>
      <c r="X149" s="108">
        <f>Tabella8[[#This Row],[rest of Italy fit]]/Ko</f>
        <v>0.71592927663811134</v>
      </c>
      <c r="Y149" s="22">
        <f>Tabella8[[#This Row],[rest of Italy fit]]*NOT(ISBLANK(Tabella8[[#This Row],[rest of Italy ]]))</f>
        <v>158824.69787183052</v>
      </c>
      <c r="Z149" s="10">
        <f>Tabella8[[#This Row],[rest of Italy fit]]+CIo</f>
        <v>161638.67007661497</v>
      </c>
      <c r="AA149" s="10">
        <f>MAX(Tabella8[[#This Row],[rest of Italy fit]]-CIo,0)</f>
        <v>156010.72566704606</v>
      </c>
      <c r="AC149" s="55" t="s">
        <v>5277</v>
      </c>
      <c r="AD149" s="87">
        <v>7015</v>
      </c>
      <c r="AE149" s="87">
        <v>1445</v>
      </c>
    </row>
    <row r="150" spans="2:31" x14ac:dyDescent="0.3">
      <c r="B150" s="9">
        <v>43973</v>
      </c>
      <c r="C150" s="4">
        <v>143</v>
      </c>
      <c r="D150" s="10">
        <f>'dpc-covid19-ita-andamento-naz'!J90+'dpc-covid19-ita-andamento-naz'!K90</f>
        <v>169336</v>
      </c>
      <c r="E150" s="10">
        <f>Tabella8[[#This Row],[Italy cumulative]]*NOT(ISBLANK(Tabella8[[#This Row],[Italy cumulative]]))</f>
        <v>169336</v>
      </c>
      <c r="F150" s="10">
        <f>Tabella8[[#This Row],[region fit]]+Tabella8[[#This Row],[rest of Italy fit]]</f>
        <v>168760.21174182693</v>
      </c>
      <c r="G150" s="72">
        <f>Tabella8[[#This Row],[Italy sum of regions]]/K_sum</f>
        <v>0.71812855594408664</v>
      </c>
      <c r="H150" s="10">
        <f>Tabella8[[#This Row],[Italy sum of regions]]*NOT(ISBLANK(Tabella8[[#This Row],[Italy cumulative]]))</f>
        <v>168760.21174182693</v>
      </c>
      <c r="I150" s="132">
        <f>MAX(Kt*(TANH(psi_t*(Tabella8[[#This Row],[Day]]-pt)-phi_t)+TANH(phi_t))/(1+TANH(phi_t)),0)</f>
        <v>168776.44554374577</v>
      </c>
      <c r="J150" s="109">
        <f>Tabella8[[#This Row],[Italy fit]]/Kt</f>
        <v>0.71819763595270447</v>
      </c>
      <c r="K150" s="22">
        <f>Tabella8[[#This Row],[Italy fit]]*NOT(ISBLANK(Tabella8[[#This Row],[Italy cumulative]]))</f>
        <v>168776.44554374577</v>
      </c>
      <c r="L150" s="10">
        <f>Tabella8[[#This Row],[Italy sum of regions]]+CI</f>
        <v>171518.14410730486</v>
      </c>
      <c r="M150" s="10">
        <f>MAX(Tabella8[[#This Row],[Italy sum of regions]]-CI,0)</f>
        <v>166002.279376349</v>
      </c>
      <c r="N150" s="57">
        <f t="shared" si="1"/>
        <v>7481</v>
      </c>
      <c r="O150" s="10">
        <f>Tabella8[[#This Row],[region data]]*NOT(ISBLANK(Tabella8[[#This Row],[region data]]))</f>
        <v>7481</v>
      </c>
      <c r="P150" s="107">
        <f>MAX(Kr*(TANH(psi_r*(Tabella8[[#This Row],[Day]]-pr)-phi_r)+TANH(phi_r))/(1+TANH(phi_r)),0)</f>
        <v>7595.9826158647757</v>
      </c>
      <c r="Q150" s="107">
        <f>Tabella8[[#This Row],[region fit]]/Kr</f>
        <v>0.57738286837814268</v>
      </c>
      <c r="R150" s="22">
        <f>Tabella8[[#This Row],[region fit]]*NOT(ISBLANK(Tabella8[[#This Row],[region data]]))</f>
        <v>7595.9826158647757</v>
      </c>
      <c r="S150" s="10">
        <f>Tabella8[[#This Row],[region fit]]+CIr</f>
        <v>7765.8933321308996</v>
      </c>
      <c r="T150" s="10">
        <f>MAX(Tabella8[[#This Row],[region fit]]-CIr,0)</f>
        <v>7426.0718995986517</v>
      </c>
      <c r="U150" s="10">
        <f>Tabella8[[#This Row],[Italy cumulative]]-Tabella8[[#This Row],[region data]]</f>
        <v>161855</v>
      </c>
      <c r="V150" s="10">
        <f>Tabella8[[#This Row],[rest of Italy ]]*NOT(ISBLANK(Tabella8[[#This Row],[rest of Italy ]]))</f>
        <v>161855</v>
      </c>
      <c r="W150" s="108">
        <f>MAX(Ko*(TANH(psi_o*(Tabella8[[#This Row],[Day]]-po)-phi_o)+TANH(phi_o))/(1+TANH(phi_o)),0)</f>
        <v>161164.22912596216</v>
      </c>
      <c r="X150" s="108">
        <f>Tabella8[[#This Row],[rest of Italy fit]]/Ko</f>
        <v>0.72647511076143112</v>
      </c>
      <c r="Y150" s="22">
        <f>Tabella8[[#This Row],[rest of Italy fit]]*NOT(ISBLANK(Tabella8[[#This Row],[rest of Italy ]]))</f>
        <v>161164.22912596216</v>
      </c>
      <c r="Z150" s="10">
        <f>Tabella8[[#This Row],[rest of Italy fit]]+CIo</f>
        <v>163978.20133074661</v>
      </c>
      <c r="AA150" s="10">
        <f>MAX(Tabella8[[#This Row],[rest of Italy fit]]-CIo,0)</f>
        <v>158350.2569211777</v>
      </c>
      <c r="AC150" s="55" t="s">
        <v>5278</v>
      </c>
      <c r="AD150" s="87">
        <v>7173</v>
      </c>
      <c r="AE150" s="87">
        <v>1452</v>
      </c>
    </row>
    <row r="151" spans="2:31" x14ac:dyDescent="0.3">
      <c r="B151" s="9">
        <v>43974</v>
      </c>
      <c r="C151" s="4">
        <v>144</v>
      </c>
      <c r="D151" s="10">
        <f>'dpc-covid19-ita-andamento-naz'!J91+'dpc-covid19-ita-andamento-naz'!K91</f>
        <v>171575</v>
      </c>
      <c r="E151" s="10">
        <f>Tabella8[[#This Row],[Italy cumulative]]*NOT(ISBLANK(Tabella8[[#This Row],[Italy cumulative]]))</f>
        <v>171575</v>
      </c>
      <c r="F151" s="10">
        <f>Tabella8[[#This Row],[region fit]]+Tabella8[[#This Row],[rest of Italy fit]]</f>
        <v>171180.43569995553</v>
      </c>
      <c r="G151" s="72">
        <f>Tabella8[[#This Row],[Italy sum of regions]]/K_sum</f>
        <v>0.72842738123100348</v>
      </c>
      <c r="H151" s="10">
        <f>Tabella8[[#This Row],[Italy sum of regions]]*NOT(ISBLANK(Tabella8[[#This Row],[Italy cumulative]]))</f>
        <v>171180.43569995553</v>
      </c>
      <c r="I151" s="132">
        <f>MAX(Kt*(TANH(psi_t*(Tabella8[[#This Row],[Day]]-pt)-phi_t)+TANH(phi_t))/(1+TANH(phi_t)),0)</f>
        <v>171206.8033212224</v>
      </c>
      <c r="J151" s="109">
        <f>Tabella8[[#This Row],[Italy fit]]/Kt</f>
        <v>0.72853958387487805</v>
      </c>
      <c r="K151" s="22">
        <f>Tabella8[[#This Row],[Italy fit]]*NOT(ISBLANK(Tabella8[[#This Row],[Italy cumulative]]))</f>
        <v>171206.8033212224</v>
      </c>
      <c r="L151" s="10">
        <f>Tabella8[[#This Row],[Italy sum of regions]]+CI</f>
        <v>173938.36806543346</v>
      </c>
      <c r="M151" s="10">
        <f>MAX(Tabella8[[#This Row],[Italy sum of regions]]-CI,0)</f>
        <v>168422.5033344776</v>
      </c>
      <c r="N151" s="57">
        <f t="shared" si="1"/>
        <v>7693</v>
      </c>
      <c r="O151" s="10">
        <f>Tabella8[[#This Row],[region data]]*NOT(ISBLANK(Tabella8[[#This Row],[region data]]))</f>
        <v>7693</v>
      </c>
      <c r="P151" s="107">
        <f>MAX(Kr*(TANH(psi_r*(Tabella8[[#This Row],[Day]]-pr)-phi_r)+TANH(phi_r))/(1+TANH(phi_r)),0)</f>
        <v>7734.1002184909194</v>
      </c>
      <c r="Q151" s="107">
        <f>Tabella8[[#This Row],[region fit]]/Kr</f>
        <v>0.58788140972699177</v>
      </c>
      <c r="R151" s="22">
        <f>Tabella8[[#This Row],[region fit]]*NOT(ISBLANK(Tabella8[[#This Row],[region data]]))</f>
        <v>7734.1002184909194</v>
      </c>
      <c r="S151" s="10">
        <f>Tabella8[[#This Row],[region fit]]+CIr</f>
        <v>7904.0109347570433</v>
      </c>
      <c r="T151" s="10">
        <f>MAX(Tabella8[[#This Row],[region fit]]-CIr,0)</f>
        <v>7564.1895022247954</v>
      </c>
      <c r="U151" s="10">
        <f>Tabella8[[#This Row],[Italy cumulative]]-Tabella8[[#This Row],[region data]]</f>
        <v>163882</v>
      </c>
      <c r="V151" s="10">
        <f>Tabella8[[#This Row],[rest of Italy ]]*NOT(ISBLANK(Tabella8[[#This Row],[rest of Italy ]]))</f>
        <v>163882</v>
      </c>
      <c r="W151" s="108">
        <f>MAX(Ko*(TANH(psi_o*(Tabella8[[#This Row],[Day]]-po)-phi_o)+TANH(phi_o))/(1+TANH(phi_o)),0)</f>
        <v>163446.3354814646</v>
      </c>
      <c r="X151" s="108">
        <f>Tabella8[[#This Row],[rest of Italy fit]]/Ko</f>
        <v>0.73676209240974244</v>
      </c>
      <c r="Y151" s="22">
        <f>Tabella8[[#This Row],[rest of Italy fit]]*NOT(ISBLANK(Tabella8[[#This Row],[rest of Italy ]]))</f>
        <v>163446.3354814646</v>
      </c>
      <c r="Z151" s="10">
        <f>Tabella8[[#This Row],[rest of Italy fit]]+CIo</f>
        <v>166260.30768624906</v>
      </c>
      <c r="AA151" s="10">
        <f>MAX(Tabella8[[#This Row],[rest of Italy fit]]-CIo,0)</f>
        <v>160632.36327668015</v>
      </c>
      <c r="AC151" s="55" t="s">
        <v>5279</v>
      </c>
      <c r="AD151" s="87">
        <v>7411</v>
      </c>
      <c r="AE151" s="87">
        <v>1459</v>
      </c>
    </row>
    <row r="152" spans="2:31" x14ac:dyDescent="0.3">
      <c r="B152" s="9">
        <v>43975</v>
      </c>
      <c r="C152" s="4">
        <v>145</v>
      </c>
      <c r="D152" s="10">
        <f>'dpc-covid19-ita-andamento-naz'!J92+'dpc-covid19-ita-andamento-naz'!K92</f>
        <v>173264</v>
      </c>
      <c r="E152" s="10">
        <f>Tabella8[[#This Row],[Italy cumulative]]*NOT(ISBLANK(Tabella8[[#This Row],[Italy cumulative]]))</f>
        <v>173264</v>
      </c>
      <c r="F152" s="10">
        <f>Tabella8[[#This Row],[region fit]]+Tabella8[[#This Row],[rest of Italy fit]]</f>
        <v>173541.00126647161</v>
      </c>
      <c r="G152" s="72">
        <f>Tabella8[[#This Row],[Italy sum of regions]]/K_sum</f>
        <v>0.73847234102334403</v>
      </c>
      <c r="H152" s="10">
        <f>Tabella8[[#This Row],[Italy sum of regions]]*NOT(ISBLANK(Tabella8[[#This Row],[Italy cumulative]]))</f>
        <v>173541.00126647161</v>
      </c>
      <c r="I152" s="132">
        <f>MAX(Kt*(TANH(psi_t*(Tabella8[[#This Row],[Day]]-pt)-phi_t)+TANH(phi_t))/(1+TANH(phi_t)),0)</f>
        <v>173577.75862644025</v>
      </c>
      <c r="J152" s="109">
        <f>Tabella8[[#This Row],[Italy fit]]/Kt</f>
        <v>0.73862875532099448</v>
      </c>
      <c r="K152" s="22">
        <f>Tabella8[[#This Row],[Italy fit]]*NOT(ISBLANK(Tabella8[[#This Row],[Italy cumulative]]))</f>
        <v>173577.75862644025</v>
      </c>
      <c r="L152" s="10">
        <f>Tabella8[[#This Row],[Italy sum of regions]]+CI</f>
        <v>176298.93363194953</v>
      </c>
      <c r="M152" s="10">
        <f>MAX(Tabella8[[#This Row],[Italy sum of regions]]-CI,0)</f>
        <v>170783.06890099368</v>
      </c>
      <c r="N152" s="57">
        <f t="shared" si="1"/>
        <v>7856</v>
      </c>
      <c r="O152" s="10">
        <f>Tabella8[[#This Row],[region data]]*NOT(ISBLANK(Tabella8[[#This Row],[region data]]))</f>
        <v>7856</v>
      </c>
      <c r="P152" s="107">
        <f>MAX(Kr*(TANH(psi_r*(Tabella8[[#This Row],[Day]]-pr)-phi_r)+TANH(phi_r))/(1+TANH(phi_r)),0)</f>
        <v>7870.78861139131</v>
      </c>
      <c r="Q152" s="107">
        <f>Tabella8[[#This Row],[region fit]]/Kr</f>
        <v>0.59827131454351845</v>
      </c>
      <c r="R152" s="22">
        <f>Tabella8[[#This Row],[region fit]]*NOT(ISBLANK(Tabella8[[#This Row],[region data]]))</f>
        <v>7870.78861139131</v>
      </c>
      <c r="S152" s="10">
        <f>Tabella8[[#This Row],[region fit]]+CIr</f>
        <v>8040.699327657434</v>
      </c>
      <c r="T152" s="10">
        <f>MAX(Tabella8[[#This Row],[region fit]]-CIr,0)</f>
        <v>7700.8778951251861</v>
      </c>
      <c r="U152" s="10">
        <f>Tabella8[[#This Row],[Italy cumulative]]-Tabella8[[#This Row],[region data]]</f>
        <v>165408</v>
      </c>
      <c r="V152" s="10">
        <f>Tabella8[[#This Row],[rest of Italy ]]*NOT(ISBLANK(Tabella8[[#This Row],[rest of Italy ]]))</f>
        <v>165408</v>
      </c>
      <c r="W152" s="108">
        <f>MAX(Ko*(TANH(psi_o*(Tabella8[[#This Row],[Day]]-po)-phi_o)+TANH(phi_o))/(1+TANH(phi_o)),0)</f>
        <v>165670.21265508031</v>
      </c>
      <c r="X152" s="108">
        <f>Tabella8[[#This Row],[rest of Italy fit]]/Ko</f>
        <v>0.74678659613978282</v>
      </c>
      <c r="Y152" s="22">
        <f>Tabella8[[#This Row],[rest of Italy fit]]*NOT(ISBLANK(Tabella8[[#This Row],[rest of Italy ]]))</f>
        <v>165670.21265508031</v>
      </c>
      <c r="Z152" s="10">
        <f>Tabella8[[#This Row],[rest of Italy fit]]+CIo</f>
        <v>168484.18485986476</v>
      </c>
      <c r="AA152" s="10">
        <f>MAX(Tabella8[[#This Row],[rest of Italy fit]]-CIo,0)</f>
        <v>162856.24045029585</v>
      </c>
      <c r="AC152" s="55" t="s">
        <v>5280</v>
      </c>
      <c r="AD152" s="87">
        <v>7529</v>
      </c>
      <c r="AE152" s="87">
        <v>1465</v>
      </c>
    </row>
    <row r="153" spans="2:31" x14ac:dyDescent="0.3">
      <c r="B153" s="9">
        <v>43976</v>
      </c>
      <c r="C153" s="4">
        <v>146</v>
      </c>
      <c r="D153" s="10">
        <f>'dpc-covid19-ita-andamento-naz'!J93+'dpc-covid19-ita-andamento-naz'!K93</f>
        <v>174858</v>
      </c>
      <c r="E153" s="10">
        <f>Tabella8[[#This Row],[Italy cumulative]]*NOT(ISBLANK(Tabella8[[#This Row],[Italy cumulative]]))</f>
        <v>174858</v>
      </c>
      <c r="F153" s="10">
        <f>Tabella8[[#This Row],[region fit]]+Tabella8[[#This Row],[rest of Italy fit]]</f>
        <v>175841.20687388812</v>
      </c>
      <c r="G153" s="72">
        <f>Tabella8[[#This Row],[Italy sum of regions]]/K_sum</f>
        <v>0.74826044992756569</v>
      </c>
      <c r="H153" s="10">
        <f>Tabella8[[#This Row],[Italy sum of regions]]*NOT(ISBLANK(Tabella8[[#This Row],[Italy cumulative]]))</f>
        <v>175841.20687388812</v>
      </c>
      <c r="I153" s="132">
        <f>MAX(Kt*(TANH(psi_t*(Tabella8[[#This Row],[Day]]-pt)-phi_t)+TANH(phi_t))/(1+TANH(phi_t)),0)</f>
        <v>175888.5492808189</v>
      </c>
      <c r="J153" s="109">
        <f>Tabella8[[#This Row],[Italy fit]]/Kt</f>
        <v>0.74846190697796666</v>
      </c>
      <c r="K153" s="22">
        <f>Tabella8[[#This Row],[Italy fit]]*NOT(ISBLANK(Tabella8[[#This Row],[Italy cumulative]]))</f>
        <v>175888.5492808189</v>
      </c>
      <c r="L153" s="10">
        <f>Tabella8[[#This Row],[Italy sum of regions]]+CI</f>
        <v>178599.13923936605</v>
      </c>
      <c r="M153" s="10">
        <f>MAX(Tabella8[[#This Row],[Italy sum of regions]]-CI,0)</f>
        <v>173083.27450841019</v>
      </c>
      <c r="N153" s="57">
        <f t="shared" si="1"/>
        <v>7941</v>
      </c>
      <c r="O153" s="10">
        <f>Tabella8[[#This Row],[region data]]*NOT(ISBLANK(Tabella8[[#This Row],[region data]]))</f>
        <v>7941</v>
      </c>
      <c r="P153" s="107">
        <f>MAX(Kr*(TANH(psi_r*(Tabella8[[#This Row],[Day]]-pr)-phi_r)+TANH(phi_r))/(1+TANH(phi_r)),0)</f>
        <v>8005.9607134607213</v>
      </c>
      <c r="Q153" s="107">
        <f>Tabella8[[#This Row],[region fit]]/Kr</f>
        <v>0.6085459636527113</v>
      </c>
      <c r="R153" s="22">
        <f>Tabella8[[#This Row],[region fit]]*NOT(ISBLANK(Tabella8[[#This Row],[region data]]))</f>
        <v>8005.9607134607213</v>
      </c>
      <c r="S153" s="10">
        <f>Tabella8[[#This Row],[region fit]]+CIr</f>
        <v>8175.8714297268452</v>
      </c>
      <c r="T153" s="10">
        <f>MAX(Tabella8[[#This Row],[region fit]]-CIr,0)</f>
        <v>7836.0499971945974</v>
      </c>
      <c r="U153" s="10">
        <f>Tabella8[[#This Row],[Italy cumulative]]-Tabella8[[#This Row],[region data]]</f>
        <v>166917</v>
      </c>
      <c r="V153" s="10">
        <f>Tabella8[[#This Row],[rest of Italy ]]*NOT(ISBLANK(Tabella8[[#This Row],[rest of Italy ]]))</f>
        <v>166917</v>
      </c>
      <c r="W153" s="108">
        <f>MAX(Ko*(TANH(psi_o*(Tabella8[[#This Row],[Day]]-po)-phi_o)+TANH(phi_o))/(1+TANH(phi_o)),0)</f>
        <v>167835.2461604274</v>
      </c>
      <c r="X153" s="108">
        <f>Tabella8[[#This Row],[rest of Italy fit]]/Ko</f>
        <v>0.75654585204991365</v>
      </c>
      <c r="Y153" s="22">
        <f>Tabella8[[#This Row],[rest of Italy fit]]*NOT(ISBLANK(Tabella8[[#This Row],[rest of Italy ]]))</f>
        <v>167835.2461604274</v>
      </c>
      <c r="Z153" s="10">
        <f>Tabella8[[#This Row],[rest of Italy fit]]+CIo</f>
        <v>170649.21836521185</v>
      </c>
      <c r="AA153" s="10">
        <f>MAX(Tabella8[[#This Row],[rest of Italy fit]]-CIo,0)</f>
        <v>165021.27395564294</v>
      </c>
      <c r="AC153" s="55" t="s">
        <v>5281</v>
      </c>
      <c r="AD153" s="87">
        <v>7641</v>
      </c>
      <c r="AE153" s="87">
        <v>1467</v>
      </c>
    </row>
    <row r="154" spans="2:31" x14ac:dyDescent="0.3">
      <c r="B154" s="9">
        <v>43977</v>
      </c>
      <c r="C154" s="4">
        <v>147</v>
      </c>
      <c r="D154" s="10">
        <f>'dpc-covid19-ita-andamento-naz'!J94+'dpc-covid19-ita-andamento-naz'!K94</f>
        <v>177613</v>
      </c>
      <c r="E154" s="10">
        <f>Tabella8[[#This Row],[Italy cumulative]]*NOT(ISBLANK(Tabella8[[#This Row],[Italy cumulative]]))</f>
        <v>177613</v>
      </c>
      <c r="F154" s="10">
        <f>Tabella8[[#This Row],[region fit]]+Tabella8[[#This Row],[rest of Italy fit]]</f>
        <v>178080.53811061257</v>
      </c>
      <c r="G154" s="72">
        <f>Tabella8[[#This Row],[Italy sum of regions]]/K_sum</f>
        <v>0.7577895189581827</v>
      </c>
      <c r="H154" s="10">
        <f>Tabella8[[#This Row],[Italy sum of regions]]*NOT(ISBLANK(Tabella8[[#This Row],[Italy cumulative]]))</f>
        <v>178080.53811061257</v>
      </c>
      <c r="I154" s="132">
        <f>MAX(Kt*(TANH(psi_t*(Tabella8[[#This Row],[Day]]-pt)-phi_t)+TANH(phi_t))/(1+TANH(phi_t)),0)</f>
        <v>178138.60082321835</v>
      </c>
      <c r="J154" s="109">
        <f>Tabella8[[#This Row],[Italy fit]]/Kt</f>
        <v>0.758036594330321</v>
      </c>
      <c r="K154" s="22">
        <f>Tabella8[[#This Row],[Italy fit]]*NOT(ISBLANK(Tabella8[[#This Row],[Italy cumulative]]))</f>
        <v>178138.60082321835</v>
      </c>
      <c r="L154" s="10">
        <f>Tabella8[[#This Row],[Italy sum of regions]]+CI</f>
        <v>180838.4704760905</v>
      </c>
      <c r="M154" s="10">
        <f>MAX(Tabella8[[#This Row],[Italy sum of regions]]-CI,0)</f>
        <v>175322.60574513464</v>
      </c>
      <c r="N154" s="57">
        <f t="shared" si="1"/>
        <v>8112</v>
      </c>
      <c r="O154" s="10">
        <f>Tabella8[[#This Row],[region data]]*NOT(ISBLANK(Tabella8[[#This Row],[region data]]))</f>
        <v>8112</v>
      </c>
      <c r="P154" s="107">
        <f>MAX(Kr*(TANH(psi_r*(Tabella8[[#This Row],[Day]]-pr)-phi_r)+TANH(phi_r))/(1+TANH(phi_r)),0)</f>
        <v>8139.5337964990258</v>
      </c>
      <c r="Q154" s="107">
        <f>Tabella8[[#This Row],[region fit]]/Kr</f>
        <v>0.6186990687508841</v>
      </c>
      <c r="R154" s="22">
        <f>Tabella8[[#This Row],[region fit]]*NOT(ISBLANK(Tabella8[[#This Row],[region data]]))</f>
        <v>8139.5337964990258</v>
      </c>
      <c r="S154" s="10">
        <f>Tabella8[[#This Row],[region fit]]+CIr</f>
        <v>8309.4445127651506</v>
      </c>
      <c r="T154" s="10">
        <f>MAX(Tabella8[[#This Row],[region fit]]-CIr,0)</f>
        <v>7969.6230802329019</v>
      </c>
      <c r="U154" s="10">
        <f>Tabella8[[#This Row],[Italy cumulative]]-Tabella8[[#This Row],[region data]]</f>
        <v>169501</v>
      </c>
      <c r="V154" s="10">
        <f>Tabella8[[#This Row],[rest of Italy ]]*NOT(ISBLANK(Tabella8[[#This Row],[rest of Italy ]]))</f>
        <v>169501</v>
      </c>
      <c r="W154" s="108">
        <f>MAX(Ko*(TANH(psi_o*(Tabella8[[#This Row],[Day]]-po)-phi_o)+TANH(phi_o))/(1+TANH(phi_o)),0)</f>
        <v>169941.00431411355</v>
      </c>
      <c r="X154" s="108">
        <f>Tabella8[[#This Row],[rest of Italy fit]]/Ko</f>
        <v>0.76603791425399181</v>
      </c>
      <c r="Y154" s="22">
        <f>Tabella8[[#This Row],[rest of Italy fit]]*NOT(ISBLANK(Tabella8[[#This Row],[rest of Italy ]]))</f>
        <v>169941.00431411355</v>
      </c>
      <c r="Z154" s="10">
        <f>Tabella8[[#This Row],[rest of Italy fit]]+CIo</f>
        <v>172754.97651889801</v>
      </c>
      <c r="AA154" s="10">
        <f>MAX(Tabella8[[#This Row],[rest of Italy fit]]-CIo,0)</f>
        <v>167127.0321093291</v>
      </c>
      <c r="AC154" s="55" t="s">
        <v>5324</v>
      </c>
      <c r="AD154" s="87">
        <v>7720</v>
      </c>
      <c r="AE154" s="87">
        <v>1468</v>
      </c>
    </row>
    <row r="155" spans="2:31" x14ac:dyDescent="0.3">
      <c r="B155" s="9">
        <v>43978</v>
      </c>
      <c r="C155" s="4">
        <v>148</v>
      </c>
      <c r="D155" s="10">
        <f>'dpc-covid19-ita-andamento-naz'!J95+'dpc-covid19-ita-andamento-naz'!K95</f>
        <v>180173</v>
      </c>
      <c r="E155" s="10">
        <f>Tabella8[[#This Row],[Italy cumulative]]*NOT(ISBLANK(Tabella8[[#This Row],[Italy cumulative]]))</f>
        <v>180173</v>
      </c>
      <c r="F155" s="10">
        <f>Tabella8[[#This Row],[region fit]]+Tabella8[[#This Row],[rest of Italy fit]]</f>
        <v>180258.66007276339</v>
      </c>
      <c r="G155" s="72">
        <f>Tabella8[[#This Row],[Italy sum of regions]]/K_sum</f>
        <v>0.76705812299230403</v>
      </c>
      <c r="H155" s="10">
        <f>Tabella8[[#This Row],[Italy sum of regions]]*NOT(ISBLANK(Tabella8[[#This Row],[Italy cumulative]]))</f>
        <v>180258.66007276339</v>
      </c>
      <c r="I155" s="132">
        <f>MAX(Kt*(TANH(psi_t*(Tabella8[[#This Row],[Day]]-pt)-phi_t)+TANH(phi_t))/(1+TANH(phi_t)),0)</f>
        <v>180327.51941655891</v>
      </c>
      <c r="J155" s="109">
        <f>Tabella8[[#This Row],[Italy fit]]/Kt</f>
        <v>0.76735114147560157</v>
      </c>
      <c r="K155" s="22">
        <f>Tabella8[[#This Row],[Italy fit]]*NOT(ISBLANK(Tabella8[[#This Row],[Italy cumulative]]))</f>
        <v>180327.51941655891</v>
      </c>
      <c r="L155" s="10">
        <f>Tabella8[[#This Row],[Italy sum of regions]]+CI</f>
        <v>183016.59243824132</v>
      </c>
      <c r="M155" s="10">
        <f>MAX(Tabella8[[#This Row],[Italy sum of regions]]-CI,0)</f>
        <v>177500.72770728546</v>
      </c>
      <c r="N155" s="57">
        <f t="shared" si="1"/>
        <v>8320</v>
      </c>
      <c r="O155" s="10">
        <f>Tabella8[[#This Row],[region data]]*NOT(ISBLANK(Tabella8[[#This Row],[region data]]))</f>
        <v>8320</v>
      </c>
      <c r="P155" s="107">
        <f>MAX(Kr*(TANH(psi_r*(Tabella8[[#This Row],[Day]]-pr)-phi_r)+TANH(phi_r))/(1+TANH(phi_r)),0)</f>
        <v>8271.4296404475808</v>
      </c>
      <c r="Q155" s="107">
        <f>Tabella8[[#This Row],[region fit]]/Kr</f>
        <v>0.6287246842054427</v>
      </c>
      <c r="R155" s="22">
        <f>Tabella8[[#This Row],[region fit]]*NOT(ISBLANK(Tabella8[[#This Row],[region data]]))</f>
        <v>8271.4296404475808</v>
      </c>
      <c r="S155" s="10">
        <f>Tabella8[[#This Row],[region fit]]+CIr</f>
        <v>8441.3403567137048</v>
      </c>
      <c r="T155" s="10">
        <f>MAX(Tabella8[[#This Row],[region fit]]-CIr,0)</f>
        <v>8101.5189241814569</v>
      </c>
      <c r="U155" s="10">
        <f>Tabella8[[#This Row],[Italy cumulative]]-Tabella8[[#This Row],[region data]]</f>
        <v>171853</v>
      </c>
      <c r="V155" s="10">
        <f>Tabella8[[#This Row],[rest of Italy ]]*NOT(ISBLANK(Tabella8[[#This Row],[rest of Italy ]]))</f>
        <v>171853</v>
      </c>
      <c r="W155" s="108">
        <f>MAX(Ko*(TANH(psi_o*(Tabella8[[#This Row],[Day]]-po)-phi_o)+TANH(phi_o))/(1+TANH(phi_o)),0)</f>
        <v>171987.23043231582</v>
      </c>
      <c r="X155" s="108">
        <f>Tabella8[[#This Row],[rest of Italy fit]]/Ko</f>
        <v>0.77526162570612855</v>
      </c>
      <c r="Y155" s="22">
        <f>Tabella8[[#This Row],[rest of Italy fit]]*NOT(ISBLANK(Tabella8[[#This Row],[rest of Italy ]]))</f>
        <v>171987.23043231582</v>
      </c>
      <c r="Z155" s="10">
        <f>Tabella8[[#This Row],[rest of Italy fit]]+CIo</f>
        <v>174801.20263710027</v>
      </c>
      <c r="AA155" s="10">
        <f>MAX(Tabella8[[#This Row],[rest of Italy fit]]-CIo,0)</f>
        <v>169173.25822753136</v>
      </c>
      <c r="AC155" s="55" t="s">
        <v>5325</v>
      </c>
      <c r="AD155" s="87">
        <v>7764</v>
      </c>
      <c r="AE155" s="87">
        <v>1473</v>
      </c>
    </row>
    <row r="156" spans="2:31" x14ac:dyDescent="0.3">
      <c r="B156" s="9">
        <v>43979</v>
      </c>
      <c r="C156" s="4">
        <v>149</v>
      </c>
      <c r="D156" s="10">
        <f>'dpc-covid19-ita-andamento-naz'!J96+'dpc-covid19-ita-andamento-naz'!K96</f>
        <v>183746</v>
      </c>
      <c r="E156" s="10">
        <f>Tabella8[[#This Row],[Italy cumulative]]*NOT(ISBLANK(Tabella8[[#This Row],[Italy cumulative]]))</f>
        <v>183746</v>
      </c>
      <c r="F156" s="10">
        <f>Tabella8[[#This Row],[region fit]]+Tabella8[[#This Row],[rest of Italy fit]]</f>
        <v>182375.40901344988</v>
      </c>
      <c r="G156" s="72">
        <f>Tabella8[[#This Row],[Italy sum of regions]]/K_sum</f>
        <v>0.77606556523465464</v>
      </c>
      <c r="H156" s="10">
        <f>Tabella8[[#This Row],[Italy sum of regions]]*NOT(ISBLANK(Tabella8[[#This Row],[Italy cumulative]]))</f>
        <v>182375.40901344988</v>
      </c>
      <c r="I156" s="132">
        <f>MAX(Kt*(TANH(psi_t*(Tabella8[[#This Row],[Day]]-pt)-phi_t)+TANH(phi_t))/(1+TANH(phi_t)),0)</f>
        <v>182455.08400336269</v>
      </c>
      <c r="J156" s="109">
        <f>Tabella8[[#This Row],[Italy fit]]/Kt</f>
        <v>0.77640460774369602</v>
      </c>
      <c r="K156" s="22">
        <f>Tabella8[[#This Row],[Italy fit]]*NOT(ISBLANK(Tabella8[[#This Row],[Italy cumulative]]))</f>
        <v>182455.08400336269</v>
      </c>
      <c r="L156" s="10">
        <f>Tabella8[[#This Row],[Italy sum of regions]]+CI</f>
        <v>185133.34137892781</v>
      </c>
      <c r="M156" s="10">
        <f>MAX(Tabella8[[#This Row],[Italy sum of regions]]-CI,0)</f>
        <v>179617.47664797195</v>
      </c>
      <c r="N156" s="57">
        <f t="shared" si="1"/>
        <v>8460</v>
      </c>
      <c r="O156" s="10">
        <f>Tabella8[[#This Row],[region data]]*NOT(ISBLANK(Tabella8[[#This Row],[region data]]))</f>
        <v>8460</v>
      </c>
      <c r="P156" s="107">
        <f>MAX(Kr*(TANH(psi_r*(Tabella8[[#This Row],[Day]]-pr)-phi_r)+TANH(phi_r))/(1+TANH(phi_r)),0)</f>
        <v>8401.5746631763086</v>
      </c>
      <c r="Q156" s="107">
        <f>Tabella8[[#This Row],[region fit]]/Kr</f>
        <v>0.63861721692021067</v>
      </c>
      <c r="R156" s="22">
        <f>Tabella8[[#This Row],[region fit]]*NOT(ISBLANK(Tabella8[[#This Row],[region data]]))</f>
        <v>8401.5746631763086</v>
      </c>
      <c r="S156" s="10">
        <f>Tabella8[[#This Row],[region fit]]+CIr</f>
        <v>8571.4853794424325</v>
      </c>
      <c r="T156" s="10">
        <f>MAX(Tabella8[[#This Row],[region fit]]-CIr,0)</f>
        <v>8231.6639469101847</v>
      </c>
      <c r="U156" s="10">
        <f>Tabella8[[#This Row],[Italy cumulative]]-Tabella8[[#This Row],[region data]]</f>
        <v>175286</v>
      </c>
      <c r="V156" s="10">
        <f>Tabella8[[#This Row],[rest of Italy ]]*NOT(ISBLANK(Tabella8[[#This Row],[rest of Italy ]]))</f>
        <v>175286</v>
      </c>
      <c r="W156" s="108">
        <f>MAX(Ko*(TANH(psi_o*(Tabella8[[#This Row],[Day]]-po)-phi_o)+TANH(phi_o))/(1+TANH(phi_o)),0)</f>
        <v>173973.83435027357</v>
      </c>
      <c r="X156" s="108">
        <f>Tabella8[[#This Row],[rest of Italy fit]]/Ko</f>
        <v>0.78421657997336525</v>
      </c>
      <c r="Y156" s="22">
        <f>Tabella8[[#This Row],[rest of Italy fit]]*NOT(ISBLANK(Tabella8[[#This Row],[rest of Italy ]]))</f>
        <v>173973.83435027357</v>
      </c>
      <c r="Z156" s="10">
        <f>Tabella8[[#This Row],[rest of Italy fit]]+CIo</f>
        <v>176787.80655505802</v>
      </c>
      <c r="AA156" s="10">
        <f>MAX(Tabella8[[#This Row],[rest of Italy fit]]-CIo,0)</f>
        <v>171159.86214548911</v>
      </c>
      <c r="AC156" s="55" t="s">
        <v>5349</v>
      </c>
      <c r="AD156" s="288">
        <v>7899</v>
      </c>
      <c r="AE156" s="288">
        <v>1479</v>
      </c>
    </row>
    <row r="157" spans="2:31" x14ac:dyDescent="0.3">
      <c r="B157" s="9">
        <v>43980</v>
      </c>
      <c r="C157" s="4">
        <v>150</v>
      </c>
      <c r="D157" s="10">
        <f>'dpc-covid19-ita-andamento-naz'!J97+'dpc-covid19-ita-andamento-naz'!K97</f>
        <v>186073</v>
      </c>
      <c r="E157" s="10">
        <f>Tabella8[[#This Row],[Italy cumulative]]*NOT(ISBLANK(Tabella8[[#This Row],[Italy cumulative]]))</f>
        <v>186073</v>
      </c>
      <c r="F157" s="10">
        <f>Tabella8[[#This Row],[region fit]]+Tabella8[[#This Row],[rest of Italy fit]]</f>
        <v>184430.78341928954</v>
      </c>
      <c r="G157" s="72">
        <f>Tabella8[[#This Row],[Italy sum of regions]]/K_sum</f>
        <v>0.78481183924530906</v>
      </c>
      <c r="H157" s="10">
        <f>Tabella8[[#This Row],[Italy sum of regions]]*NOT(ISBLANK(Tabella8[[#This Row],[Italy cumulative]]))</f>
        <v>184430.78341928954</v>
      </c>
      <c r="I157" s="132">
        <f>MAX(Kt*(TANH(psi_t*(Tabella8[[#This Row],[Day]]-pt)-phi_t)+TANH(phi_t))/(1+TANH(phi_t)),0)</f>
        <v>184521.23783596262</v>
      </c>
      <c r="J157" s="109">
        <f>Tabella8[[#This Row],[Italy fit]]/Kt</f>
        <v>0.78519675165517122</v>
      </c>
      <c r="K157" s="22">
        <f>Tabella8[[#This Row],[Italy fit]]*NOT(ISBLANK(Tabella8[[#This Row],[Italy cumulative]]))</f>
        <v>184521.23783596262</v>
      </c>
      <c r="L157" s="10">
        <f>Tabella8[[#This Row],[Italy sum of regions]]+CI</f>
        <v>187188.71578476747</v>
      </c>
      <c r="M157" s="10">
        <f>MAX(Tabella8[[#This Row],[Italy sum of regions]]-CI,0)</f>
        <v>181672.85105381161</v>
      </c>
      <c r="N157" s="57">
        <f t="shared" si="1"/>
        <v>8625</v>
      </c>
      <c r="O157" s="10">
        <f>Tabella8[[#This Row],[region data]]*NOT(ISBLANK(Tabella8[[#This Row],[region data]]))</f>
        <v>8625</v>
      </c>
      <c r="P157" s="107">
        <f>MAX(Kr*(TANH(psi_r*(Tabella8[[#This Row],[Day]]-pr)-phi_r)+TANH(phi_r))/(1+TANH(phi_r)),0)</f>
        <v>8529.9000248417888</v>
      </c>
      <c r="Q157" s="107">
        <f>Tabella8[[#This Row],[region fit]]/Kr</f>
        <v>0.6483714342678556</v>
      </c>
      <c r="R157" s="22">
        <f>Tabella8[[#This Row],[region fit]]*NOT(ISBLANK(Tabella8[[#This Row],[region data]]))</f>
        <v>8529.9000248417888</v>
      </c>
      <c r="S157" s="10">
        <f>Tabella8[[#This Row],[region fit]]+CIr</f>
        <v>8699.8107411079127</v>
      </c>
      <c r="T157" s="10">
        <f>MAX(Tabella8[[#This Row],[region fit]]-CIr,0)</f>
        <v>8359.9893085756648</v>
      </c>
      <c r="U157" s="10">
        <f>Tabella8[[#This Row],[Italy cumulative]]-Tabella8[[#This Row],[region data]]</f>
        <v>177448</v>
      </c>
      <c r="V157" s="10">
        <f>Tabella8[[#This Row],[rest of Italy ]]*NOT(ISBLANK(Tabella8[[#This Row],[rest of Italy ]]))</f>
        <v>177448</v>
      </c>
      <c r="W157" s="108">
        <f>MAX(Ko*(TANH(psi_o*(Tabella8[[#This Row],[Day]]-po)-phi_o)+TANH(phi_o))/(1+TANH(phi_o)),0)</f>
        <v>175900.88339444774</v>
      </c>
      <c r="X157" s="108">
        <f>Tabella8[[#This Row],[rest of Italy fit]]/Ko</f>
        <v>0.79290308054114922</v>
      </c>
      <c r="Y157" s="22">
        <f>Tabella8[[#This Row],[rest of Italy fit]]*NOT(ISBLANK(Tabella8[[#This Row],[rest of Italy ]]))</f>
        <v>175900.88339444774</v>
      </c>
      <c r="Z157" s="10">
        <f>Tabella8[[#This Row],[rest of Italy fit]]+CIo</f>
        <v>178714.85559923219</v>
      </c>
      <c r="AA157" s="10">
        <f>MAX(Tabella8[[#This Row],[rest of Italy fit]]-CIo,0)</f>
        <v>173086.91118966328</v>
      </c>
      <c r="AC157" s="55" t="s">
        <v>134</v>
      </c>
      <c r="AD157" s="12">
        <v>253899</v>
      </c>
      <c r="AE157" s="12">
        <v>76189</v>
      </c>
    </row>
    <row r="158" spans="2:31" x14ac:dyDescent="0.3">
      <c r="B158" s="9">
        <v>43981</v>
      </c>
      <c r="C158" s="4">
        <v>151</v>
      </c>
      <c r="D158" s="10">
        <f>'dpc-covid19-ita-andamento-naz'!J98+'dpc-covid19-ita-andamento-naz'!K98</f>
        <v>188973</v>
      </c>
      <c r="E158" s="10">
        <f>Tabella8[[#This Row],[Italy cumulative]]*NOT(ISBLANK(Tabella8[[#This Row],[Italy cumulative]]))</f>
        <v>188973</v>
      </c>
      <c r="F158" s="10">
        <f>Tabella8[[#This Row],[region fit]]+Tabella8[[#This Row],[rest of Italy fit]]</f>
        <v>186424.93463967042</v>
      </c>
      <c r="G158" s="72">
        <f>Tabella8[[#This Row],[Italy sum of regions]]/K_sum</f>
        <v>0.79329758906421211</v>
      </c>
      <c r="H158" s="10">
        <f>Tabella8[[#This Row],[Italy sum of regions]]*NOT(ISBLANK(Tabella8[[#This Row],[Italy cumulative]]))</f>
        <v>186424.93463967042</v>
      </c>
      <c r="I158" s="132">
        <f>MAX(Kt*(TANH(psi_t*(Tabella8[[#This Row],[Day]]-pt)-phi_t)+TANH(phi_t))/(1+TANH(phi_t)),0)</f>
        <v>186526.07950417674</v>
      </c>
      <c r="J158" s="109">
        <f>Tabella8[[#This Row],[Italy fit]]/Kt</f>
        <v>0.79372799274116546</v>
      </c>
      <c r="K158" s="22">
        <f>Tabella8[[#This Row],[Italy fit]]*NOT(ISBLANK(Tabella8[[#This Row],[Italy cumulative]]))</f>
        <v>186526.07950417674</v>
      </c>
      <c r="L158" s="10">
        <f>Tabella8[[#This Row],[Italy sum of regions]]+CI</f>
        <v>189182.86700514835</v>
      </c>
      <c r="M158" s="10">
        <f>MAX(Tabella8[[#This Row],[Italy sum of regions]]-CI,0)</f>
        <v>183667.00227419249</v>
      </c>
      <c r="N158" s="57">
        <f t="shared" si="1"/>
        <v>8870</v>
      </c>
      <c r="O158" s="10">
        <f>Tabella8[[#This Row],[region data]]*NOT(ISBLANK(Tabella8[[#This Row],[region data]]))</f>
        <v>8870</v>
      </c>
      <c r="P158" s="107">
        <f>MAX(Kr*(TANH(psi_r*(Tabella8[[#This Row],[Day]]-pr)-phi_r)+TANH(phi_r))/(1+TANH(phi_r)),0)</f>
        <v>8656.3417070551914</v>
      </c>
      <c r="Q158" s="107">
        <f>Tabella8[[#This Row],[region fit]]/Kr</f>
        <v>0.65798247010757105</v>
      </c>
      <c r="R158" s="22">
        <f>Tabella8[[#This Row],[region fit]]*NOT(ISBLANK(Tabella8[[#This Row],[region data]]))</f>
        <v>8656.3417070551914</v>
      </c>
      <c r="S158" s="10">
        <f>Tabella8[[#This Row],[region fit]]+CIr</f>
        <v>8826.2524233213153</v>
      </c>
      <c r="T158" s="10">
        <f>MAX(Tabella8[[#This Row],[region fit]]-CIr,0)</f>
        <v>8486.4309907890674</v>
      </c>
      <c r="U158" s="10">
        <f>Tabella8[[#This Row],[Italy cumulative]]-Tabella8[[#This Row],[region data]]</f>
        <v>180103</v>
      </c>
      <c r="V158" s="10">
        <f>Tabella8[[#This Row],[rest of Italy ]]*NOT(ISBLANK(Tabella8[[#This Row],[rest of Italy ]]))</f>
        <v>180103</v>
      </c>
      <c r="W158" s="108">
        <f>MAX(Ko*(TANH(psi_o*(Tabella8[[#This Row],[Day]]-po)-phi_o)+TANH(phi_o))/(1+TANH(phi_o)),0)</f>
        <v>177768.59293261523</v>
      </c>
      <c r="X158" s="108">
        <f>Tabella8[[#This Row],[rest of Italy fit]]/Ko</f>
        <v>0.80132209821628064</v>
      </c>
      <c r="Y158" s="22">
        <f>Tabella8[[#This Row],[rest of Italy fit]]*NOT(ISBLANK(Tabella8[[#This Row],[rest of Italy ]]))</f>
        <v>177768.59293261523</v>
      </c>
      <c r="Z158" s="10">
        <f>Tabella8[[#This Row],[rest of Italy fit]]+CIo</f>
        <v>180582.56513739968</v>
      </c>
      <c r="AA158" s="10">
        <f>MAX(Tabella8[[#This Row],[rest of Italy fit]]-CIo,0)</f>
        <v>174954.62072783077</v>
      </c>
    </row>
    <row r="159" spans="2:31" x14ac:dyDescent="0.3">
      <c r="B159" s="9">
        <v>43982</v>
      </c>
      <c r="C159" s="4">
        <v>152</v>
      </c>
      <c r="D159" s="10">
        <f>'dpc-covid19-ita-andamento-naz'!J99+'dpc-covid19-ita-andamento-naz'!K99</f>
        <v>190922</v>
      </c>
      <c r="E159" s="10">
        <f>Tabella8[[#This Row],[Italy cumulative]]*NOT(ISBLANK(Tabella8[[#This Row],[Italy cumulative]]))</f>
        <v>190922</v>
      </c>
      <c r="F159" s="10">
        <f>Tabella8[[#This Row],[region fit]]+Tabella8[[#This Row],[rest of Italy fit]]</f>
        <v>188358.15718847769</v>
      </c>
      <c r="G159" s="72">
        <f>Tabella8[[#This Row],[Italy sum of regions]]/K_sum</f>
        <v>0.8015240679419311</v>
      </c>
      <c r="H159" s="10">
        <f>Tabella8[[#This Row],[Italy sum of regions]]*NOT(ISBLANK(Tabella8[[#This Row],[Italy cumulative]]))</f>
        <v>188358.15718847769</v>
      </c>
      <c r="I159" s="132">
        <f>MAX(Kt*(TANH(psi_t*(Tabella8[[#This Row],[Day]]-pt)-phi_t)+TANH(phi_t))/(1+TANH(phi_t)),0)</f>
        <v>188469.85357870406</v>
      </c>
      <c r="J159" s="109">
        <f>Tabella8[[#This Row],[Italy fit]]/Kt</f>
        <v>0.80199937172805047</v>
      </c>
      <c r="K159" s="22">
        <f>Tabella8[[#This Row],[Italy fit]]*NOT(ISBLANK(Tabella8[[#This Row],[Italy cumulative]]))</f>
        <v>188469.85357870406</v>
      </c>
      <c r="L159" s="10">
        <f>Tabella8[[#This Row],[Italy sum of regions]]+CI</f>
        <v>191116.08955395562</v>
      </c>
      <c r="M159" s="10">
        <f>MAX(Tabella8[[#This Row],[Italy sum of regions]]-CI,0)</f>
        <v>185600.22482299976</v>
      </c>
      <c r="N159" s="57">
        <f t="shared" si="1"/>
        <v>8994</v>
      </c>
      <c r="O159" s="10">
        <f>Tabella8[[#This Row],[region data]]*NOT(ISBLANK(Tabella8[[#This Row],[region data]]))</f>
        <v>8994</v>
      </c>
      <c r="P159" s="107">
        <f>MAX(Kr*(TANH(psi_r*(Tabella8[[#This Row],[Day]]-pr)-phi_r)+TANH(phi_r))/(1+TANH(phi_r)),0)</f>
        <v>8780.8405673051584</v>
      </c>
      <c r="Q159" s="107">
        <f>Tabella8[[#This Row],[region fit]]/Kr</f>
        <v>0.66744582892184767</v>
      </c>
      <c r="R159" s="22">
        <f>Tabella8[[#This Row],[region fit]]*NOT(ISBLANK(Tabella8[[#This Row],[region data]]))</f>
        <v>8780.8405673051584</v>
      </c>
      <c r="S159" s="10">
        <f>Tabella8[[#This Row],[region fit]]+CIr</f>
        <v>8950.7512835712823</v>
      </c>
      <c r="T159" s="10">
        <f>MAX(Tabella8[[#This Row],[region fit]]-CIr,0)</f>
        <v>8610.9298510390345</v>
      </c>
      <c r="U159" s="10">
        <f>Tabella8[[#This Row],[Italy cumulative]]-Tabella8[[#This Row],[region data]]</f>
        <v>181928</v>
      </c>
      <c r="V159" s="10">
        <f>Tabella8[[#This Row],[rest of Italy ]]*NOT(ISBLANK(Tabella8[[#This Row],[rest of Italy ]]))</f>
        <v>181928</v>
      </c>
      <c r="W159" s="108">
        <f>MAX(Ko*(TANH(psi_o*(Tabella8[[#This Row],[Day]]-po)-phi_o)+TANH(phi_o))/(1+TANH(phi_o)),0)</f>
        <v>179577.31662117253</v>
      </c>
      <c r="X159" s="108">
        <f>Tabella8[[#This Row],[rest of Italy fit]]/Ko</f>
        <v>0.80947522716497877</v>
      </c>
      <c r="Y159" s="22">
        <f>Tabella8[[#This Row],[rest of Italy fit]]*NOT(ISBLANK(Tabella8[[#This Row],[rest of Italy ]]))</f>
        <v>179577.31662117253</v>
      </c>
      <c r="Z159" s="10">
        <f>Tabella8[[#This Row],[rest of Italy fit]]+CIo</f>
        <v>182391.28882595699</v>
      </c>
      <c r="AA159" s="10">
        <f>MAX(Tabella8[[#This Row],[rest of Italy fit]]-CIo,0)</f>
        <v>176763.34441638808</v>
      </c>
    </row>
    <row r="160" spans="2:31" x14ac:dyDescent="0.3">
      <c r="B160" s="9">
        <v>43983</v>
      </c>
      <c r="C160" s="4">
        <v>153</v>
      </c>
      <c r="D160" s="10">
        <f>'dpc-covid19-ita-andamento-naz'!J100+'dpc-covid19-ita-andamento-naz'!K100</f>
        <v>191830</v>
      </c>
      <c r="E160" s="10">
        <f>Tabella8[[#This Row],[Italy cumulative]]*NOT(ISBLANK(Tabella8[[#This Row],[Italy cumulative]]))</f>
        <v>191830</v>
      </c>
      <c r="F160" s="10">
        <f>Tabella8[[#This Row],[region fit]]+Tabella8[[#This Row],[rest of Italy fit]]</f>
        <v>190230.87883096651</v>
      </c>
      <c r="G160" s="72">
        <f>Tabella8[[#This Row],[Italy sum of regions]]/K_sum</f>
        <v>0.80949309615613552</v>
      </c>
      <c r="H160" s="10">
        <f>Tabella8[[#This Row],[Italy sum of regions]]*NOT(ISBLANK(Tabella8[[#This Row],[Italy cumulative]]))</f>
        <v>190230.87883096651</v>
      </c>
      <c r="I160" s="132">
        <f>MAX(Kt*(TANH(psi_t*(Tabella8[[#This Row],[Day]]-pt)-phi_t)+TANH(phi_t))/(1+TANH(phi_t)),0)</f>
        <v>190352.94098261287</v>
      </c>
      <c r="J160" s="109">
        <f>Tabella8[[#This Row],[Italy fit]]/Kt</f>
        <v>0.81001250956504245</v>
      </c>
      <c r="K160" s="22">
        <f>Tabella8[[#This Row],[Italy fit]]*NOT(ISBLANK(Tabella8[[#This Row],[Italy cumulative]]))</f>
        <v>190352.94098261287</v>
      </c>
      <c r="L160" s="10">
        <f>Tabella8[[#This Row],[Italy sum of regions]]+CI</f>
        <v>192988.81119644444</v>
      </c>
      <c r="M160" s="10">
        <f>MAX(Tabella8[[#This Row],[Italy sum of regions]]-CI,0)</f>
        <v>187472.94646548858</v>
      </c>
      <c r="N160" s="57">
        <f t="shared" si="1"/>
        <v>9108</v>
      </c>
      <c r="O160" s="10">
        <f>Tabella8[[#This Row],[region data]]*NOT(ISBLANK(Tabella8[[#This Row],[region data]]))</f>
        <v>9108</v>
      </c>
      <c r="P160" s="107">
        <f>MAX(Kr*(TANH(psi_r*(Tabella8[[#This Row],[Day]]-pr)-phi_r)+TANH(phi_r))/(1+TANH(phi_r)),0)</f>
        <v>8903.3423692717988</v>
      </c>
      <c r="Q160" s="107">
        <f>Tabella8[[#This Row],[region fit]]/Kr</f>
        <v>0.67675738812068842</v>
      </c>
      <c r="R160" s="22">
        <f>Tabella8[[#This Row],[region fit]]*NOT(ISBLANK(Tabella8[[#This Row],[region data]]))</f>
        <v>8903.3423692717988</v>
      </c>
      <c r="S160" s="10">
        <f>Tabella8[[#This Row],[region fit]]+CIr</f>
        <v>9073.2530855379227</v>
      </c>
      <c r="T160" s="10">
        <f>MAX(Tabella8[[#This Row],[region fit]]-CIr,0)</f>
        <v>8733.4316530056749</v>
      </c>
      <c r="U160" s="10">
        <f>Tabella8[[#This Row],[Italy cumulative]]-Tabella8[[#This Row],[region data]]</f>
        <v>182722</v>
      </c>
      <c r="V160" s="10">
        <f>Tabella8[[#This Row],[rest of Italy ]]*NOT(ISBLANK(Tabella8[[#This Row],[rest of Italy ]]))</f>
        <v>182722</v>
      </c>
      <c r="W160" s="108">
        <f>MAX(Ko*(TANH(psi_o*(Tabella8[[#This Row],[Day]]-po)-phi_o)+TANH(phi_o))/(1+TANH(phi_o)),0)</f>
        <v>181327.53646169472</v>
      </c>
      <c r="X160" s="108">
        <f>Tabella8[[#This Row],[rest of Italy fit]]/Ko</f>
        <v>0.81736464009113408</v>
      </c>
      <c r="Y160" s="22">
        <f>Tabella8[[#This Row],[rest of Italy fit]]*NOT(ISBLANK(Tabella8[[#This Row],[rest of Italy ]]))</f>
        <v>181327.53646169472</v>
      </c>
      <c r="Z160" s="10">
        <f>Tabella8[[#This Row],[rest of Italy fit]]+CIo</f>
        <v>184141.50866647917</v>
      </c>
      <c r="AA160" s="10">
        <f>MAX(Tabella8[[#This Row],[rest of Italy fit]]-CIo,0)</f>
        <v>178513.56425691026</v>
      </c>
    </row>
    <row r="161" spans="2:27" x14ac:dyDescent="0.3">
      <c r="B161" s="9">
        <v>43984</v>
      </c>
      <c r="C161" s="4">
        <v>154</v>
      </c>
      <c r="D161" s="10">
        <f>'dpc-covid19-ita-andamento-naz'!J101+'dpc-covid19-ita-andamento-naz'!K101</f>
        <v>193622</v>
      </c>
      <c r="E161" s="10">
        <f>Tabella8[[#This Row],[Italy cumulative]]*NOT(ISBLANK(Tabella8[[#This Row],[Italy cumulative]]))</f>
        <v>193622</v>
      </c>
      <c r="F161" s="10">
        <f>Tabella8[[#This Row],[region fit]]+Tabella8[[#This Row],[rest of Italy fit]]</f>
        <v>192043.65056045321</v>
      </c>
      <c r="G161" s="72">
        <f>Tabella8[[#This Row],[Italy sum of regions]]/K_sum</f>
        <v>0.81720701835922016</v>
      </c>
      <c r="H161" s="10">
        <f>Tabella8[[#This Row],[Italy sum of regions]]*NOT(ISBLANK(Tabella8[[#This Row],[Italy cumulative]]))</f>
        <v>192043.65056045321</v>
      </c>
      <c r="I161" s="132">
        <f>MAX(Kt*(TANH(psi_t*(Tabella8[[#This Row],[Day]]-pt)-phi_t)+TANH(phi_t))/(1+TANH(phi_t)),0)</f>
        <v>192175.84919632412</v>
      </c>
      <c r="J161" s="109">
        <f>Tabella8[[#This Row],[Italy fit]]/Kt</f>
        <v>0.81776956574328064</v>
      </c>
      <c r="K161" s="22">
        <f>Tabella8[[#This Row],[Italy fit]]*NOT(ISBLANK(Tabella8[[#This Row],[Italy cumulative]]))</f>
        <v>192175.84919632412</v>
      </c>
      <c r="L161" s="10">
        <f>Tabella8[[#This Row],[Italy sum of regions]]+CI</f>
        <v>194801.58292593114</v>
      </c>
      <c r="M161" s="10">
        <f>MAX(Tabella8[[#This Row],[Italy sum of regions]]-CI,0)</f>
        <v>189285.71819497528</v>
      </c>
      <c r="N161" s="57">
        <f t="shared" si="1"/>
        <v>9188</v>
      </c>
      <c r="O161" s="10">
        <f>Tabella8[[#This Row],[region data]]*NOT(ISBLANK(Tabella8[[#This Row],[region data]]))</f>
        <v>9188</v>
      </c>
      <c r="P161" s="107">
        <f>MAX(Kr*(TANH(psi_r*(Tabella8[[#This Row],[Day]]-pr)-phi_r)+TANH(phi_r))/(1+TANH(phi_r)),0)</f>
        <v>9023.797789842667</v>
      </c>
      <c r="Q161" s="107">
        <f>Tabella8[[#This Row],[region fit]]/Kr</f>
        <v>0.68591339857490474</v>
      </c>
      <c r="R161" s="22">
        <f>Tabella8[[#This Row],[region fit]]*NOT(ISBLANK(Tabella8[[#This Row],[region data]]))</f>
        <v>9023.797789842667</v>
      </c>
      <c r="S161" s="10">
        <f>Tabella8[[#This Row],[region fit]]+CIr</f>
        <v>9193.708506108791</v>
      </c>
      <c r="T161" s="10">
        <f>MAX(Tabella8[[#This Row],[region fit]]-CIr,0)</f>
        <v>8853.8870735765431</v>
      </c>
      <c r="U161" s="10">
        <f>Tabella8[[#This Row],[Italy cumulative]]-Tabella8[[#This Row],[region data]]</f>
        <v>184434</v>
      </c>
      <c r="V161" s="10">
        <f>Tabella8[[#This Row],[rest of Italy ]]*NOT(ISBLANK(Tabella8[[#This Row],[rest of Italy ]]))</f>
        <v>184434</v>
      </c>
      <c r="W161" s="108">
        <f>MAX(Ko*(TANH(psi_o*(Tabella8[[#This Row],[Day]]-po)-phi_o)+TANH(phi_o))/(1+TANH(phi_o)),0)</f>
        <v>183019.85277061054</v>
      </c>
      <c r="X161" s="108">
        <f>Tabella8[[#This Row],[rest of Italy fit]]/Ko</f>
        <v>0.82499304302291676</v>
      </c>
      <c r="Y161" s="22">
        <f>Tabella8[[#This Row],[rest of Italy fit]]*NOT(ISBLANK(Tabella8[[#This Row],[rest of Italy ]]))</f>
        <v>183019.85277061054</v>
      </c>
      <c r="Z161" s="10">
        <f>Tabella8[[#This Row],[rest of Italy fit]]+CIo</f>
        <v>185833.82497539499</v>
      </c>
      <c r="AA161" s="10">
        <f>MAX(Tabella8[[#This Row],[rest of Italy fit]]-CIo,0)</f>
        <v>180205.88056582608</v>
      </c>
    </row>
    <row r="162" spans="2:27" x14ac:dyDescent="0.3">
      <c r="B162" s="9">
        <v>43985</v>
      </c>
      <c r="C162" s="4">
        <v>155</v>
      </c>
      <c r="D162" s="10">
        <f>'dpc-covid19-ita-andamento-naz'!J102+'dpc-covid19-ita-andamento-naz'!K102</f>
        <v>194539</v>
      </c>
      <c r="E162" s="10">
        <f>Tabella8[[#This Row],[Italy cumulative]]*NOT(ISBLANK(Tabella8[[#This Row],[Italy cumulative]]))</f>
        <v>194539</v>
      </c>
      <c r="F162" s="10">
        <f>Tabella8[[#This Row],[region fit]]+Tabella8[[#This Row],[rest of Italy fit]]</f>
        <v>193797.13656077752</v>
      </c>
      <c r="G162" s="72">
        <f>Tabella8[[#This Row],[Italy sum of regions]]/K_sum</f>
        <v>0.82466866086537838</v>
      </c>
      <c r="H162" s="10">
        <f>Tabella8[[#This Row],[Italy sum of regions]]*NOT(ISBLANK(Tabella8[[#This Row],[Italy cumulative]]))</f>
        <v>193797.13656077752</v>
      </c>
      <c r="I162" s="132">
        <f>MAX(Kt*(TANH(psi_t*(Tabella8[[#This Row],[Day]]-pt)-phi_t)+TANH(phi_t))/(1+TANH(phi_t)),0)</f>
        <v>193939.20239368151</v>
      </c>
      <c r="J162" s="109">
        <f>Tabella8[[#This Row],[Italy fit]]/Kt</f>
        <v>0.82527319632165697</v>
      </c>
      <c r="K162" s="22">
        <f>Tabella8[[#This Row],[Italy fit]]*NOT(ISBLANK(Tabella8[[#This Row],[Italy cumulative]]))</f>
        <v>193939.20239368151</v>
      </c>
      <c r="L162" s="10">
        <f>Tabella8[[#This Row],[Italy sum of regions]]+CI</f>
        <v>196555.06892625545</v>
      </c>
      <c r="M162" s="10">
        <f>MAX(Tabella8[[#This Row],[Italy sum of regions]]-CI,0)</f>
        <v>191039.20419529959</v>
      </c>
      <c r="N162" s="57">
        <f t="shared" si="1"/>
        <v>9237</v>
      </c>
      <c r="O162" s="10">
        <f>Tabella8[[#This Row],[region data]]*NOT(ISBLANK(Tabella8[[#This Row],[region data]]))</f>
        <v>9237</v>
      </c>
      <c r="P162" s="107">
        <f>MAX(Kr*(TANH(psi_r*(Tabella8[[#This Row],[Day]]-pr)-phi_r)+TANH(phi_r))/(1+TANH(phi_r)),0)</f>
        <v>9142.1624037981383</v>
      </c>
      <c r="Q162" s="107">
        <f>Tabella8[[#This Row],[region fit]]/Kr</f>
        <v>0.69491048345202711</v>
      </c>
      <c r="R162" s="22">
        <f>Tabella8[[#This Row],[region fit]]*NOT(ISBLANK(Tabella8[[#This Row],[region data]]))</f>
        <v>9142.1624037981383</v>
      </c>
      <c r="S162" s="10">
        <f>Tabella8[[#This Row],[region fit]]+CIr</f>
        <v>9312.0731200642622</v>
      </c>
      <c r="T162" s="10">
        <f>MAX(Tabella8[[#This Row],[region fit]]-CIr,0)</f>
        <v>8972.2516875320143</v>
      </c>
      <c r="U162" s="10">
        <f>Tabella8[[#This Row],[Italy cumulative]]-Tabella8[[#This Row],[region data]]</f>
        <v>185302</v>
      </c>
      <c r="V162" s="10">
        <f>Tabella8[[#This Row],[rest of Italy ]]*NOT(ISBLANK(Tabella8[[#This Row],[rest of Italy ]]))</f>
        <v>185302</v>
      </c>
      <c r="W162" s="108">
        <f>MAX(Ko*(TANH(psi_o*(Tabella8[[#This Row],[Day]]-po)-phi_o)+TANH(phi_o))/(1+TANH(phi_o)),0)</f>
        <v>184654.97415697938</v>
      </c>
      <c r="X162" s="108">
        <f>Tabella8[[#This Row],[rest of Italy fit]]/Ko</f>
        <v>0.8323636301359062</v>
      </c>
      <c r="Y162" s="22">
        <f>Tabella8[[#This Row],[rest of Italy fit]]*NOT(ISBLANK(Tabella8[[#This Row],[rest of Italy ]]))</f>
        <v>184654.97415697938</v>
      </c>
      <c r="Z162" s="10">
        <f>Tabella8[[#This Row],[rest of Italy fit]]+CIo</f>
        <v>187468.94636176384</v>
      </c>
      <c r="AA162" s="10">
        <f>MAX(Tabella8[[#This Row],[rest of Italy fit]]-CIo,0)</f>
        <v>181841.00195219493</v>
      </c>
    </row>
    <row r="163" spans="2:27" x14ac:dyDescent="0.3">
      <c r="B163" s="9">
        <v>43986</v>
      </c>
      <c r="C163" s="4">
        <v>156</v>
      </c>
      <c r="D163" s="10">
        <f>'dpc-covid19-ita-andamento-naz'!J103+'dpc-covid19-ita-andamento-naz'!K103</f>
        <v>195584</v>
      </c>
      <c r="E163" s="10">
        <f>Tabella8[[#This Row],[Italy cumulative]]*NOT(ISBLANK(Tabella8[[#This Row],[Italy cumulative]]))</f>
        <v>195584</v>
      </c>
      <c r="F163" s="10">
        <f>Tabella8[[#This Row],[region fit]]+Tabella8[[#This Row],[rest of Italy fit]]</f>
        <v>195492.10424129743</v>
      </c>
      <c r="G163" s="72">
        <f>Tabella8[[#This Row],[Italy sum of regions]]/K_sum</f>
        <v>0.83188128924632498</v>
      </c>
      <c r="H163" s="10">
        <f>Tabella8[[#This Row],[Italy sum of regions]]*NOT(ISBLANK(Tabella8[[#This Row],[Italy cumulative]]))</f>
        <v>195492.10424129743</v>
      </c>
      <c r="I163" s="132">
        <f>MAX(Kt*(TANH(psi_t*(Tabella8[[#This Row],[Day]]-pt)-phi_t)+TANH(phi_t))/(1+TANH(phi_t)),0)</f>
        <v>195643.73159829059</v>
      </c>
      <c r="J163" s="109">
        <f>Tabella8[[#This Row],[Italy fit]]/Kt</f>
        <v>0.83252651203889838</v>
      </c>
      <c r="K163" s="22">
        <f>Tabella8[[#This Row],[Italy fit]]*NOT(ISBLANK(Tabella8[[#This Row],[Italy cumulative]]))</f>
        <v>195643.73159829059</v>
      </c>
      <c r="L163" s="10">
        <f>Tabella8[[#This Row],[Italy sum of regions]]+CI</f>
        <v>198250.03660677536</v>
      </c>
      <c r="M163" s="10">
        <f>MAX(Tabella8[[#This Row],[Italy sum of regions]]-CI,0)</f>
        <v>192734.17187581951</v>
      </c>
      <c r="N163" s="57">
        <f t="shared" si="1"/>
        <v>9378</v>
      </c>
      <c r="O163" s="10">
        <f>Tabella8[[#This Row],[region data]]*NOT(ISBLANK(Tabella8[[#This Row],[region data]]))</f>
        <v>9378</v>
      </c>
      <c r="P163" s="107">
        <f>MAX(Kr*(TANH(psi_r*(Tabella8[[#This Row],[Day]]-pr)-phi_r)+TANH(phi_r))/(1+TANH(phi_r)),0)</f>
        <v>9258.3966472712036</v>
      </c>
      <c r="Q163" s="107">
        <f>Tabella8[[#This Row],[region fit]]/Kr</f>
        <v>0.70374563543882529</v>
      </c>
      <c r="R163" s="22">
        <f>Tabella8[[#This Row],[region fit]]*NOT(ISBLANK(Tabella8[[#This Row],[region data]]))</f>
        <v>9258.3966472712036</v>
      </c>
      <c r="S163" s="10">
        <f>Tabella8[[#This Row],[region fit]]+CIr</f>
        <v>9428.3073635373275</v>
      </c>
      <c r="T163" s="10">
        <f>MAX(Tabella8[[#This Row],[region fit]]-CIr,0)</f>
        <v>9088.4859310050797</v>
      </c>
      <c r="U163" s="10">
        <f>Tabella8[[#This Row],[Italy cumulative]]-Tabella8[[#This Row],[region data]]</f>
        <v>186206</v>
      </c>
      <c r="V163" s="10">
        <f>Tabella8[[#This Row],[rest of Italy ]]*NOT(ISBLANK(Tabella8[[#This Row],[rest of Italy ]]))</f>
        <v>186206</v>
      </c>
      <c r="W163" s="108">
        <f>MAX(Ko*(TANH(psi_o*(Tabella8[[#This Row],[Day]]-po)-phi_o)+TANH(phi_o))/(1+TANH(phi_o)),0)</f>
        <v>186233.70759402623</v>
      </c>
      <c r="X163" s="108">
        <f>Tabella8[[#This Row],[rest of Italy fit]]/Ko</f>
        <v>0.83948003899884927</v>
      </c>
      <c r="Y163" s="22">
        <f>Tabella8[[#This Row],[rest of Italy fit]]*NOT(ISBLANK(Tabella8[[#This Row],[rest of Italy ]]))</f>
        <v>186233.70759402623</v>
      </c>
      <c r="Z163" s="10">
        <f>Tabella8[[#This Row],[rest of Italy fit]]+CIo</f>
        <v>189047.67979881068</v>
      </c>
      <c r="AA163" s="10">
        <f>MAX(Tabella8[[#This Row],[rest of Italy fit]]-CIo,0)</f>
        <v>183419.73538924177</v>
      </c>
    </row>
    <row r="164" spans="2:27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Row],[region fit]]+Tabella8[[#This Row],[rest of Italy fit]]</f>
        <v>197129.41442174779</v>
      </c>
      <c r="G164" s="72">
        <f>Tabella8[[#This Row],[Italy sum of regions]]/K_sum</f>
        <v>0.83884856656473772</v>
      </c>
      <c r="H164" s="10">
        <f>Tabella8[[#This Row],[Italy sum of regions]]*NOT(ISBLANK(Tabella8[[#This Row],[Italy cumulative]]))</f>
        <v>0</v>
      </c>
      <c r="I164" s="132">
        <f>MAX(Kt*(TANH(psi_t*(Tabella8[[#This Row],[Day]]-pt)-phi_t)+TANH(phi_t))/(1+TANH(phi_t)),0)</f>
        <v>197290.26494051793</v>
      </c>
      <c r="J164" s="109">
        <f>Tabella8[[#This Row],[Italy fit]]/Kt</f>
        <v>0.83953303685398861</v>
      </c>
      <c r="K164" s="22">
        <f>Tabella8[[#This Row],[Italy fit]]*NOT(ISBLANK(Tabella8[[#This Row],[Italy cumulative]]))</f>
        <v>0</v>
      </c>
      <c r="N164" s="58"/>
      <c r="O164" s="10">
        <f>Tabella8[[#This Row],[region data]]*NOT(ISBLANK(Tabella8[[#This Row],[region data]]))</f>
        <v>0</v>
      </c>
      <c r="P164" s="107">
        <f>MAX(Kr*(TANH(psi_r*(Tabella8[[#This Row],[Day]]-pr)-phi_r)+TANH(phi_r))/(1+TANH(phi_r)),0)</f>
        <v>9372.4657612045248</v>
      </c>
      <c r="Q164" s="107">
        <f>Tabella8[[#This Row],[region fit]]/Kr</f>
        <v>0.71241621244338782</v>
      </c>
      <c r="R164" s="22">
        <f>Tabella8[[#This Row],[region fit]]*NOT(ISBLANK(Tabella8[[#This Row],[region data]]))</f>
        <v>0</v>
      </c>
      <c r="V164" s="10">
        <f>Tabella8[[#This Row],[rest of Italy ]]*NOT(ISBLANK(Tabella8[[#This Row],[rest of Italy ]]))</f>
        <v>0</v>
      </c>
      <c r="W164" s="108">
        <f>MAX(Ko*(TANH(psi_o*(Tabella8[[#This Row],[Day]]-po)-phi_o)+TANH(phi_o))/(1+TANH(phi_o)),0)</f>
        <v>187756.94866054328</v>
      </c>
      <c r="X164" s="108">
        <f>Tabella8[[#This Row],[rest of Italy fit]]/Ko</f>
        <v>0.84634630658512267</v>
      </c>
      <c r="Y164" s="22">
        <f>Tabella8[[#This Row],[rest of Italy fit]]*NOT(ISBLANK(Tabella8[[#This Row],[rest of Italy ]]))</f>
        <v>0</v>
      </c>
    </row>
    <row r="165" spans="2:27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Row],[region fit]]+Tabella8[[#This Row],[rest of Italy fit]]</f>
        <v>198710.01173481095</v>
      </c>
      <c r="G165" s="72">
        <f>Tabella8[[#This Row],[Italy sum of regions]]/K_sum</f>
        <v>0.84557451253413252</v>
      </c>
      <c r="H165" s="10">
        <f>Tabella8[[#This Row],[Italy sum of regions]]*NOT(ISBLANK(Tabella8[[#This Row],[Italy cumulative]]))</f>
        <v>0</v>
      </c>
      <c r="I165" s="132">
        <f>MAX(Kt*(TANH(psi_t*(Tabella8[[#This Row],[Day]]-pt)-phi_t)+TANH(phi_t))/(1+TANH(phi_t)),0)</f>
        <v>198879.71808656678</v>
      </c>
      <c r="J165" s="109">
        <f>Tabella8[[#This Row],[Italy fit]]/Kt</f>
        <v>0.84629666721883112</v>
      </c>
      <c r="K165" s="22">
        <f>Tabella8[[#This Row],[Italy fit]]*NOT(ISBLANK(Tabella8[[#This Row],[Italy cumulative]]))</f>
        <v>0</v>
      </c>
      <c r="N165" s="58"/>
      <c r="O165" s="10">
        <f>Tabella8[[#This Row],[region data]]*NOT(ISBLANK(Tabella8[[#This Row],[region data]]))</f>
        <v>0</v>
      </c>
      <c r="P165" s="107">
        <f>MAX(Kr*(TANH(psi_r*(Tabella8[[#This Row],[Day]]-pr)-phi_r)+TANH(phi_r))/(1+TANH(phi_r)),0)</f>
        <v>9484.339716125518</v>
      </c>
      <c r="Q165" s="107">
        <f>Tabella8[[#This Row],[region fit]]/Kr</f>
        <v>0.72091993187715542</v>
      </c>
      <c r="R165" s="22">
        <f>Tabella8[[#This Row],[region fit]]*NOT(ISBLANK(Tabella8[[#This Row],[region data]]))</f>
        <v>0</v>
      </c>
      <c r="V165" s="10">
        <f>Tabella8[[#This Row],[rest of Italy ]]*NOT(ISBLANK(Tabella8[[#This Row],[rest of Italy ]]))</f>
        <v>0</v>
      </c>
      <c r="W165" s="108">
        <f>MAX(Ko*(TANH(psi_o*(Tabella8[[#This Row],[Day]]-po)-phi_o)+TANH(phi_o))/(1+TANH(phi_o)),0)</f>
        <v>189225.67201868544</v>
      </c>
      <c r="X165" s="108">
        <f>Tabella8[[#This Row],[rest of Italy fit]]/Ko</f>
        <v>0.85296682634978016</v>
      </c>
      <c r="Y165" s="22">
        <f>Tabella8[[#This Row],[rest of Italy fit]]*NOT(ISBLANK(Tabella8[[#This Row],[rest of Italy ]]))</f>
        <v>0</v>
      </c>
    </row>
    <row r="166" spans="2:27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Row],[region fit]]+Tabella8[[#This Row],[rest of Italy fit]]</f>
        <v>200234.91530489761</v>
      </c>
      <c r="G166" s="72">
        <f>Tabella8[[#This Row],[Italy sum of regions]]/K_sum</f>
        <v>0.85206346385410114</v>
      </c>
      <c r="H166" s="10">
        <f>Tabella8[[#This Row],[Italy sum of regions]]*NOT(ISBLANK(Tabella8[[#This Row],[Italy cumulative]]))</f>
        <v>0</v>
      </c>
      <c r="I166" s="132">
        <f>MAX(Kt*(TANH(psi_t*(Tabella8[[#This Row],[Day]]-pt)-phi_t)+TANH(phi_t))/(1+TANH(phi_t)),0)</f>
        <v>200413.08490206895</v>
      </c>
      <c r="J166" s="109">
        <f>Tabella8[[#This Row],[Italy fit]]/Kt</f>
        <v>0.85282163234885311</v>
      </c>
      <c r="K166" s="22">
        <f>Tabella8[[#This Row],[Italy fit]]*NOT(ISBLANK(Tabella8[[#This Row],[Italy cumulative]]))</f>
        <v>0</v>
      </c>
      <c r="N166" s="58"/>
      <c r="O166" s="10">
        <f>Tabella8[[#This Row],[region data]]*NOT(ISBLANK(Tabella8[[#This Row],[region data]]))</f>
        <v>0</v>
      </c>
      <c r="P166" s="107">
        <f>MAX(Kr*(TANH(psi_r*(Tabella8[[#This Row],[Day]]-pr)-phi_r)+TANH(phi_r))/(1+TANH(phi_r)),0)</f>
        <v>9593.9931196382986</v>
      </c>
      <c r="Q166" s="107">
        <f>Tabella8[[#This Row],[region fit]]/Kr</f>
        <v>0.72925486362323433</v>
      </c>
      <c r="R166" s="22">
        <f>Tabella8[[#This Row],[region fit]]*NOT(ISBLANK(Tabella8[[#This Row],[region data]]))</f>
        <v>0</v>
      </c>
      <c r="V166" s="10">
        <f>Tabella8[[#This Row],[rest of Italy ]]*NOT(ISBLANK(Tabella8[[#This Row],[rest of Italy ]]))</f>
        <v>0</v>
      </c>
      <c r="W166" s="108">
        <f>MAX(Ko*(TANH(psi_o*(Tabella8[[#This Row],[Day]]-po)-phi_o)+TANH(phi_o))/(1+TANH(phi_o)),0)</f>
        <v>190640.92218525932</v>
      </c>
      <c r="X166" s="108">
        <f>Tabella8[[#This Row],[rest of Italy fit]]/Ko</f>
        <v>0.85934630662957179</v>
      </c>
      <c r="Y166" s="22">
        <f>Tabella8[[#This Row],[rest of Italy fit]]*NOT(ISBLANK(Tabella8[[#This Row],[rest of Italy ]]))</f>
        <v>0</v>
      </c>
    </row>
    <row r="167" spans="2:27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Row],[region fit]]+Tabella8[[#This Row],[rest of Italy fit]]</f>
        <v>201705.20975255454</v>
      </c>
      <c r="G167" s="72">
        <f>Tabella8[[#This Row],[Italy sum of regions]]/K_sum</f>
        <v>0.85832003593119566</v>
      </c>
      <c r="H167" s="10">
        <f>Tabella8[[#This Row],[Italy sum of regions]]*NOT(ISBLANK(Tabella8[[#This Row],[Italy cumulative]]))</f>
        <v>0</v>
      </c>
      <c r="I167" s="132">
        <f>MAX(Kt*(TANH(psi_t*(Tabella8[[#This Row],[Day]]-pt)-phi_t)+TANH(phi_t))/(1+TANH(phi_t)),0)</f>
        <v>201891.42840380807</v>
      </c>
      <c r="J167" s="109">
        <f>Tabella8[[#This Row],[Italy fit]]/Kt</f>
        <v>0.85911245571970007</v>
      </c>
      <c r="K167" s="22">
        <f>Tabella8[[#This Row],[Italy fit]]*NOT(ISBLANK(Tabella8[[#This Row],[Italy cumulative]]))</f>
        <v>0</v>
      </c>
      <c r="N167" s="58"/>
      <c r="O167" s="10">
        <f>Tabella8[[#This Row],[region data]]*NOT(ISBLANK(Tabella8[[#This Row],[region data]]))</f>
        <v>0</v>
      </c>
      <c r="P167" s="107">
        <f>MAX(Kr*(TANH(psi_r*(Tabella8[[#This Row],[Day]]-pr)-phi_r)+TANH(phi_r))/(1+TANH(phi_r)),0)</f>
        <v>9701.4051080897352</v>
      </c>
      <c r="Q167" s="107">
        <f>Tabella8[[#This Row],[region fit]]/Kr</f>
        <v>0.73741942180175912</v>
      </c>
      <c r="R167" s="22">
        <f>Tabella8[[#This Row],[region fit]]*NOT(ISBLANK(Tabella8[[#This Row],[region data]]))</f>
        <v>0</v>
      </c>
      <c r="V167" s="10">
        <f>Tabella8[[#This Row],[rest of Italy ]]*NOT(ISBLANK(Tabella8[[#This Row],[rest of Italy ]]))</f>
        <v>0</v>
      </c>
      <c r="W167" s="108">
        <f>MAX(Ko*(TANH(psi_o*(Tabella8[[#This Row],[Day]]-po)-phi_o)+TANH(phi_o))/(1+TANH(phi_o)),0)</f>
        <v>192003.80464446481</v>
      </c>
      <c r="X167" s="108">
        <f>Tabella8[[#This Row],[rest of Italy fit]]/Ko</f>
        <v>0.8654897305821182</v>
      </c>
      <c r="Y167" s="22">
        <f>Tabella8[[#This Row],[rest of Italy fit]]*NOT(ISBLANK(Tabella8[[#This Row],[rest of Italy ]]))</f>
        <v>0</v>
      </c>
    </row>
    <row r="168" spans="2:27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Row],[region fit]]+Tabella8[[#This Row],[rest of Italy fit]]</f>
        <v>203122.03656522799</v>
      </c>
      <c r="G168" s="72">
        <f>Tabella8[[#This Row],[Italy sum of regions]]/K_sum</f>
        <v>0.86434908615877293</v>
      </c>
      <c r="H168" s="10">
        <f>Tabella8[[#This Row],[Italy sum of regions]]*NOT(ISBLANK(Tabella8[[#This Row],[Italy cumulative]]))</f>
        <v>0</v>
      </c>
      <c r="I168" s="132">
        <f>MAX(Kt*(TANH(psi_t*(Tabella8[[#This Row],[Day]]-pt)-phi_t)+TANH(phi_t))/(1+TANH(phi_t)),0)</f>
        <v>203315.8720446403</v>
      </c>
      <c r="J168" s="109">
        <f>Tabella8[[#This Row],[Italy fit]]/Kt</f>
        <v>0.86517391798179288</v>
      </c>
      <c r="K168" s="22">
        <f>Tabella8[[#This Row],[Italy fit]]*NOT(ISBLANK(Tabella8[[#This Row],[Italy cumulative]]))</f>
        <v>0</v>
      </c>
      <c r="N168" s="58"/>
      <c r="O168" s="10">
        <f>Tabella8[[#This Row],[region data]]*NOT(ISBLANK(Tabella8[[#This Row],[region data]]))</f>
        <v>0</v>
      </c>
      <c r="P168" s="107">
        <f>MAX(Kr*(TANH(psi_r*(Tabella8[[#This Row],[Day]]-pr)-phi_r)+TANH(phi_r))/(1+TANH(phi_r)),0)</f>
        <v>9806.5592239064936</v>
      </c>
      <c r="Q168" s="107">
        <f>Tabella8[[#This Row],[region fit]]/Kr</f>
        <v>0.74541235544608331</v>
      </c>
      <c r="R168" s="22">
        <f>Tabella8[[#This Row],[region fit]]*NOT(ISBLANK(Tabella8[[#This Row],[region data]]))</f>
        <v>0</v>
      </c>
      <c r="V168" s="10">
        <f>Tabella8[[#This Row],[rest of Italy ]]*NOT(ISBLANK(Tabella8[[#This Row],[rest of Italy ]]))</f>
        <v>0</v>
      </c>
      <c r="W168" s="108">
        <f>MAX(Ko*(TANH(psi_o*(Tabella8[[#This Row],[Day]]-po)-phi_o)+TANH(phi_o))/(1+TANH(phi_o)),0)</f>
        <v>193315.4773413215</v>
      </c>
      <c r="X168" s="108">
        <f>Tabella8[[#This Row],[rest of Italy fit]]/Ko</f>
        <v>0.87140231784108713</v>
      </c>
      <c r="Y168" s="22">
        <f>Tabella8[[#This Row],[rest of Italy fit]]*NOT(ISBLANK(Tabella8[[#This Row],[rest of Italy ]]))</f>
        <v>0</v>
      </c>
    </row>
    <row r="169" spans="2:27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Row],[region fit]]+Tabella8[[#This Row],[rest of Italy fit]]</f>
        <v>204486.58586691483</v>
      </c>
      <c r="G169" s="72">
        <f>Tabella8[[#This Row],[Italy sum of regions]]/K_sum</f>
        <v>0.87015567889423351</v>
      </c>
      <c r="H169" s="10">
        <f>Tabella8[[#This Row],[Italy sum of regions]]*NOT(ISBLANK(Tabella8[[#This Row],[Italy cumulative]]))</f>
        <v>0</v>
      </c>
      <c r="I169" s="132">
        <f>MAX(Kt*(TANH(psi_t*(Tabella8[[#This Row],[Day]]-pt)-phi_t)+TANH(phi_t))/(1+TANH(phi_t)),0)</f>
        <v>204687.59136852549</v>
      </c>
      <c r="J169" s="109">
        <f>Tabella8[[#This Row],[Italy fit]]/Kt</f>
        <v>0.87101102144982168</v>
      </c>
      <c r="K169" s="22">
        <f>Tabella8[[#This Row],[Italy fit]]*NOT(ISBLANK(Tabella8[[#This Row],[Italy cumulative]]))</f>
        <v>0</v>
      </c>
      <c r="N169" s="58"/>
      <c r="O169" s="10">
        <f>Tabella8[[#This Row],[region data]]*NOT(ISBLANK(Tabella8[[#This Row],[region data]]))</f>
        <v>0</v>
      </c>
      <c r="P169" s="107">
        <f>MAX(Kr*(TANH(psi_r*(Tabella8[[#This Row],[Day]]-pr)-phi_r)+TANH(phi_r))/(1+TANH(phi_r)),0)</f>
        <v>9909.4432801216371</v>
      </c>
      <c r="Q169" s="107">
        <f>Tabella8[[#This Row],[region fit]]/Kr</f>
        <v>0.75323273820522874</v>
      </c>
      <c r="R169" s="22">
        <f>Tabella8[[#This Row],[region fit]]*NOT(ISBLANK(Tabella8[[#This Row],[region data]]))</f>
        <v>0</v>
      </c>
      <c r="V169" s="10">
        <f>Tabella8[[#This Row],[rest of Italy ]]*NOT(ISBLANK(Tabella8[[#This Row],[rest of Italy ]]))</f>
        <v>0</v>
      </c>
      <c r="W169" s="108">
        <f>MAX(Ko*(TANH(psi_o*(Tabella8[[#This Row],[Day]]-po)-phi_o)+TANH(phi_o))/(1+TANH(phi_o)),0)</f>
        <v>194577.1425867932</v>
      </c>
      <c r="X169" s="108">
        <f>Tabella8[[#This Row],[rest of Italy fit]]/Ko</f>
        <v>0.87708948802716813</v>
      </c>
      <c r="Y169" s="22">
        <f>Tabella8[[#This Row],[rest of Italy fit]]*NOT(ISBLANK(Tabella8[[#This Row],[rest of Italy ]]))</f>
        <v>0</v>
      </c>
    </row>
    <row r="170" spans="2:27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Row],[region fit]]+Tabella8[[#This Row],[rest of Italy fit]]</f>
        <v>205800.08861159129</v>
      </c>
      <c r="G170" s="72">
        <f>Tabella8[[#This Row],[Italy sum of regions]]/K_sum</f>
        <v>0.87574505223957</v>
      </c>
      <c r="H170" s="10">
        <f>Tabella8[[#This Row],[Italy sum of regions]]*NOT(ISBLANK(Tabella8[[#This Row],[Italy cumulative]]))</f>
        <v>0</v>
      </c>
      <c r="I170" s="132">
        <f>MAX(Kt*(TANH(psi_t*(Tabella8[[#This Row],[Day]]-pt)-phi_t)+TANH(phi_t))/(1+TANH(phi_t)),0)</f>
        <v>206007.80606489163</v>
      </c>
      <c r="J170" s="109">
        <f>Tabella8[[#This Row],[Italy fit]]/Kt</f>
        <v>0.8766289562915317</v>
      </c>
      <c r="K170" s="22">
        <f>Tabella8[[#This Row],[Italy fit]]*NOT(ISBLANK(Tabella8[[#This Row],[Italy cumulative]]))</f>
        <v>0</v>
      </c>
      <c r="N170" s="58"/>
      <c r="O170" s="10">
        <f>Tabella8[[#This Row],[region data]]*NOT(ISBLANK(Tabella8[[#This Row],[region data]]))</f>
        <v>0</v>
      </c>
      <c r="P170" s="107">
        <f>MAX(Kr*(TANH(psi_r*(Tabella8[[#This Row],[Day]]-pr)-phi_r)+TANH(phi_r))/(1+TANH(phi_r)),0)</f>
        <v>10010.049213613984</v>
      </c>
      <c r="Q170" s="107">
        <f>Tabella8[[#This Row],[region fit]]/Kr</f>
        <v>0.76087995718837265</v>
      </c>
      <c r="R170" s="22">
        <f>Tabella8[[#This Row],[region fit]]*NOT(ISBLANK(Tabella8[[#This Row],[region data]]))</f>
        <v>0</v>
      </c>
      <c r="V170" s="10">
        <f>Tabella8[[#This Row],[rest of Italy ]]*NOT(ISBLANK(Tabella8[[#This Row],[rest of Italy ]]))</f>
        <v>0</v>
      </c>
      <c r="W170" s="108">
        <f>MAX(Ko*(TANH(psi_o*(Tabella8[[#This Row],[Day]]-po)-phi_o)+TANH(phi_o))/(1+TANH(phi_o)),0)</f>
        <v>195790.03939797729</v>
      </c>
      <c r="X170" s="108">
        <f>Tabella8[[#This Row],[rest of Italy fit]]/Ko</f>
        <v>0.88255682622017673</v>
      </c>
      <c r="Y170" s="22">
        <f>Tabella8[[#This Row],[rest of Italy fit]]*NOT(ISBLANK(Tabella8[[#This Row],[rest of Italy ]]))</f>
        <v>0</v>
      </c>
    </row>
    <row r="171" spans="2:27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Row],[region fit]]+Tabella8[[#This Row],[rest of Italy fit]]</f>
        <v>207063.80921828089</v>
      </c>
      <c r="G171" s="72">
        <f>Tabella8[[#This Row],[Italy sum of regions]]/K_sum</f>
        <v>0.88112258670123045</v>
      </c>
      <c r="H171" s="10">
        <f>Tabella8[[#This Row],[Italy sum of regions]]*NOT(ISBLANK(Tabella8[[#This Row],[Italy cumulative]]))</f>
        <v>0</v>
      </c>
      <c r="I171" s="132">
        <f>MAX(Kt*(TANH(psi_t*(Tabella8[[#This Row],[Day]]-pt)-phi_t)+TANH(phi_t))/(1+TANH(phi_t)),0)</f>
        <v>207277.77244440839</v>
      </c>
      <c r="J171" s="109">
        <f>Tabella8[[#This Row],[Italy fit]]/Kt</f>
        <v>0.88203306850973784</v>
      </c>
      <c r="K171" s="22">
        <f>Tabella8[[#This Row],[Italy fit]]*NOT(ISBLANK(Tabella8[[#This Row],[Italy cumulative]]))</f>
        <v>0</v>
      </c>
      <c r="N171" s="58"/>
      <c r="O171" s="10">
        <f>Tabella8[[#This Row],[region data]]*NOT(ISBLANK(Tabella8[[#This Row],[region data]]))</f>
        <v>0</v>
      </c>
      <c r="P171" s="107">
        <f>MAX(Kr*(TANH(psi_r*(Tabella8[[#This Row],[Day]]-pr)-phi_r)+TANH(phi_r))/(1+TANH(phi_r)),0)</f>
        <v>10108.372928572635</v>
      </c>
      <c r="Q171" s="107">
        <f>Tabella8[[#This Row],[region fit]]/Kr</f>
        <v>0.76835370106633405</v>
      </c>
      <c r="R171" s="22">
        <f>Tabella8[[#This Row],[region fit]]*NOT(ISBLANK(Tabella8[[#This Row],[region data]]))</f>
        <v>0</v>
      </c>
      <c r="V171" s="10">
        <f>Tabella8[[#This Row],[rest of Italy ]]*NOT(ISBLANK(Tabella8[[#This Row],[rest of Italy ]]))</f>
        <v>0</v>
      </c>
      <c r="W171" s="108">
        <f>MAX(Ko*(TANH(psi_o*(Tabella8[[#This Row],[Day]]-po)-phi_o)+TANH(phi_o))/(1+TANH(phi_o)),0)</f>
        <v>196955.43628970825</v>
      </c>
      <c r="X171" s="108">
        <f>Tabella8[[#This Row],[rest of Italy fit]]/Ko</f>
        <v>0.88781005046598349</v>
      </c>
      <c r="Y171" s="22">
        <f>Tabella8[[#This Row],[rest of Italy fit]]*NOT(ISBLANK(Tabella8[[#This Row],[rest of Italy ]]))</f>
        <v>0</v>
      </c>
    </row>
    <row r="172" spans="2:27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Row],[region fit]]+Tabella8[[#This Row],[rest of Italy fit]]</f>
        <v>208279.03865923037</v>
      </c>
      <c r="G172" s="72">
        <f>Tabella8[[#This Row],[Italy sum of regions]]/K_sum</f>
        <v>0.88629377577810153</v>
      </c>
      <c r="H172" s="10">
        <f>Tabella8[[#This Row],[Italy sum of regions]]*NOT(ISBLANK(Tabella8[[#This Row],[Italy cumulative]]))</f>
        <v>0</v>
      </c>
      <c r="I172" s="132">
        <f>MAX(Kt*(TANH(psi_t*(Tabella8[[#This Row],[Day]]-pt)-phi_t)+TANH(phi_t))/(1+TANH(phi_t)),0)</f>
        <v>208498.77635166788</v>
      </c>
      <c r="J172" s="109">
        <f>Tabella8[[#This Row],[Italy fit]]/Kt</f>
        <v>0.88722882978351991</v>
      </c>
      <c r="K172" s="22">
        <f>Tabella8[[#This Row],[Italy fit]]*NOT(ISBLANK(Tabella8[[#This Row],[Italy cumulative]]))</f>
        <v>0</v>
      </c>
      <c r="N172" s="58"/>
      <c r="O172" s="10">
        <f>Tabella8[[#This Row],[region data]]*NOT(ISBLANK(Tabella8[[#This Row],[region data]]))</f>
        <v>0</v>
      </c>
      <c r="P172" s="107">
        <f>MAX(Kr*(TANH(psi_r*(Tabella8[[#This Row],[Day]]-pr)-phi_r)+TANH(phi_r))/(1+TANH(phi_r)),0)</f>
        <v>10204.414131673919</v>
      </c>
      <c r="Q172" s="107">
        <f>Tabella8[[#This Row],[region fit]]/Kr</f>
        <v>0.77565394754310857</v>
      </c>
      <c r="R172" s="22">
        <f>Tabella8[[#This Row],[region fit]]*NOT(ISBLANK(Tabella8[[#This Row],[region data]]))</f>
        <v>0</v>
      </c>
      <c r="V172" s="10">
        <f>Tabella8[[#This Row],[rest of Italy ]]*NOT(ISBLANK(Tabella8[[#This Row],[rest of Italy ]]))</f>
        <v>0</v>
      </c>
      <c r="W172" s="108">
        <f>MAX(Ko*(TANH(psi_o*(Tabella8[[#This Row],[Day]]-po)-phi_o)+TANH(phi_o))/(1+TANH(phi_o)),0)</f>
        <v>198074.62452755644</v>
      </c>
      <c r="X172" s="108">
        <f>Tabella8[[#This Row],[rest of Italy fit]]/Ko</f>
        <v>0.89285498136326213</v>
      </c>
      <c r="Y172" s="22">
        <f>Tabella8[[#This Row],[rest of Italy fit]]*NOT(ISBLANK(Tabella8[[#This Row],[rest of Italy ]]))</f>
        <v>0</v>
      </c>
    </row>
    <row r="173" spans="2:27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Row],[region fit]]+Tabella8[[#This Row],[rest of Italy fit]]</f>
        <v>209447.08800692833</v>
      </c>
      <c r="G173" s="72">
        <f>Tabella8[[#This Row],[Italy sum of regions]]/K_sum</f>
        <v>0.89126419850201344</v>
      </c>
      <c r="H173" s="10">
        <f>Tabella8[[#This Row],[Italy sum of regions]]*NOT(ISBLANK(Tabella8[[#This Row],[Italy cumulative]]))</f>
        <v>0</v>
      </c>
      <c r="I173" s="132">
        <f>MAX(Kt*(TANH(psi_t*(Tabella8[[#This Row],[Day]]-pt)-phi_t)+TANH(phi_t))/(1+TANH(phi_t)),0)</f>
        <v>209672.12652430768</v>
      </c>
      <c r="J173" s="109">
        <f>Tabella8[[#This Row],[Italy fit]]/Kt</f>
        <v>0.89222180920917193</v>
      </c>
      <c r="K173" s="22">
        <f>Tabella8[[#This Row],[Italy fit]]*NOT(ISBLANK(Tabella8[[#This Row],[Italy cumulative]]))</f>
        <v>0</v>
      </c>
      <c r="N173" s="58"/>
      <c r="O173" s="10">
        <f>Tabella8[[#This Row],[region data]]*NOT(ISBLANK(Tabella8[[#This Row],[region data]]))</f>
        <v>0</v>
      </c>
      <c r="P173" s="107">
        <f>MAX(Kr*(TANH(psi_r*(Tabella8[[#This Row],[Day]]-pr)-phi_r)+TANH(phi_r))/(1+TANH(phi_r)),0)</f>
        <v>10298.17616042016</v>
      </c>
      <c r="Q173" s="107">
        <f>Tabella8[[#This Row],[region fit]]/Kr</f>
        <v>0.78278095030762129</v>
      </c>
      <c r="R173" s="22">
        <f>Tabella8[[#This Row],[region fit]]*NOT(ISBLANK(Tabella8[[#This Row],[region data]]))</f>
        <v>0</v>
      </c>
      <c r="V173" s="10">
        <f>Tabella8[[#This Row],[rest of Italy ]]*NOT(ISBLANK(Tabella8[[#This Row],[rest of Italy ]]))</f>
        <v>0</v>
      </c>
      <c r="W173" s="108">
        <f>MAX(Ko*(TANH(psi_o*(Tabella8[[#This Row],[Day]]-po)-phi_o)+TANH(phi_o))/(1+TANH(phi_o)),0)</f>
        <v>199148.91184650816</v>
      </c>
      <c r="X173" s="108">
        <f>Tabella8[[#This Row],[rest of Italy fit]]/Ko</f>
        <v>0.8976975137493729</v>
      </c>
      <c r="Y173" s="22">
        <f>Tabella8[[#This Row],[rest of Italy fit]]*NOT(ISBLANK(Tabella8[[#This Row],[rest of Italy ]]))</f>
        <v>0</v>
      </c>
    </row>
    <row r="174" spans="2:27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Row],[region fit]]+Tabella8[[#This Row],[rest of Italy fit]]</f>
        <v>210569.28244061171</v>
      </c>
      <c r="G174" s="72">
        <f>Tabella8[[#This Row],[Italy sum of regions]]/K_sum</f>
        <v>0.89603949393351245</v>
      </c>
      <c r="H174" s="10">
        <f>Tabella8[[#This Row],[Italy sum of regions]]*NOT(ISBLANK(Tabella8[[#This Row],[Italy cumulative]]))</f>
        <v>0</v>
      </c>
      <c r="I174" s="132">
        <f>MAX(Kt*(TANH(psi_t*(Tabella8[[#This Row],[Day]]-pt)-phi_t)+TANH(phi_t))/(1+TANH(phi_t)),0)</f>
        <v>210799.14840275203</v>
      </c>
      <c r="J174" s="109">
        <f>Tabella8[[#This Row],[Italy fit]]/Kt</f>
        <v>0.89701764695867536</v>
      </c>
      <c r="K174" s="22">
        <f>Tabella8[[#This Row],[Italy fit]]*NOT(ISBLANK(Tabella8[[#This Row],[Italy cumulative]]))</f>
        <v>0</v>
      </c>
      <c r="N174" s="58"/>
      <c r="O174" s="10">
        <f>Tabella8[[#This Row],[region data]]*NOT(ISBLANK(Tabella8[[#This Row],[region data]]))</f>
        <v>0</v>
      </c>
      <c r="P174" s="107">
        <f>MAX(Kr*(TANH(psi_r*(Tabella8[[#This Row],[Day]]-pr)-phi_r)+TANH(phi_r))/(1+TANH(phi_r)),0)</f>
        <v>10389.665806040599</v>
      </c>
      <c r="Q174" s="107">
        <f>Tabella8[[#This Row],[region fit]]/Kr</f>
        <v>0.78973522557214082</v>
      </c>
      <c r="R174" s="22">
        <f>Tabella8[[#This Row],[region fit]]*NOT(ISBLANK(Tabella8[[#This Row],[region data]]))</f>
        <v>0</v>
      </c>
      <c r="V174" s="10">
        <f>Tabella8[[#This Row],[rest of Italy ]]*NOT(ISBLANK(Tabella8[[#This Row],[rest of Italy ]]))</f>
        <v>0</v>
      </c>
      <c r="W174" s="108">
        <f>MAX(Ko*(TANH(psi_o*(Tabella8[[#This Row],[Day]]-po)-phi_o)+TANH(phi_o))/(1+TANH(phi_o)),0)</f>
        <v>200179.61663457111</v>
      </c>
      <c r="X174" s="108">
        <f>Tabella8[[#This Row],[rest of Italy fit]]/Ko</f>
        <v>0.90234359048197799</v>
      </c>
      <c r="Y174" s="22">
        <f>Tabella8[[#This Row],[rest of Italy fit]]*NOT(ISBLANK(Tabella8[[#This Row],[rest of Italy ]]))</f>
        <v>0</v>
      </c>
    </row>
    <row r="175" spans="2:27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Row],[region fit]]+Tabella8[[#This Row],[rest of Italy fit]]</f>
        <v>211646.95570846469</v>
      </c>
      <c r="G175" s="72">
        <f>Tabella8[[#This Row],[Italy sum of regions]]/K_sum</f>
        <v>0.90062533759674956</v>
      </c>
      <c r="H175" s="10">
        <f>Tabella8[[#This Row],[Italy sum of regions]]*NOT(ISBLANK(Tabella8[[#This Row],[Italy cumulative]]))</f>
        <v>0</v>
      </c>
      <c r="I175" s="132">
        <f>MAX(Kt*(TANH(psi_t*(Tabella8[[#This Row],[Day]]-pt)-phi_t)+TANH(phi_t))/(1+TANH(phi_t)),0)</f>
        <v>211881.17839001075</v>
      </c>
      <c r="J175" s="109">
        <f>Tabella8[[#This Row],[Italy fit]]/Kt</f>
        <v>0.90162202985331175</v>
      </c>
      <c r="K175" s="22">
        <f>Tabella8[[#This Row],[Italy fit]]*NOT(ISBLANK(Tabella8[[#This Row],[Italy cumulative]]))</f>
        <v>0</v>
      </c>
      <c r="N175" s="58"/>
      <c r="O175" s="10">
        <f>Tabella8[[#This Row],[region data]]*NOT(ISBLANK(Tabella8[[#This Row],[region data]]))</f>
        <v>0</v>
      </c>
      <c r="P175" s="107">
        <f>MAX(Kr*(TANH(psi_r*(Tabella8[[#This Row],[Day]]-pr)-phi_r)+TANH(phi_r))/(1+TANH(phi_r)),0)</f>
        <v>10478.893132296029</v>
      </c>
      <c r="Q175" s="107">
        <f>Tabella8[[#This Row],[region fit]]/Kr</f>
        <v>0.79651753829932803</v>
      </c>
      <c r="R175" s="22">
        <f>Tabella8[[#This Row],[region fit]]*NOT(ISBLANK(Tabella8[[#This Row],[region data]]))</f>
        <v>0</v>
      </c>
      <c r="V175" s="10">
        <f>Tabella8[[#This Row],[rest of Italy ]]*NOT(ISBLANK(Tabella8[[#This Row],[rest of Italy ]]))</f>
        <v>0</v>
      </c>
      <c r="W175" s="108">
        <f>MAX(Ko*(TANH(psi_o*(Tabella8[[#This Row],[Day]]-po)-phi_o)+TANH(phi_o))/(1+TANH(phi_o)),0)</f>
        <v>201168.06257616865</v>
      </c>
      <c r="X175" s="108">
        <f>Tabella8[[#This Row],[rest of Italy fit]]/Ko</f>
        <v>0.90679917829323187</v>
      </c>
      <c r="Y175" s="22">
        <f>Tabella8[[#This Row],[rest of Italy fit]]*NOT(ISBLANK(Tabella8[[#This Row],[rest of Italy ]]))</f>
        <v>0</v>
      </c>
    </row>
    <row r="176" spans="2:27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Row],[region fit]]+Tabella8[[#This Row],[rest of Italy fit]]</f>
        <v>212681.44503787981</v>
      </c>
      <c r="G176" s="72">
        <f>Tabella8[[#This Row],[Italy sum of regions]]/K_sum</f>
        <v>0.90502741982101775</v>
      </c>
      <c r="H176" s="10">
        <f>Tabella8[[#This Row],[Italy sum of regions]]*NOT(ISBLANK(Tabella8[[#This Row],[Italy cumulative]]))</f>
        <v>0</v>
      </c>
      <c r="I176" s="132">
        <f>MAX(Kt*(TANH(psi_t*(Tabella8[[#This Row],[Day]]-pt)-phi_t)+TANH(phi_t))/(1+TANH(phi_t)),0)</f>
        <v>212919.55855683246</v>
      </c>
      <c r="J176" s="109">
        <f>Tabella8[[#This Row],[Italy fit]]/Kt</f>
        <v>0.90604066883239975</v>
      </c>
      <c r="K176" s="22">
        <f>Tabella8[[#This Row],[Italy fit]]*NOT(ISBLANK(Tabella8[[#This Row],[Italy cumulative]]))</f>
        <v>0</v>
      </c>
      <c r="N176" s="58"/>
      <c r="O176" s="10">
        <f>Tabella8[[#This Row],[region data]]*NOT(ISBLANK(Tabella8[[#This Row],[region data]]))</f>
        <v>0</v>
      </c>
      <c r="P176" s="107">
        <f>MAX(Kr*(TANH(psi_r*(Tabella8[[#This Row],[Day]]-pr)-phi_r)+TANH(phi_r))/(1+TANH(phi_r)),0)</f>
        <v>10565.871291461937</v>
      </c>
      <c r="Q176" s="107">
        <f>Tabella8[[#This Row],[region fit]]/Kr</f>
        <v>0.8031288882148182</v>
      </c>
      <c r="R176" s="22">
        <f>Tabella8[[#This Row],[region fit]]*NOT(ISBLANK(Tabella8[[#This Row],[region data]]))</f>
        <v>0</v>
      </c>
      <c r="V176" s="10">
        <f>Tabella8[[#This Row],[rest of Italy ]]*NOT(ISBLANK(Tabella8[[#This Row],[rest of Italy ]]))</f>
        <v>0</v>
      </c>
      <c r="W176" s="108">
        <f>MAX(Ko*(TANH(psi_o*(Tabella8[[#This Row],[Day]]-po)-phi_o)+TANH(phi_o))/(1+TANH(phi_o)),0)</f>
        <v>202115.57374641788</v>
      </c>
      <c r="X176" s="108">
        <f>Tabella8[[#This Row],[rest of Italy fit]]/Ko</f>
        <v>0.91107024567640726</v>
      </c>
      <c r="Y176" s="22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Row],[region fit]]+Tabella8[[#This Row],[rest of Italy fit]]</f>
        <v>213674.08648291082</v>
      </c>
      <c r="G177" s="72">
        <f>Tabella8[[#This Row],[Italy sum of regions]]/K_sum</f>
        <v>0.90925142594267927</v>
      </c>
      <c r="H177" s="10">
        <f>Tabella8[[#This Row],[Italy sum of regions]]*NOT(ISBLANK(Tabella8[[#This Row],[Italy cumulative]]))</f>
        <v>0</v>
      </c>
      <c r="I177" s="132">
        <f>MAX(Kt*(TANH(psi_t*(Tabella8[[#This Row],[Day]]-pt)-phi_t)+TANH(phi_t))/(1+TANH(phi_t)),0)</f>
        <v>213915.6317839472</v>
      </c>
      <c r="J177" s="109">
        <f>Tabella8[[#This Row],[Italy fit]]/Kt</f>
        <v>0.91027927828198774</v>
      </c>
      <c r="K177" s="22">
        <f>Tabella8[[#This Row],[Italy fit]]*NOT(ISBLANK(Tabella8[[#This Row],[Italy cumulative]]))</f>
        <v>0</v>
      </c>
      <c r="N177" s="58"/>
      <c r="O177" s="10">
        <f>Tabella8[[#This Row],[region data]]*NOT(ISBLANK(Tabella8[[#This Row],[region data]]))</f>
        <v>0</v>
      </c>
      <c r="P177" s="107">
        <f>MAX(Kr*(TANH(psi_r*(Tabella8[[#This Row],[Day]]-pr)-phi_r)+TANH(phi_r))/(1+TANH(phi_r)),0)</f>
        <v>10650.616338691454</v>
      </c>
      <c r="Q177" s="107">
        <f>Tabella8[[#This Row],[region fit]]/Kr</f>
        <v>0.80957049569665007</v>
      </c>
      <c r="R177" s="22">
        <f>Tabella8[[#This Row],[region fit]]*NOT(ISBLANK(Tabella8[[#This Row],[region data]]))</f>
        <v>0</v>
      </c>
      <c r="V177" s="10">
        <f>Tabella8[[#This Row],[rest of Italy ]]*NOT(ISBLANK(Tabella8[[#This Row],[rest of Italy ]]))</f>
        <v>0</v>
      </c>
      <c r="W177" s="108">
        <f>MAX(Ko*(TANH(psi_o*(Tabella8[[#This Row],[Day]]-po)-phi_o)+TANH(phi_o))/(1+TANH(phi_o)),0)</f>
        <v>203023.47014421938</v>
      </c>
      <c r="X177" s="108">
        <f>Tabella8[[#This Row],[rest of Italy fit]]/Ko</f>
        <v>0.91516274275053933</v>
      </c>
      <c r="Y177" s="22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Row],[region fit]]+Tabella8[[#This Row],[rest of Italy fit]]</f>
        <v>214626.21069534984</v>
      </c>
      <c r="G178" s="72">
        <f>Tabella8[[#This Row],[Italy sum of regions]]/K_sum</f>
        <v>0.91330301830974892</v>
      </c>
      <c r="H178" s="10">
        <f>Tabella8[[#This Row],[Italy sum of regions]]*NOT(ISBLANK(Tabella8[[#This Row],[Italy cumulative]]))</f>
        <v>0</v>
      </c>
      <c r="I178" s="132">
        <f>MAX(Kt*(TANH(psi_t*(Tabella8[[#This Row],[Day]]-pt)-phi_t)+TANH(phi_t))/(1+TANH(phi_t)),0)</f>
        <v>214870.73733011831</v>
      </c>
      <c r="J178" s="109">
        <f>Tabella8[[#This Row],[Italy fit]]/Kt</f>
        <v>0.91434355717549964</v>
      </c>
      <c r="K178" s="22">
        <f>Tabella8[[#This Row],[Italy fit]]*NOT(ISBLANK(Tabella8[[#This Row],[Italy cumulative]]))</f>
        <v>0</v>
      </c>
      <c r="N178" s="58"/>
      <c r="O178" s="10">
        <f>Tabella8[[#This Row],[region data]]*NOT(ISBLANK(Tabella8[[#This Row],[region data]]))</f>
        <v>0</v>
      </c>
      <c r="P178" s="107">
        <f>MAX(Kr*(TANH(psi_r*(Tabella8[[#This Row],[Day]]-pr)-phi_r)+TANH(phi_r))/(1+TANH(phi_r)),0)</f>
        <v>10733.147045880878</v>
      </c>
      <c r="Q178" s="107">
        <f>Tabella8[[#This Row],[region fit]]/Kr</f>
        <v>0.8158437876268847</v>
      </c>
      <c r="R178" s="22">
        <f>Tabella8[[#This Row],[region fit]]*NOT(ISBLANK(Tabella8[[#This Row],[region data]]))</f>
        <v>0</v>
      </c>
      <c r="V178" s="10">
        <f>Tabella8[[#This Row],[rest of Italy ]]*NOT(ISBLANK(Tabella8[[#This Row],[rest of Italy ]]))</f>
        <v>0</v>
      </c>
      <c r="W178" s="108">
        <f>MAX(Ko*(TANH(psi_o*(Tabella8[[#This Row],[Day]]-po)-phi_o)+TANH(phi_o))/(1+TANH(phi_o)),0)</f>
        <v>203893.06364946897</v>
      </c>
      <c r="X178" s="108">
        <f>Tabella8[[#This Row],[rest of Italy fit]]/Ko</f>
        <v>0.91908258303687151</v>
      </c>
      <c r="Y178" s="22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Row],[region fit]]+Tabella8[[#This Row],[rest of Italy fit]]</f>
        <v>215539.13910367622</v>
      </c>
      <c r="G179" s="72">
        <f>Tabella8[[#This Row],[Italy sum of regions]]/K_sum</f>
        <v>0.9171878200221022</v>
      </c>
      <c r="H179" s="10">
        <f>Tabella8[[#This Row],[Italy sum of regions]]*NOT(ISBLANK(Tabella8[[#This Row],[Italy cumulative]]))</f>
        <v>0</v>
      </c>
      <c r="I179" s="132">
        <f>MAX(Kt*(TANH(psi_t*(Tabella8[[#This Row],[Day]]-pt)-phi_t)+TANH(phi_t))/(1+TANH(phi_t)),0)</f>
        <v>215786.206812227</v>
      </c>
      <c r="J179" s="109">
        <f>Tabella8[[#This Row],[Italy fit]]/Kt</f>
        <v>0.91823917196771232</v>
      </c>
      <c r="K179" s="22">
        <f>Tabella8[[#This Row],[Italy fit]]*NOT(ISBLANK(Tabella8[[#This Row],[Italy cumulative]]))</f>
        <v>0</v>
      </c>
      <c r="N179" s="58"/>
      <c r="O179" s="10">
        <f>Tabella8[[#This Row],[region data]]*NOT(ISBLANK(Tabella8[[#This Row],[region data]]))</f>
        <v>0</v>
      </c>
      <c r="P179" s="107">
        <f>MAX(Kr*(TANH(psi_r*(Tabella8[[#This Row],[Day]]-pr)-phi_r)+TANH(phi_r))/(1+TANH(phi_r)),0)</f>
        <v>10813.484716078272</v>
      </c>
      <c r="Q179" s="107">
        <f>Tabella8[[#This Row],[region fit]]/Kr</f>
        <v>0.82195038328450354</v>
      </c>
      <c r="R179" s="22">
        <f>Tabella8[[#This Row],[region fit]]*NOT(ISBLANK(Tabella8[[#This Row],[region data]]))</f>
        <v>0</v>
      </c>
      <c r="V179" s="10">
        <f>Tabella8[[#This Row],[rest of Italy ]]*NOT(ISBLANK(Tabella8[[#This Row],[rest of Italy ]]))</f>
        <v>0</v>
      </c>
      <c r="W179" s="108">
        <f>MAX(Ko*(TANH(psi_o*(Tabella8[[#This Row],[Day]]-po)-phi_o)+TANH(phi_o))/(1+TANH(phi_o)),0)</f>
        <v>204725.65438759796</v>
      </c>
      <c r="X179" s="108">
        <f>Tabella8[[#This Row],[rest of Italy fit]]/Ko</f>
        <v>0.92283562707140387</v>
      </c>
      <c r="Y179" s="22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Row],[region fit]]+Tabella8[[#This Row],[rest of Italy fit]]</f>
        <v>216414.18048240463</v>
      </c>
      <c r="G180" s="72">
        <f>Tabella8[[#This Row],[Italy sum of regions]]/K_sum</f>
        <v>0.92091140033295693</v>
      </c>
      <c r="H180" s="10">
        <f>Tabella8[[#This Row],[Italy sum of regions]]*NOT(ISBLANK(Tabella8[[#This Row],[Italy cumulative]]))</f>
        <v>0</v>
      </c>
      <c r="I180" s="132">
        <f>MAX(Kt*(TANH(psi_t*(Tabella8[[#This Row],[Day]]-pt)-phi_t)+TANH(phi_t))/(1+TANH(phi_t)),0)</f>
        <v>216663.36058158908</v>
      </c>
      <c r="J180" s="109">
        <f>Tabella8[[#This Row],[Italy fit]]/Kt</f>
        <v>0.92197174117482705</v>
      </c>
      <c r="K180" s="22">
        <f>Tabella8[[#This Row],[Italy fit]]*NOT(ISBLANK(Tabella8[[#This Row],[Italy cumulative]]))</f>
        <v>0</v>
      </c>
      <c r="N180" s="58"/>
      <c r="O180" s="10">
        <f>Tabella8[[#This Row],[region data]]*NOT(ISBLANK(Tabella8[[#This Row],[region data]]))</f>
        <v>0</v>
      </c>
      <c r="P180" s="107">
        <f>MAX(Kr*(TANH(psi_r*(Tabella8[[#This Row],[Day]]-pr)-phi_r)+TANH(phi_r))/(1+TANH(phi_r)),0)</f>
        <v>10891.652999390853</v>
      </c>
      <c r="Q180" s="107">
        <f>Tabella8[[#This Row],[region fit]]/Kr</f>
        <v>0.82789208035223383</v>
      </c>
      <c r="R180" s="22">
        <f>Tabella8[[#This Row],[region fit]]*NOT(ISBLANK(Tabella8[[#This Row],[region data]]))</f>
        <v>0</v>
      </c>
      <c r="V180" s="10">
        <f>Tabella8[[#This Row],[rest of Italy ]]*NOT(ISBLANK(Tabella8[[#This Row],[rest of Italy ]]))</f>
        <v>0</v>
      </c>
      <c r="W180" s="108">
        <f>MAX(Ko*(TANH(psi_o*(Tabella8[[#This Row],[Day]]-po)-phi_o)+TANH(phi_o))/(1+TANH(phi_o)),0)</f>
        <v>205522.52748301378</v>
      </c>
      <c r="X180" s="108">
        <f>Tabella8[[#This Row],[rest of Italy fit]]/Ko</f>
        <v>0.9264276677704758</v>
      </c>
      <c r="Y180" s="22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Row],[region fit]]+Tabella8[[#This Row],[rest of Italy fit]]</f>
        <v>217252.62789306178</v>
      </c>
      <c r="G181" s="72">
        <f>Tabella8[[#This Row],[Italy sum of regions]]/K_sum</f>
        <v>0.92447926163175298</v>
      </c>
      <c r="H181" s="10">
        <f>Tabella8[[#This Row],[Italy sum of regions]]*NOT(ISBLANK(Tabella8[[#This Row],[Italy cumulative]]))</f>
        <v>0</v>
      </c>
      <c r="I181" s="132">
        <f>MAX(Kt*(TANH(psi_t*(Tabella8[[#This Row],[Day]]-pt)-phi_t)+TANH(phi_t))/(1+TANH(phi_t)),0)</f>
        <v>217503.50447912127</v>
      </c>
      <c r="J181" s="109">
        <f>Tabella8[[#This Row],[Italy fit]]/Kt</f>
        <v>0.9255468215666659</v>
      </c>
      <c r="K181" s="22">
        <f>Tabella8[[#This Row],[Italy fit]]*NOT(ISBLANK(Tabella8[[#This Row],[Italy cumulative]]))</f>
        <v>0</v>
      </c>
      <c r="N181" s="58"/>
      <c r="O181" s="10">
        <f>Tabella8[[#This Row],[region data]]*NOT(ISBLANK(Tabella8[[#This Row],[region data]]))</f>
        <v>0</v>
      </c>
      <c r="P181" s="107">
        <f>MAX(Kr*(TANH(psi_r*(Tabella8[[#This Row],[Day]]-pr)-phi_r)+TANH(phi_r))/(1+TANH(phi_r)),0)</f>
        <v>10967.677711260945</v>
      </c>
      <c r="Q181" s="107">
        <f>Tabella8[[#This Row],[region fit]]/Kr</f>
        <v>0.83367084110340994</v>
      </c>
      <c r="R181" s="22">
        <f>Tabella8[[#This Row],[region fit]]*NOT(ISBLANK(Tabella8[[#This Row],[region data]]))</f>
        <v>0</v>
      </c>
      <c r="V181" s="10">
        <f>Tabella8[[#This Row],[rest of Italy ]]*NOT(ISBLANK(Tabella8[[#This Row],[rest of Italy ]]))</f>
        <v>0</v>
      </c>
      <c r="W181" s="108">
        <f>MAX(Ko*(TANH(psi_o*(Tabella8[[#This Row],[Day]]-po)-phi_o)+TANH(phi_o))/(1+TANH(phi_o)),0)</f>
        <v>206284.95018180084</v>
      </c>
      <c r="X181" s="108">
        <f>Tabella8[[#This Row],[rest of Italy fit]]/Ko</f>
        <v>0.92986441746085202</v>
      </c>
      <c r="Y181" s="22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Row],[region fit]]+Tabella8[[#This Row],[rest of Italy fit]]</f>
        <v>218055.75597710264</v>
      </c>
      <c r="G182" s="72">
        <f>Tabella8[[#This Row],[Italy sum of regions]]/K_sum</f>
        <v>0.92789682792464623</v>
      </c>
      <c r="H182" s="10">
        <f>Tabella8[[#This Row],[Italy sum of regions]]*NOT(ISBLANK(Tabella8[[#This Row],[Italy cumulative]]))</f>
        <v>0</v>
      </c>
      <c r="I182" s="132">
        <f>MAX(Kt*(TANH(psi_t*(Tabella8[[#This Row],[Day]]-pt)-phi_t)+TANH(phi_t))/(1+TANH(phi_t)),0)</f>
        <v>218307.92695078562</v>
      </c>
      <c r="J182" s="109">
        <f>Tabella8[[#This Row],[Italy fit]]/Kt</f>
        <v>0.92896989589196821</v>
      </c>
      <c r="K182" s="22">
        <f>Tabella8[[#This Row],[Italy fit]]*NOT(ISBLANK(Tabella8[[#This Row],[Italy cumulative]]))</f>
        <v>0</v>
      </c>
      <c r="N182" s="58"/>
      <c r="O182" s="10">
        <f>Tabella8[[#This Row],[region data]]*NOT(ISBLANK(Tabella8[[#This Row],[region data]]))</f>
        <v>0</v>
      </c>
      <c r="P182" s="107">
        <f>MAX(Kr*(TANH(psi_r*(Tabella8[[#This Row],[Day]]-pr)-phi_r)+TANH(phi_r))/(1+TANH(phi_r)),0)</f>
        <v>11041.586653894092</v>
      </c>
      <c r="Q182" s="107">
        <f>Tabella8[[#This Row],[region fit]]/Kr</f>
        <v>0.83928877882843766</v>
      </c>
      <c r="R182" s="22">
        <f>Tabella8[[#This Row],[region fit]]*NOT(ISBLANK(Tabella8[[#This Row],[region data]]))</f>
        <v>0</v>
      </c>
      <c r="V182" s="10">
        <f>Tabella8[[#This Row],[rest of Italy ]]*NOT(ISBLANK(Tabella8[[#This Row],[rest of Italy ]]))</f>
        <v>0</v>
      </c>
      <c r="W182" s="108">
        <f>MAX(Ko*(TANH(psi_o*(Tabella8[[#This Row],[Day]]-po)-phi_o)+TANH(phi_o))/(1+TANH(phi_o)),0)</f>
        <v>207014.16932320854</v>
      </c>
      <c r="X182" s="108">
        <f>Tabella8[[#This Row],[rest of Italy fit]]/Ko</f>
        <v>0.93315149648202522</v>
      </c>
      <c r="Y182" s="22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Row],[region fit]]+Tabella8[[#This Row],[rest of Italy fit]]</f>
        <v>218824.81858049051</v>
      </c>
      <c r="G183" s="72">
        <f>Tabella8[[#This Row],[Italy sum of regions]]/K_sum</f>
        <v>0.93116943472633973</v>
      </c>
      <c r="H183" s="10">
        <f>Tabella8[[#This Row],[Italy sum of regions]]*NOT(ISBLANK(Tabella8[[#This Row],[Italy cumulative]]))</f>
        <v>0</v>
      </c>
      <c r="I183" s="132">
        <f>MAX(Kt*(TANH(psi_t*(Tabella8[[#This Row],[Day]]-pt)-phi_t)+TANH(phi_t))/(1+TANH(phi_t)),0)</f>
        <v>219077.89650390879</v>
      </c>
      <c r="J183" s="109">
        <f>Tabella8[[#This Row],[Italy fit]]/Kt</f>
        <v>0.9322463620542164</v>
      </c>
      <c r="K183" s="22">
        <f>Tabella8[[#This Row],[Italy fit]]*NOT(ISBLANK(Tabella8[[#This Row],[Italy cumulative]]))</f>
        <v>0</v>
      </c>
      <c r="N183" s="58"/>
      <c r="O183" s="10">
        <f>Tabella8[[#This Row],[region data]]*NOT(ISBLANK(Tabella8[[#This Row],[region data]]))</f>
        <v>0</v>
      </c>
      <c r="P183" s="107">
        <f>MAX(Kr*(TANH(psi_r*(Tabella8[[#This Row],[Day]]-pr)-phi_r)+TANH(phi_r))/(1+TANH(phi_r)),0)</f>
        <v>11113.409441537598</v>
      </c>
      <c r="Q183" s="107">
        <f>Tabella8[[#This Row],[region fit]]/Kr</f>
        <v>0.84474814455393454</v>
      </c>
      <c r="R183" s="22">
        <f>Tabella8[[#This Row],[region fit]]*NOT(ISBLANK(Tabella8[[#This Row],[region data]]))</f>
        <v>0</v>
      </c>
      <c r="V183" s="10">
        <f>Tabella8[[#This Row],[rest of Italy ]]*NOT(ISBLANK(Tabella8[[#This Row],[rest of Italy ]]))</f>
        <v>0</v>
      </c>
      <c r="W183" s="108">
        <f>MAX(Ko*(TANH(psi_o*(Tabella8[[#This Row],[Day]]-po)-phi_o)+TANH(phi_o))/(1+TANH(phi_o)),0)</f>
        <v>207711.40913895291</v>
      </c>
      <c r="X183" s="108">
        <f>Tabella8[[#This Row],[rest of Italy fit]]/Ko</f>
        <v>0.93629442326619572</v>
      </c>
      <c r="Y183" s="22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Row],[region fit]]+Tabella8[[#This Row],[rest of Italy fit]]</f>
        <v>219561.04668937618</v>
      </c>
      <c r="G184" s="72">
        <f>Tabella8[[#This Row],[Italy sum of regions]]/K_sum</f>
        <v>0.9343023202757389</v>
      </c>
      <c r="H184" s="10">
        <f>Tabella8[[#This Row],[Italy sum of regions]]*NOT(ISBLANK(Tabella8[[#This Row],[Italy cumulative]]))</f>
        <v>0</v>
      </c>
      <c r="I184" s="132">
        <f>MAX(Kt*(TANH(psi_t*(Tabella8[[#This Row],[Day]]-pt)-phi_t)+TANH(phi_t))/(1+TANH(phi_t)),0)</f>
        <v>219814.65948445487</v>
      </c>
      <c r="J184" s="109">
        <f>Tabella8[[#This Row],[Italy fit]]/Kt</f>
        <v>0.93538152365322347</v>
      </c>
      <c r="K184" s="22">
        <f>Tabella8[[#This Row],[Italy fit]]*NOT(ISBLANK(Tabella8[[#This Row],[Italy cumulative]]))</f>
        <v>0</v>
      </c>
      <c r="N184" s="58"/>
      <c r="O184" s="10">
        <f>Tabella8[[#This Row],[region data]]*NOT(ISBLANK(Tabella8[[#This Row],[region data]]))</f>
        <v>0</v>
      </c>
      <c r="P184" s="107">
        <f>MAX(Kr*(TANH(psi_r*(Tabella8[[#This Row],[Day]]-pr)-phi_r)+TANH(phi_r))/(1+TANH(phi_r)),0)</f>
        <v>11183.177330224084</v>
      </c>
      <c r="Q184" s="107">
        <f>Tabella8[[#This Row],[region fit]]/Kr</f>
        <v>0.85005131410126289</v>
      </c>
      <c r="R184" s="22">
        <f>Tabella8[[#This Row],[region fit]]*NOT(ISBLANK(Tabella8[[#This Row],[region data]]))</f>
        <v>0</v>
      </c>
      <c r="V184" s="10">
        <f>Tabella8[[#This Row],[rest of Italy ]]*NOT(ISBLANK(Tabella8[[#This Row],[rest of Italy ]]))</f>
        <v>0</v>
      </c>
      <c r="W184" s="108">
        <f>MAX(Ko*(TANH(psi_o*(Tabella8[[#This Row],[Day]]-po)-phi_o)+TANH(phi_o))/(1+TANH(phi_o)),0)</f>
        <v>208377.8693591521</v>
      </c>
      <c r="X184" s="108">
        <f>Tabella8[[#This Row],[rest of Italy fit]]/Ko</f>
        <v>0.93929860580045321</v>
      </c>
      <c r="Y184" s="22">
        <f>Tabella8[[#This Row],[rest of Italy fit]]*NOT(ISBLANK(Tabella8[[#This Row],[rest of Italy ]]))</f>
        <v>0</v>
      </c>
    </row>
    <row r="185" spans="2:25" x14ac:dyDescent="0.3">
      <c r="P185" s="131"/>
    </row>
    <row r="186" spans="2:25" x14ac:dyDescent="0.3">
      <c r="P186" s="131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4"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AR8:AR17"/>
    <mergeCell ref="BD4:BE4"/>
    <mergeCell ref="BD5:BE5"/>
    <mergeCell ref="AX1:AY1"/>
    <mergeCell ref="BA1:BB1"/>
    <mergeCell ref="BA2:BB2"/>
    <mergeCell ref="BA3:BB3"/>
    <mergeCell ref="BA4:BB4"/>
    <mergeCell ref="AX4:AY4"/>
    <mergeCell ref="AX3:AY3"/>
    <mergeCell ref="AX2:AY2"/>
    <mergeCell ref="BD3:BE3"/>
    <mergeCell ref="BA6:BB6"/>
    <mergeCell ref="BD6:BE6"/>
    <mergeCell ref="AX5:AY5"/>
    <mergeCell ref="BA5:BB5"/>
    <mergeCell ref="AX6:AY6"/>
    <mergeCell ref="BD1:BE1"/>
    <mergeCell ref="BD2:BE2"/>
    <mergeCell ref="S6:X6"/>
    <mergeCell ref="AA4:AD4"/>
  </mergeCells>
  <phoneticPr fontId="25" type="noConversion"/>
  <conditionalFormatting sqref="I8:I184">
    <cfRule type="cellIs" dxfId="24" priority="9" operator="lessThan">
      <formula>0.5</formula>
    </cfRule>
  </conditionalFormatting>
  <conditionalFormatting sqref="P9:P184 W9:W184">
    <cfRule type="cellIs" dxfId="23" priority="5" operator="lessThan">
      <formula>0.5</formula>
    </cfRule>
  </conditionalFormatting>
  <conditionalFormatting sqref="P8">
    <cfRule type="cellIs" dxfId="22" priority="2" operator="lessThan">
      <formula>0.5</formula>
    </cfRule>
  </conditionalFormatting>
  <conditionalFormatting sqref="W8">
    <cfRule type="cellIs" dxfId="21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BU281"/>
  <sheetViews>
    <sheetView topLeftCell="AL1" zoomScale="55" zoomScaleNormal="55" workbookViewId="0">
      <selection activeCell="AN161" sqref="AN161:AP163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31" bestFit="1" customWidth="1"/>
    <col min="8" max="8" width="19.88671875" style="86" customWidth="1"/>
    <col min="9" max="9" width="19.6640625" style="2" bestFit="1" customWidth="1"/>
    <col min="10" max="10" width="19.6640625" style="86" customWidth="1"/>
    <col min="11" max="11" width="19.6640625" style="2" customWidth="1"/>
    <col min="12" max="13" width="10.33203125" style="264" customWidth="1"/>
    <col min="14" max="14" width="19.6640625" style="86" customWidth="1"/>
    <col min="15" max="15" width="14" style="2" bestFit="1" customWidth="1"/>
    <col min="16" max="16" width="14" style="2" customWidth="1"/>
    <col min="17" max="17" width="21.88671875" style="2" bestFit="1" customWidth="1"/>
    <col min="18" max="18" width="20.33203125" style="2" bestFit="1" customWidth="1"/>
    <col min="19" max="19" width="16.109375" style="2" bestFit="1" customWidth="1"/>
    <col min="20" max="20" width="20.6640625" style="2" bestFit="1" customWidth="1"/>
    <col min="21" max="21" width="20.5546875" style="2" bestFit="1" customWidth="1"/>
    <col min="22" max="23" width="20.5546875" style="284" customWidth="1"/>
    <col min="24" max="24" width="21.109375" style="2" bestFit="1" customWidth="1"/>
    <col min="25" max="25" width="13.44140625" style="86" customWidth="1"/>
    <col min="26" max="26" width="19.5546875" style="2" bestFit="1" customWidth="1"/>
    <col min="27" max="27" width="19.5546875" style="86" customWidth="1"/>
    <col min="28" max="28" width="18.21875" style="2" customWidth="1"/>
    <col min="29" max="30" width="18.21875" style="284" customWidth="1"/>
    <col min="31" max="32" width="18.6640625" style="2" bestFit="1" customWidth="1"/>
    <col min="33" max="33" width="17.44140625" style="2" bestFit="1" customWidth="1"/>
    <col min="34" max="34" width="18.109375" style="2" bestFit="1" customWidth="1"/>
    <col min="35" max="35" width="21.88671875" style="2" bestFit="1" customWidth="1"/>
    <col min="36" max="36" width="21.109375" style="2" bestFit="1" customWidth="1"/>
    <col min="37" max="37" width="21.109375" style="86" customWidth="1"/>
    <col min="38" max="38" width="24" style="2" bestFit="1" customWidth="1"/>
    <col min="39" max="39" width="17.77734375" style="86" customWidth="1"/>
    <col min="40" max="40" width="23.33203125" style="2" bestFit="1" customWidth="1"/>
    <col min="41" max="41" width="21.5546875" style="2" bestFit="1" customWidth="1"/>
    <col min="42" max="42" width="19.33203125" style="2" bestFit="1" customWidth="1"/>
    <col min="43" max="43" width="1.77734375" style="2" customWidth="1"/>
    <col min="44" max="44" width="24.33203125" style="2" bestFit="1" customWidth="1"/>
    <col min="45" max="45" width="23.33203125" style="2" bestFit="1" customWidth="1"/>
    <col min="46" max="47" width="8.88671875" style="2"/>
    <col min="48" max="48" width="17.88671875" style="2" bestFit="1" customWidth="1"/>
    <col min="49" max="49" width="8.88671875" style="2"/>
    <col min="50" max="50" width="11" style="2" bestFit="1" customWidth="1"/>
    <col min="51" max="57" width="8.88671875" style="2"/>
    <col min="58" max="58" width="9.5546875" style="2" bestFit="1" customWidth="1"/>
    <col min="59" max="16384" width="8.88671875" style="2"/>
  </cols>
  <sheetData>
    <row r="2" spans="2:58" ht="24" thickBot="1" x14ac:dyDescent="0.5">
      <c r="B2" s="322" t="s">
        <v>11</v>
      </c>
      <c r="C2" s="322"/>
      <c r="D2" s="322"/>
      <c r="E2" s="322"/>
      <c r="F2" s="322"/>
    </row>
    <row r="3" spans="2:58" ht="17.399999999999999" customHeight="1" thickBot="1" x14ac:dyDescent="0.65">
      <c r="B3" s="11"/>
      <c r="F3" s="325"/>
      <c r="J3" s="264"/>
      <c r="K3" s="326"/>
      <c r="L3" s="326"/>
      <c r="M3" s="326"/>
      <c r="N3" s="326"/>
      <c r="O3" s="326"/>
      <c r="P3" s="326"/>
      <c r="AP3" s="71"/>
      <c r="AS3" s="75"/>
      <c r="AT3" s="289" t="s">
        <v>0</v>
      </c>
      <c r="AU3" s="323" t="s">
        <v>115</v>
      </c>
      <c r="AV3" s="323"/>
      <c r="AW3" s="323"/>
      <c r="AX3" s="323"/>
      <c r="AY3" s="323"/>
      <c r="AZ3" s="268"/>
    </row>
    <row r="4" spans="2:58" ht="20.399999999999999" thickBot="1" x14ac:dyDescent="0.45">
      <c r="B4" s="324" t="s">
        <v>4774</v>
      </c>
      <c r="C4" s="324"/>
      <c r="D4" s="324"/>
      <c r="E4" s="324"/>
      <c r="F4" s="325"/>
      <c r="H4" s="336" t="s">
        <v>4426</v>
      </c>
      <c r="I4" s="336"/>
      <c r="J4" s="291">
        <f>CORREL(Tabella3[Day],Tabella3[Colonna4])</f>
        <v>-5.8510511573639401E-2</v>
      </c>
      <c r="K4" s="326"/>
      <c r="L4" s="326"/>
      <c r="M4" s="326"/>
      <c r="N4" s="326"/>
      <c r="O4" s="326"/>
      <c r="P4" s="326"/>
      <c r="AP4" s="71"/>
      <c r="AS4" s="73"/>
      <c r="AT4" s="289" t="s">
        <v>4737</v>
      </c>
      <c r="AU4" s="323" t="s">
        <v>115</v>
      </c>
      <c r="AV4" s="323"/>
      <c r="AW4" s="323"/>
      <c r="AX4" s="323"/>
      <c r="AY4" s="323"/>
      <c r="AZ4" s="268"/>
    </row>
    <row r="5" spans="2:58" ht="18.600000000000001" thickTop="1" thickBot="1" x14ac:dyDescent="0.4">
      <c r="B5" s="334" t="s">
        <v>132</v>
      </c>
      <c r="C5" s="334"/>
      <c r="D5" s="334"/>
      <c r="E5" s="334"/>
      <c r="F5" s="325"/>
      <c r="J5" s="266">
        <f>Cumul_removed_bSIR!H5</f>
        <v>43899.480394693652</v>
      </c>
      <c r="K5" s="326"/>
      <c r="L5" s="326"/>
      <c r="M5" s="326"/>
      <c r="N5" s="326"/>
      <c r="O5" s="326"/>
      <c r="P5" s="326"/>
      <c r="Q5" s="335" t="s">
        <v>4772</v>
      </c>
      <c r="R5" s="335"/>
      <c r="S5" s="335"/>
      <c r="T5" s="335"/>
      <c r="U5" s="335"/>
      <c r="V5" s="285"/>
      <c r="W5" s="285"/>
      <c r="AA5" s="120">
        <f>Cumul_removed_bSIR!R5</f>
        <v>43907.356483051342</v>
      </c>
      <c r="AB5" s="335" t="s">
        <v>4772</v>
      </c>
      <c r="AC5" s="335"/>
      <c r="AD5" s="335"/>
      <c r="AE5" s="335"/>
      <c r="AF5" s="335"/>
      <c r="AG5" s="335"/>
      <c r="AH5" s="335"/>
      <c r="AM5" s="118">
        <f>Cumul_removed_bSIR!Y5</f>
        <v>43898.882529907642</v>
      </c>
      <c r="AS5" s="74"/>
      <c r="AT5" s="289" t="s">
        <v>4738</v>
      </c>
      <c r="AU5" s="323" t="s">
        <v>4739</v>
      </c>
      <c r="AV5" s="323"/>
      <c r="AW5" s="323"/>
      <c r="AX5" s="323"/>
      <c r="AY5" s="323"/>
      <c r="AZ5" s="268"/>
    </row>
    <row r="6" spans="2:58" ht="19.2" thickTop="1" thickBot="1" x14ac:dyDescent="0.4">
      <c r="B6" s="110">
        <f ca="1">TODAY()</f>
        <v>43987</v>
      </c>
      <c r="C6" s="111">
        <f ca="1">Oggi-Start_data+1</f>
        <v>157</v>
      </c>
      <c r="D6" s="111">
        <v>0</v>
      </c>
      <c r="E6" s="111">
        <v>1</v>
      </c>
      <c r="F6" s="325"/>
      <c r="H6" s="112" cm="1">
        <f t="array" aca="1" ref="H6" ca="1">INDEX(Tabella3[[Day]:[Lower CI__]],C6,6)</f>
        <v>0.83953303685398861</v>
      </c>
      <c r="I6" s="113" cm="1">
        <f t="array" aca="1" ref="I6" ca="1">INDEX(Tabella3[[Day]:[Lower CI__]],C6,12)</f>
        <v>0.51213651807116811</v>
      </c>
      <c r="J6" s="119">
        <f>pf</f>
        <v>68.480394693650979</v>
      </c>
      <c r="K6" s="326"/>
      <c r="L6" s="326"/>
      <c r="M6" s="326"/>
      <c r="N6" s="326"/>
      <c r="O6" s="326"/>
      <c r="P6" s="326"/>
      <c r="Q6" s="308" t="s">
        <v>4771</v>
      </c>
      <c r="R6" s="308"/>
      <c r="S6" s="308"/>
      <c r="T6" s="308"/>
      <c r="U6" s="308"/>
      <c r="V6" s="286"/>
      <c r="W6" s="286"/>
      <c r="Y6" s="114" cm="1">
        <f t="array" aca="1" ref="Y6" ca="1">INDEX(Tabella3[[Day]:[Lower CI__]],C6,23)</f>
        <v>0.71241621244338782</v>
      </c>
      <c r="Z6" s="115" cm="1">
        <f t="array" aca="1" ref="Z6" ca="1">INDEX(Tabella3[[Day]:[Lower CI__]],C6,25)</f>
        <v>0.76731962013245958</v>
      </c>
      <c r="AA6" s="119">
        <f>pl</f>
        <v>76.356483051343162</v>
      </c>
      <c r="AB6" s="308" t="s">
        <v>4771</v>
      </c>
      <c r="AC6" s="308"/>
      <c r="AD6" s="308"/>
      <c r="AE6" s="308"/>
      <c r="AF6" s="308"/>
      <c r="AG6" s="308"/>
      <c r="AH6" s="308"/>
      <c r="AK6" s="116" cm="1">
        <f t="array" aca="1" ref="AK6" ca="1">INDEX(Tabella3[[Day]:[Lower CI__]],C6,35)</f>
        <v>0.84634630658624721</v>
      </c>
      <c r="AL6" s="117" cm="1">
        <f t="array" aca="1" ref="AL6" ca="1">INDEX(Tabella3[[Day]:[Lower CI__]],C6,37)</f>
        <v>0.49539301485285681</v>
      </c>
      <c r="AM6" s="119">
        <f>pa</f>
        <v>67.882529907638357</v>
      </c>
      <c r="AT6" s="269" t="s">
        <v>356</v>
      </c>
      <c r="AU6" s="323" t="s">
        <v>115</v>
      </c>
      <c r="AV6" s="323"/>
      <c r="AW6" s="323"/>
      <c r="AX6" s="323"/>
      <c r="AY6" s="323"/>
      <c r="AZ6" s="268"/>
    </row>
    <row r="7" spans="2:58" ht="43.2" x14ac:dyDescent="0.3">
      <c r="B7" s="4" t="s">
        <v>9</v>
      </c>
      <c r="C7" s="4" t="s">
        <v>10</v>
      </c>
      <c r="D7" s="4" t="s">
        <v>4812</v>
      </c>
      <c r="E7" s="4" t="s">
        <v>4806</v>
      </c>
      <c r="F7" s="4" t="s">
        <v>100</v>
      </c>
      <c r="G7" s="78" t="s">
        <v>4808</v>
      </c>
      <c r="H7" s="78" t="s">
        <v>4809</v>
      </c>
      <c r="I7" s="78" t="s">
        <v>4807</v>
      </c>
      <c r="J7" s="78" t="s">
        <v>305</v>
      </c>
      <c r="K7" s="8" t="s">
        <v>4803</v>
      </c>
      <c r="L7" s="283" t="s">
        <v>4804</v>
      </c>
      <c r="M7" s="283" t="s">
        <v>103</v>
      </c>
      <c r="N7" s="8" t="s">
        <v>4805</v>
      </c>
      <c r="O7" s="8" t="s">
        <v>101</v>
      </c>
      <c r="P7" s="8" t="s">
        <v>124</v>
      </c>
      <c r="Q7" s="8" t="s">
        <v>7</v>
      </c>
      <c r="R7" s="8" t="s">
        <v>8</v>
      </c>
      <c r="S7" s="4" t="s">
        <v>4799</v>
      </c>
      <c r="T7" s="4" t="s">
        <v>4740</v>
      </c>
      <c r="U7" s="4" t="s">
        <v>102</v>
      </c>
      <c r="V7" s="4" t="s">
        <v>4775</v>
      </c>
      <c r="W7" s="4" t="s">
        <v>104</v>
      </c>
      <c r="X7" s="78" t="s">
        <v>4811</v>
      </c>
      <c r="Y7" s="8" t="s">
        <v>4810</v>
      </c>
      <c r="Z7" s="8" t="s">
        <v>4741</v>
      </c>
      <c r="AA7" s="8" t="s">
        <v>4742</v>
      </c>
      <c r="AB7" s="4" t="s">
        <v>125</v>
      </c>
      <c r="AC7" s="4" t="s">
        <v>4776</v>
      </c>
      <c r="AD7" s="4" t="s">
        <v>105</v>
      </c>
      <c r="AE7" s="8" t="s">
        <v>293</v>
      </c>
      <c r="AF7" s="8" t="s">
        <v>292</v>
      </c>
      <c r="AG7" s="4" t="s">
        <v>4800</v>
      </c>
      <c r="AH7" s="4" t="s">
        <v>294</v>
      </c>
      <c r="AI7" s="4" t="s">
        <v>126</v>
      </c>
      <c r="AJ7" s="78" t="s">
        <v>4801</v>
      </c>
      <c r="AK7" s="8" t="s">
        <v>4802</v>
      </c>
      <c r="AL7" s="8" t="s">
        <v>119</v>
      </c>
      <c r="AM7" s="8" t="s">
        <v>303</v>
      </c>
      <c r="AN7" s="4" t="s">
        <v>127</v>
      </c>
      <c r="AO7" s="8" t="s">
        <v>295</v>
      </c>
      <c r="AP7" s="8" t="s">
        <v>296</v>
      </c>
      <c r="AQ7" s="8"/>
      <c r="AR7" s="91" t="s">
        <v>120</v>
      </c>
      <c r="AS7" s="92" t="s">
        <v>116</v>
      </c>
      <c r="AT7" s="3"/>
      <c r="BF7" s="40" t="s">
        <v>99</v>
      </c>
    </row>
    <row r="8" spans="2:58" x14ac:dyDescent="0.3">
      <c r="B8" s="135">
        <v>43831</v>
      </c>
      <c r="C8" s="4">
        <v>1</v>
      </c>
      <c r="D8" s="141"/>
      <c r="E8" s="144"/>
      <c r="F8" s="10">
        <f>Tabella3[[#This Row],[Italy remov. rate data]]*NOT(ISBLANK(Tabella3[[#This Row],[Italy remov. rate data]]))</f>
        <v>0</v>
      </c>
      <c r="G8" s="158">
        <f>Tabella3[[#This Row],[region cumul. fit]]+Tabella3[[#This Row],[rest of Italy cumul. fit]]</f>
        <v>0</v>
      </c>
      <c r="H8" s="158">
        <f>Tabella3[[#This Row],[Italy cumul. fit]]/Kf</f>
        <v>0</v>
      </c>
      <c r="I8" s="143">
        <f>Tabella3[[#This Row],[region fit]]+Tabella3[[#This Row],[rest of Italy fit]]</f>
        <v>26.826109782811784</v>
      </c>
      <c r="J8" s="143">
        <f>Tabella3[[#This Row],[Italy (fit of selected region + fitted sum of the other regions)]]/(y_l_peak+y_a_peak)</f>
        <v>8.4713588690988155E-3</v>
      </c>
      <c r="K8" s="72">
        <f>IFERROR(Kf*psi_f*_xlfn.SECH(psi_f*(Tabella3[[#This Row],[Day]]-pf)-phi_f)^2/(1+TANH(phi_f)),0)</f>
        <v>26.782756242762876</v>
      </c>
      <c r="L8" s="292">
        <f>Tabella3[[#This Row],[Italy remov. rate fit]]-Tabella3[[#This Row],[Italy remov. rate data]]</f>
        <v>26.782756242762876</v>
      </c>
      <c r="M8" s="293">
        <f>Tabella3[[#This Row],[rem. rate residuals]]*NOT(ISBLANK(Tabella3[[#This Row],[Italy remov. rate data]]))</f>
        <v>0</v>
      </c>
      <c r="N8" s="72">
        <f>Tabella3[[#This Row],[Italy remov. rate fit]]/y_f_peak</f>
        <v>8.4782673251684662E-3</v>
      </c>
      <c r="O8" s="10">
        <f>Tabella3[[#This Row],[Italy (fit of selected region + fitted sum of the other regions)]]*NOT(ISBLANK(Tabella3[[#This Row],[Italy remov. rate data]]))</f>
        <v>0</v>
      </c>
      <c r="P8" s="72">
        <f>Tabella3[[#This Row],[Italy remov. rate fit]]*NOT(ISBLANK(Tabella3[[#This Row],[Italy remov. rate data]]))</f>
        <v>0</v>
      </c>
      <c r="Q8" s="72">
        <f>Tabella3[[#This Row],[Italy remov. rate fit]]+CIf</f>
        <v>1681.9927251665142</v>
      </c>
      <c r="R8" s="72">
        <f>MAX(Tabella3[[#This Row],[Italy remov. rate fit]]-CIf,0)</f>
        <v>0</v>
      </c>
      <c r="S8" s="139"/>
      <c r="T8" s="144"/>
      <c r="U8" s="10">
        <f>Tabella3[[#This Row],[region data]]*NOT(ISBLANK(Tabella3[[#This Row],[region data]]))</f>
        <v>0</v>
      </c>
      <c r="V8"/>
      <c r="W8" s="72">
        <f>Tabella3[[#This Row],[6-days moving avg]]*NOT(ISBLANK(Tabella3[[#This Row],[6-days moving avg]]))</f>
        <v>0</v>
      </c>
      <c r="X8" s="145">
        <f>Tabella8[[#This Row],[region fit]]</f>
        <v>0</v>
      </c>
      <c r="Y8" s="10">
        <f>Tabella3[[#This Row],[region cumul. fit]]/Kl</f>
        <v>0</v>
      </c>
      <c r="Z8" s="72">
        <f>IFERROR(Kl*psi_l*_xlfn.SECH(psi_l*(Tabella3[[#This Row],[Day]]-pl)-phi_l)^2/(1+TANH(phi_l)),0)</f>
        <v>3.1108008805452214</v>
      </c>
      <c r="AA8" s="72">
        <f>Tabella3[[#This Row],[region fit]]/y_l_peak</f>
        <v>2.1128163415916418E-2</v>
      </c>
      <c r="AB8" s="10">
        <f>Tabella3[[#This Row],[region fit]]*NOT(ISBLANK(Tabella3[[#This Row],[region data]]))</f>
        <v>0</v>
      </c>
      <c r="AC8" s="166">
        <f>IFERROR(kl_m*psi_l_m*_xlfn.SECH(psi_l_m*(Tabella3[[#This Row],[Day]]-pl_m)-phi_l_m)^2/(1+TANH(phi_l_m)),0)</f>
        <v>3.1108008805452214</v>
      </c>
      <c r="AD8" s="72">
        <f>Tabella3[[#This Row],[6-days moving avg fit]]*NOT(ISBLANK(Tabella3[[#This Row],[6-days moving avg]]))</f>
        <v>0</v>
      </c>
      <c r="AE8" s="72">
        <f>Tabella3[[#This Row],[region fit]]+CIl</f>
        <v>72.475787255645628</v>
      </c>
      <c r="AF8" s="72">
        <f>MAX(Tabella3[[#This Row],[region fit]]-CIl,0)</f>
        <v>0</v>
      </c>
      <c r="AG8" s="141"/>
      <c r="AH8" s="144"/>
      <c r="AI8" s="10">
        <f>Tabella3[[#This Row],[rest of Italy data]]*NOT(ISBLANK(Tabella3[[#This Row],[rest of Italy data]]))</f>
        <v>0</v>
      </c>
      <c r="AJ8" s="145">
        <f>Tabella8[[#This Row],[rest of Italy fit]]</f>
        <v>0</v>
      </c>
      <c r="AK8" s="72">
        <f>Tabella3[[#This Row],[rest of Italy cumul. fit]]/Ka</f>
        <v>0</v>
      </c>
      <c r="AL8" s="72">
        <f>IFERROR(Ka*psi_a*_xlfn.SECH(psi_a*(Tabella3[[#This Row],[Day]]-pa)-phi_a)^2/(1+TANH(phi_a)),0)</f>
        <v>23.715308902266564</v>
      </c>
      <c r="AM8" s="72">
        <f>Tabella3[[#This Row],[rest of Italy fit]]/y_a_peak</f>
        <v>7.8541858560999926E-3</v>
      </c>
      <c r="AN8" s="10">
        <f>Tabella3[[#This Row],[rest of Italy fit]]*NOT(ISBLANK(Tabella3[[#This Row],[rest of Italy data]]))</f>
        <v>0</v>
      </c>
      <c r="AO8" s="72">
        <f>Tabella3[[#This Row],[rest of Italy fit]]+CIa</f>
        <v>1657.849248856068</v>
      </c>
      <c r="AP8" s="72">
        <f>MAX(Tabella3[[#This Row],[rest of Italy fit]]-CIa,0)</f>
        <v>0</v>
      </c>
      <c r="AQ8" s="8"/>
      <c r="AR8" s="93"/>
      <c r="AS8" s="94"/>
      <c r="AT8" s="3"/>
      <c r="BF8" s="331"/>
    </row>
    <row r="9" spans="2:58" x14ac:dyDescent="0.3">
      <c r="B9" s="135">
        <v>43832</v>
      </c>
      <c r="C9" s="4">
        <v>2</v>
      </c>
      <c r="D9" s="141"/>
      <c r="E9" s="144"/>
      <c r="F9" s="10">
        <f>Tabella3[[#This Row],[Italy remov. rate data]]*NOT(ISBLANK(Tabella3[[#This Row],[Italy remov. rate data]]))</f>
        <v>0</v>
      </c>
      <c r="G9" s="158">
        <f>Tabella3[[#This Row],[region cumul. fit]]+Tabella3[[#This Row],[rest of Italy cumul. fit]]</f>
        <v>0</v>
      </c>
      <c r="H9" s="158">
        <f>Tabella3[[#This Row],[Italy cumul. fit]]/Kf</f>
        <v>0</v>
      </c>
      <c r="I9" s="143">
        <f>Tabella3[[#This Row],[region fit]]+Tabella3[[#This Row],[rest of Italy fit]]</f>
        <v>28.196084977354211</v>
      </c>
      <c r="J9" s="143">
        <f>Tabella3[[#This Row],[Italy (fit of selected region + fitted sum of the other regions)]]/(y_l_peak+y_a_peak)</f>
        <v>8.9039803564740869E-3</v>
      </c>
      <c r="K9" s="72">
        <f>IFERROR(Kf*psi_f*_xlfn.SECH(psi_f*(Tabella3[[#This Row],[Day]]-pf)-phi_f)^2/(1+TANH(phi_f)),0)</f>
        <v>28.164345071717086</v>
      </c>
      <c r="L9" s="292">
        <f>Tabella3[[#This Row],[Italy remov. rate fit]]-Tabella3[[#This Row],[Italy remov. rate data]]</f>
        <v>28.164345071717086</v>
      </c>
      <c r="M9" s="293">
        <f>Tabella3[[#This Row],[rem. rate residuals]]*NOT(ISBLANK(Tabella3[[#This Row],[Italy remov. rate data]]))</f>
        <v>0</v>
      </c>
      <c r="N9" s="72">
        <f>Tabella3[[#This Row],[Italy remov. rate fit]]/y_f_peak</f>
        <v>8.9156188553533196E-3</v>
      </c>
      <c r="O9" s="10">
        <f>Tabella3[[#This Row],[Italy (fit of selected region + fitted sum of the other regions)]]*NOT(ISBLANK(Tabella3[[#This Row],[Italy remov. rate data]]))</f>
        <v>0</v>
      </c>
      <c r="P9" s="72">
        <f>Tabella3[[#This Row],[Italy remov. rate fit]]*NOT(ISBLANK(Tabella3[[#This Row],[Italy remov. rate data]]))</f>
        <v>0</v>
      </c>
      <c r="Q9" s="72">
        <f>Tabella3[[#This Row],[Italy remov. rate fit]]+CIf</f>
        <v>1683.3743139954684</v>
      </c>
      <c r="R9" s="72">
        <f>MAX(Tabella3[[#This Row],[Italy remov. rate fit]]-CIf,0)</f>
        <v>0</v>
      </c>
      <c r="S9" s="139"/>
      <c r="T9" s="144"/>
      <c r="U9" s="10">
        <f>Tabella3[[#This Row],[region data]]*NOT(ISBLANK(Tabella3[[#This Row],[region data]]))</f>
        <v>0</v>
      </c>
      <c r="V9"/>
      <c r="W9" s="72">
        <f>Tabella3[[#This Row],[6-days moving avg]]*NOT(ISBLANK(Tabella3[[#This Row],[6-days moving avg]]))</f>
        <v>0</v>
      </c>
      <c r="X9" s="145">
        <f>Tabella8[[#This Row],[region fit]]</f>
        <v>0</v>
      </c>
      <c r="Y9" s="10">
        <f>Tabella3[[#This Row],[region cumul. fit]]/Kl</f>
        <v>0</v>
      </c>
      <c r="Z9" s="72">
        <f>IFERROR(Kl*psi_l*_xlfn.SECH(psi_l*(Tabella3[[#This Row],[Day]]-pl)-phi_l)^2/(1+TANH(phi_l)),0)</f>
        <v>3.2372741182130333</v>
      </c>
      <c r="AA9" s="72">
        <f>Tabella3[[#This Row],[region fit]]/y_l_peak</f>
        <v>2.1987153539616406E-2</v>
      </c>
      <c r="AB9" s="10">
        <f>Tabella3[[#This Row],[region fit]]*NOT(ISBLANK(Tabella3[[#This Row],[region data]]))</f>
        <v>0</v>
      </c>
      <c r="AC9" s="166">
        <f>IFERROR(kl_m*psi_l_m*_xlfn.SECH(psi_l_m*(Tabella3[[#This Row],[Day]]-pl_m)-phi_l_m)^2/(1+TANH(phi_l_m)),0)</f>
        <v>3.2372741182130333</v>
      </c>
      <c r="AD9" s="72">
        <f>Tabella3[[#This Row],[6-days moving avg fit]]*NOT(ISBLANK(Tabella3[[#This Row],[6-days moving avg]]))</f>
        <v>0</v>
      </c>
      <c r="AE9" s="72">
        <f>Tabella3[[#This Row],[region fit]]+CIl</f>
        <v>72.602260493313437</v>
      </c>
      <c r="AF9" s="72">
        <f>MAX(Tabella3[[#This Row],[region fit]]-CIl,0)</f>
        <v>0</v>
      </c>
      <c r="AG9" s="141"/>
      <c r="AH9" s="144"/>
      <c r="AI9" s="10">
        <f>Tabella3[[#This Row],[rest of Italy data]]*NOT(ISBLANK(Tabella3[[#This Row],[rest of Italy data]]))</f>
        <v>0</v>
      </c>
      <c r="AJ9" s="145">
        <f>Tabella8[[#This Row],[rest of Italy fit]]</f>
        <v>0</v>
      </c>
      <c r="AK9" s="72">
        <f>Tabella3[[#This Row],[rest of Italy cumul. fit]]/Ka</f>
        <v>0</v>
      </c>
      <c r="AL9" s="72">
        <f>IFERROR(Ka*psi_a*_xlfn.SECH(psi_a*(Tabella3[[#This Row],[Day]]-pa)-phi_a)^2/(1+TANH(phi_a)),0)</f>
        <v>24.958810859141177</v>
      </c>
      <c r="AM9" s="72">
        <f>Tabella3[[#This Row],[rest of Italy fit]]/y_a_peak</f>
        <v>8.2660166916993481E-3</v>
      </c>
      <c r="AN9" s="10">
        <f>Tabella3[[#This Row],[rest of Italy fit]]*NOT(ISBLANK(Tabella3[[#This Row],[rest of Italy data]]))</f>
        <v>0</v>
      </c>
      <c r="AO9" s="72">
        <f>Tabella3[[#This Row],[rest of Italy fit]]+CIa</f>
        <v>1659.0927508129425</v>
      </c>
      <c r="AP9" s="72">
        <f>MAX(Tabella3[[#This Row],[rest of Italy fit]]-CIa,0)</f>
        <v>0</v>
      </c>
      <c r="AQ9" s="8"/>
      <c r="AR9" s="95"/>
      <c r="AS9" s="96"/>
      <c r="AT9" s="3"/>
      <c r="BF9" s="332"/>
    </row>
    <row r="10" spans="2:58" x14ac:dyDescent="0.3">
      <c r="B10" s="135">
        <v>43833</v>
      </c>
      <c r="C10" s="4">
        <v>3</v>
      </c>
      <c r="D10" s="141"/>
      <c r="E10" s="144"/>
      <c r="F10" s="10">
        <f>Tabella3[[#This Row],[Italy remov. rate data]]*NOT(ISBLANK(Tabella3[[#This Row],[Italy remov. rate data]]))</f>
        <v>0</v>
      </c>
      <c r="G10" s="158">
        <f>Tabella3[[#This Row],[region cumul. fit]]+Tabella3[[#This Row],[rest of Italy cumul. fit]]</f>
        <v>0</v>
      </c>
      <c r="H10" s="158">
        <f>Tabella3[[#This Row],[Italy cumul. fit]]/Kf</f>
        <v>0</v>
      </c>
      <c r="I10" s="143">
        <f>Tabella3[[#This Row],[region fit]]+Tabella3[[#This Row],[rest of Italy fit]]</f>
        <v>29.636058539339956</v>
      </c>
      <c r="J10" s="143">
        <f>Tabella3[[#This Row],[Italy (fit of selected region + fitted sum of the other regions)]]/(y_l_peak+y_a_peak)</f>
        <v>9.3587064760775971E-3</v>
      </c>
      <c r="K10" s="72">
        <f>IFERROR(Kf*psi_f*_xlfn.SECH(psi_f*(Tabella3[[#This Row],[Day]]-pf)-phi_f)^2/(1+TANH(phi_f)),0)</f>
        <v>29.616866156493174</v>
      </c>
      <c r="L10" s="292">
        <f>Tabella3[[#This Row],[Italy remov. rate fit]]-Tabella3[[#This Row],[Italy remov. rate data]]</f>
        <v>29.616866156493174</v>
      </c>
      <c r="M10" s="293">
        <f>Tabella3[[#This Row],[rem. rate residuals]]*NOT(ISBLANK(Tabella3[[#This Row],[Italy remov. rate data]]))</f>
        <v>0</v>
      </c>
      <c r="N10" s="72">
        <f>Tabella3[[#This Row],[Italy remov. rate fit]]/y_f_peak</f>
        <v>9.3754244832936103E-3</v>
      </c>
      <c r="O10" s="10">
        <f>Tabella3[[#This Row],[Italy (fit of selected region + fitted sum of the other regions)]]*NOT(ISBLANK(Tabella3[[#This Row],[Italy remov. rate data]]))</f>
        <v>0</v>
      </c>
      <c r="P10" s="72">
        <f>Tabella3[[#This Row],[Italy remov. rate fit]]*NOT(ISBLANK(Tabella3[[#This Row],[Italy remov. rate data]]))</f>
        <v>0</v>
      </c>
      <c r="Q10" s="72">
        <f>Tabella3[[#This Row],[Italy remov. rate fit]]+CIf</f>
        <v>1684.8268350802446</v>
      </c>
      <c r="R10" s="72">
        <f>MAX(Tabella3[[#This Row],[Italy remov. rate fit]]-CIf,0)</f>
        <v>0</v>
      </c>
      <c r="S10" s="139"/>
      <c r="T10" s="144"/>
      <c r="U10" s="10">
        <f>Tabella3[[#This Row],[region data]]*NOT(ISBLANK(Tabella3[[#This Row],[region data]]))</f>
        <v>0</v>
      </c>
      <c r="V10"/>
      <c r="W10" s="72">
        <f>Tabella3[[#This Row],[6-days moving avg]]*NOT(ISBLANK(Tabella3[[#This Row],[6-days moving avg]]))</f>
        <v>0</v>
      </c>
      <c r="X10" s="145">
        <f>Tabella8[[#This Row],[region fit]]</f>
        <v>0</v>
      </c>
      <c r="Y10" s="10">
        <f>Tabella3[[#This Row],[region cumul. fit]]/Kl</f>
        <v>0</v>
      </c>
      <c r="Z10" s="72">
        <f>IFERROR(Kl*psi_l*_xlfn.SECH(psi_l*(Tabella3[[#This Row],[Day]]-pl)-phi_l)^2/(1+TANH(phi_l)),0)</f>
        <v>3.3688291512846238</v>
      </c>
      <c r="AA10" s="72">
        <f>Tabella3[[#This Row],[region fit]]/y_l_peak</f>
        <v>2.2880658570525261E-2</v>
      </c>
      <c r="AB10" s="10">
        <f>Tabella3[[#This Row],[region fit]]*NOT(ISBLANK(Tabella3[[#This Row],[region data]]))</f>
        <v>0</v>
      </c>
      <c r="AC10" s="166">
        <f>IFERROR(kl_m*psi_l_m*_xlfn.SECH(psi_l_m*(Tabella3[[#This Row],[Day]]-pl_m)-phi_l_m)^2/(1+TANH(phi_l_m)),0)</f>
        <v>3.3688291512846238</v>
      </c>
      <c r="AD10" s="72">
        <f>Tabella3[[#This Row],[6-days moving avg fit]]*NOT(ISBLANK(Tabella3[[#This Row],[6-days moving avg]]))</f>
        <v>0</v>
      </c>
      <c r="AE10" s="72">
        <f>Tabella3[[#This Row],[region fit]]+CIl</f>
        <v>72.73381552638503</v>
      </c>
      <c r="AF10" s="72">
        <f>MAX(Tabella3[[#This Row],[region fit]]-CIl,0)</f>
        <v>0</v>
      </c>
      <c r="AG10" s="141"/>
      <c r="AH10" s="144"/>
      <c r="AI10" s="10">
        <f>Tabella3[[#This Row],[rest of Italy data]]*NOT(ISBLANK(Tabella3[[#This Row],[rest of Italy data]]))</f>
        <v>0</v>
      </c>
      <c r="AJ10" s="145">
        <f>Tabella8[[#This Row],[rest of Italy fit]]</f>
        <v>0</v>
      </c>
      <c r="AK10" s="72">
        <f>Tabella3[[#This Row],[rest of Italy cumul. fit]]/Ka</f>
        <v>0</v>
      </c>
      <c r="AL10" s="72">
        <f>IFERROR(Ka*psi_a*_xlfn.SECH(psi_a*(Tabella3[[#This Row],[Day]]-pa)-phi_a)^2/(1+TANH(phi_a)),0)</f>
        <v>26.26722938805533</v>
      </c>
      <c r="AM10" s="72">
        <f>Tabella3[[#This Row],[rest of Italy fit]]/y_a_peak</f>
        <v>8.6993470078258455E-3</v>
      </c>
      <c r="AN10" s="10">
        <f>Tabella3[[#This Row],[rest of Italy fit]]*NOT(ISBLANK(Tabella3[[#This Row],[rest of Italy data]]))</f>
        <v>0</v>
      </c>
      <c r="AO10" s="72">
        <f>Tabella3[[#This Row],[rest of Italy fit]]+CIa</f>
        <v>1660.4011693418568</v>
      </c>
      <c r="AP10" s="72">
        <f>MAX(Tabella3[[#This Row],[rest of Italy fit]]-CIa,0)</f>
        <v>0</v>
      </c>
      <c r="AQ10" s="8"/>
      <c r="AR10" s="93"/>
      <c r="AS10" s="96"/>
      <c r="AT10" s="3"/>
      <c r="BF10" s="332"/>
    </row>
    <row r="11" spans="2:58" x14ac:dyDescent="0.3">
      <c r="B11" s="135">
        <v>43834</v>
      </c>
      <c r="C11" s="4">
        <v>4</v>
      </c>
      <c r="D11" s="141"/>
      <c r="E11" s="144"/>
      <c r="F11" s="10">
        <f>Tabella3[[#This Row],[Italy remov. rate data]]*NOT(ISBLANK(Tabella3[[#This Row],[Italy remov. rate data]]))</f>
        <v>0</v>
      </c>
      <c r="G11" s="158">
        <f>Tabella3[[#This Row],[region cumul. fit]]+Tabella3[[#This Row],[rest of Italy cumul. fit]]</f>
        <v>0</v>
      </c>
      <c r="H11" s="158">
        <f>Tabella3[[#This Row],[Italy cumul. fit]]/Kf</f>
        <v>0</v>
      </c>
      <c r="I11" s="143">
        <f>Tabella3[[#This Row],[region fit]]+Tabella3[[#This Row],[rest of Italy fit]]</f>
        <v>31.149587771971529</v>
      </c>
      <c r="J11" s="143">
        <f>Tabella3[[#This Row],[Italy (fit of selected region + fitted sum of the other regions)]]/(y_l_peak+y_a_peak)</f>
        <v>9.8366605809515339E-3</v>
      </c>
      <c r="K11" s="72">
        <f>IFERROR(Kf*psi_f*_xlfn.SECH(psi_f*(Tabella3[[#This Row],[Day]]-pf)-phi_f)^2/(1+TANH(phi_f)),0)</f>
        <v>31.143925502695385</v>
      </c>
      <c r="L11" s="292">
        <f>Tabella3[[#This Row],[Italy remov. rate fit]]-Tabella3[[#This Row],[Italy remov. rate data]]</f>
        <v>31.143925502695385</v>
      </c>
      <c r="M11" s="293">
        <f>Tabella3[[#This Row],[rem. rate residuals]]*NOT(ISBLANK(Tabella3[[#This Row],[Italy remov. rate data]]))</f>
        <v>0</v>
      </c>
      <c r="N11" s="72">
        <f>Tabella3[[#This Row],[Italy remov. rate fit]]/y_f_peak</f>
        <v>9.8588257150842244E-3</v>
      </c>
      <c r="O11" s="10">
        <f>Tabella3[[#This Row],[Italy (fit of selected region + fitted sum of the other regions)]]*NOT(ISBLANK(Tabella3[[#This Row],[Italy remov. rate data]]))</f>
        <v>0</v>
      </c>
      <c r="P11" s="72">
        <f>Tabella3[[#This Row],[Italy remov. rate fit]]*NOT(ISBLANK(Tabella3[[#This Row],[Italy remov. rate data]]))</f>
        <v>0</v>
      </c>
      <c r="Q11" s="72">
        <f>Tabella3[[#This Row],[Italy remov. rate fit]]+CIf</f>
        <v>1686.3538944264467</v>
      </c>
      <c r="R11" s="72">
        <f>MAX(Tabella3[[#This Row],[Italy remov. rate fit]]-CIf,0)</f>
        <v>0</v>
      </c>
      <c r="S11" s="139"/>
      <c r="T11" s="144"/>
      <c r="U11" s="10">
        <f>Tabella3[[#This Row],[region data]]*NOT(ISBLANK(Tabella3[[#This Row],[region data]]))</f>
        <v>0</v>
      </c>
      <c r="V11"/>
      <c r="W11" s="72">
        <f>Tabella3[[#This Row],[6-days moving avg]]*NOT(ISBLANK(Tabella3[[#This Row],[6-days moving avg]]))</f>
        <v>0</v>
      </c>
      <c r="X11" s="145">
        <f>Tabella8[[#This Row],[region fit]]</f>
        <v>0</v>
      </c>
      <c r="Y11" s="10">
        <f>Tabella3[[#This Row],[region cumul. fit]]/Kl</f>
        <v>0</v>
      </c>
      <c r="Z11" s="72">
        <f>IFERROR(Kl*psi_l*_xlfn.SECH(psi_l*(Tabella3[[#This Row],[Day]]-pl)-phi_l)^2/(1+TANH(phi_l)),0)</f>
        <v>3.5056651584025116</v>
      </c>
      <c r="AA11" s="72">
        <f>Tabella3[[#This Row],[region fit]]/y_l_peak</f>
        <v>2.3810031304617299E-2</v>
      </c>
      <c r="AB11" s="10">
        <f>Tabella3[[#This Row],[region fit]]*NOT(ISBLANK(Tabella3[[#This Row],[region data]]))</f>
        <v>0</v>
      </c>
      <c r="AC11" s="166">
        <f>IFERROR(kl_m*psi_l_m*_xlfn.SECH(psi_l_m*(Tabella3[[#This Row],[Day]]-pl_m)-phi_l_m)^2/(1+TANH(phi_l_m)),0)</f>
        <v>3.5056651584025116</v>
      </c>
      <c r="AD11" s="72">
        <f>Tabella3[[#This Row],[6-days moving avg fit]]*NOT(ISBLANK(Tabella3[[#This Row],[6-days moving avg]]))</f>
        <v>0</v>
      </c>
      <c r="AE11" s="72">
        <f>Tabella3[[#This Row],[region fit]]+CIl</f>
        <v>72.870651533502908</v>
      </c>
      <c r="AF11" s="72">
        <f>MAX(Tabella3[[#This Row],[region fit]]-CIl,0)</f>
        <v>0</v>
      </c>
      <c r="AG11" s="141"/>
      <c r="AH11" s="144"/>
      <c r="AI11" s="10">
        <f>Tabella3[[#This Row],[rest of Italy data]]*NOT(ISBLANK(Tabella3[[#This Row],[rest of Italy data]]))</f>
        <v>0</v>
      </c>
      <c r="AJ11" s="145">
        <f>Tabella8[[#This Row],[rest of Italy fit]]</f>
        <v>0</v>
      </c>
      <c r="AK11" s="72">
        <f>Tabella3[[#This Row],[rest of Italy cumul. fit]]/Ka</f>
        <v>0</v>
      </c>
      <c r="AL11" s="72">
        <f>IFERROR(Ka*psi_a*_xlfn.SECH(psi_a*(Tabella3[[#This Row],[Day]]-pa)-phi_a)^2/(1+TANH(phi_a)),0)</f>
        <v>27.643922613569018</v>
      </c>
      <c r="AM11" s="72">
        <f>Tabella3[[#This Row],[rest of Italy fit]]/y_a_peak</f>
        <v>9.1552889693908013E-3</v>
      </c>
      <c r="AN11" s="10">
        <f>Tabella3[[#This Row],[rest of Italy fit]]*NOT(ISBLANK(Tabella3[[#This Row],[rest of Italy data]]))</f>
        <v>0</v>
      </c>
      <c r="AO11" s="72">
        <f>Tabella3[[#This Row],[rest of Italy fit]]+CIa</f>
        <v>1661.7778625673704</v>
      </c>
      <c r="AP11" s="72">
        <f>MAX(Tabella3[[#This Row],[rest of Italy fit]]-CIa,0)</f>
        <v>0</v>
      </c>
      <c r="AQ11" s="8"/>
      <c r="AR11" s="97" t="s">
        <v>1</v>
      </c>
      <c r="AS11" s="98">
        <f>AVERAGE(Tabella3[Italy remov. rate data])</f>
        <v>1917.4901960784314</v>
      </c>
      <c r="AT11" s="3"/>
      <c r="BF11" s="332"/>
    </row>
    <row r="12" spans="2:58" x14ac:dyDescent="0.3">
      <c r="B12" s="135">
        <v>43835</v>
      </c>
      <c r="C12" s="4">
        <v>5</v>
      </c>
      <c r="D12" s="141"/>
      <c r="E12" s="144"/>
      <c r="F12" s="10">
        <f>Tabella3[[#This Row],[Italy remov. rate data]]*NOT(ISBLANK(Tabella3[[#This Row],[Italy remov. rate data]]))</f>
        <v>0</v>
      </c>
      <c r="G12" s="158">
        <f>Tabella3[[#This Row],[region cumul. fit]]+Tabella3[[#This Row],[rest of Italy cumul. fit]]</f>
        <v>0</v>
      </c>
      <c r="H12" s="158">
        <f>Tabella3[[#This Row],[Italy cumul. fit]]/Kf</f>
        <v>0</v>
      </c>
      <c r="I12" s="143">
        <f>Tabella3[[#This Row],[region fit]]+Tabella3[[#This Row],[rest of Italy fit]]</f>
        <v>32.740407756457486</v>
      </c>
      <c r="J12" s="143">
        <f>Tabella3[[#This Row],[Italy (fit of selected region + fitted sum of the other regions)]]/(y_l_peak+y_a_peak)</f>
        <v>1.0339022164268004E-2</v>
      </c>
      <c r="K12" s="72">
        <f>IFERROR(Kf*psi_f*_xlfn.SECH(psi_f*(Tabella3[[#This Row],[Day]]-pf)-phi_f)^2/(1+TANH(phi_f)),0)</f>
        <v>32.749308643833842</v>
      </c>
      <c r="L12" s="292">
        <f>Tabella3[[#This Row],[Italy remov. rate fit]]-Tabella3[[#This Row],[Italy remov. rate data]]</f>
        <v>32.749308643833842</v>
      </c>
      <c r="M12" s="293">
        <f>Tabella3[[#This Row],[rem. rate residuals]]*NOT(ISBLANK(Tabella3[[#This Row],[Italy remov. rate data]]))</f>
        <v>0</v>
      </c>
      <c r="N12" s="72">
        <f>Tabella3[[#This Row],[Italy remov. rate fit]]/y_f_peak</f>
        <v>1.0367020887624331E-2</v>
      </c>
      <c r="O12" s="10">
        <f>Tabella3[[#This Row],[Italy (fit of selected region + fitted sum of the other regions)]]*NOT(ISBLANK(Tabella3[[#This Row],[Italy remov. rate data]]))</f>
        <v>0</v>
      </c>
      <c r="P12" s="72">
        <f>Tabella3[[#This Row],[Italy remov. rate fit]]*NOT(ISBLANK(Tabella3[[#This Row],[Italy remov. rate data]]))</f>
        <v>0</v>
      </c>
      <c r="Q12" s="72">
        <f>Tabella3[[#This Row],[Italy remov. rate fit]]+CIf</f>
        <v>1687.9592775675851</v>
      </c>
      <c r="R12" s="72">
        <f>MAX(Tabella3[[#This Row],[Italy remov. rate fit]]-CIf,0)</f>
        <v>0</v>
      </c>
      <c r="S12" s="139"/>
      <c r="T12" s="144"/>
      <c r="U12" s="10">
        <f>Tabella3[[#This Row],[region data]]*NOT(ISBLANK(Tabella3[[#This Row],[region data]]))</f>
        <v>0</v>
      </c>
      <c r="V12"/>
      <c r="W12" s="72">
        <f>Tabella3[[#This Row],[6-days moving avg]]*NOT(ISBLANK(Tabella3[[#This Row],[6-days moving avg]]))</f>
        <v>0</v>
      </c>
      <c r="X12" s="145">
        <f>Tabella8[[#This Row],[region fit]]</f>
        <v>0</v>
      </c>
      <c r="Y12" s="10">
        <f>Tabella3[[#This Row],[region cumul. fit]]/Kl</f>
        <v>0</v>
      </c>
      <c r="Z12" s="72">
        <f>IFERROR(Kl*psi_l*_xlfn.SECH(psi_l*(Tabella3[[#This Row],[Day]]-pl)-phi_l)^2/(1+TANH(phi_l)),0)</f>
        <v>3.6479887060982885</v>
      </c>
      <c r="AA12" s="72">
        <f>Tabella3[[#This Row],[region fit]]/y_l_peak</f>
        <v>2.4776674715468561E-2</v>
      </c>
      <c r="AB12" s="10">
        <f>Tabella3[[#This Row],[region fit]]*NOT(ISBLANK(Tabella3[[#This Row],[region data]]))</f>
        <v>0</v>
      </c>
      <c r="AC12" s="166">
        <f>IFERROR(kl_m*psi_l_m*_xlfn.SECH(psi_l_m*(Tabella3[[#This Row],[Day]]-pl_m)-phi_l_m)^2/(1+TANH(phi_l_m)),0)</f>
        <v>3.6479887060982885</v>
      </c>
      <c r="AD12" s="72">
        <f>Tabella3[[#This Row],[6-days moving avg fit]]*NOT(ISBLANK(Tabella3[[#This Row],[6-days moving avg]]))</f>
        <v>0</v>
      </c>
      <c r="AE12" s="72">
        <f>Tabella3[[#This Row],[region fit]]+CIl</f>
        <v>73.01297508119869</v>
      </c>
      <c r="AF12" s="72">
        <f>MAX(Tabella3[[#This Row],[region fit]]-CIl,0)</f>
        <v>0</v>
      </c>
      <c r="AG12" s="141"/>
      <c r="AH12" s="144"/>
      <c r="AI12" s="10">
        <f>Tabella3[[#This Row],[rest of Italy data]]*NOT(ISBLANK(Tabella3[[#This Row],[rest of Italy data]]))</f>
        <v>0</v>
      </c>
      <c r="AJ12" s="145">
        <f>Tabella8[[#This Row],[rest of Italy fit]]</f>
        <v>0</v>
      </c>
      <c r="AK12" s="72">
        <f>Tabella3[[#This Row],[rest of Italy cumul. fit]]/Ka</f>
        <v>0</v>
      </c>
      <c r="AL12" s="72">
        <f>IFERROR(Ka*psi_a*_xlfn.SECH(psi_a*(Tabella3[[#This Row],[Day]]-pa)-phi_a)^2/(1+TANH(phi_a)),0)</f>
        <v>29.092419050359197</v>
      </c>
      <c r="AM12" s="72">
        <f>Tabella3[[#This Row],[rest of Italy fit]]/y_a_peak</f>
        <v>9.6350111721811398E-3</v>
      </c>
      <c r="AN12" s="10">
        <f>Tabella3[[#This Row],[rest of Italy fit]]*NOT(ISBLANK(Tabella3[[#This Row],[rest of Italy data]]))</f>
        <v>0</v>
      </c>
      <c r="AO12" s="72">
        <f>Tabella3[[#This Row],[rest of Italy fit]]+CIa</f>
        <v>1663.2263590041607</v>
      </c>
      <c r="AP12" s="72">
        <f>MAX(Tabella3[[#This Row],[rest of Italy fit]]-CIa,0)</f>
        <v>0</v>
      </c>
      <c r="AQ12" s="1"/>
      <c r="AR12" s="97" t="s">
        <v>2</v>
      </c>
      <c r="AS12" s="99">
        <f>COUNT(Tabella3[Italy remov. rate data])-COUNT(AS8:AS10)</f>
        <v>102</v>
      </c>
      <c r="BF12" s="332"/>
    </row>
    <row r="13" spans="2:58" x14ac:dyDescent="0.3">
      <c r="B13" s="135">
        <v>43836</v>
      </c>
      <c r="C13" s="4">
        <v>6</v>
      </c>
      <c r="D13" s="141"/>
      <c r="E13" s="144"/>
      <c r="F13" s="10">
        <f>Tabella3[[#This Row],[Italy remov. rate data]]*NOT(ISBLANK(Tabella3[[#This Row],[Italy remov. rate data]]))</f>
        <v>0</v>
      </c>
      <c r="G13" s="158">
        <f>Tabella3[[#This Row],[region cumul. fit]]+Tabella3[[#This Row],[rest of Italy cumul. fit]]</f>
        <v>0</v>
      </c>
      <c r="H13" s="158">
        <f>Tabella3[[#This Row],[Italy cumul. fit]]/Kf</f>
        <v>0</v>
      </c>
      <c r="I13" s="143">
        <f>Tabella3[[#This Row],[region fit]]+Tabella3[[#This Row],[rest of Italy fit]]</f>
        <v>34.412439876178453</v>
      </c>
      <c r="J13" s="143">
        <f>Tabella3[[#This Row],[Italy (fit of selected region + fitted sum of the other regions)]]/(y_l_peak+y_a_peak)</f>
        <v>1.086702955115687E-2</v>
      </c>
      <c r="K13" s="72">
        <f>IFERROR(Kf*psi_f*_xlfn.SECH(psi_f*(Tabella3[[#This Row],[Day]]-pf)-phi_f)^2/(1+TANH(phi_f)),0)</f>
        <v>34.436989175335924</v>
      </c>
      <c r="L13" s="292">
        <f>Tabella3[[#This Row],[Italy remov. rate fit]]-Tabella3[[#This Row],[Italy remov. rate data]]</f>
        <v>34.436989175335924</v>
      </c>
      <c r="M13" s="293">
        <f>Tabella3[[#This Row],[rem. rate residuals]]*NOT(ISBLANK(Tabella3[[#This Row],[Italy remov. rate data]]))</f>
        <v>0</v>
      </c>
      <c r="N13" s="72">
        <f>Tabella3[[#This Row],[Italy remov. rate fit]]/y_f_peak</f>
        <v>1.0901267870117907E-2</v>
      </c>
      <c r="O13" s="10">
        <f>Tabella3[[#This Row],[Italy (fit of selected region + fitted sum of the other regions)]]*NOT(ISBLANK(Tabella3[[#This Row],[Italy remov. rate data]]))</f>
        <v>0</v>
      </c>
      <c r="P13" s="72">
        <f>Tabella3[[#This Row],[Italy remov. rate fit]]*NOT(ISBLANK(Tabella3[[#This Row],[Italy remov. rate data]]))</f>
        <v>0</v>
      </c>
      <c r="Q13" s="72">
        <f>Tabella3[[#This Row],[Italy remov. rate fit]]+CIf</f>
        <v>1689.6469580990872</v>
      </c>
      <c r="R13" s="72">
        <f>MAX(Tabella3[[#This Row],[Italy remov. rate fit]]-CIf,0)</f>
        <v>0</v>
      </c>
      <c r="S13" s="139"/>
      <c r="T13" s="144"/>
      <c r="U13" s="10">
        <f>Tabella3[[#This Row],[region data]]*NOT(ISBLANK(Tabella3[[#This Row],[region data]]))</f>
        <v>0</v>
      </c>
      <c r="V13"/>
      <c r="W13" s="72">
        <f>Tabella3[[#This Row],[6-days moving avg]]*NOT(ISBLANK(Tabella3[[#This Row],[6-days moving avg]]))</f>
        <v>0</v>
      </c>
      <c r="X13" s="145">
        <f>Tabella8[[#This Row],[region fit]]</f>
        <v>0</v>
      </c>
      <c r="Y13" s="10">
        <f>Tabella3[[#This Row],[region cumul. fit]]/Kl</f>
        <v>0</v>
      </c>
      <c r="Z13" s="72">
        <f>IFERROR(Kl*psi_l*_xlfn.SECH(psi_l*(Tabella3[[#This Row],[Day]]-pl)-phi_l)^2/(1+TANH(phi_l)),0)</f>
        <v>3.7960139874434327</v>
      </c>
      <c r="AA13" s="72">
        <f>Tabella3[[#This Row],[region fit]]/y_l_peak</f>
        <v>2.578204357514275E-2</v>
      </c>
      <c r="AB13" s="10">
        <f>Tabella3[[#This Row],[region fit]]*NOT(ISBLANK(Tabella3[[#This Row],[region data]]))</f>
        <v>0</v>
      </c>
      <c r="AC13" s="166">
        <f>IFERROR(kl_m*psi_l_m*_xlfn.SECH(psi_l_m*(Tabella3[[#This Row],[Day]]-pl_m)-phi_l_m)^2/(1+TANH(phi_l_m)),0)</f>
        <v>3.7960139874434327</v>
      </c>
      <c r="AD13" s="72">
        <f>Tabella3[[#This Row],[6-days moving avg fit]]*NOT(ISBLANK(Tabella3[[#This Row],[6-days moving avg]]))</f>
        <v>0</v>
      </c>
      <c r="AE13" s="72">
        <f>Tabella3[[#This Row],[region fit]]+CIl</f>
        <v>73.161000362543831</v>
      </c>
      <c r="AF13" s="72">
        <f>MAX(Tabella3[[#This Row],[region fit]]-CIl,0)</f>
        <v>0</v>
      </c>
      <c r="AG13" s="141"/>
      <c r="AH13" s="144"/>
      <c r="AI13" s="10">
        <f>Tabella3[[#This Row],[rest of Italy data]]*NOT(ISBLANK(Tabella3[[#This Row],[rest of Italy data]]))</f>
        <v>0</v>
      </c>
      <c r="AJ13" s="145">
        <f>Tabella8[[#This Row],[rest of Italy fit]]</f>
        <v>0</v>
      </c>
      <c r="AK13" s="72">
        <f>Tabella3[[#This Row],[rest of Italy cumul. fit]]/Ka</f>
        <v>0</v>
      </c>
      <c r="AL13" s="72">
        <f>IFERROR(Ka*psi_a*_xlfn.SECH(psi_a*(Tabella3[[#This Row],[Day]]-pa)-phi_a)^2/(1+TANH(phi_a)),0)</f>
        <v>30.616425888735023</v>
      </c>
      <c r="AM13" s="72">
        <f>Tabella3[[#This Row],[rest of Italy fit]]/y_a_peak</f>
        <v>1.0139741386908686E-2</v>
      </c>
      <c r="AN13" s="10">
        <f>Tabella3[[#This Row],[rest of Italy fit]]*NOT(ISBLANK(Tabella3[[#This Row],[rest of Italy data]]))</f>
        <v>0</v>
      </c>
      <c r="AO13" s="72">
        <f>Tabella3[[#This Row],[rest of Italy fit]]+CIa</f>
        <v>1664.7503658425364</v>
      </c>
      <c r="AP13" s="72">
        <f>MAX(Tabella3[[#This Row],[rest of Italy fit]]-CIa,0)</f>
        <v>0</v>
      </c>
      <c r="AQ13" s="1"/>
      <c r="AR13" s="97" t="s">
        <v>3</v>
      </c>
      <c r="AS13" s="98" cm="1">
        <f t="array" ref="AS13">SQRT(SUM((Tabella3[Colonna1]-Tabella3[Colonna2])^2)/dfw)</f>
        <v>817.56506736087795</v>
      </c>
      <c r="BF13" s="332"/>
    </row>
    <row r="14" spans="2:58" ht="16.2" x14ac:dyDescent="0.3">
      <c r="B14" s="135">
        <v>43837</v>
      </c>
      <c r="C14" s="4">
        <v>7</v>
      </c>
      <c r="D14" s="141"/>
      <c r="E14" s="144"/>
      <c r="F14" s="10">
        <f>Tabella3[[#This Row],[Italy remov. rate data]]*NOT(ISBLANK(Tabella3[[#This Row],[Italy remov. rate data]]))</f>
        <v>0</v>
      </c>
      <c r="G14" s="158">
        <f>Tabella3[[#This Row],[region cumul. fit]]+Tabella3[[#This Row],[rest of Italy cumul. fit]]</f>
        <v>0</v>
      </c>
      <c r="H14" s="158">
        <f>Tabella3[[#This Row],[Italy cumul. fit]]/Kf</f>
        <v>0</v>
      </c>
      <c r="I14" s="143">
        <f>Tabella3[[#This Row],[region fit]]+Tabella3[[#This Row],[rest of Italy fit]]</f>
        <v>36.169800708956352</v>
      </c>
      <c r="J14" s="143">
        <f>Tabella3[[#This Row],[Italy (fit of selected region + fitted sum of the other regions)]]/(y_l_peak+y_a_peak)</f>
        <v>1.1421982706776124E-2</v>
      </c>
      <c r="K14" s="72">
        <f>IFERROR(Kf*psi_f*_xlfn.SECH(psi_f*(Tabella3[[#This Row],[Day]]-pf)-phi_f)^2/(1+TANH(phi_f)),0)</f>
        <v>36.211137650684144</v>
      </c>
      <c r="L14" s="292">
        <f>Tabella3[[#This Row],[Italy remov. rate fit]]-Tabella3[[#This Row],[Italy remov. rate data]]</f>
        <v>36.211137650684144</v>
      </c>
      <c r="M14" s="293">
        <f>Tabella3[[#This Row],[rem. rate residuals]]*NOT(ISBLANK(Tabella3[[#This Row],[Italy remov. rate data]]))</f>
        <v>0</v>
      </c>
      <c r="N14" s="72">
        <f>Tabella3[[#This Row],[Italy remov. rate fit]]/y_f_peak</f>
        <v>1.1462886880207909E-2</v>
      </c>
      <c r="O14" s="10">
        <f>Tabella3[[#This Row],[Italy (fit of selected region + fitted sum of the other regions)]]*NOT(ISBLANK(Tabella3[[#This Row],[Italy remov. rate data]]))</f>
        <v>0</v>
      </c>
      <c r="P14" s="72">
        <f>Tabella3[[#This Row],[Italy remov. rate fit]]*NOT(ISBLANK(Tabella3[[#This Row],[Italy remov. rate data]]))</f>
        <v>0</v>
      </c>
      <c r="Q14" s="72">
        <f>Tabella3[[#This Row],[Italy remov. rate fit]]+CIf</f>
        <v>1691.4211065744355</v>
      </c>
      <c r="R14" s="72">
        <f>MAX(Tabella3[[#This Row],[Italy remov. rate fit]]-CIf,0)</f>
        <v>0</v>
      </c>
      <c r="S14" s="139"/>
      <c r="T14" s="144"/>
      <c r="U14" s="10">
        <f>Tabella3[[#This Row],[region data]]*NOT(ISBLANK(Tabella3[[#This Row],[region data]]))</f>
        <v>0</v>
      </c>
      <c r="V14"/>
      <c r="W14" s="72">
        <f>Tabella3[[#This Row],[6-days moving avg]]*NOT(ISBLANK(Tabella3[[#This Row],[6-days moving avg]]))</f>
        <v>0</v>
      </c>
      <c r="X14" s="145">
        <f>Tabella8[[#This Row],[region fit]]</f>
        <v>0</v>
      </c>
      <c r="Y14" s="10">
        <f>Tabella3[[#This Row],[region cumul. fit]]/Kl</f>
        <v>0</v>
      </c>
      <c r="Z14" s="72">
        <f>IFERROR(Kl*psi_l*_xlfn.SECH(psi_l*(Tabella3[[#This Row],[Day]]-pl)-phi_l)^2/(1+TANH(phi_l)),0)</f>
        <v>3.9499630653152336</v>
      </c>
      <c r="AA14" s="72">
        <f>Tabella3[[#This Row],[region fit]]/y_l_peak</f>
        <v>2.6827646106422402E-2</v>
      </c>
      <c r="AB14" s="10">
        <f>Tabella3[[#This Row],[region fit]]*NOT(ISBLANK(Tabella3[[#This Row],[region data]]))</f>
        <v>0</v>
      </c>
      <c r="AC14" s="166">
        <f>IFERROR(kl_m*psi_l_m*_xlfn.SECH(psi_l_m*(Tabella3[[#This Row],[Day]]-pl_m)-phi_l_m)^2/(1+TANH(phi_l_m)),0)</f>
        <v>3.9499630653152336</v>
      </c>
      <c r="AD14" s="72">
        <f>Tabella3[[#This Row],[6-days moving avg fit]]*NOT(ISBLANK(Tabella3[[#This Row],[6-days moving avg]]))</f>
        <v>0</v>
      </c>
      <c r="AE14" s="72">
        <f>Tabella3[[#This Row],[region fit]]+CIl</f>
        <v>73.314949440415631</v>
      </c>
      <c r="AF14" s="72">
        <f>MAX(Tabella3[[#This Row],[region fit]]-CIl,0)</f>
        <v>0</v>
      </c>
      <c r="AG14" s="141"/>
      <c r="AH14" s="144"/>
      <c r="AI14" s="10">
        <f>Tabella3[[#This Row],[rest of Italy data]]*NOT(ISBLANK(Tabella3[[#This Row],[rest of Italy data]]))</f>
        <v>0</v>
      </c>
      <c r="AJ14" s="145">
        <f>Tabella8[[#This Row],[rest of Italy fit]]</f>
        <v>0</v>
      </c>
      <c r="AK14" s="72">
        <f>Tabella3[[#This Row],[rest of Italy cumul. fit]]/Ka</f>
        <v>0</v>
      </c>
      <c r="AL14" s="72">
        <f>IFERROR(Ka*psi_a*_xlfn.SECH(psi_a*(Tabella3[[#This Row],[Day]]-pa)-phi_a)^2/(1+TANH(phi_a)),0)</f>
        <v>32.219837643641121</v>
      </c>
      <c r="AM14" s="72">
        <f>Tabella3[[#This Row],[rest of Italy fit]]/y_a_peak</f>
        <v>1.0670769423641716E-2</v>
      </c>
      <c r="AN14" s="10">
        <f>Tabella3[[#This Row],[rest of Italy fit]]*NOT(ISBLANK(Tabella3[[#This Row],[rest of Italy data]]))</f>
        <v>0</v>
      </c>
      <c r="AO14" s="72">
        <f>Tabella3[[#This Row],[rest of Italy fit]]+CIa</f>
        <v>1666.3537775974426</v>
      </c>
      <c r="AP14" s="72">
        <f>MAX(Tabella3[[#This Row],[rest of Italy fit]]-CIa,0)</f>
        <v>0</v>
      </c>
      <c r="AQ14" s="1"/>
      <c r="AR14" s="97" t="s">
        <v>290</v>
      </c>
      <c r="AS14" s="100" cm="1">
        <f t="array" ref="AS14">1-SUM((Tabella3[Colonna1]-Tabella3[Colonna2])^2)/SUM((Tabella3[Colonna1]-Mean_of_yw)^2)</f>
        <v>0.91546853838324682</v>
      </c>
      <c r="BF14" s="332"/>
    </row>
    <row r="15" spans="2:58" x14ac:dyDescent="0.3">
      <c r="B15" s="135">
        <v>43838</v>
      </c>
      <c r="C15" s="4">
        <v>8</v>
      </c>
      <c r="D15" s="141"/>
      <c r="E15" s="144"/>
      <c r="F15" s="10">
        <f>Tabella3[[#This Row],[Italy remov. rate data]]*NOT(ISBLANK(Tabella3[[#This Row],[Italy remov. rate data]]))</f>
        <v>0</v>
      </c>
      <c r="G15" s="158">
        <f>Tabella3[[#This Row],[region cumul. fit]]+Tabella3[[#This Row],[rest of Italy cumul. fit]]</f>
        <v>0</v>
      </c>
      <c r="H15" s="158">
        <f>Tabella3[[#This Row],[Italy cumul. fit]]/Kf</f>
        <v>0</v>
      </c>
      <c r="I15" s="143">
        <f>Tabella3[[#This Row],[region fit]]+Tabella3[[#This Row],[rest of Italy fit]]</f>
        <v>38.016811298714671</v>
      </c>
      <c r="J15" s="143">
        <f>Tabella3[[#This Row],[Italy (fit of selected region + fitted sum of the other regions)]]/(y_l_peak+y_a_peak)</f>
        <v>1.2005246164189314E-2</v>
      </c>
      <c r="K15" s="72">
        <f>IFERROR(Kf*psi_f*_xlfn.SECH(psi_f*(Tabella3[[#This Row],[Day]]-pf)-phi_f)^2/(1+TANH(phi_f)),0)</f>
        <v>38.076130850193934</v>
      </c>
      <c r="L15" s="292">
        <f>Tabella3[[#This Row],[Italy remov. rate fit]]-Tabella3[[#This Row],[Italy remov. rate data]]</f>
        <v>38.076130850193934</v>
      </c>
      <c r="M15" s="293">
        <f>Tabella3[[#This Row],[rem. rate residuals]]*NOT(ISBLANK(Tabella3[[#This Row],[Italy remov. rate data]]))</f>
        <v>0</v>
      </c>
      <c r="N15" s="72">
        <f>Tabella3[[#This Row],[Italy remov. rate fit]]/y_f_peak</f>
        <v>1.2053263418072186E-2</v>
      </c>
      <c r="O15" s="10">
        <f>Tabella3[[#This Row],[Italy (fit of selected region + fitted sum of the other regions)]]*NOT(ISBLANK(Tabella3[[#This Row],[Italy remov. rate data]]))</f>
        <v>0</v>
      </c>
      <c r="P15" s="72">
        <f>Tabella3[[#This Row],[Italy remov. rate fit]]*NOT(ISBLANK(Tabella3[[#This Row],[Italy remov. rate data]]))</f>
        <v>0</v>
      </c>
      <c r="Q15" s="72">
        <f>Tabella3[[#This Row],[Italy remov. rate fit]]+CIf</f>
        <v>1693.2860997739454</v>
      </c>
      <c r="R15" s="72">
        <f>MAX(Tabella3[[#This Row],[Italy remov. rate fit]]-CIf,0)</f>
        <v>0</v>
      </c>
      <c r="S15" s="139"/>
      <c r="T15" s="144"/>
      <c r="U15" s="10">
        <f>Tabella3[[#This Row],[region data]]*NOT(ISBLANK(Tabella3[[#This Row],[region data]]))</f>
        <v>0</v>
      </c>
      <c r="V15"/>
      <c r="W15" s="72">
        <f>Tabella3[[#This Row],[6-days moving avg]]*NOT(ISBLANK(Tabella3[[#This Row],[6-days moving avg]]))</f>
        <v>0</v>
      </c>
      <c r="X15" s="145">
        <f>Tabella8[[#This Row],[region fit]]</f>
        <v>0</v>
      </c>
      <c r="Y15" s="10">
        <f>Tabella3[[#This Row],[region cumul. fit]]/Kl</f>
        <v>0</v>
      </c>
      <c r="Z15" s="72">
        <f>IFERROR(Kl*psi_l*_xlfn.SECH(psi_l*(Tabella3[[#This Row],[Day]]-pl)-phi_l)^2/(1+TANH(phi_l)),0)</f>
        <v>4.1100661200645199</v>
      </c>
      <c r="AA15" s="72">
        <f>Tabella3[[#This Row],[region fit]]/y_l_peak</f>
        <v>2.7915045664936564E-2</v>
      </c>
      <c r="AB15" s="10">
        <f>Tabella3[[#This Row],[region fit]]*NOT(ISBLANK(Tabella3[[#This Row],[region data]]))</f>
        <v>0</v>
      </c>
      <c r="AC15" s="166">
        <f>IFERROR(kl_m*psi_l_m*_xlfn.SECH(psi_l_m*(Tabella3[[#This Row],[Day]]-pl_m)-phi_l_m)^2/(1+TANH(phi_l_m)),0)</f>
        <v>4.1100661200645199</v>
      </c>
      <c r="AD15" s="72">
        <f>Tabella3[[#This Row],[6-days moving avg fit]]*NOT(ISBLANK(Tabella3[[#This Row],[6-days moving avg]]))</f>
        <v>0</v>
      </c>
      <c r="AE15" s="72">
        <f>Tabella3[[#This Row],[region fit]]+CIl</f>
        <v>73.475052495164917</v>
      </c>
      <c r="AF15" s="72">
        <f>MAX(Tabella3[[#This Row],[region fit]]-CIl,0)</f>
        <v>0</v>
      </c>
      <c r="AG15" s="141"/>
      <c r="AH15" s="144"/>
      <c r="AI15" s="10">
        <f>Tabella3[[#This Row],[rest of Italy data]]*NOT(ISBLANK(Tabella3[[#This Row],[rest of Italy data]]))</f>
        <v>0</v>
      </c>
      <c r="AJ15" s="145">
        <f>Tabella8[[#This Row],[rest of Italy fit]]</f>
        <v>0</v>
      </c>
      <c r="AK15" s="72">
        <f>Tabella3[[#This Row],[rest of Italy cumul. fit]]/Ka</f>
        <v>0</v>
      </c>
      <c r="AL15" s="72">
        <f>IFERROR(Ka*psi_a*_xlfn.SECH(psi_a*(Tabella3[[#This Row],[Day]]-pa)-phi_a)^2/(1+TANH(phi_a)),0)</f>
        <v>33.906745178650148</v>
      </c>
      <c r="AM15" s="72">
        <f>Tabella3[[#This Row],[rest of Italy fit]]/y_a_peak</f>
        <v>1.1229450120427836E-2</v>
      </c>
      <c r="AN15" s="10">
        <f>Tabella3[[#This Row],[rest of Italy fit]]*NOT(ISBLANK(Tabella3[[#This Row],[rest of Italy data]]))</f>
        <v>0</v>
      </c>
      <c r="AO15" s="72">
        <f>Tabella3[[#This Row],[rest of Italy fit]]+CIa</f>
        <v>1668.0406851324517</v>
      </c>
      <c r="AP15" s="72">
        <f>MAX(Tabella3[[#This Row],[rest of Italy fit]]-CIa,0)</f>
        <v>0</v>
      </c>
      <c r="AQ15" s="1"/>
      <c r="AR15" s="97" t="s">
        <v>5</v>
      </c>
      <c r="AS15" s="100">
        <f>TINV(0.05,dfw)</f>
        <v>1.9834952585628811</v>
      </c>
      <c r="BF15" s="332"/>
    </row>
    <row r="16" spans="2:58" x14ac:dyDescent="0.3">
      <c r="B16" s="135">
        <v>43839</v>
      </c>
      <c r="C16" s="4">
        <v>9</v>
      </c>
      <c r="D16" s="141"/>
      <c r="E16" s="144"/>
      <c r="F16" s="10">
        <f>Tabella3[[#This Row],[Italy remov. rate data]]*NOT(ISBLANK(Tabella3[[#This Row],[Italy remov. rate data]]))</f>
        <v>0</v>
      </c>
      <c r="G16" s="158">
        <f>Tabella3[[#This Row],[region cumul. fit]]+Tabella3[[#This Row],[rest of Italy cumul. fit]]</f>
        <v>0</v>
      </c>
      <c r="H16" s="158">
        <f>Tabella3[[#This Row],[Italy cumul. fit]]/Kf</f>
        <v>0</v>
      </c>
      <c r="I16" s="143">
        <f>Tabella3[[#This Row],[region fit]]+Tabella3[[#This Row],[rest of Italy fit]]</f>
        <v>39.958006817594516</v>
      </c>
      <c r="J16" s="143">
        <f>Tabella3[[#This Row],[Italy (fit of selected region + fitted sum of the other regions)]]/(y_l_peak+y_a_peak)</f>
        <v>1.2618252075544158E-2</v>
      </c>
      <c r="K16" s="72">
        <f>IFERROR(Kf*psi_f*_xlfn.SECH(psi_f*(Tabella3[[#This Row],[Day]]-pf)-phi_f)^2/(1+TANH(phi_f)),0)</f>
        <v>40.036561432656249</v>
      </c>
      <c r="L16" s="292">
        <f>Tabella3[[#This Row],[Italy remov. rate fit]]-Tabella3[[#This Row],[Italy remov. rate data]]</f>
        <v>40.036561432656249</v>
      </c>
      <c r="M16" s="293">
        <f>Tabella3[[#This Row],[rem. rate residuals]]*NOT(ISBLANK(Tabella3[[#This Row],[Italy remov. rate data]]))</f>
        <v>0</v>
      </c>
      <c r="N16" s="72">
        <f>Tabella3[[#This Row],[Italy remov. rate fit]]/y_f_peak</f>
        <v>1.2673851321717933E-2</v>
      </c>
      <c r="O16" s="10">
        <f>Tabella3[[#This Row],[Italy (fit of selected region + fitted sum of the other regions)]]*NOT(ISBLANK(Tabella3[[#This Row],[Italy remov. rate data]]))</f>
        <v>0</v>
      </c>
      <c r="P16" s="72">
        <f>Tabella3[[#This Row],[Italy remov. rate fit]]*NOT(ISBLANK(Tabella3[[#This Row],[Italy remov. rate data]]))</f>
        <v>0</v>
      </c>
      <c r="Q16" s="72">
        <f>Tabella3[[#This Row],[Italy remov. rate fit]]+CIf</f>
        <v>1695.2465303564077</v>
      </c>
      <c r="R16" s="72">
        <f>MAX(Tabella3[[#This Row],[Italy remov. rate fit]]-CIf,0)</f>
        <v>0</v>
      </c>
      <c r="S16" s="139"/>
      <c r="T16" s="144"/>
      <c r="U16" s="10">
        <f>Tabella3[[#This Row],[region data]]*NOT(ISBLANK(Tabella3[[#This Row],[region data]]))</f>
        <v>0</v>
      </c>
      <c r="V16"/>
      <c r="W16" s="72">
        <f>Tabella3[[#This Row],[6-days moving avg]]*NOT(ISBLANK(Tabella3[[#This Row],[6-days moving avg]]))</f>
        <v>0</v>
      </c>
      <c r="X16" s="145">
        <f>Tabella8[[#This Row],[region fit]]</f>
        <v>0</v>
      </c>
      <c r="Y16" s="10">
        <f>Tabella3[[#This Row],[region cumul. fit]]/Kl</f>
        <v>0</v>
      </c>
      <c r="Z16" s="72">
        <f>IFERROR(Kl*psi_l*_xlfn.SECH(psi_l*(Tabella3[[#This Row],[Day]]-pl)-phi_l)^2/(1+TANH(phi_l)),0)</f>
        <v>4.2765617013334154</v>
      </c>
      <c r="AA16" s="72">
        <f>Tabella3[[#This Row],[region fit]]/y_l_peak</f>
        <v>2.9045862449474914E-2</v>
      </c>
      <c r="AB16" s="10">
        <f>Tabella3[[#This Row],[region fit]]*NOT(ISBLANK(Tabella3[[#This Row],[region data]]))</f>
        <v>0</v>
      </c>
      <c r="AC16" s="166">
        <f>IFERROR(kl_m*psi_l_m*_xlfn.SECH(psi_l_m*(Tabella3[[#This Row],[Day]]-pl_m)-phi_l_m)^2/(1+TANH(phi_l_m)),0)</f>
        <v>4.2765617013334154</v>
      </c>
      <c r="AD16" s="72">
        <f>Tabella3[[#This Row],[6-days moving avg fit]]*NOT(ISBLANK(Tabella3[[#This Row],[6-days moving avg]]))</f>
        <v>0</v>
      </c>
      <c r="AE16" s="72">
        <f>Tabella3[[#This Row],[region fit]]+CIl</f>
        <v>73.641548076433821</v>
      </c>
      <c r="AF16" s="72">
        <f>MAX(Tabella3[[#This Row],[region fit]]-CIl,0)</f>
        <v>0</v>
      </c>
      <c r="AG16" s="141"/>
      <c r="AH16" s="144"/>
      <c r="AI16" s="10">
        <f>Tabella3[[#This Row],[rest of Italy data]]*NOT(ISBLANK(Tabella3[[#This Row],[rest of Italy data]]))</f>
        <v>0</v>
      </c>
      <c r="AJ16" s="145">
        <f>Tabella8[[#This Row],[rest of Italy fit]]</f>
        <v>0</v>
      </c>
      <c r="AK16" s="72">
        <f>Tabella3[[#This Row],[rest of Italy cumul. fit]]/Ka</f>
        <v>0</v>
      </c>
      <c r="AL16" s="72">
        <f>IFERROR(Ka*psi_a*_xlfn.SECH(psi_a*(Tabella3[[#This Row],[Day]]-pa)-phi_a)^2/(1+TANH(phi_a)),0)</f>
        <v>35.681445116261102</v>
      </c>
      <c r="AM16" s="72">
        <f>Tabella3[[#This Row],[rest of Italy fit]]/y_a_peak</f>
        <v>1.1817206459856049E-2</v>
      </c>
      <c r="AN16" s="10">
        <f>Tabella3[[#This Row],[rest of Italy fit]]*NOT(ISBLANK(Tabella3[[#This Row],[rest of Italy data]]))</f>
        <v>0</v>
      </c>
      <c r="AO16" s="72">
        <f>Tabella3[[#This Row],[rest of Italy fit]]+CIa</f>
        <v>1669.8153850700626</v>
      </c>
      <c r="AP16" s="72">
        <f>MAX(Tabella3[[#This Row],[rest of Italy fit]]-CIa,0)</f>
        <v>0</v>
      </c>
      <c r="AQ16" s="1"/>
      <c r="AR16" s="97" t="s">
        <v>6</v>
      </c>
      <c r="AS16" s="98">
        <f>Critical_tw*SE_of_yw</f>
        <v>1621.636434676944</v>
      </c>
      <c r="BF16" s="332"/>
    </row>
    <row r="17" spans="2:58" ht="15" thickBot="1" x14ac:dyDescent="0.35">
      <c r="B17" s="135">
        <v>43840</v>
      </c>
      <c r="C17" s="4">
        <v>10</v>
      </c>
      <c r="D17" s="141"/>
      <c r="E17" s="144"/>
      <c r="F17" s="10">
        <f>Tabella3[[#This Row],[Italy remov. rate data]]*NOT(ISBLANK(Tabella3[[#This Row],[Italy remov. rate data]]))</f>
        <v>0</v>
      </c>
      <c r="G17" s="158">
        <f>Tabella3[[#This Row],[region cumul. fit]]+Tabella3[[#This Row],[rest of Italy cumul. fit]]</f>
        <v>0</v>
      </c>
      <c r="H17" s="158">
        <f>Tabella3[[#This Row],[Italy cumul. fit]]/Kf</f>
        <v>0</v>
      </c>
      <c r="I17" s="143">
        <f>Tabella3[[#This Row],[region fit]]+Tabella3[[#This Row],[rest of Italy fit]]</f>
        <v>41.99814662927858</v>
      </c>
      <c r="J17" s="143">
        <f>Tabella3[[#This Row],[Italy (fit of selected region + fitted sum of the other regions)]]/(y_l_peak+y_a_peak)</f>
        <v>1.3262503389947743E-2</v>
      </c>
      <c r="K17" s="72">
        <f>IFERROR(Kf*psi_f*_xlfn.SECH(psi_f*(Tabella3[[#This Row],[Day]]-pf)-phi_f)^2/(1+TANH(phi_f)),0)</f>
        <v>42.097247979681484</v>
      </c>
      <c r="L17" s="292">
        <f>Tabella3[[#This Row],[Italy remov. rate fit]]-Tabella3[[#This Row],[Italy remov. rate data]]</f>
        <v>42.097247979681484</v>
      </c>
      <c r="M17" s="293">
        <f>Tabella3[[#This Row],[rem. rate residuals]]*NOT(ISBLANK(Tabella3[[#This Row],[Italy remov. rate data]]))</f>
        <v>0</v>
      </c>
      <c r="N17" s="72">
        <f>Tabella3[[#This Row],[Italy remov. rate fit]]/y_f_peak</f>
        <v>1.332617594658843E-2</v>
      </c>
      <c r="O17" s="10">
        <f>Tabella3[[#This Row],[Italy (fit of selected region + fitted sum of the other regions)]]*NOT(ISBLANK(Tabella3[[#This Row],[Italy remov. rate data]]))</f>
        <v>0</v>
      </c>
      <c r="P17" s="72">
        <f>Tabella3[[#This Row],[Italy remov. rate fit]]*NOT(ISBLANK(Tabella3[[#This Row],[Italy remov. rate data]]))</f>
        <v>0</v>
      </c>
      <c r="Q17" s="72">
        <f>Tabella3[[#This Row],[Italy remov. rate fit]]+CIf</f>
        <v>1697.3072169034328</v>
      </c>
      <c r="R17" s="72">
        <f>MAX(Tabella3[[#This Row],[Italy remov. rate fit]]-CIf,0)</f>
        <v>0</v>
      </c>
      <c r="S17" s="139"/>
      <c r="T17" s="144"/>
      <c r="U17" s="10">
        <f>Tabella3[[#This Row],[region data]]*NOT(ISBLANK(Tabella3[[#This Row],[region data]]))</f>
        <v>0</v>
      </c>
      <c r="V17"/>
      <c r="W17" s="72">
        <f>Tabella3[[#This Row],[6-days moving avg]]*NOT(ISBLANK(Tabella3[[#This Row],[6-days moving avg]]))</f>
        <v>0</v>
      </c>
      <c r="X17" s="145">
        <f>Tabella8[[#This Row],[region fit]]</f>
        <v>0</v>
      </c>
      <c r="Y17" s="10">
        <f>Tabella3[[#This Row],[region cumul. fit]]/Kl</f>
        <v>0</v>
      </c>
      <c r="Z17" s="72">
        <f>IFERROR(Kl*psi_l*_xlfn.SECH(psi_l*(Tabella3[[#This Row],[Day]]-pl)-phi_l)^2/(1+TANH(phi_l)),0)</f>
        <v>4.449696983729293</v>
      </c>
      <c r="AA17" s="72">
        <f>Tabella3[[#This Row],[region fit]]/y_l_peak</f>
        <v>3.0221775238492708E-2</v>
      </c>
      <c r="AB17" s="10">
        <f>Tabella3[[#This Row],[region fit]]*NOT(ISBLANK(Tabella3[[#This Row],[region data]]))</f>
        <v>0</v>
      </c>
      <c r="AC17" s="166">
        <f>IFERROR(kl_m*psi_l_m*_xlfn.SECH(psi_l_m*(Tabella3[[#This Row],[Day]]-pl_m)-phi_l_m)^2/(1+TANH(phi_l_m)),0)</f>
        <v>4.449696983729293</v>
      </c>
      <c r="AD17" s="72">
        <f>Tabella3[[#This Row],[6-days moving avg fit]]*NOT(ISBLANK(Tabella3[[#This Row],[6-days moving avg]]))</f>
        <v>0</v>
      </c>
      <c r="AE17" s="72">
        <f>Tabella3[[#This Row],[region fit]]+CIl</f>
        <v>73.814683358829697</v>
      </c>
      <c r="AF17" s="72">
        <f>MAX(Tabella3[[#This Row],[region fit]]-CIl,0)</f>
        <v>0</v>
      </c>
      <c r="AG17" s="141"/>
      <c r="AH17" s="144"/>
      <c r="AI17" s="10">
        <f>Tabella3[[#This Row],[rest of Italy data]]*NOT(ISBLANK(Tabella3[[#This Row],[rest of Italy data]]))</f>
        <v>0</v>
      </c>
      <c r="AJ17" s="145">
        <f>Tabella8[[#This Row],[rest of Italy fit]]</f>
        <v>0</v>
      </c>
      <c r="AK17" s="72">
        <f>Tabella3[[#This Row],[rest of Italy cumul. fit]]/Ka</f>
        <v>0</v>
      </c>
      <c r="AL17" s="72">
        <f>IFERROR(Ka*psi_a*_xlfn.SECH(psi_a*(Tabella3[[#This Row],[Day]]-pa)-phi_a)^2/(1+TANH(phi_a)),0)</f>
        <v>37.548449645549283</v>
      </c>
      <c r="AM17" s="72">
        <f>Tabella3[[#This Row],[rest of Italy fit]]/y_a_peak</f>
        <v>1.2435532817216226E-2</v>
      </c>
      <c r="AN17" s="10">
        <f>Tabella3[[#This Row],[rest of Italy fit]]*NOT(ISBLANK(Tabella3[[#This Row],[rest of Italy data]]))</f>
        <v>0</v>
      </c>
      <c r="AO17" s="72">
        <f>Tabella3[[#This Row],[rest of Italy fit]]+CIa</f>
        <v>1671.6823895993507</v>
      </c>
      <c r="AP17" s="72">
        <f>MAX(Tabella3[[#This Row],[rest of Italy fit]]-CIa,0)</f>
        <v>0</v>
      </c>
      <c r="AQ17" s="1"/>
      <c r="AR17" s="101" t="s">
        <v>98</v>
      </c>
      <c r="AS17" s="102">
        <f>MAX(Tabella3[Italy (fit of selected region + fitted sum of the other regions)])</f>
        <v>3162.297926507898</v>
      </c>
      <c r="BF17" s="333"/>
    </row>
    <row r="18" spans="2:58" ht="15" thickTop="1" x14ac:dyDescent="0.3">
      <c r="B18" s="135">
        <v>43841</v>
      </c>
      <c r="C18" s="4">
        <v>11</v>
      </c>
      <c r="D18" s="141"/>
      <c r="E18" s="144"/>
      <c r="F18" s="10">
        <f>Tabella3[[#This Row],[Italy remov. rate data]]*NOT(ISBLANK(Tabella3[[#This Row],[Italy remov. rate data]]))</f>
        <v>0</v>
      </c>
      <c r="G18" s="158">
        <f>Tabella3[[#This Row],[region cumul. fit]]+Tabella3[[#This Row],[rest of Italy cumul. fit]]</f>
        <v>0</v>
      </c>
      <c r="H18" s="158">
        <f>Tabella3[[#This Row],[Italy cumul. fit]]/Kf</f>
        <v>0</v>
      </c>
      <c r="I18" s="143">
        <f>Tabella3[[#This Row],[region fit]]+Tabella3[[#This Row],[rest of Italy fit]]</f>
        <v>44.142224763855666</v>
      </c>
      <c r="J18" s="143">
        <f>Tabella3[[#This Row],[Italy (fit of selected region + fitted sum of the other regions)]]/(y_l_peak+y_a_peak)</f>
        <v>1.3939577161301208E-2</v>
      </c>
      <c r="K18" s="72">
        <f>IFERROR(Kf*psi_f*_xlfn.SECH(psi_f*(Tabella3[[#This Row],[Day]]-pf)-phi_f)^2/(1+TANH(phi_f)),0)</f>
        <v>44.263245442085697</v>
      </c>
      <c r="L18" s="292">
        <f>Tabella3[[#This Row],[Italy remov. rate fit]]-Tabella3[[#This Row],[Italy remov. rate data]]</f>
        <v>44.263245442085697</v>
      </c>
      <c r="M18" s="293">
        <f>Tabella3[[#This Row],[rem. rate residuals]]*NOT(ISBLANK(Tabella3[[#This Row],[Italy remov. rate data]]))</f>
        <v>0</v>
      </c>
      <c r="N18" s="72">
        <f>Tabella3[[#This Row],[Italy remov. rate fit]]/y_f_peak</f>
        <v>1.4011837472439104E-2</v>
      </c>
      <c r="O18" s="10">
        <f>Tabella3[[#This Row],[Italy (fit of selected region + fitted sum of the other regions)]]*NOT(ISBLANK(Tabella3[[#This Row],[Italy remov. rate data]]))</f>
        <v>0</v>
      </c>
      <c r="P18" s="72">
        <f>Tabella3[[#This Row],[Italy remov. rate fit]]*NOT(ISBLANK(Tabella3[[#This Row],[Italy remov. rate data]]))</f>
        <v>0</v>
      </c>
      <c r="Q18" s="72">
        <f>Tabella3[[#This Row],[Italy remov. rate fit]]+CIf</f>
        <v>1699.4732143658371</v>
      </c>
      <c r="R18" s="72">
        <f>MAX(Tabella3[[#This Row],[Italy remov. rate fit]]-CIf,0)</f>
        <v>0</v>
      </c>
      <c r="S18" s="139"/>
      <c r="T18" s="144"/>
      <c r="U18" s="10">
        <f>Tabella3[[#This Row],[region data]]*NOT(ISBLANK(Tabella3[[#This Row],[region data]]))</f>
        <v>0</v>
      </c>
      <c r="V18"/>
      <c r="W18" s="72">
        <f>Tabella3[[#This Row],[6-days moving avg]]*NOT(ISBLANK(Tabella3[[#This Row],[6-days moving avg]]))</f>
        <v>0</v>
      </c>
      <c r="X18" s="145">
        <f>Tabella8[[#This Row],[region fit]]</f>
        <v>0</v>
      </c>
      <c r="Y18" s="10">
        <f>Tabella3[[#This Row],[region cumul. fit]]/Kl</f>
        <v>0</v>
      </c>
      <c r="Z18" s="72">
        <f>IFERROR(Kl*psi_l*_xlfn.SECH(psi_l*(Tabella3[[#This Row],[Day]]-pl)-phi_l)^2/(1+TANH(phi_l)),0)</f>
        <v>4.6297280260150302</v>
      </c>
      <c r="AA18" s="72">
        <f>Tabella3[[#This Row],[region fit]]/y_l_peak</f>
        <v>3.144452315049797E-2</v>
      </c>
      <c r="AB18" s="10">
        <f>Tabella3[[#This Row],[region fit]]*NOT(ISBLANK(Tabella3[[#This Row],[region data]]))</f>
        <v>0</v>
      </c>
      <c r="AC18" s="166">
        <f>IFERROR(kl_m*psi_l_m*_xlfn.SECH(psi_l_m*(Tabella3[[#This Row],[Day]]-pl_m)-phi_l_m)^2/(1+TANH(phi_l_m)),0)</f>
        <v>4.6297280260150302</v>
      </c>
      <c r="AD18" s="72">
        <f>Tabella3[[#This Row],[6-days moving avg fit]]*NOT(ISBLANK(Tabella3[[#This Row],[6-days moving avg]]))</f>
        <v>0</v>
      </c>
      <c r="AE18" s="72">
        <f>Tabella3[[#This Row],[region fit]]+CIl</f>
        <v>73.994714401115431</v>
      </c>
      <c r="AF18" s="72">
        <f>MAX(Tabella3[[#This Row],[region fit]]-CIl,0)</f>
        <v>0</v>
      </c>
      <c r="AG18" s="141"/>
      <c r="AH18" s="144"/>
      <c r="AI18" s="10">
        <f>Tabella3[[#This Row],[rest of Italy data]]*NOT(ISBLANK(Tabella3[[#This Row],[rest of Italy data]]))</f>
        <v>0</v>
      </c>
      <c r="AJ18" s="145">
        <f>Tabella8[[#This Row],[rest of Italy fit]]</f>
        <v>0</v>
      </c>
      <c r="AK18" s="72">
        <f>Tabella3[[#This Row],[rest of Italy cumul. fit]]/Ka</f>
        <v>0</v>
      </c>
      <c r="AL18" s="72">
        <f>IFERROR(Ka*psi_a*_xlfn.SECH(psi_a*(Tabella3[[#This Row],[Day]]-pa)-phi_a)^2/(1+TANH(phi_a)),0)</f>
        <v>39.512496737840635</v>
      </c>
      <c r="AM18" s="72">
        <f>Tabella3[[#This Row],[rest of Italy fit]]/y_a_peak</f>
        <v>1.3085998343790697E-2</v>
      </c>
      <c r="AN18" s="10">
        <f>Tabella3[[#This Row],[rest of Italy fit]]*NOT(ISBLANK(Tabella3[[#This Row],[rest of Italy data]]))</f>
        <v>0</v>
      </c>
      <c r="AO18" s="72">
        <f>Tabella3[[#This Row],[rest of Italy fit]]+CIa</f>
        <v>1673.6464366916421</v>
      </c>
      <c r="AP18" s="72">
        <f>MAX(Tabella3[[#This Row],[rest of Italy fit]]-CIa,0)</f>
        <v>0</v>
      </c>
      <c r="AQ18" s="1"/>
      <c r="AR18" s="101" t="s">
        <v>128</v>
      </c>
      <c r="AS18" s="103">
        <f>_xlfn.XLOOKUP(Peak_w,Tabella3[Italy (fit of selected region + fitted sum of the other regions)],Tabella3[Date])</f>
        <v>43953</v>
      </c>
      <c r="BF18" s="41">
        <f>MAX($AS$26)</f>
        <v>0.93679417184667702</v>
      </c>
    </row>
    <row r="19" spans="2:58" x14ac:dyDescent="0.3">
      <c r="B19" s="135">
        <v>43842</v>
      </c>
      <c r="C19" s="4">
        <v>12</v>
      </c>
      <c r="D19" s="141"/>
      <c r="E19" s="144"/>
      <c r="F19" s="10">
        <f>Tabella3[[#This Row],[Italy remov. rate data]]*NOT(ISBLANK(Tabella3[[#This Row],[Italy remov. rate data]]))</f>
        <v>0</v>
      </c>
      <c r="G19" s="158">
        <f>Tabella3[[#This Row],[region cumul. fit]]+Tabella3[[#This Row],[rest of Italy cumul. fit]]</f>
        <v>0</v>
      </c>
      <c r="H19" s="158">
        <f>Tabella3[[#This Row],[Italy cumul. fit]]/Kf</f>
        <v>0</v>
      </c>
      <c r="I19" s="143">
        <f>Tabella3[[#This Row],[region fit]]+Tabella3[[#This Row],[rest of Italy fit]]</f>
        <v>46.395480814021269</v>
      </c>
      <c r="J19" s="143">
        <f>Tabella3[[#This Row],[Italy (fit of selected region + fitted sum of the other regions)]]/(y_l_peak+y_a_peak)</f>
        <v>1.4651127989187227E-2</v>
      </c>
      <c r="K19" s="72">
        <f>IFERROR(Kf*psi_f*_xlfn.SECH(psi_f*(Tabella3[[#This Row],[Day]]-pf)-phi_f)^2/(1+TANH(phi_f)),0)</f>
        <v>46.539855997039737</v>
      </c>
      <c r="L19" s="292">
        <f>Tabella3[[#This Row],[Italy remov. rate fit]]-Tabella3[[#This Row],[Italy remov. rate data]]</f>
        <v>46.539855997039737</v>
      </c>
      <c r="M19" s="293">
        <f>Tabella3[[#This Row],[rem. rate residuals]]*NOT(ISBLANK(Tabella3[[#This Row],[Italy remov. rate data]]))</f>
        <v>0</v>
      </c>
      <c r="N19" s="72">
        <f>Tabella3[[#This Row],[Italy remov. rate fit]]/y_f_peak</f>
        <v>1.4732514340243407E-2</v>
      </c>
      <c r="O19" s="10">
        <f>Tabella3[[#This Row],[Italy (fit of selected region + fitted sum of the other regions)]]*NOT(ISBLANK(Tabella3[[#This Row],[Italy remov. rate data]]))</f>
        <v>0</v>
      </c>
      <c r="P19" s="72">
        <f>Tabella3[[#This Row],[Italy remov. rate fit]]*NOT(ISBLANK(Tabella3[[#This Row],[Italy remov. rate data]]))</f>
        <v>0</v>
      </c>
      <c r="Q19" s="72">
        <f>Tabella3[[#This Row],[Italy remov. rate fit]]+CIf</f>
        <v>1701.7498249207911</v>
      </c>
      <c r="R19" s="72">
        <f>MAX(Tabella3[[#This Row],[Italy remov. rate fit]]-CIf,0)</f>
        <v>0</v>
      </c>
      <c r="S19" s="139"/>
      <c r="T19" s="144"/>
      <c r="U19" s="10">
        <f>Tabella3[[#This Row],[region data]]*NOT(ISBLANK(Tabella3[[#This Row],[region data]]))</f>
        <v>0</v>
      </c>
      <c r="V19"/>
      <c r="W19" s="72">
        <f>Tabella3[[#This Row],[6-days moving avg]]*NOT(ISBLANK(Tabella3[[#This Row],[6-days moving avg]]))</f>
        <v>0</v>
      </c>
      <c r="X19" s="145">
        <f>Tabella8[[#This Row],[region fit]]</f>
        <v>0</v>
      </c>
      <c r="Y19" s="10">
        <f>Tabella3[[#This Row],[region cumul. fit]]/Kl</f>
        <v>0</v>
      </c>
      <c r="Z19" s="72">
        <f>IFERROR(Kl*psi_l*_xlfn.SECH(psi_l*(Tabella3[[#This Row],[Day]]-pl)-phi_l)^2/(1+TANH(phi_l)),0)</f>
        <v>4.8169200334258342</v>
      </c>
      <c r="AA19" s="72">
        <f>Tabella3[[#This Row],[region fit]]/y_l_peak</f>
        <v>3.2715907425673992E-2</v>
      </c>
      <c r="AB19" s="10">
        <f>Tabella3[[#This Row],[region fit]]*NOT(ISBLANK(Tabella3[[#This Row],[region data]]))</f>
        <v>0</v>
      </c>
      <c r="AC19" s="166">
        <f>IFERROR(kl_m*psi_l_m*_xlfn.SECH(psi_l_m*(Tabella3[[#This Row],[Day]]-pl_m)-phi_l_m)^2/(1+TANH(phi_l_m)),0)</f>
        <v>4.8169200334258342</v>
      </c>
      <c r="AD19" s="72">
        <f>Tabella3[[#This Row],[6-days moving avg fit]]*NOT(ISBLANK(Tabella3[[#This Row],[6-days moving avg]]))</f>
        <v>0</v>
      </c>
      <c r="AE19" s="72">
        <f>Tabella3[[#This Row],[region fit]]+CIl</f>
        <v>74.181906408526231</v>
      </c>
      <c r="AF19" s="72">
        <f>MAX(Tabella3[[#This Row],[region fit]]-CIl,0)</f>
        <v>0</v>
      </c>
      <c r="AG19" s="141"/>
      <c r="AH19" s="144"/>
      <c r="AI19" s="10">
        <f>Tabella3[[#This Row],[rest of Italy data]]*NOT(ISBLANK(Tabella3[[#This Row],[rest of Italy data]]))</f>
        <v>0</v>
      </c>
      <c r="AJ19" s="145">
        <f>Tabella8[[#This Row],[rest of Italy fit]]</f>
        <v>0</v>
      </c>
      <c r="AK19" s="72">
        <f>Tabella3[[#This Row],[rest of Italy cumul. fit]]/Ka</f>
        <v>0</v>
      </c>
      <c r="AL19" s="72">
        <f>IFERROR(Ka*psi_a*_xlfn.SECH(psi_a*(Tabella3[[#This Row],[Day]]-pa)-phi_a)^2/(1+TANH(phi_a)),0)</f>
        <v>41.578560780595438</v>
      </c>
      <c r="AM19" s="72">
        <f>Tabella3[[#This Row],[rest of Italy fit]]/y_a_peak</f>
        <v>1.3770250488651043E-2</v>
      </c>
      <c r="AN19" s="10">
        <f>Tabella3[[#This Row],[rest of Italy fit]]*NOT(ISBLANK(Tabella3[[#This Row],[rest of Italy data]]))</f>
        <v>0</v>
      </c>
      <c r="AO19" s="72">
        <f>Tabella3[[#This Row],[rest of Italy fit]]+CIa</f>
        <v>1675.7125007343968</v>
      </c>
      <c r="AP19" s="72">
        <f>MAX(Tabella3[[#This Row],[rest of Italy fit]]-CIa,0)</f>
        <v>0</v>
      </c>
      <c r="AQ19" s="1"/>
      <c r="AR19" s="18" t="s">
        <v>78</v>
      </c>
      <c r="AS19" s="3" t="s">
        <v>4741</v>
      </c>
      <c r="AU19" s="18" t="s">
        <v>78</v>
      </c>
      <c r="AV19" s="3" t="s">
        <v>4743</v>
      </c>
      <c r="BF19" s="42">
        <f>COUNT($AS$20,$AS$21,$AS$22,$AS$31)</f>
        <v>4</v>
      </c>
    </row>
    <row r="20" spans="2:58" x14ac:dyDescent="0.3">
      <c r="B20" s="135">
        <v>43843</v>
      </c>
      <c r="C20" s="4">
        <v>13</v>
      </c>
      <c r="D20" s="141"/>
      <c r="E20" s="144"/>
      <c r="F20" s="10">
        <f>Tabella3[[#This Row],[Italy remov. rate data]]*NOT(ISBLANK(Tabella3[[#This Row],[Italy remov. rate data]]))</f>
        <v>0</v>
      </c>
      <c r="G20" s="158">
        <f>Tabella3[[#This Row],[region cumul. fit]]+Tabella3[[#This Row],[rest of Italy cumul. fit]]</f>
        <v>0</v>
      </c>
      <c r="H20" s="158">
        <f>Tabella3[[#This Row],[Italy cumul. fit]]/Kf</f>
        <v>0</v>
      </c>
      <c r="I20" s="143">
        <f>Tabella3[[#This Row],[region fit]]+Tabella3[[#This Row],[rest of Italy fit]]</f>
        <v>48.763411261737872</v>
      </c>
      <c r="J20" s="143">
        <f>Tabella3[[#This Row],[Italy (fit of selected region + fitted sum of the other regions)]]/(y_l_peak+y_a_peak)</f>
        <v>1.5398891595691435E-2</v>
      </c>
      <c r="K20" s="72">
        <f>IFERROR(Kf*psi_f*_xlfn.SECH(psi_f*(Tabella3[[#This Row],[Day]]-pf)-phi_f)^2/(1+TANH(phi_f)),0)</f>
        <v>48.932640323942557</v>
      </c>
      <c r="L20" s="292">
        <f>Tabella3[[#This Row],[Italy remov. rate fit]]-Tabella3[[#This Row],[Italy remov. rate data]]</f>
        <v>48.932640323942557</v>
      </c>
      <c r="M20" s="293">
        <f>Tabella3[[#This Row],[rem. rate residuals]]*NOT(ISBLANK(Tabella3[[#This Row],[Italy remov. rate data]]))</f>
        <v>0</v>
      </c>
      <c r="N20" s="72">
        <f>Tabella3[[#This Row],[Italy remov. rate fit]]/y_f_peak</f>
        <v>1.5489966821648759E-2</v>
      </c>
      <c r="O20" s="10">
        <f>Tabella3[[#This Row],[Italy (fit of selected region + fitted sum of the other regions)]]*NOT(ISBLANK(Tabella3[[#This Row],[Italy remov. rate data]]))</f>
        <v>0</v>
      </c>
      <c r="P20" s="72">
        <f>Tabella3[[#This Row],[Italy remov. rate fit]]*NOT(ISBLANK(Tabella3[[#This Row],[Italy remov. rate data]]))</f>
        <v>0</v>
      </c>
      <c r="Q20" s="72">
        <f>Tabella3[[#This Row],[Italy remov. rate fit]]+CIf</f>
        <v>1704.1426092476938</v>
      </c>
      <c r="R20" s="72">
        <f>MAX(Tabella3[[#This Row],[Italy remov. rate fit]]-CIf,0)</f>
        <v>0</v>
      </c>
      <c r="S20" s="139"/>
      <c r="T20" s="144"/>
      <c r="U20" s="10">
        <f>Tabella3[[#This Row],[region data]]*NOT(ISBLANK(Tabella3[[#This Row],[region data]]))</f>
        <v>0</v>
      </c>
      <c r="V20"/>
      <c r="W20" s="72">
        <f>Tabella3[[#This Row],[6-days moving avg]]*NOT(ISBLANK(Tabella3[[#This Row],[6-days moving avg]]))</f>
        <v>0</v>
      </c>
      <c r="X20" s="145">
        <f>Tabella8[[#This Row],[region fit]]</f>
        <v>0</v>
      </c>
      <c r="Y20" s="10">
        <f>Tabella3[[#This Row],[region cumul. fit]]/Kl</f>
        <v>0</v>
      </c>
      <c r="Z20" s="72">
        <f>IFERROR(Kl*psi_l*_xlfn.SECH(psi_l*(Tabella3[[#This Row],[Day]]-pl)-phi_l)^2/(1+TANH(phi_l)),0)</f>
        <v>5.0115476226683366</v>
      </c>
      <c r="AA20" s="72">
        <f>Tabella3[[#This Row],[region fit]]/y_l_peak</f>
        <v>3.4037793225719391E-2</v>
      </c>
      <c r="AB20" s="10">
        <f>Tabella3[[#This Row],[region fit]]*NOT(ISBLANK(Tabella3[[#This Row],[region data]]))</f>
        <v>0</v>
      </c>
      <c r="AC20" s="166">
        <f>IFERROR(kl_m*psi_l_m*_xlfn.SECH(psi_l_m*(Tabella3[[#This Row],[Day]]-pl_m)-phi_l_m)^2/(1+TANH(phi_l_m)),0)</f>
        <v>5.0115476226683366</v>
      </c>
      <c r="AD20" s="72">
        <f>Tabella3[[#This Row],[6-days moving avg fit]]*NOT(ISBLANK(Tabella3[[#This Row],[6-days moving avg]]))</f>
        <v>0</v>
      </c>
      <c r="AE20" s="72">
        <f>Tabella3[[#This Row],[region fit]]+CIl</f>
        <v>74.376533997768732</v>
      </c>
      <c r="AF20" s="72">
        <f>MAX(Tabella3[[#This Row],[region fit]]-CIl,0)</f>
        <v>0</v>
      </c>
      <c r="AG20" s="141"/>
      <c r="AH20" s="144"/>
      <c r="AI20" s="10">
        <f>Tabella3[[#This Row],[rest of Italy data]]*NOT(ISBLANK(Tabella3[[#This Row],[rest of Italy data]]))</f>
        <v>0</v>
      </c>
      <c r="AJ20" s="145">
        <f>Tabella8[[#This Row],[rest of Italy fit]]</f>
        <v>0</v>
      </c>
      <c r="AK20" s="72">
        <f>Tabella3[[#This Row],[rest of Italy cumul. fit]]/Ka</f>
        <v>0</v>
      </c>
      <c r="AL20" s="72">
        <f>IFERROR(Ka*psi_a*_xlfn.SECH(psi_a*(Tabella3[[#This Row],[Day]]-pa)-phi_a)^2/(1+TANH(phi_a)),0)</f>
        <v>43.751863639069533</v>
      </c>
      <c r="AM20" s="72">
        <f>Tabella3[[#This Row],[rest of Italy fit]]/y_a_peak</f>
        <v>1.4490018662128956E-2</v>
      </c>
      <c r="AN20" s="10">
        <f>Tabella3[[#This Row],[rest of Italy fit]]*NOT(ISBLANK(Tabella3[[#This Row],[rest of Italy data]]))</f>
        <v>0</v>
      </c>
      <c r="AO20" s="72">
        <f>Tabella3[[#This Row],[rest of Italy fit]]+CIa</f>
        <v>1677.8858035928711</v>
      </c>
      <c r="AP20" s="72">
        <f>MAX(Tabella3[[#This Row],[rest of Italy fit]]-CIa,0)</f>
        <v>0</v>
      </c>
      <c r="AQ20" s="1"/>
      <c r="AR20" s="14" t="s">
        <v>0</v>
      </c>
      <c r="AS20" s="5">
        <f>Kr</f>
        <v>13155.884997422498</v>
      </c>
      <c r="AU20" s="14" t="s">
        <v>0</v>
      </c>
      <c r="AV20" s="5">
        <f>Kr</f>
        <v>13155.884997422498</v>
      </c>
      <c r="BF20" s="42" t="b">
        <f>psi_l&gt;=0.000001</f>
        <v>1</v>
      </c>
    </row>
    <row r="21" spans="2:58" x14ac:dyDescent="0.3">
      <c r="B21" s="135">
        <v>43844</v>
      </c>
      <c r="C21" s="4">
        <v>14</v>
      </c>
      <c r="D21" s="141"/>
      <c r="E21" s="144"/>
      <c r="F21" s="10">
        <f>Tabella3[[#This Row],[Italy remov. rate data]]*NOT(ISBLANK(Tabella3[[#This Row],[Italy remov. rate data]]))</f>
        <v>0</v>
      </c>
      <c r="G21" s="158">
        <f>Tabella3[[#This Row],[region cumul. fit]]+Tabella3[[#This Row],[rest of Italy cumul. fit]]</f>
        <v>0</v>
      </c>
      <c r="H21" s="158">
        <f>Tabella3[[#This Row],[Italy cumul. fit]]/Kf</f>
        <v>0</v>
      </c>
      <c r="I21" s="143">
        <f>Tabella3[[#This Row],[region fit]]+Tabella3[[#This Row],[rest of Italy fit]]</f>
        <v>51.251781243656403</v>
      </c>
      <c r="J21" s="143">
        <f>Tabella3[[#This Row],[Italy (fit of selected region + fitted sum of the other regions)]]/(y_l_peak+y_a_peak)</f>
        <v>1.6184688540779285E-2</v>
      </c>
      <c r="K21" s="72">
        <f>IFERROR(Kf*psi_f*_xlfn.SECH(psi_f*(Tabella3[[#This Row],[Day]]-pf)-phi_f)^2/(1+TANH(phi_f)),0)</f>
        <v>51.447429306065565</v>
      </c>
      <c r="L21" s="292">
        <f>Tabella3[[#This Row],[Italy remov. rate fit]]-Tabella3[[#This Row],[Italy remov. rate data]]</f>
        <v>51.447429306065565</v>
      </c>
      <c r="M21" s="293">
        <f>Tabella3[[#This Row],[rem. rate residuals]]*NOT(ISBLANK(Tabella3[[#This Row],[Italy remov. rate data]]))</f>
        <v>0</v>
      </c>
      <c r="N21" s="72">
        <f>Tabella3[[#This Row],[Italy remov. rate fit]]/y_f_peak</f>
        <v>1.6286040723213258E-2</v>
      </c>
      <c r="O21" s="10">
        <f>Tabella3[[#This Row],[Italy (fit of selected region + fitted sum of the other regions)]]*NOT(ISBLANK(Tabella3[[#This Row],[Italy remov. rate data]]))</f>
        <v>0</v>
      </c>
      <c r="P21" s="72">
        <f>Tabella3[[#This Row],[Italy remov. rate fit]]*NOT(ISBLANK(Tabella3[[#This Row],[Italy remov. rate data]]))</f>
        <v>0</v>
      </c>
      <c r="Q21" s="72">
        <f>Tabella3[[#This Row],[Italy remov. rate fit]]+CIf</f>
        <v>1706.6573982298169</v>
      </c>
      <c r="R21" s="72">
        <f>MAX(Tabella3[[#This Row],[Italy remov. rate fit]]-CIf,0)</f>
        <v>0</v>
      </c>
      <c r="S21" s="139"/>
      <c r="T21" s="144"/>
      <c r="U21" s="10">
        <f>Tabella3[[#This Row],[region data]]*NOT(ISBLANK(Tabella3[[#This Row],[region data]]))</f>
        <v>0</v>
      </c>
      <c r="V21"/>
      <c r="W21" s="72">
        <f>Tabella3[[#This Row],[6-days moving avg]]*NOT(ISBLANK(Tabella3[[#This Row],[6-days moving avg]]))</f>
        <v>0</v>
      </c>
      <c r="X21" s="145">
        <f>Tabella8[[#This Row],[region fit]]</f>
        <v>0</v>
      </c>
      <c r="Y21" s="10">
        <f>Tabella3[[#This Row],[region cumul. fit]]/Kl</f>
        <v>0</v>
      </c>
      <c r="Z21" s="72">
        <f>IFERROR(Kl*psi_l*_xlfn.SECH(psi_l*(Tabella3[[#This Row],[Day]]-pl)-phi_l)^2/(1+TANH(phi_l)),0)</f>
        <v>5.2138950890985516</v>
      </c>
      <c r="AA21" s="72">
        <f>Tabella3[[#This Row],[region fit]]/y_l_peak</f>
        <v>3.5412111448486813E-2</v>
      </c>
      <c r="AB21" s="10">
        <f>Tabella3[[#This Row],[region fit]]*NOT(ISBLANK(Tabella3[[#This Row],[region data]]))</f>
        <v>0</v>
      </c>
      <c r="AC21" s="166">
        <f>IFERROR(kl_m*psi_l_m*_xlfn.SECH(psi_l_m*(Tabella3[[#This Row],[Day]]-pl_m)-phi_l_m)^2/(1+TANH(phi_l_m)),0)</f>
        <v>5.2138950890985516</v>
      </c>
      <c r="AD21" s="72">
        <f>Tabella3[[#This Row],[6-days moving avg fit]]*NOT(ISBLANK(Tabella3[[#This Row],[6-days moving avg]]))</f>
        <v>0</v>
      </c>
      <c r="AE21" s="72">
        <f>Tabella3[[#This Row],[region fit]]+CIl</f>
        <v>74.578881464198957</v>
      </c>
      <c r="AF21" s="72">
        <f>MAX(Tabella3[[#This Row],[region fit]]-CIl,0)</f>
        <v>0</v>
      </c>
      <c r="AG21" s="141"/>
      <c r="AH21" s="144"/>
      <c r="AI21" s="10">
        <f>Tabella3[[#This Row],[rest of Italy data]]*NOT(ISBLANK(Tabella3[[#This Row],[rest of Italy data]]))</f>
        <v>0</v>
      </c>
      <c r="AJ21" s="145">
        <f>Tabella8[[#This Row],[rest of Italy fit]]</f>
        <v>0</v>
      </c>
      <c r="AK21" s="72">
        <f>Tabella3[[#This Row],[rest of Italy cumul. fit]]/Ka</f>
        <v>0</v>
      </c>
      <c r="AL21" s="72">
        <f>IFERROR(Ka*psi_a*_xlfn.SECH(psi_a*(Tabella3[[#This Row],[Day]]-pa)-phi_a)^2/(1+TANH(phi_a)),0)</f>
        <v>46.037886154557853</v>
      </c>
      <c r="AM21" s="72">
        <f>Tabella3[[#This Row],[rest of Italy fit]]/y_a_peak</f>
        <v>1.5247118043877194E-2</v>
      </c>
      <c r="AN21" s="10">
        <f>Tabella3[[#This Row],[rest of Italy fit]]*NOT(ISBLANK(Tabella3[[#This Row],[rest of Italy data]]))</f>
        <v>0</v>
      </c>
      <c r="AO21" s="72">
        <f>Tabella3[[#This Row],[rest of Italy fit]]+CIa</f>
        <v>1680.1718261083593</v>
      </c>
      <c r="AP21" s="72">
        <f>MAX(Tabella3[[#This Row],[rest of Italy fit]]-CIa,0)</f>
        <v>0</v>
      </c>
      <c r="AQ21" s="1"/>
      <c r="AR21" s="85" t="s">
        <v>4713</v>
      </c>
      <c r="AS21" s="30">
        <f>phi_r</f>
        <v>1.098415617555788</v>
      </c>
      <c r="AU21" s="85" t="s">
        <v>4713</v>
      </c>
      <c r="AV21" s="30">
        <f>phi_r</f>
        <v>1.098415617555788</v>
      </c>
      <c r="BF21" s="42">
        <f>{32767;32767;0.000001;0.01;FALSE;TRUE;FALSE;1;2;1;0.0001;TRUE}</f>
        <v>32767</v>
      </c>
    </row>
    <row r="22" spans="2:58" x14ac:dyDescent="0.3">
      <c r="B22" s="135">
        <v>43845</v>
      </c>
      <c r="C22" s="4">
        <v>15</v>
      </c>
      <c r="D22" s="141"/>
      <c r="E22" s="144"/>
      <c r="F22" s="10">
        <f>Tabella3[[#This Row],[Italy remov. rate data]]*NOT(ISBLANK(Tabella3[[#This Row],[Italy remov. rate data]]))</f>
        <v>0</v>
      </c>
      <c r="G22" s="158">
        <f>Tabella3[[#This Row],[region cumul. fit]]+Tabella3[[#This Row],[rest of Italy cumul. fit]]</f>
        <v>0</v>
      </c>
      <c r="H22" s="158">
        <f>Tabella3[[#This Row],[Italy cumul. fit]]/Kf</f>
        <v>0</v>
      </c>
      <c r="I22" s="143">
        <f>Tabella3[[#This Row],[region fit]]+Tabella3[[#This Row],[rest of Italy fit]]</f>
        <v>53.866636762609033</v>
      </c>
      <c r="J22" s="143">
        <f>Tabella3[[#This Row],[Italy (fit of selected region + fitted sum of the other regions)]]/(y_l_peak+y_a_peak)</f>
        <v>1.70104280785368E-2</v>
      </c>
      <c r="K22" s="72">
        <f>IFERROR(Kf*psi_f*_xlfn.SECH(psi_f*(Tabella3[[#This Row],[Day]]-pf)-phi_f)^2/(1+TANH(phi_f)),0)</f>
        <v>54.090336163924704</v>
      </c>
      <c r="L22" s="292">
        <f>Tabella3[[#This Row],[Italy remov. rate fit]]-Tabella3[[#This Row],[Italy remov. rate data]]</f>
        <v>54.090336163924704</v>
      </c>
      <c r="M22" s="293">
        <f>Tabella3[[#This Row],[rem. rate residuals]]*NOT(ISBLANK(Tabella3[[#This Row],[Italy remov. rate data]]))</f>
        <v>0</v>
      </c>
      <c r="N22" s="72">
        <f>Tabella3[[#This Row],[Italy remov. rate fit]]/y_f_peak</f>
        <v>1.7122671227308803E-2</v>
      </c>
      <c r="O22" s="10">
        <f>Tabella3[[#This Row],[Italy (fit of selected region + fitted sum of the other regions)]]*NOT(ISBLANK(Tabella3[[#This Row],[Italy remov. rate data]]))</f>
        <v>0</v>
      </c>
      <c r="P22" s="72">
        <f>Tabella3[[#This Row],[Italy remov. rate fit]]*NOT(ISBLANK(Tabella3[[#This Row],[Italy remov. rate data]]))</f>
        <v>0</v>
      </c>
      <c r="Q22" s="72">
        <f>Tabella3[[#This Row],[Italy remov. rate fit]]+CIf</f>
        <v>1709.3003050876762</v>
      </c>
      <c r="R22" s="72">
        <f>MAX(Tabella3[[#This Row],[Italy remov. rate fit]]-CIf,0)</f>
        <v>0</v>
      </c>
      <c r="S22" s="139"/>
      <c r="T22" s="144"/>
      <c r="U22" s="10">
        <f>Tabella3[[#This Row],[region data]]*NOT(ISBLANK(Tabella3[[#This Row],[region data]]))</f>
        <v>0</v>
      </c>
      <c r="V22"/>
      <c r="W22" s="72">
        <f>Tabella3[[#This Row],[6-days moving avg]]*NOT(ISBLANK(Tabella3[[#This Row],[6-days moving avg]]))</f>
        <v>0</v>
      </c>
      <c r="X22" s="145">
        <f>Tabella8[[#This Row],[region fit]]</f>
        <v>0</v>
      </c>
      <c r="Y22" s="10">
        <f>Tabella3[[#This Row],[region cumul. fit]]/Kl</f>
        <v>0</v>
      </c>
      <c r="Z22" s="72">
        <f>IFERROR(Kl*psi_l*_xlfn.SECH(psi_l*(Tabella3[[#This Row],[Day]]-pl)-phi_l)^2/(1+TANH(phi_l)),0)</f>
        <v>5.4242566755114066</v>
      </c>
      <c r="AA22" s="72">
        <f>Tabella3[[#This Row],[region fit]]/y_l_peak</f>
        <v>3.6840860553567188E-2</v>
      </c>
      <c r="AB22" s="10">
        <f>Tabella3[[#This Row],[region fit]]*NOT(ISBLANK(Tabella3[[#This Row],[region data]]))</f>
        <v>0</v>
      </c>
      <c r="AC22" s="166">
        <f>IFERROR(kl_m*psi_l_m*_xlfn.SECH(psi_l_m*(Tabella3[[#This Row],[Day]]-pl_m)-phi_l_m)^2/(1+TANH(phi_l_m)),0)</f>
        <v>5.4242566755114066</v>
      </c>
      <c r="AD22" s="72">
        <f>Tabella3[[#This Row],[6-days moving avg fit]]*NOT(ISBLANK(Tabella3[[#This Row],[6-days moving avg]]))</f>
        <v>0</v>
      </c>
      <c r="AE22" s="72">
        <f>Tabella3[[#This Row],[region fit]]+CIl</f>
        <v>74.789243050611802</v>
      </c>
      <c r="AF22" s="72">
        <f>MAX(Tabella3[[#This Row],[region fit]]-CIl,0)</f>
        <v>0</v>
      </c>
      <c r="AG22" s="141"/>
      <c r="AH22" s="144"/>
      <c r="AI22" s="10">
        <f>Tabella3[[#This Row],[rest of Italy data]]*NOT(ISBLANK(Tabella3[[#This Row],[rest of Italy data]]))</f>
        <v>0</v>
      </c>
      <c r="AJ22" s="145">
        <f>Tabella8[[#This Row],[rest of Italy fit]]</f>
        <v>0</v>
      </c>
      <c r="AK22" s="72">
        <f>Tabella3[[#This Row],[rest of Italy cumul. fit]]/Ka</f>
        <v>0</v>
      </c>
      <c r="AL22" s="72">
        <f>IFERROR(Ka*psi_a*_xlfn.SECH(psi_a*(Tabella3[[#This Row],[Day]]-pa)-phi_a)^2/(1+TANH(phi_a)),0)</f>
        <v>48.442380087097625</v>
      </c>
      <c r="AM22" s="72">
        <f>Tabella3[[#This Row],[rest of Italy fit]]/y_a_peak</f>
        <v>1.6043453538129481E-2</v>
      </c>
      <c r="AN22" s="10">
        <f>Tabella3[[#This Row],[rest of Italy fit]]*NOT(ISBLANK(Tabella3[[#This Row],[rest of Italy data]]))</f>
        <v>0</v>
      </c>
      <c r="AO22" s="72">
        <f>Tabella3[[#This Row],[rest of Italy fit]]+CIa</f>
        <v>1682.5763200408992</v>
      </c>
      <c r="AP22" s="72">
        <f>MAX(Tabella3[[#This Row],[rest of Italy fit]]-CIa,0)</f>
        <v>0</v>
      </c>
      <c r="AQ22" s="1"/>
      <c r="AR22" s="14" t="s">
        <v>4714</v>
      </c>
      <c r="AS22" s="30">
        <f>psi_r</f>
        <v>2.014400483316901E-2</v>
      </c>
      <c r="AU22" s="14" t="s">
        <v>4714</v>
      </c>
      <c r="AV22" s="30">
        <f>psi_r</f>
        <v>2.014400483316901E-2</v>
      </c>
      <c r="BF22" s="42">
        <f>{0;0;1;200;0;FALSE;FALSE;0.075;0;0;FALSE;30}</f>
        <v>0</v>
      </c>
    </row>
    <row r="23" spans="2:58" x14ac:dyDescent="0.3">
      <c r="B23" s="135">
        <v>43846</v>
      </c>
      <c r="C23" s="4">
        <v>16</v>
      </c>
      <c r="D23" s="141"/>
      <c r="E23" s="144"/>
      <c r="F23" s="10">
        <f>Tabella3[[#This Row],[Italy remov. rate data]]*NOT(ISBLANK(Tabella3[[#This Row],[Italy remov. rate data]]))</f>
        <v>0</v>
      </c>
      <c r="G23" s="158">
        <f>Tabella3[[#This Row],[region cumul. fit]]+Tabella3[[#This Row],[rest of Italy cumul. fit]]</f>
        <v>0</v>
      </c>
      <c r="H23" s="158">
        <f>Tabella3[[#This Row],[Italy cumul. fit]]/Kf</f>
        <v>0</v>
      </c>
      <c r="I23" s="143">
        <f>Tabella3[[#This Row],[region fit]]+Tabella3[[#This Row],[rest of Italy fit]]</f>
        <v>56.614317351300819</v>
      </c>
      <c r="J23" s="143">
        <f>Tabella3[[#This Row],[Italy (fit of selected region + fitted sum of the other regions)]]/(y_l_peak+y_a_peak)</f>
        <v>1.7878112156210216E-2</v>
      </c>
      <c r="K23" s="72">
        <f>IFERROR(Kf*psi_f*_xlfn.SECH(psi_f*(Tabella3[[#This Row],[Day]]-pf)-phi_f)^2/(1+TANH(phi_f)),0)</f>
        <v>56.867769025054066</v>
      </c>
      <c r="L23" s="292">
        <f>Tabella3[[#This Row],[Italy remov. rate fit]]-Tabella3[[#This Row],[Italy remov. rate data]]</f>
        <v>56.867769025054066</v>
      </c>
      <c r="M23" s="293">
        <f>Tabella3[[#This Row],[rem. rate residuals]]*NOT(ISBLANK(Tabella3[[#This Row],[Italy remov. rate data]]))</f>
        <v>0</v>
      </c>
      <c r="N23" s="72">
        <f>Tabella3[[#This Row],[Italy remov. rate fit]]/y_f_peak</f>
        <v>1.8001886871170148E-2</v>
      </c>
      <c r="O23" s="10">
        <f>Tabella3[[#This Row],[Italy (fit of selected region + fitted sum of the other regions)]]*NOT(ISBLANK(Tabella3[[#This Row],[Italy remov. rate data]]))</f>
        <v>0</v>
      </c>
      <c r="P23" s="72">
        <f>Tabella3[[#This Row],[Italy remov. rate fit]]*NOT(ISBLANK(Tabella3[[#This Row],[Italy remov. rate data]]))</f>
        <v>0</v>
      </c>
      <c r="Q23" s="72">
        <f>Tabella3[[#This Row],[Italy remov. rate fit]]+CIf</f>
        <v>1712.0777379488054</v>
      </c>
      <c r="R23" s="72">
        <f>MAX(Tabella3[[#This Row],[Italy remov. rate fit]]-CIf,0)</f>
        <v>0</v>
      </c>
      <c r="S23" s="139"/>
      <c r="T23" s="144"/>
      <c r="U23" s="10">
        <f>Tabella3[[#This Row],[region data]]*NOT(ISBLANK(Tabella3[[#This Row],[region data]]))</f>
        <v>0</v>
      </c>
      <c r="V23"/>
      <c r="W23" s="72">
        <f>Tabella3[[#This Row],[6-days moving avg]]*NOT(ISBLANK(Tabella3[[#This Row],[6-days moving avg]]))</f>
        <v>0</v>
      </c>
      <c r="X23" s="145">
        <f>Tabella8[[#This Row],[region fit]]</f>
        <v>0</v>
      </c>
      <c r="Y23" s="10">
        <f>Tabella3[[#This Row],[region cumul. fit]]/Kl</f>
        <v>0</v>
      </c>
      <c r="Z23" s="72">
        <f>IFERROR(Kl*psi_l*_xlfn.SECH(psi_l*(Tabella3[[#This Row],[Day]]-pl)-phi_l)^2/(1+TANH(phi_l)),0)</f>
        <v>5.6429368419048105</v>
      </c>
      <c r="AA23" s="72">
        <f>Tabella3[[#This Row],[region fit]]/y_l_peak</f>
        <v>3.8326108394492908E-2</v>
      </c>
      <c r="AB23" s="10">
        <f>Tabella3[[#This Row],[region fit]]*NOT(ISBLANK(Tabella3[[#This Row],[region data]]))</f>
        <v>0</v>
      </c>
      <c r="AC23" s="166">
        <f>IFERROR(kl_m*psi_l_m*_xlfn.SECH(psi_l_m*(Tabella3[[#This Row],[Day]]-pl_m)-phi_l_m)^2/(1+TANH(phi_l_m)),0)</f>
        <v>5.6429368419048105</v>
      </c>
      <c r="AD23" s="72">
        <f>Tabella3[[#This Row],[6-days moving avg fit]]*NOT(ISBLANK(Tabella3[[#This Row],[6-days moving avg]]))</f>
        <v>0</v>
      </c>
      <c r="AE23" s="72">
        <f>Tabella3[[#This Row],[region fit]]+CIl</f>
        <v>75.007923217005214</v>
      </c>
      <c r="AF23" s="72">
        <f>MAX(Tabella3[[#This Row],[region fit]]-CIl,0)</f>
        <v>0</v>
      </c>
      <c r="AG23" s="141"/>
      <c r="AH23" s="144"/>
      <c r="AI23" s="10">
        <f>Tabella3[[#This Row],[rest of Italy data]]*NOT(ISBLANK(Tabella3[[#This Row],[rest of Italy data]]))</f>
        <v>0</v>
      </c>
      <c r="AJ23" s="145">
        <f>Tabella8[[#This Row],[rest of Italy fit]]</f>
        <v>0</v>
      </c>
      <c r="AK23" s="72">
        <f>Tabella3[[#This Row],[rest of Italy cumul. fit]]/Ka</f>
        <v>0</v>
      </c>
      <c r="AL23" s="72">
        <f>IFERROR(Ka*psi_a*_xlfn.SECH(psi_a*(Tabella3[[#This Row],[Day]]-pa)-phi_a)^2/(1+TANH(phi_a)),0)</f>
        <v>50.971380509396006</v>
      </c>
      <c r="AM23" s="72">
        <f>Tabella3[[#This Row],[rest of Italy fit]]/y_a_peak</f>
        <v>1.6881023878399789E-2</v>
      </c>
      <c r="AN23" s="10">
        <f>Tabella3[[#This Row],[rest of Italy fit]]*NOT(ISBLANK(Tabella3[[#This Row],[rest of Italy data]]))</f>
        <v>0</v>
      </c>
      <c r="AO23" s="72">
        <f>Tabella3[[#This Row],[rest of Italy fit]]+CIa</f>
        <v>1685.1053204631976</v>
      </c>
      <c r="AP23" s="72">
        <f>MAX(Tabella3[[#This Row],[rest of Italy fit]]-CIa,0)</f>
        <v>0</v>
      </c>
      <c r="AQ23" s="1"/>
      <c r="AR23" s="2" t="s">
        <v>1</v>
      </c>
      <c r="AS23" s="6">
        <f>AVERAGE(Tabella3[region data])</f>
        <v>92.851485148514854</v>
      </c>
      <c r="AU23" s="284" t="s">
        <v>1</v>
      </c>
      <c r="AV23" s="6">
        <f>AVERAGE(Tabella3[6-days moving avg])</f>
        <v>91.395049504950478</v>
      </c>
      <c r="BF23" s="43">
        <f>{0;0;1;200;0;FALSE;FALSE;0.075;0;0;FALSE;30}</f>
        <v>0</v>
      </c>
    </row>
    <row r="24" spans="2:58" x14ac:dyDescent="0.3">
      <c r="B24" s="135">
        <v>43847</v>
      </c>
      <c r="C24" s="4">
        <v>17</v>
      </c>
      <c r="D24" s="141"/>
      <c r="E24" s="144"/>
      <c r="F24" s="10">
        <f>Tabella3[[#This Row],[Italy remov. rate data]]*NOT(ISBLANK(Tabella3[[#This Row],[Italy remov. rate data]]))</f>
        <v>0</v>
      </c>
      <c r="G24" s="158">
        <f>Tabella3[[#This Row],[region cumul. fit]]+Tabella3[[#This Row],[rest of Italy cumul. fit]]</f>
        <v>0</v>
      </c>
      <c r="H24" s="158">
        <f>Tabella3[[#This Row],[Italy cumul. fit]]/Kf</f>
        <v>0</v>
      </c>
      <c r="I24" s="143">
        <f>Tabella3[[#This Row],[region fit]]+Tabella3[[#This Row],[rest of Italy fit]]</f>
        <v>59.501469192936099</v>
      </c>
      <c r="J24" s="143">
        <f>Tabella3[[#This Row],[Italy (fit of selected region + fitted sum of the other regions)]]/(y_l_peak+y_a_peak)</f>
        <v>1.8789839557540055E-2</v>
      </c>
      <c r="K24" s="72">
        <f>IFERROR(Kf*psi_f*_xlfn.SECH(psi_f*(Tabella3[[#This Row],[Day]]-pf)-phi_f)^2/(1+TANH(phi_f)),0)</f>
        <v>59.786443933352579</v>
      </c>
      <c r="L24" s="292">
        <f>Tabella3[[#This Row],[Italy remov. rate fit]]-Tabella3[[#This Row],[Italy remov. rate data]]</f>
        <v>59.786443933352579</v>
      </c>
      <c r="M24" s="293">
        <f>Tabella3[[#This Row],[rem. rate residuals]]*NOT(ISBLANK(Tabella3[[#This Row],[Italy remov. rate data]]))</f>
        <v>0</v>
      </c>
      <c r="N24" s="72">
        <f>Tabella3[[#This Row],[Italy remov. rate fit]]/y_f_peak</f>
        <v>1.8925813665093865E-2</v>
      </c>
      <c r="O24" s="10">
        <f>Tabella3[[#This Row],[Italy (fit of selected region + fitted sum of the other regions)]]*NOT(ISBLANK(Tabella3[[#This Row],[Italy remov. rate data]]))</f>
        <v>0</v>
      </c>
      <c r="P24" s="72">
        <f>Tabella3[[#This Row],[Italy remov. rate fit]]*NOT(ISBLANK(Tabella3[[#This Row],[Italy remov. rate data]]))</f>
        <v>0</v>
      </c>
      <c r="Q24" s="72">
        <f>Tabella3[[#This Row],[Italy remov. rate fit]]+CIf</f>
        <v>1714.9964128571039</v>
      </c>
      <c r="R24" s="72">
        <f>MAX(Tabella3[[#This Row],[Italy remov. rate fit]]-CIf,0)</f>
        <v>0</v>
      </c>
      <c r="S24" s="139"/>
      <c r="T24" s="144"/>
      <c r="U24" s="10">
        <f>Tabella3[[#This Row],[region data]]*NOT(ISBLANK(Tabella3[[#This Row],[region data]]))</f>
        <v>0</v>
      </c>
      <c r="V24"/>
      <c r="W24" s="72">
        <f>Tabella3[[#This Row],[6-days moving avg]]*NOT(ISBLANK(Tabella3[[#This Row],[6-days moving avg]]))</f>
        <v>0</v>
      </c>
      <c r="X24" s="145">
        <f>Tabella8[[#This Row],[region fit]]</f>
        <v>0</v>
      </c>
      <c r="Y24" s="10">
        <f>Tabella3[[#This Row],[region cumul. fit]]/Kl</f>
        <v>0</v>
      </c>
      <c r="Z24" s="72">
        <f>IFERROR(Kl*psi_l*_xlfn.SECH(psi_l*(Tabella3[[#This Row],[Day]]-pl)-phi_l)^2/(1+TANH(phi_l)),0)</f>
        <v>5.870250535506556</v>
      </c>
      <c r="AA24" s="72">
        <f>Tabella3[[#This Row],[region fit]]/y_l_peak</f>
        <v>3.986999405272619E-2</v>
      </c>
      <c r="AB24" s="10">
        <f>Tabella3[[#This Row],[region fit]]*NOT(ISBLANK(Tabella3[[#This Row],[region data]]))</f>
        <v>0</v>
      </c>
      <c r="AC24" s="166">
        <f>IFERROR(kl_m*psi_l_m*_xlfn.SECH(psi_l_m*(Tabella3[[#This Row],[Day]]-pl_m)-phi_l_m)^2/(1+TANH(phi_l_m)),0)</f>
        <v>5.870250535506556</v>
      </c>
      <c r="AD24" s="72">
        <f>Tabella3[[#This Row],[6-days moving avg fit]]*NOT(ISBLANK(Tabella3[[#This Row],[6-days moving avg]]))</f>
        <v>0</v>
      </c>
      <c r="AE24" s="72">
        <f>Tabella3[[#This Row],[region fit]]+CIl</f>
        <v>75.235236910606957</v>
      </c>
      <c r="AF24" s="72">
        <f>MAX(Tabella3[[#This Row],[region fit]]-CIl,0)</f>
        <v>0</v>
      </c>
      <c r="AG24" s="141"/>
      <c r="AH24" s="144"/>
      <c r="AI24" s="10">
        <f>Tabella3[[#This Row],[rest of Italy data]]*NOT(ISBLANK(Tabella3[[#This Row],[rest of Italy data]]))</f>
        <v>0</v>
      </c>
      <c r="AJ24" s="145">
        <f>Tabella8[[#This Row],[rest of Italy fit]]</f>
        <v>0</v>
      </c>
      <c r="AK24" s="72">
        <f>Tabella3[[#This Row],[rest of Italy cumul. fit]]/Ka</f>
        <v>0</v>
      </c>
      <c r="AL24" s="72">
        <f>IFERROR(Ka*psi_a*_xlfn.SECH(psi_a*(Tabella3[[#This Row],[Day]]-pa)-phi_a)^2/(1+TANH(phi_a)),0)</f>
        <v>53.631218657429542</v>
      </c>
      <c r="AM24" s="72">
        <f>Tabella3[[#This Row],[rest of Italy fit]]/y_a_peak</f>
        <v>1.7761925883425057E-2</v>
      </c>
      <c r="AN24" s="10">
        <f>Tabella3[[#This Row],[rest of Italy fit]]*NOT(ISBLANK(Tabella3[[#This Row],[rest of Italy data]]))</f>
        <v>0</v>
      </c>
      <c r="AO24" s="72">
        <f>Tabella3[[#This Row],[rest of Italy fit]]+CIa</f>
        <v>1687.7651586112311</v>
      </c>
      <c r="AP24" s="72">
        <f>MAX(Tabella3[[#This Row],[rest of Italy fit]]-CIa,0)</f>
        <v>0</v>
      </c>
      <c r="AQ24" s="1"/>
      <c r="AR24" s="2" t="s">
        <v>2</v>
      </c>
      <c r="AS24" s="1">
        <f>COUNT(Tabella3[region data])-COUNT(AS20:AS22,pl)</f>
        <v>97</v>
      </c>
      <c r="AU24" s="284" t="s">
        <v>2</v>
      </c>
      <c r="AV24" s="1">
        <f>COUNT(Tabella3[6-days moving avg])-COUNT(AV20:AV22,pl_m)</f>
        <v>97</v>
      </c>
      <c r="BF24" s="44"/>
    </row>
    <row r="25" spans="2:58" x14ac:dyDescent="0.3">
      <c r="B25" s="135">
        <v>43848</v>
      </c>
      <c r="C25" s="4">
        <v>18</v>
      </c>
      <c r="D25" s="141"/>
      <c r="E25" s="144"/>
      <c r="F25" s="10">
        <f>Tabella3[[#This Row],[Italy remov. rate data]]*NOT(ISBLANK(Tabella3[[#This Row],[Italy remov. rate data]]))</f>
        <v>0</v>
      </c>
      <c r="G25" s="158">
        <f>Tabella3[[#This Row],[region cumul. fit]]+Tabella3[[#This Row],[rest of Italy cumul. fit]]</f>
        <v>0</v>
      </c>
      <c r="H25" s="158">
        <f>Tabella3[[#This Row],[Italy cumul. fit]]/Kf</f>
        <v>0</v>
      </c>
      <c r="I25" s="143">
        <f>Tabella3[[#This Row],[region fit]]+Tabella3[[#This Row],[rest of Italy fit]]</f>
        <v>62.535058701883422</v>
      </c>
      <c r="J25" s="143">
        <f>Tabella3[[#This Row],[Italy (fit of selected region + fitted sum of the other regions)]]/(y_l_peak+y_a_peak)</f>
        <v>1.9747810191369782E-2</v>
      </c>
      <c r="K25" s="72">
        <f>IFERROR(Kf*psi_f*_xlfn.SECH(psi_f*(Tabella3[[#This Row],[Day]]-pf)-phi_f)^2/(1+TANH(phi_f)),0)</f>
        <v>62.853398299434701</v>
      </c>
      <c r="L25" s="292">
        <f>Tabella3[[#This Row],[Italy remov. rate fit]]-Tabella3[[#This Row],[Italy remov. rate data]]</f>
        <v>62.853398299434701</v>
      </c>
      <c r="M25" s="293">
        <f>Tabella3[[#This Row],[rem. rate residuals]]*NOT(ISBLANK(Tabella3[[#This Row],[Italy remov. rate data]]))</f>
        <v>0</v>
      </c>
      <c r="N25" s="72">
        <f>Tabella3[[#This Row],[Italy remov. rate fit]]/y_f_peak</f>
        <v>1.9896679350240185E-2</v>
      </c>
      <c r="O25" s="10">
        <f>Tabella3[[#This Row],[Italy (fit of selected region + fitted sum of the other regions)]]*NOT(ISBLANK(Tabella3[[#This Row],[Italy remov. rate data]]))</f>
        <v>0</v>
      </c>
      <c r="P25" s="72">
        <f>Tabella3[[#This Row],[Italy remov. rate fit]]*NOT(ISBLANK(Tabella3[[#This Row],[Italy remov. rate data]]))</f>
        <v>0</v>
      </c>
      <c r="Q25" s="72">
        <f>Tabella3[[#This Row],[Italy remov. rate fit]]+CIf</f>
        <v>1718.0633672231861</v>
      </c>
      <c r="R25" s="72">
        <f>MAX(Tabella3[[#This Row],[Italy remov. rate fit]]-CIf,0)</f>
        <v>0</v>
      </c>
      <c r="S25" s="139"/>
      <c r="T25" s="144"/>
      <c r="U25" s="10">
        <f>Tabella3[[#This Row],[region data]]*NOT(ISBLANK(Tabella3[[#This Row],[region data]]))</f>
        <v>0</v>
      </c>
      <c r="V25"/>
      <c r="W25" s="72">
        <f>Tabella3[[#This Row],[6-days moving avg]]*NOT(ISBLANK(Tabella3[[#This Row],[6-days moving avg]]))</f>
        <v>0</v>
      </c>
      <c r="X25" s="145">
        <f>Tabella8[[#This Row],[region fit]]</f>
        <v>0</v>
      </c>
      <c r="Y25" s="10">
        <f>Tabella3[[#This Row],[region cumul. fit]]/Kl</f>
        <v>0</v>
      </c>
      <c r="Z25" s="72">
        <f>IFERROR(Kl*psi_l*_xlfn.SECH(psi_l*(Tabella3[[#This Row],[Day]]-pl)-phi_l)^2/(1+TANH(phi_l)),0)</f>
        <v>6.1065234602711111</v>
      </c>
      <c r="AA25" s="72">
        <f>Tabella3[[#This Row],[region fit]]/y_l_peak</f>
        <v>4.1474729668046932E-2</v>
      </c>
      <c r="AB25" s="10">
        <f>Tabella3[[#This Row],[region fit]]*NOT(ISBLANK(Tabella3[[#This Row],[region data]]))</f>
        <v>0</v>
      </c>
      <c r="AC25" s="166">
        <f>IFERROR(kl_m*psi_l_m*_xlfn.SECH(psi_l_m*(Tabella3[[#This Row],[Day]]-pl_m)-phi_l_m)^2/(1+TANH(phi_l_m)),0)</f>
        <v>6.1065234602711111</v>
      </c>
      <c r="AD25" s="72">
        <f>Tabella3[[#This Row],[6-days moving avg fit]]*NOT(ISBLANK(Tabella3[[#This Row],[6-days moving avg]]))</f>
        <v>0</v>
      </c>
      <c r="AE25" s="72">
        <f>Tabella3[[#This Row],[region fit]]+CIl</f>
        <v>75.471509835371506</v>
      </c>
      <c r="AF25" s="72">
        <f>MAX(Tabella3[[#This Row],[region fit]]-CIl,0)</f>
        <v>0</v>
      </c>
      <c r="AG25" s="141"/>
      <c r="AH25" s="144"/>
      <c r="AI25" s="10">
        <f>Tabella3[[#This Row],[rest of Italy data]]*NOT(ISBLANK(Tabella3[[#This Row],[rest of Italy data]]))</f>
        <v>0</v>
      </c>
      <c r="AJ25" s="145">
        <f>Tabella8[[#This Row],[rest of Italy fit]]</f>
        <v>0</v>
      </c>
      <c r="AK25" s="72">
        <f>Tabella3[[#This Row],[rest of Italy cumul. fit]]/Ka</f>
        <v>0</v>
      </c>
      <c r="AL25" s="72">
        <f>IFERROR(Ka*psi_a*_xlfn.SECH(psi_a*(Tabella3[[#This Row],[Day]]-pa)-phi_a)^2/(1+TANH(phi_a)),0)</f>
        <v>56.428535241612309</v>
      </c>
      <c r="AM25" s="72">
        <f>Tabella3[[#This Row],[rest of Italy fit]]/y_a_peak</f>
        <v>1.8688358865641973E-2</v>
      </c>
      <c r="AN25" s="10">
        <f>Tabella3[[#This Row],[rest of Italy fit]]*NOT(ISBLANK(Tabella3[[#This Row],[rest of Italy data]]))</f>
        <v>0</v>
      </c>
      <c r="AO25" s="72">
        <f>Tabella3[[#This Row],[rest of Italy fit]]+CIa</f>
        <v>1690.5624751954138</v>
      </c>
      <c r="AP25" s="72">
        <f>MAX(Tabella3[[#This Row],[rest of Italy fit]]-CIa,0)</f>
        <v>0</v>
      </c>
      <c r="AQ25" s="1"/>
      <c r="AR25" s="2" t="s">
        <v>3</v>
      </c>
      <c r="AS25" s="6" cm="1">
        <f t="array" ref="AS25">SQRT(SUM((Tabella3[Colonna3]-Tabella3[Colonna32])^2)/dfl)</f>
        <v>34.949451320921725</v>
      </c>
      <c r="AU25" s="284" t="s">
        <v>3</v>
      </c>
      <c r="AV25" s="6" cm="1">
        <f t="array" ref="AV25">SQRT(SUM((Tabella3[Colonna5]-Tabella3[Colonna6])^2)/dfl_m)</f>
        <v>23.943431471698041</v>
      </c>
      <c r="BF25" s="45"/>
    </row>
    <row r="26" spans="2:58" ht="16.2" x14ac:dyDescent="0.3">
      <c r="B26" s="135">
        <v>43849</v>
      </c>
      <c r="C26" s="4">
        <v>19</v>
      </c>
      <c r="D26" s="141"/>
      <c r="E26" s="144"/>
      <c r="F26" s="10">
        <f>Tabella3[[#This Row],[Italy remov. rate data]]*NOT(ISBLANK(Tabella3[[#This Row],[Italy remov. rate data]]))</f>
        <v>0</v>
      </c>
      <c r="G26" s="158">
        <f>Tabella3[[#This Row],[region cumul. fit]]+Tabella3[[#This Row],[rest of Italy cumul. fit]]</f>
        <v>0</v>
      </c>
      <c r="H26" s="158">
        <f>Tabella3[[#This Row],[Italy cumul. fit]]/Kf</f>
        <v>0</v>
      </c>
      <c r="I26" s="143">
        <f>Tabella3[[#This Row],[region fit]]+Tabella3[[#This Row],[rest of Italy fit]]</f>
        <v>65.722386565591705</v>
      </c>
      <c r="J26" s="143">
        <f>Tabella3[[#This Row],[Italy (fit of selected region + fitted sum of the other regions)]]/(y_l_peak+y_a_peak)</f>
        <v>2.0754329525911955E-2</v>
      </c>
      <c r="K26" s="72">
        <f>IFERROR(Kf*psi_f*_xlfn.SECH(psi_f*(Tabella3[[#This Row],[Day]]-pf)-phi_f)^2/(1+TANH(phi_f)),0)</f>
        <v>66.076004791404188</v>
      </c>
      <c r="L26" s="292">
        <f>Tabella3[[#This Row],[Italy remov. rate fit]]-Tabella3[[#This Row],[Italy remov. rate data]]</f>
        <v>66.076004791404188</v>
      </c>
      <c r="M26" s="293">
        <f>Tabella3[[#This Row],[rem. rate residuals]]*NOT(ISBLANK(Tabella3[[#This Row],[Italy remov. rate data]]))</f>
        <v>0</v>
      </c>
      <c r="N26" s="72">
        <f>Tabella3[[#This Row],[Italy remov. rate fit]]/y_f_peak</f>
        <v>2.0916817795853807E-2</v>
      </c>
      <c r="O26" s="10">
        <f>Tabella3[[#This Row],[Italy (fit of selected region + fitted sum of the other regions)]]*NOT(ISBLANK(Tabella3[[#This Row],[Italy remov. rate data]]))</f>
        <v>0</v>
      </c>
      <c r="P26" s="72">
        <f>Tabella3[[#This Row],[Italy remov. rate fit]]*NOT(ISBLANK(Tabella3[[#This Row],[Italy remov. rate data]]))</f>
        <v>0</v>
      </c>
      <c r="Q26" s="72">
        <f>Tabella3[[#This Row],[Italy remov. rate fit]]+CIf</f>
        <v>1721.2859737151555</v>
      </c>
      <c r="R26" s="72">
        <f>MAX(Tabella3[[#This Row],[Italy remov. rate fit]]-CIf,0)</f>
        <v>0</v>
      </c>
      <c r="S26" s="139"/>
      <c r="T26" s="144"/>
      <c r="U26" s="10">
        <f>Tabella3[[#This Row],[region data]]*NOT(ISBLANK(Tabella3[[#This Row],[region data]]))</f>
        <v>0</v>
      </c>
      <c r="V26"/>
      <c r="W26" s="72">
        <f>Tabella3[[#This Row],[6-days moving avg]]*NOT(ISBLANK(Tabella3[[#This Row],[6-days moving avg]]))</f>
        <v>0</v>
      </c>
      <c r="X26" s="145">
        <f>Tabella8[[#This Row],[region fit]]</f>
        <v>0</v>
      </c>
      <c r="Y26" s="10">
        <f>Tabella3[[#This Row],[region cumul. fit]]/Kl</f>
        <v>0</v>
      </c>
      <c r="Z26" s="72">
        <f>IFERROR(Kl*psi_l*_xlfn.SECH(psi_l*(Tabella3[[#This Row],[Day]]-pl)-phi_l)^2/(1+TANH(phi_l)),0)</f>
        <v>6.3520923449660831</v>
      </c>
      <c r="AA26" s="72">
        <f>Tabella3[[#This Row],[region fit]]/y_l_peak</f>
        <v>4.314260225936186E-2</v>
      </c>
      <c r="AB26" s="10">
        <f>Tabella3[[#This Row],[region fit]]*NOT(ISBLANK(Tabella3[[#This Row],[region data]]))</f>
        <v>0</v>
      </c>
      <c r="AC26" s="166">
        <f>IFERROR(kl_m*psi_l_m*_xlfn.SECH(psi_l_m*(Tabella3[[#This Row],[Day]]-pl_m)-phi_l_m)^2/(1+TANH(phi_l_m)),0)</f>
        <v>6.3520923449660831</v>
      </c>
      <c r="AD26" s="72">
        <f>Tabella3[[#This Row],[6-days moving avg fit]]*NOT(ISBLANK(Tabella3[[#This Row],[6-days moving avg]]))</f>
        <v>0</v>
      </c>
      <c r="AE26" s="72">
        <f>Tabella3[[#This Row],[region fit]]+CIl</f>
        <v>75.717078720066482</v>
      </c>
      <c r="AF26" s="72">
        <f>MAX(Tabella3[[#This Row],[region fit]]-CIl,0)</f>
        <v>0</v>
      </c>
      <c r="AG26" s="141"/>
      <c r="AH26" s="144"/>
      <c r="AI26" s="10">
        <f>Tabella3[[#This Row],[rest of Italy data]]*NOT(ISBLANK(Tabella3[[#This Row],[rest of Italy data]]))</f>
        <v>0</v>
      </c>
      <c r="AJ26" s="145">
        <f>Tabella8[[#This Row],[rest of Italy fit]]</f>
        <v>0</v>
      </c>
      <c r="AK26" s="72">
        <f>Tabella3[[#This Row],[rest of Italy cumul. fit]]/Ka</f>
        <v>0</v>
      </c>
      <c r="AL26" s="72">
        <f>IFERROR(Ka*psi_a*_xlfn.SECH(psi_a*(Tabella3[[#This Row],[Day]]-pa)-phi_a)^2/(1+TANH(phi_a)),0)</f>
        <v>59.370294220625624</v>
      </c>
      <c r="AM26" s="72">
        <f>Tabella3[[#This Row],[rest of Italy fit]]/y_a_peak</f>
        <v>1.966262919289094E-2</v>
      </c>
      <c r="AN26" s="10">
        <f>Tabella3[[#This Row],[rest of Italy fit]]*NOT(ISBLANK(Tabella3[[#This Row],[rest of Italy data]]))</f>
        <v>0</v>
      </c>
      <c r="AO26" s="72">
        <f>Tabella3[[#This Row],[rest of Italy fit]]+CIa</f>
        <v>1693.504234174427</v>
      </c>
      <c r="AP26" s="72">
        <f>MAX(Tabella3[[#This Row],[rest of Italy fit]]-CIa,0)</f>
        <v>0</v>
      </c>
      <c r="AQ26" s="1"/>
      <c r="AR26" s="2" t="s">
        <v>4</v>
      </c>
      <c r="AS26" s="7" cm="1">
        <f t="array" ref="AS26">1-SUM((Tabella3[Colonna3]-Tabella3[Colonna32])^2)/SUM((Tabella3[Colonna3]-Mean_of_yl)^2)</f>
        <v>0.93679417184667702</v>
      </c>
      <c r="AU26" s="284" t="s">
        <v>4</v>
      </c>
      <c r="AV26" s="7" cm="1">
        <f t="array" ref="AV26">1-SUM((Tabella3[Colonna5]-Tabella3[Colonna6])^2)/SUM((Tabella3[Colonna5]-Mean_of_yl_m)^2)</f>
        <v>0.96859677811519673</v>
      </c>
      <c r="BF26" s="45"/>
    </row>
    <row r="27" spans="2:58" ht="15" thickBot="1" x14ac:dyDescent="0.35">
      <c r="B27" s="135">
        <v>43850</v>
      </c>
      <c r="C27" s="4">
        <v>20</v>
      </c>
      <c r="D27" s="141"/>
      <c r="E27" s="144"/>
      <c r="F27" s="10">
        <f>Tabella3[[#This Row],[Italy remov. rate data]]*NOT(ISBLANK(Tabella3[[#This Row],[Italy remov. rate data]]))</f>
        <v>0</v>
      </c>
      <c r="G27" s="158">
        <f>Tabella3[[#This Row],[region cumul. fit]]+Tabella3[[#This Row],[rest of Italy cumul. fit]]</f>
        <v>0</v>
      </c>
      <c r="H27" s="158">
        <f>Tabella3[[#This Row],[Italy cumul. fit]]/Kf</f>
        <v>0</v>
      </c>
      <c r="I27" s="143">
        <f>Tabella3[[#This Row],[region fit]]+Tabella3[[#This Row],[rest of Italy fit]]</f>
        <v>69.071102246783639</v>
      </c>
      <c r="J27" s="143">
        <f>Tabella3[[#This Row],[Italy (fit of selected region + fitted sum of the other regions)]]/(y_l_peak+y_a_peak)</f>
        <v>2.1811813168364346E-2</v>
      </c>
      <c r="K27" s="72">
        <f>IFERROR(Kf*psi_f*_xlfn.SECH(psi_f*(Tabella3[[#This Row],[Day]]-pf)-phi_f)^2/(1+TANH(phi_f)),0)</f>
        <v>69.461985663166402</v>
      </c>
      <c r="L27" s="292">
        <f>Tabella3[[#This Row],[Italy remov. rate fit]]-Tabella3[[#This Row],[Italy remov. rate data]]</f>
        <v>69.461985663166402</v>
      </c>
      <c r="M27" s="293">
        <f>Tabella3[[#This Row],[rem. rate residuals]]*NOT(ISBLANK(Tabella3[[#This Row],[Italy remov. rate data]]))</f>
        <v>0</v>
      </c>
      <c r="N27" s="72">
        <f>Tabella3[[#This Row],[Italy remov. rate fit]]/y_f_peak</f>
        <v>2.1988673534990594E-2</v>
      </c>
      <c r="O27" s="10">
        <f>Tabella3[[#This Row],[Italy (fit of selected region + fitted sum of the other regions)]]*NOT(ISBLANK(Tabella3[[#This Row],[Italy remov. rate data]]))</f>
        <v>0</v>
      </c>
      <c r="P27" s="72">
        <f>Tabella3[[#This Row],[Italy remov. rate fit]]*NOT(ISBLANK(Tabella3[[#This Row],[Italy remov. rate data]]))</f>
        <v>0</v>
      </c>
      <c r="Q27" s="72">
        <f>Tabella3[[#This Row],[Italy remov. rate fit]]+CIf</f>
        <v>1724.6719545869178</v>
      </c>
      <c r="R27" s="72">
        <f>MAX(Tabella3[[#This Row],[Italy remov. rate fit]]-CIf,0)</f>
        <v>0</v>
      </c>
      <c r="S27" s="139"/>
      <c r="T27" s="144"/>
      <c r="U27" s="10">
        <f>Tabella3[[#This Row],[region data]]*NOT(ISBLANK(Tabella3[[#This Row],[region data]]))</f>
        <v>0</v>
      </c>
      <c r="V27"/>
      <c r="W27" s="72">
        <f>Tabella3[[#This Row],[6-days moving avg]]*NOT(ISBLANK(Tabella3[[#This Row],[6-days moving avg]]))</f>
        <v>0</v>
      </c>
      <c r="X27" s="145">
        <f>Tabella8[[#This Row],[region fit]]</f>
        <v>0</v>
      </c>
      <c r="Y27" s="10">
        <f>Tabella3[[#This Row],[region cumul. fit]]/Kl</f>
        <v>0</v>
      </c>
      <c r="Z27" s="72">
        <f>IFERROR(Kl*psi_l*_xlfn.SECH(psi_l*(Tabella3[[#This Row],[Day]]-pl)-phi_l)^2/(1+TANH(phi_l)),0)</f>
        <v>6.6073052088742177</v>
      </c>
      <c r="AA27" s="72">
        <f>Tabella3[[#This Row],[region fit]]/y_l_peak</f>
        <v>4.4875975529318636E-2</v>
      </c>
      <c r="AB27" s="10">
        <f>Tabella3[[#This Row],[region fit]]*NOT(ISBLANK(Tabella3[[#This Row],[region data]]))</f>
        <v>0</v>
      </c>
      <c r="AC27" s="166">
        <f>IFERROR(kl_m*psi_l_m*_xlfn.SECH(psi_l_m*(Tabella3[[#This Row],[Day]]-pl_m)-phi_l_m)^2/(1+TANH(phi_l_m)),0)</f>
        <v>6.6073052088742177</v>
      </c>
      <c r="AD27" s="72">
        <f>Tabella3[[#This Row],[6-days moving avg fit]]*NOT(ISBLANK(Tabella3[[#This Row],[6-days moving avg]]))</f>
        <v>0</v>
      </c>
      <c r="AE27" s="72">
        <f>Tabella3[[#This Row],[region fit]]+CIl</f>
        <v>75.972291583974624</v>
      </c>
      <c r="AF27" s="72">
        <f>MAX(Tabella3[[#This Row],[region fit]]-CIl,0)</f>
        <v>0</v>
      </c>
      <c r="AG27" s="141"/>
      <c r="AH27" s="144"/>
      <c r="AI27" s="10">
        <f>Tabella3[[#This Row],[rest of Italy data]]*NOT(ISBLANK(Tabella3[[#This Row],[rest of Italy data]]))</f>
        <v>0</v>
      </c>
      <c r="AJ27" s="145">
        <f>Tabella8[[#This Row],[rest of Italy fit]]</f>
        <v>0</v>
      </c>
      <c r="AK27" s="72">
        <f>Tabella3[[#This Row],[rest of Italy cumul. fit]]/Ka</f>
        <v>0</v>
      </c>
      <c r="AL27" s="72">
        <f>IFERROR(Ka*psi_a*_xlfn.SECH(psi_a*(Tabella3[[#This Row],[Day]]-pa)-phi_a)^2/(1+TANH(phi_a)),0)</f>
        <v>62.463797037909423</v>
      </c>
      <c r="AM27" s="72">
        <f>Tabella3[[#This Row],[rest of Italy fit]]/y_a_peak</f>
        <v>2.0687155003347227E-2</v>
      </c>
      <c r="AN27" s="10">
        <f>Tabella3[[#This Row],[rest of Italy fit]]*NOT(ISBLANK(Tabella3[[#This Row],[rest of Italy data]]))</f>
        <v>0</v>
      </c>
      <c r="AO27" s="72">
        <f>Tabella3[[#This Row],[rest of Italy fit]]+CIa</f>
        <v>1696.5977369917109</v>
      </c>
      <c r="AP27" s="72">
        <f>MAX(Tabella3[[#This Row],[rest of Italy fit]]-CIa,0)</f>
        <v>0</v>
      </c>
      <c r="AQ27" s="1"/>
      <c r="AR27" s="2" t="s">
        <v>5</v>
      </c>
      <c r="AS27" s="7">
        <f>TINV(0.05,dfl)</f>
        <v>1.9847231860139838</v>
      </c>
      <c r="AU27" s="284" t="s">
        <v>5</v>
      </c>
      <c r="AV27" s="7">
        <f>TINV(0.05,dfl_m)</f>
        <v>1.9847231860139838</v>
      </c>
      <c r="BF27" s="46"/>
    </row>
    <row r="28" spans="2:58" ht="15" thickTop="1" x14ac:dyDescent="0.3">
      <c r="B28" s="135">
        <v>43851</v>
      </c>
      <c r="C28" s="4">
        <v>21</v>
      </c>
      <c r="D28" s="141"/>
      <c r="E28" s="144"/>
      <c r="F28" s="10">
        <f>Tabella3[[#This Row],[Italy remov. rate data]]*NOT(ISBLANK(Tabella3[[#This Row],[Italy remov. rate data]]))</f>
        <v>0</v>
      </c>
      <c r="G28" s="158">
        <f>Tabella3[[#This Row],[region cumul. fit]]+Tabella3[[#This Row],[rest of Italy cumul. fit]]</f>
        <v>0</v>
      </c>
      <c r="H28" s="158">
        <f>Tabella3[[#This Row],[Italy cumul. fit]]/Kf</f>
        <v>0</v>
      </c>
      <c r="I28" s="143">
        <f>Tabella3[[#This Row],[region fit]]+Tabella3[[#This Row],[rest of Italy fit]]</f>
        <v>72.589218942442642</v>
      </c>
      <c r="J28" s="143">
        <f>Tabella3[[#This Row],[Italy (fit of selected region + fitted sum of the other regions)]]/(y_l_peak+y_a_peak)</f>
        <v>2.2922791588775911E-2</v>
      </c>
      <c r="K28" s="72">
        <f>IFERROR(Kf*psi_f*_xlfn.SECH(psi_f*(Tabella3[[#This Row],[Day]]-pf)-phi_f)^2/(1+TANH(phi_f)),0)</f>
        <v>73.01942751475832</v>
      </c>
      <c r="L28" s="292">
        <f>Tabella3[[#This Row],[Italy remov. rate fit]]-Tabella3[[#This Row],[Italy remov. rate data]]</f>
        <v>73.01942751475832</v>
      </c>
      <c r="M28" s="293">
        <f>Tabella3[[#This Row],[rem. rate residuals]]*NOT(ISBLANK(Tabella3[[#This Row],[Italy remov. rate data]]))</f>
        <v>0</v>
      </c>
      <c r="N28" s="72">
        <f>Tabella3[[#This Row],[Italy remov. rate fit]]/y_f_peak</f>
        <v>2.3114806437002446E-2</v>
      </c>
      <c r="O28" s="10">
        <f>Tabella3[[#This Row],[Italy (fit of selected region + fitted sum of the other regions)]]*NOT(ISBLANK(Tabella3[[#This Row],[Italy remov. rate data]]))</f>
        <v>0</v>
      </c>
      <c r="P28" s="72">
        <f>Tabella3[[#This Row],[Italy remov. rate fit]]*NOT(ISBLANK(Tabella3[[#This Row],[Italy remov. rate data]]))</f>
        <v>0</v>
      </c>
      <c r="Q28" s="72">
        <f>Tabella3[[#This Row],[Italy remov. rate fit]]+CIf</f>
        <v>1728.2293964385096</v>
      </c>
      <c r="R28" s="72">
        <f>MAX(Tabella3[[#This Row],[Italy remov. rate fit]]-CIf,0)</f>
        <v>0</v>
      </c>
      <c r="S28" s="139"/>
      <c r="T28" s="144"/>
      <c r="U28" s="10">
        <f>Tabella3[[#This Row],[region data]]*NOT(ISBLANK(Tabella3[[#This Row],[region data]]))</f>
        <v>0</v>
      </c>
      <c r="V28"/>
      <c r="W28" s="72">
        <f>Tabella3[[#This Row],[6-days moving avg]]*NOT(ISBLANK(Tabella3[[#This Row],[6-days moving avg]]))</f>
        <v>0</v>
      </c>
      <c r="X28" s="145">
        <f>Tabella8[[#This Row],[region fit]]</f>
        <v>0</v>
      </c>
      <c r="Y28" s="10">
        <f>Tabella3[[#This Row],[region cumul. fit]]/Kl</f>
        <v>0</v>
      </c>
      <c r="Z28" s="72">
        <f>IFERROR(Kl*psi_l*_xlfn.SECH(psi_l*(Tabella3[[#This Row],[Day]]-pl)-phi_l)^2/(1+TANH(phi_l)),0)</f>
        <v>6.872521624035663</v>
      </c>
      <c r="AA28" s="72">
        <f>Tabella3[[#This Row],[region fit]]/y_l_peak</f>
        <v>4.6677291645421976E-2</v>
      </c>
      <c r="AB28" s="10">
        <f>Tabella3[[#This Row],[region fit]]*NOT(ISBLANK(Tabella3[[#This Row],[region data]]))</f>
        <v>0</v>
      </c>
      <c r="AC28" s="166">
        <f>IFERROR(kl_m*psi_l_m*_xlfn.SECH(psi_l_m*(Tabella3[[#This Row],[Day]]-pl_m)-phi_l_m)^2/(1+TANH(phi_l_m)),0)</f>
        <v>6.872521624035663</v>
      </c>
      <c r="AD28" s="72">
        <f>Tabella3[[#This Row],[6-days moving avg fit]]*NOT(ISBLANK(Tabella3[[#This Row],[6-days moving avg]]))</f>
        <v>0</v>
      </c>
      <c r="AE28" s="72">
        <f>Tabella3[[#This Row],[region fit]]+CIl</f>
        <v>76.237507999136056</v>
      </c>
      <c r="AF28" s="72">
        <f>MAX(Tabella3[[#This Row],[region fit]]-CIl,0)</f>
        <v>0</v>
      </c>
      <c r="AG28" s="141"/>
      <c r="AH28" s="144"/>
      <c r="AI28" s="10">
        <f>Tabella3[[#This Row],[rest of Italy data]]*NOT(ISBLANK(Tabella3[[#This Row],[rest of Italy data]]))</f>
        <v>0</v>
      </c>
      <c r="AJ28" s="145">
        <f>Tabella8[[#This Row],[rest of Italy fit]]</f>
        <v>0</v>
      </c>
      <c r="AK28" s="72">
        <f>Tabella3[[#This Row],[rest of Italy cumul. fit]]/Ka</f>
        <v>0</v>
      </c>
      <c r="AL28" s="72">
        <f>IFERROR(Ka*psi_a*_xlfn.SECH(psi_a*(Tabella3[[#This Row],[Day]]-pa)-phi_a)^2/(1+TANH(phi_a)),0)</f>
        <v>65.716697318406986</v>
      </c>
      <c r="AM28" s="72">
        <f>Tabella3[[#This Row],[rest of Italy fit]]/y_a_peak</f>
        <v>2.1764471072881784E-2</v>
      </c>
      <c r="AN28" s="10">
        <f>Tabella3[[#This Row],[rest of Italy fit]]*NOT(ISBLANK(Tabella3[[#This Row],[rest of Italy data]]))</f>
        <v>0</v>
      </c>
      <c r="AO28" s="72">
        <f>Tabella3[[#This Row],[rest of Italy fit]]+CIa</f>
        <v>1699.8506372722084</v>
      </c>
      <c r="AP28" s="72">
        <f>MAX(Tabella3[[#This Row],[rest of Italy fit]]-CIa,0)</f>
        <v>0</v>
      </c>
      <c r="AQ28" s="1"/>
      <c r="AR28" s="2" t="s">
        <v>6</v>
      </c>
      <c r="AS28" s="6">
        <f>Critical_tl*SE_of_yl</f>
        <v>69.364986375100401</v>
      </c>
      <c r="AU28" s="284" t="s">
        <v>6</v>
      </c>
      <c r="AV28" s="6">
        <f>Critical_tl_m*SE_of_yl_m</f>
        <v>47.521083594616023</v>
      </c>
      <c r="BF28" s="47">
        <f>MAX($AS$39)</f>
        <v>0.91190311998525608</v>
      </c>
    </row>
    <row r="29" spans="2:58" x14ac:dyDescent="0.3">
      <c r="B29" s="134">
        <v>43852</v>
      </c>
      <c r="C29" s="4">
        <v>22</v>
      </c>
      <c r="D29" s="141"/>
      <c r="E29" s="144"/>
      <c r="F29" s="10">
        <f>Tabella3[[#This Row],[Italy remov. rate data]]*NOT(ISBLANK(Tabella3[[#This Row],[Italy remov. rate data]]))</f>
        <v>0</v>
      </c>
      <c r="G29" s="158">
        <f>Tabella3[[#This Row],[region cumul. fit]]+Tabella3[[#This Row],[rest of Italy cumul. fit]]</f>
        <v>0</v>
      </c>
      <c r="H29" s="158">
        <f>Tabella3[[#This Row],[Italy cumul. fit]]/Kf</f>
        <v>0</v>
      </c>
      <c r="I29" s="143">
        <f>Tabella3[[#This Row],[region fit]]+Tabella3[[#This Row],[rest of Italy fit]]</f>
        <v>76.28512899324258</v>
      </c>
      <c r="J29" s="143">
        <f>Tabella3[[#This Row],[Italy (fit of selected region + fitted sum of the other regions)]]/(y_l_peak+y_a_peak)</f>
        <v>2.4089914986157084E-2</v>
      </c>
      <c r="K29" s="72">
        <f>IFERROR(Kf*psi_f*_xlfn.SECH(psi_f*(Tabella3[[#This Row],[Day]]-pf)-phi_f)^2/(1+TANH(phi_f)),0)</f>
        <v>76.756796476181648</v>
      </c>
      <c r="L29" s="292">
        <f>Tabella3[[#This Row],[Italy remov. rate fit]]-Tabella3[[#This Row],[Italy remov. rate data]]</f>
        <v>76.756796476181648</v>
      </c>
      <c r="M29" s="293">
        <f>Tabella3[[#This Row],[rem. rate residuals]]*NOT(ISBLANK(Tabella3[[#This Row],[Italy remov. rate data]]))</f>
        <v>0</v>
      </c>
      <c r="N29" s="72">
        <f>Tabella3[[#This Row],[Italy remov. rate fit]]/y_f_peak</f>
        <v>2.4297896514085024E-2</v>
      </c>
      <c r="O29" s="10">
        <f>Tabella3[[#This Row],[Italy (fit of selected region + fitted sum of the other regions)]]*NOT(ISBLANK(Tabella3[[#This Row],[Italy remov. rate data]]))</f>
        <v>0</v>
      </c>
      <c r="P29" s="72">
        <f>Tabella3[[#This Row],[Italy remov. rate fit]]*NOT(ISBLANK(Tabella3[[#This Row],[Italy remov. rate data]]))</f>
        <v>0</v>
      </c>
      <c r="Q29" s="72">
        <f>Tabella3[[#This Row],[Italy remov. rate fit]]+CIf</f>
        <v>1731.9667653999331</v>
      </c>
      <c r="R29" s="72">
        <f>MAX(Tabella3[[#This Row],[Italy remov. rate fit]]-CIf,0)</f>
        <v>0</v>
      </c>
      <c r="S29" s="139"/>
      <c r="T29" s="144"/>
      <c r="U29" s="10">
        <f>Tabella3[[#This Row],[region data]]*NOT(ISBLANK(Tabella3[[#This Row],[region data]]))</f>
        <v>0</v>
      </c>
      <c r="V29"/>
      <c r="W29" s="72">
        <f>Tabella3[[#This Row],[6-days moving avg]]*NOT(ISBLANK(Tabella3[[#This Row],[6-days moving avg]]))</f>
        <v>0</v>
      </c>
      <c r="X29" s="145">
        <f>Tabella8[[#This Row],[region fit]]</f>
        <v>0</v>
      </c>
      <c r="Y29" s="10">
        <f>Tabella3[[#This Row],[region cumul. fit]]/Kl</f>
        <v>0</v>
      </c>
      <c r="Z29" s="72">
        <f>IFERROR(Kl*psi_l*_xlfn.SECH(psi_l*(Tabella3[[#This Row],[Day]]-pl)-phi_l)^2/(1+TANH(phi_l)),0)</f>
        <v>7.1481129728467279</v>
      </c>
      <c r="AA29" s="72">
        <f>Tabella3[[#This Row],[region fit]]/y_l_peak</f>
        <v>4.854907298961153E-2</v>
      </c>
      <c r="AB29" s="10">
        <f>Tabella3[[#This Row],[region fit]]*NOT(ISBLANK(Tabella3[[#This Row],[region data]]))</f>
        <v>0</v>
      </c>
      <c r="AC29" s="166">
        <f>IFERROR(kl_m*psi_l_m*_xlfn.SECH(psi_l_m*(Tabella3[[#This Row],[Day]]-pl_m)-phi_l_m)^2/(1+TANH(phi_l_m)),0)</f>
        <v>7.1481129728467279</v>
      </c>
      <c r="AD29" s="72">
        <f>Tabella3[[#This Row],[6-days moving avg fit]]*NOT(ISBLANK(Tabella3[[#This Row],[6-days moving avg]]))</f>
        <v>0</v>
      </c>
      <c r="AE29" s="72">
        <f>Tabella3[[#This Row],[region fit]]+CIl</f>
        <v>76.513099347947133</v>
      </c>
      <c r="AF29" s="72">
        <f>MAX(Tabella3[[#This Row],[region fit]]-CIl,0)</f>
        <v>0</v>
      </c>
      <c r="AG29" s="141"/>
      <c r="AH29" s="144"/>
      <c r="AI29" s="10">
        <f>Tabella3[[#This Row],[rest of Italy data]]*NOT(ISBLANK(Tabella3[[#This Row],[rest of Italy data]]))</f>
        <v>0</v>
      </c>
      <c r="AJ29" s="145">
        <f>Tabella8[[#This Row],[rest of Italy fit]]</f>
        <v>0</v>
      </c>
      <c r="AK29" s="72">
        <f>Tabella3[[#This Row],[rest of Italy cumul. fit]]/Ka</f>
        <v>0</v>
      </c>
      <c r="AL29" s="72">
        <f>IFERROR(Ka*psi_a*_xlfn.SECH(psi_a*(Tabella3[[#This Row],[Day]]-pa)-phi_a)^2/(1+TANH(phi_a)),0)</f>
        <v>69.137016020395848</v>
      </c>
      <c r="AM29" s="72">
        <f>Tabella3[[#This Row],[rest of Italy fit]]/y_a_peak</f>
        <v>2.2897233833140317E-2</v>
      </c>
      <c r="AN29" s="10">
        <f>Tabella3[[#This Row],[rest of Italy fit]]*NOT(ISBLANK(Tabella3[[#This Row],[rest of Italy data]]))</f>
        <v>0</v>
      </c>
      <c r="AO29" s="72">
        <f>Tabella3[[#This Row],[rest of Italy fit]]+CIa</f>
        <v>1703.2709559741972</v>
      </c>
      <c r="AP29" s="72">
        <f>MAX(Tabella3[[#This Row],[rest of Italy fit]]-CIa,0)</f>
        <v>0</v>
      </c>
      <c r="AQ29" s="1"/>
      <c r="AR29" s="19" t="s">
        <v>299</v>
      </c>
      <c r="AS29" s="90">
        <f>Kl*psi_l/(1+TANH(phi_l))</f>
        <v>147.23479837351934</v>
      </c>
      <c r="AU29" s="19" t="s">
        <v>299</v>
      </c>
      <c r="AV29" s="90">
        <f>kl_m*psi_l_m/(1+TANH(phi_l_m))</f>
        <v>147.23479837351934</v>
      </c>
      <c r="BF29" s="48">
        <f>COUNT($AS$33,$AS$34,$AS$35,$AS$44)</f>
        <v>4</v>
      </c>
    </row>
    <row r="30" spans="2:58" x14ac:dyDescent="0.3">
      <c r="B30" s="134">
        <v>43853</v>
      </c>
      <c r="C30" s="4">
        <v>23</v>
      </c>
      <c r="D30" s="141"/>
      <c r="E30" s="144"/>
      <c r="F30" s="10">
        <f>Tabella3[[#This Row],[Italy remov. rate data]]*NOT(ISBLANK(Tabella3[[#This Row],[Italy remov. rate data]]))</f>
        <v>0</v>
      </c>
      <c r="G30" s="158">
        <f>Tabella3[[#This Row],[region cumul. fit]]+Tabella3[[#This Row],[rest of Italy cumul. fit]]</f>
        <v>0</v>
      </c>
      <c r="H30" s="158">
        <f>Tabella3[[#This Row],[Italy cumul. fit]]/Kf</f>
        <v>0</v>
      </c>
      <c r="I30" s="143">
        <f>Tabella3[[#This Row],[region fit]]+Tabella3[[#This Row],[rest of Italy fit]]</f>
        <v>80.167619733803548</v>
      </c>
      <c r="J30" s="143">
        <f>Tabella3[[#This Row],[Italy (fit of selected region + fitted sum of the other regions)]]/(y_l_peak+y_a_peak)</f>
        <v>2.5315958293797562E-2</v>
      </c>
      <c r="K30" s="72">
        <f>IFERROR(Kf*psi_f*_xlfn.SECH(psi_f*(Tabella3[[#This Row],[Day]]-pf)-phi_f)^2/(1+TANH(phi_f)),0)</f>
        <v>80.682953802830269</v>
      </c>
      <c r="L30" s="292">
        <f>Tabella3[[#This Row],[Italy remov. rate fit]]-Tabella3[[#This Row],[Italy remov. rate data]]</f>
        <v>80.682953802830269</v>
      </c>
      <c r="M30" s="293">
        <f>Tabella3[[#This Row],[rem. rate residuals]]*NOT(ISBLANK(Tabella3[[#This Row],[Italy remov. rate data]]))</f>
        <v>0</v>
      </c>
      <c r="N30" s="72">
        <f>Tabella3[[#This Row],[Italy remov. rate fit]]/y_f_peak</f>
        <v>2.5540748858118526E-2</v>
      </c>
      <c r="O30" s="10">
        <f>Tabella3[[#This Row],[Italy (fit of selected region + fitted sum of the other regions)]]*NOT(ISBLANK(Tabella3[[#This Row],[Italy remov. rate data]]))</f>
        <v>0</v>
      </c>
      <c r="P30" s="72">
        <f>Tabella3[[#This Row],[Italy remov. rate fit]]*NOT(ISBLANK(Tabella3[[#This Row],[Italy remov. rate data]]))</f>
        <v>0</v>
      </c>
      <c r="Q30" s="72">
        <f>Tabella3[[#This Row],[Italy remov. rate fit]]+CIf</f>
        <v>1735.8929227265817</v>
      </c>
      <c r="R30" s="72">
        <f>MAX(Tabella3[[#This Row],[Italy remov. rate fit]]-CIf,0)</f>
        <v>0</v>
      </c>
      <c r="S30" s="139"/>
      <c r="T30" s="144"/>
      <c r="U30" s="10">
        <f>Tabella3[[#This Row],[region data]]*NOT(ISBLANK(Tabella3[[#This Row],[region data]]))</f>
        <v>0</v>
      </c>
      <c r="V30"/>
      <c r="W30" s="72">
        <f>Tabella3[[#This Row],[6-days moving avg]]*NOT(ISBLANK(Tabella3[[#This Row],[6-days moving avg]]))</f>
        <v>0</v>
      </c>
      <c r="X30" s="145">
        <f>Tabella8[[#This Row],[region fit]]</f>
        <v>0</v>
      </c>
      <c r="Y30" s="10">
        <f>Tabella3[[#This Row],[region cumul. fit]]/Kl</f>
        <v>0</v>
      </c>
      <c r="Z30" s="72">
        <f>IFERROR(Kl*psi_l*_xlfn.SECH(psi_l*(Tabella3[[#This Row],[Day]]-pl)-phi_l)^2/(1+TANH(phi_l)),0)</f>
        <v>7.4344626997153407</v>
      </c>
      <c r="AA30" s="72">
        <f>Tabella3[[#This Row],[region fit]]/y_l_peak</f>
        <v>5.0493923867473797E-2</v>
      </c>
      <c r="AB30" s="10">
        <f>Tabella3[[#This Row],[region fit]]*NOT(ISBLANK(Tabella3[[#This Row],[region data]]))</f>
        <v>0</v>
      </c>
      <c r="AC30" s="166">
        <f>IFERROR(kl_m*psi_l_m*_xlfn.SECH(psi_l_m*(Tabella3[[#This Row],[Day]]-pl_m)-phi_l_m)^2/(1+TANH(phi_l_m)),0)</f>
        <v>7.4344626997153407</v>
      </c>
      <c r="AD30" s="72">
        <f>Tabella3[[#This Row],[6-days moving avg fit]]*NOT(ISBLANK(Tabella3[[#This Row],[6-days moving avg]]))</f>
        <v>0</v>
      </c>
      <c r="AE30" s="72">
        <f>Tabella3[[#This Row],[region fit]]+CIl</f>
        <v>76.79944907481574</v>
      </c>
      <c r="AF30" s="72">
        <f>MAX(Tabella3[[#This Row],[region fit]]-CIl,0)</f>
        <v>0</v>
      </c>
      <c r="AG30" s="141"/>
      <c r="AH30" s="144"/>
      <c r="AI30" s="10">
        <f>Tabella3[[#This Row],[rest of Italy data]]*NOT(ISBLANK(Tabella3[[#This Row],[rest of Italy data]]))</f>
        <v>0</v>
      </c>
      <c r="AJ30" s="145">
        <f>Tabella8[[#This Row],[rest of Italy fit]]</f>
        <v>0</v>
      </c>
      <c r="AK30" s="72">
        <f>Tabella3[[#This Row],[rest of Italy cumul. fit]]/Ka</f>
        <v>0</v>
      </c>
      <c r="AL30" s="72">
        <f>IFERROR(Ka*psi_a*_xlfn.SECH(psi_a*(Tabella3[[#This Row],[Day]]-pa)-phi_a)^2/(1+TANH(phi_a)),0)</f>
        <v>72.733157034088208</v>
      </c>
      <c r="AM30" s="72">
        <f>Tabella3[[#This Row],[rest of Italy fit]]/y_a_peak</f>
        <v>2.4088226537586351E-2</v>
      </c>
      <c r="AN30" s="10">
        <f>Tabella3[[#This Row],[rest of Italy fit]]*NOT(ISBLANK(Tabella3[[#This Row],[rest of Italy data]]))</f>
        <v>0</v>
      </c>
      <c r="AO30" s="72">
        <f>Tabella3[[#This Row],[rest of Italy fit]]+CIa</f>
        <v>1706.8670969878897</v>
      </c>
      <c r="AP30" s="72">
        <f>MAX(Tabella3[[#This Row],[rest of Italy fit]]-CIa,0)</f>
        <v>0</v>
      </c>
      <c r="AQ30" s="1"/>
      <c r="AR30" s="19" t="s">
        <v>128</v>
      </c>
      <c r="AS30" s="34">
        <f>_xlfn.XLOOKUP(ROUND(phi_l/psi_l+pl,0),Tabella3[Day],Tabella3[Date])</f>
        <v>43961</v>
      </c>
      <c r="AU30" s="19" t="s">
        <v>128</v>
      </c>
      <c r="AV30" s="34">
        <f>_xlfn.XLOOKUP(ROUND(phi_l_m/psi_l_m+pl_m,0),Tabella3[Day],Tabella3[Date])</f>
        <v>43961</v>
      </c>
      <c r="BF30" s="48" t="b">
        <f>psi_a&gt;=0.000001</f>
        <v>1</v>
      </c>
    </row>
    <row r="31" spans="2:58" x14ac:dyDescent="0.3">
      <c r="B31" s="134">
        <v>43854</v>
      </c>
      <c r="C31" s="4">
        <v>24</v>
      </c>
      <c r="D31" s="141"/>
      <c r="E31" s="144"/>
      <c r="F31" s="10">
        <f>Tabella3[[#This Row],[Italy remov. rate data]]*NOT(ISBLANK(Tabella3[[#This Row],[Italy remov. rate data]]))</f>
        <v>0</v>
      </c>
      <c r="G31" s="158">
        <f>Tabella3[[#This Row],[region cumul. fit]]+Tabella3[[#This Row],[rest of Italy cumul. fit]]</f>
        <v>0</v>
      </c>
      <c r="H31" s="158">
        <f>Tabella3[[#This Row],[Italy cumul. fit]]/Kf</f>
        <v>0</v>
      </c>
      <c r="I31" s="143">
        <f>Tabella3[[#This Row],[region fit]]+Tabella3[[#This Row],[rest of Italy fit]]</f>
        <v>84.245889770457651</v>
      </c>
      <c r="J31" s="143">
        <f>Tabella3[[#This Row],[Italy (fit of selected region + fitted sum of the other regions)]]/(y_l_peak+y_a_peak)</f>
        <v>2.6603826319586594E-2</v>
      </c>
      <c r="K31" s="72">
        <f>IFERROR(Kf*psi_f*_xlfn.SECH(psi_f*(Tabella3[[#This Row],[Day]]-pf)-phi_f)^2/(1+TANH(phi_f)),0)</f>
        <v>84.807171866772094</v>
      </c>
      <c r="L31" s="292">
        <f>Tabella3[[#This Row],[Italy remov. rate fit]]-Tabella3[[#This Row],[Italy remov. rate data]]</f>
        <v>84.807171866772094</v>
      </c>
      <c r="M31" s="293">
        <f>Tabella3[[#This Row],[rem. rate residuals]]*NOT(ISBLANK(Tabella3[[#This Row],[Italy remov. rate data]]))</f>
        <v>0</v>
      </c>
      <c r="N31" s="72">
        <f>Tabella3[[#This Row],[Italy remov. rate fit]]/y_f_peak</f>
        <v>2.6846298702818919E-2</v>
      </c>
      <c r="O31" s="10">
        <f>Tabella3[[#This Row],[Italy (fit of selected region + fitted sum of the other regions)]]*NOT(ISBLANK(Tabella3[[#This Row],[Italy remov. rate data]]))</f>
        <v>0</v>
      </c>
      <c r="P31" s="72">
        <f>Tabella3[[#This Row],[Italy remov. rate fit]]*NOT(ISBLANK(Tabella3[[#This Row],[Italy remov. rate data]]))</f>
        <v>0</v>
      </c>
      <c r="Q31" s="72">
        <f>Tabella3[[#This Row],[Italy remov. rate fit]]+CIf</f>
        <v>1740.0171407905234</v>
      </c>
      <c r="R31" s="72">
        <f>MAX(Tabella3[[#This Row],[Italy remov. rate fit]]-CIf,0)</f>
        <v>0</v>
      </c>
      <c r="S31" s="139"/>
      <c r="T31" s="144"/>
      <c r="U31" s="10">
        <f>Tabella3[[#This Row],[region data]]*NOT(ISBLANK(Tabella3[[#This Row],[region data]]))</f>
        <v>0</v>
      </c>
      <c r="V31"/>
      <c r="W31" s="72">
        <f>Tabella3[[#This Row],[6-days moving avg]]*NOT(ISBLANK(Tabella3[[#This Row],[6-days moving avg]]))</f>
        <v>0</v>
      </c>
      <c r="X31" s="145">
        <f>Tabella8[[#This Row],[region fit]]</f>
        <v>0</v>
      </c>
      <c r="Y31" s="10">
        <f>Tabella3[[#This Row],[region cumul. fit]]/Kl</f>
        <v>0</v>
      </c>
      <c r="Z31" s="72">
        <f>IFERROR(Kl*psi_l*_xlfn.SECH(psi_l*(Tabella3[[#This Row],[Day]]-pl)-phi_l)^2/(1+TANH(phi_l)),0)</f>
        <v>7.731966555348829</v>
      </c>
      <c r="AA31" s="72">
        <f>Tabella3[[#This Row],[region fit]]/y_l_peak</f>
        <v>5.2514532167413544E-2</v>
      </c>
      <c r="AB31" s="10">
        <f>Tabella3[[#This Row],[region fit]]*NOT(ISBLANK(Tabella3[[#This Row],[region data]]))</f>
        <v>0</v>
      </c>
      <c r="AC31" s="166">
        <f>IFERROR(kl_m*psi_l_m*_xlfn.SECH(psi_l_m*(Tabella3[[#This Row],[Day]]-pl_m)-phi_l_m)^2/(1+TANH(phi_l_m)),0)</f>
        <v>7.731966555348829</v>
      </c>
      <c r="AD31" s="72">
        <f>Tabella3[[#This Row],[6-days moving avg fit]]*NOT(ISBLANK(Tabella3[[#This Row],[6-days moving avg]]))</f>
        <v>0</v>
      </c>
      <c r="AE31" s="72">
        <f>Tabella3[[#This Row],[region fit]]+CIl</f>
        <v>77.096952930449234</v>
      </c>
      <c r="AF31" s="72">
        <f>MAX(Tabella3[[#This Row],[region fit]]-CIl,0)</f>
        <v>0</v>
      </c>
      <c r="AG31" s="141"/>
      <c r="AH31" s="144"/>
      <c r="AI31" s="10">
        <f>Tabella3[[#This Row],[rest of Italy data]]*NOT(ISBLANK(Tabella3[[#This Row],[rest of Italy data]]))</f>
        <v>0</v>
      </c>
      <c r="AJ31" s="145">
        <f>Tabella8[[#This Row],[rest of Italy fit]]</f>
        <v>0</v>
      </c>
      <c r="AK31" s="72">
        <f>Tabella3[[#This Row],[rest of Italy cumul. fit]]/Ka</f>
        <v>0</v>
      </c>
      <c r="AL31" s="72">
        <f>IFERROR(Ka*psi_a*_xlfn.SECH(psi_a*(Tabella3[[#This Row],[Day]]-pa)-phi_a)^2/(1+TANH(phi_a)),0)</f>
        <v>76.513923215108818</v>
      </c>
      <c r="AM31" s="72">
        <f>Tabella3[[#This Row],[rest of Italy fit]]/y_a_peak</f>
        <v>2.5340364571569761E-2</v>
      </c>
      <c r="AN31" s="10">
        <f>Tabella3[[#This Row],[rest of Italy fit]]*NOT(ISBLANK(Tabella3[[#This Row],[rest of Italy data]]))</f>
        <v>0</v>
      </c>
      <c r="AO31" s="72">
        <f>Tabella3[[#This Row],[rest of Italy fit]]+CIa</f>
        <v>1710.6478631689104</v>
      </c>
      <c r="AP31" s="72">
        <f>MAX(Tabella3[[#This Row],[rest of Italy fit]]-CIa,0)</f>
        <v>0</v>
      </c>
      <c r="AQ31" s="1"/>
      <c r="AR31" s="14" t="s">
        <v>356</v>
      </c>
      <c r="AS31" s="136">
        <f>pr</f>
        <v>76.356483051343162</v>
      </c>
      <c r="AU31" s="14" t="s">
        <v>356</v>
      </c>
      <c r="AV31" s="136">
        <f>pr</f>
        <v>76.356483051343162</v>
      </c>
      <c r="BF31" s="48">
        <f>{32767;32767;0.000001;0.01;FALSE;FALSE;FALSE;1;2;1;0.0001;TRUE}</f>
        <v>32767</v>
      </c>
    </row>
    <row r="32" spans="2:58" x14ac:dyDescent="0.3">
      <c r="B32" s="134">
        <v>43855</v>
      </c>
      <c r="C32" s="4">
        <v>25</v>
      </c>
      <c r="D32" s="141"/>
      <c r="E32" s="144"/>
      <c r="F32" s="10">
        <f>Tabella3[[#This Row],[Italy remov. rate data]]*NOT(ISBLANK(Tabella3[[#This Row],[Italy remov. rate data]]))</f>
        <v>0</v>
      </c>
      <c r="G32" s="158">
        <f>Tabella3[[#This Row],[region cumul. fit]]+Tabella3[[#This Row],[rest of Italy cumul. fit]]</f>
        <v>0</v>
      </c>
      <c r="H32" s="158">
        <f>Tabella3[[#This Row],[Italy cumul. fit]]/Kf</f>
        <v>0</v>
      </c>
      <c r="I32" s="143">
        <f>Tabella3[[#This Row],[region fit]]+Tabella3[[#This Row],[rest of Italy fit]]</f>
        <v>88.529565669025459</v>
      </c>
      <c r="J32" s="143">
        <f>Tabella3[[#This Row],[Italy (fit of selected region + fitted sum of the other regions)]]/(y_l_peak+y_a_peak)</f>
        <v>2.7956559015809596E-2</v>
      </c>
      <c r="K32" s="72">
        <f>IFERROR(Kf*psi_f*_xlfn.SECH(psi_f*(Tabella3[[#This Row],[Day]]-pf)-phi_f)^2/(1+TANH(phi_f)),0)</f>
        <v>89.139150523834033</v>
      </c>
      <c r="L32" s="292">
        <f>Tabella3[[#This Row],[Italy remov. rate fit]]-Tabella3[[#This Row],[Italy remov. rate data]]</f>
        <v>89.139150523834033</v>
      </c>
      <c r="M32" s="293">
        <f>Tabella3[[#This Row],[rem. rate residuals]]*NOT(ISBLANK(Tabella3[[#This Row],[Italy remov. rate data]]))</f>
        <v>0</v>
      </c>
      <c r="N32" s="72">
        <f>Tabella3[[#This Row],[Italy remov. rate fit]]/y_f_peak</f>
        <v>2.8217616604852239E-2</v>
      </c>
      <c r="O32" s="10">
        <f>Tabella3[[#This Row],[Italy (fit of selected region + fitted sum of the other regions)]]*NOT(ISBLANK(Tabella3[[#This Row],[Italy remov. rate data]]))</f>
        <v>0</v>
      </c>
      <c r="P32" s="72">
        <f>Tabella3[[#This Row],[Italy remov. rate fit]]*NOT(ISBLANK(Tabella3[[#This Row],[Italy remov. rate data]]))</f>
        <v>0</v>
      </c>
      <c r="Q32" s="72">
        <f>Tabella3[[#This Row],[Italy remov. rate fit]]+CIf</f>
        <v>1744.3491194475855</v>
      </c>
      <c r="R32" s="72">
        <f>MAX(Tabella3[[#This Row],[Italy remov. rate fit]]-CIf,0)</f>
        <v>0</v>
      </c>
      <c r="S32" s="139"/>
      <c r="T32" s="144"/>
      <c r="U32" s="10">
        <f>Tabella3[[#This Row],[region data]]*NOT(ISBLANK(Tabella3[[#This Row],[region data]]))</f>
        <v>0</v>
      </c>
      <c r="V32"/>
      <c r="W32" s="72">
        <f>Tabella3[[#This Row],[6-days moving avg]]*NOT(ISBLANK(Tabella3[[#This Row],[6-days moving avg]]))</f>
        <v>0</v>
      </c>
      <c r="X32" s="145">
        <f>Tabella8[[#This Row],[region fit]]</f>
        <v>0</v>
      </c>
      <c r="Y32" s="10">
        <f>Tabella3[[#This Row],[region cumul. fit]]/Kl</f>
        <v>0</v>
      </c>
      <c r="Z32" s="72">
        <f>IFERROR(Kl*psi_l*_xlfn.SECH(psi_l*(Tabella3[[#This Row],[Day]]-pl)-phi_l)^2/(1+TANH(phi_l)),0)</f>
        <v>8.041032832116878</v>
      </c>
      <c r="AA32" s="72">
        <f>Tabella3[[#This Row],[region fit]]/y_l_peak</f>
        <v>5.4613670959209083E-2</v>
      </c>
      <c r="AB32" s="10">
        <f>Tabella3[[#This Row],[region fit]]*NOT(ISBLANK(Tabella3[[#This Row],[region data]]))</f>
        <v>0</v>
      </c>
      <c r="AC32" s="166">
        <f>IFERROR(kl_m*psi_l_m*_xlfn.SECH(psi_l_m*(Tabella3[[#This Row],[Day]]-pl_m)-phi_l_m)^2/(1+TANH(phi_l_m)),0)</f>
        <v>8.041032832116878</v>
      </c>
      <c r="AD32" s="72">
        <f>Tabella3[[#This Row],[6-days moving avg fit]]*NOT(ISBLANK(Tabella3[[#This Row],[6-days moving avg]]))</f>
        <v>0</v>
      </c>
      <c r="AE32" s="72">
        <f>Tabella3[[#This Row],[region fit]]+CIl</f>
        <v>77.406019207217284</v>
      </c>
      <c r="AF32" s="72">
        <f>MAX(Tabella3[[#This Row],[region fit]]-CIl,0)</f>
        <v>0</v>
      </c>
      <c r="AG32" s="141"/>
      <c r="AH32" s="144"/>
      <c r="AI32" s="10">
        <f>Tabella3[[#This Row],[rest of Italy data]]*NOT(ISBLANK(Tabella3[[#This Row],[rest of Italy data]]))</f>
        <v>0</v>
      </c>
      <c r="AJ32" s="145">
        <f>Tabella8[[#This Row],[rest of Italy fit]]</f>
        <v>0</v>
      </c>
      <c r="AK32" s="72">
        <f>Tabella3[[#This Row],[rest of Italy cumul. fit]]/Ka</f>
        <v>0</v>
      </c>
      <c r="AL32" s="72">
        <f>IFERROR(Ka*psi_a*_xlfn.SECH(psi_a*(Tabella3[[#This Row],[Day]]-pa)-phi_a)^2/(1+TANH(phi_a)),0)</f>
        <v>80.488532836908576</v>
      </c>
      <c r="AM32" s="72">
        <f>Tabella3[[#This Row],[rest of Italy fit]]/y_a_peak</f>
        <v>2.6656700901141039E-2</v>
      </c>
      <c r="AN32" s="10">
        <f>Tabella3[[#This Row],[rest of Italy fit]]*NOT(ISBLANK(Tabella3[[#This Row],[rest of Italy data]]))</f>
        <v>0</v>
      </c>
      <c r="AO32" s="72">
        <f>Tabella3[[#This Row],[rest of Italy fit]]+CIa</f>
        <v>1714.6224727907102</v>
      </c>
      <c r="AP32" s="72">
        <f>MAX(Tabella3[[#This Row],[rest of Italy fit]]-CIa,0)</f>
        <v>0</v>
      </c>
      <c r="AQ32" s="1"/>
      <c r="AR32" s="35" t="s">
        <v>83</v>
      </c>
      <c r="AS32" s="36" t="s">
        <v>119</v>
      </c>
      <c r="BF32" s="48">
        <f>{0;0;1;200;0;FALSE;FALSE;0.075;0;0;FALSE;30}</f>
        <v>0</v>
      </c>
    </row>
    <row r="33" spans="2:58" ht="15" thickBot="1" x14ac:dyDescent="0.35">
      <c r="B33" s="134">
        <v>43856</v>
      </c>
      <c r="C33" s="4">
        <v>26</v>
      </c>
      <c r="D33" s="141"/>
      <c r="E33" s="144"/>
      <c r="F33" s="10">
        <f>Tabella3[[#This Row],[Italy remov. rate data]]*NOT(ISBLANK(Tabella3[[#This Row],[Italy remov. rate data]]))</f>
        <v>0</v>
      </c>
      <c r="G33" s="158">
        <f>Tabella3[[#This Row],[region cumul. fit]]+Tabella3[[#This Row],[rest of Italy cumul. fit]]</f>
        <v>0</v>
      </c>
      <c r="H33" s="158">
        <f>Tabella3[[#This Row],[Italy cumul. fit]]/Kf</f>
        <v>0</v>
      </c>
      <c r="I33" s="143">
        <f>Tabella3[[#This Row],[region fit]]+Tabella3[[#This Row],[rest of Italy fit]]</f>
        <v>93.028719030397141</v>
      </c>
      <c r="J33" s="143">
        <f>Tabella3[[#This Row],[Italy (fit of selected region + fitted sum of the other regions)]]/(y_l_peak+y_a_peak)</f>
        <v>2.9377336871408786E-2</v>
      </c>
      <c r="K33" s="72">
        <f>IFERROR(Kf*psi_f*_xlfn.SECH(psi_f*(Tabella3[[#This Row],[Day]]-pf)-phi_f)^2/(1+TANH(phi_f)),0)</f>
        <v>93.689033831601563</v>
      </c>
      <c r="L33" s="292">
        <f>Tabella3[[#This Row],[Italy remov. rate fit]]-Tabella3[[#This Row],[Italy remov. rate data]]</f>
        <v>93.689033831601563</v>
      </c>
      <c r="M33" s="293">
        <f>Tabella3[[#This Row],[rem. rate residuals]]*NOT(ISBLANK(Tabella3[[#This Row],[Italy remov. rate data]]))</f>
        <v>0</v>
      </c>
      <c r="N33" s="72">
        <f>Tabella3[[#This Row],[Italy remov. rate fit]]/y_f_peak</f>
        <v>2.9657913736033371E-2</v>
      </c>
      <c r="O33" s="10">
        <f>Tabella3[[#This Row],[Italy (fit of selected region + fitted sum of the other regions)]]*NOT(ISBLANK(Tabella3[[#This Row],[Italy remov. rate data]]))</f>
        <v>0</v>
      </c>
      <c r="P33" s="72">
        <f>Tabella3[[#This Row],[Italy remov. rate fit]]*NOT(ISBLANK(Tabella3[[#This Row],[Italy remov. rate data]]))</f>
        <v>0</v>
      </c>
      <c r="Q33" s="72">
        <f>Tabella3[[#This Row],[Italy remov. rate fit]]+CIf</f>
        <v>1748.899002755353</v>
      </c>
      <c r="R33" s="72">
        <f>MAX(Tabella3[[#This Row],[Italy remov. rate fit]]-CIf,0)</f>
        <v>0</v>
      </c>
      <c r="S33" s="139"/>
      <c r="T33" s="144"/>
      <c r="U33" s="10">
        <f>Tabella3[[#This Row],[region data]]*NOT(ISBLANK(Tabella3[[#This Row],[region data]]))</f>
        <v>0</v>
      </c>
      <c r="V33"/>
      <c r="W33" s="72">
        <f>Tabella3[[#This Row],[6-days moving avg]]*NOT(ISBLANK(Tabella3[[#This Row],[6-days moving avg]]))</f>
        <v>0</v>
      </c>
      <c r="X33" s="145">
        <f>Tabella8[[#This Row],[region fit]]</f>
        <v>0</v>
      </c>
      <c r="Y33" s="10">
        <f>Tabella3[[#This Row],[region cumul. fit]]/Kl</f>
        <v>0</v>
      </c>
      <c r="Z33" s="72">
        <f>IFERROR(Kl*psi_l*_xlfn.SECH(psi_l*(Tabella3[[#This Row],[Day]]-pl)-phi_l)^2/(1+TANH(phi_l)),0)</f>
        <v>8.362082588790873</v>
      </c>
      <c r="AA33" s="72">
        <f>Tabella3[[#This Row],[region fit]]/y_l_peak</f>
        <v>5.679420002041325E-2</v>
      </c>
      <c r="AB33" s="10">
        <f>Tabella3[[#This Row],[region fit]]*NOT(ISBLANK(Tabella3[[#This Row],[region data]]))</f>
        <v>0</v>
      </c>
      <c r="AC33" s="166">
        <f>IFERROR(kl_m*psi_l_m*_xlfn.SECH(psi_l_m*(Tabella3[[#This Row],[Day]]-pl_m)-phi_l_m)^2/(1+TANH(phi_l_m)),0)</f>
        <v>8.362082588790873</v>
      </c>
      <c r="AD33" s="72">
        <f>Tabella3[[#This Row],[6-days moving avg fit]]*NOT(ISBLANK(Tabella3[[#This Row],[6-days moving avg]]))</f>
        <v>0</v>
      </c>
      <c r="AE33" s="72">
        <f>Tabella3[[#This Row],[region fit]]+CIl</f>
        <v>77.72706896389127</v>
      </c>
      <c r="AF33" s="72">
        <f>MAX(Tabella3[[#This Row],[region fit]]-CIl,0)</f>
        <v>0</v>
      </c>
      <c r="AG33" s="141"/>
      <c r="AH33" s="144"/>
      <c r="AI33" s="10">
        <f>Tabella3[[#This Row],[rest of Italy data]]*NOT(ISBLANK(Tabella3[[#This Row],[rest of Italy data]]))</f>
        <v>0</v>
      </c>
      <c r="AJ33" s="145">
        <f>Tabella8[[#This Row],[rest of Italy fit]]</f>
        <v>0</v>
      </c>
      <c r="AK33" s="72">
        <f>Tabella3[[#This Row],[rest of Italy cumul. fit]]/Ka</f>
        <v>0</v>
      </c>
      <c r="AL33" s="72">
        <f>IFERROR(Ka*psi_a*_xlfn.SECH(psi_a*(Tabella3[[#This Row],[Day]]-pa)-phi_a)^2/(1+TANH(phi_a)),0)</f>
        <v>84.666636441606272</v>
      </c>
      <c r="AM33" s="72">
        <f>Tabella3[[#This Row],[rest of Italy fit]]/y_a_peak</f>
        <v>2.8040431653819562E-2</v>
      </c>
      <c r="AN33" s="10">
        <f>Tabella3[[#This Row],[rest of Italy fit]]*NOT(ISBLANK(Tabella3[[#This Row],[rest of Italy data]]))</f>
        <v>0</v>
      </c>
      <c r="AO33" s="72">
        <f>Tabella3[[#This Row],[rest of Italy fit]]+CIa</f>
        <v>1718.8005763954077</v>
      </c>
      <c r="AP33" s="72">
        <f>MAX(Tabella3[[#This Row],[rest of Italy fit]]-CIa,0)</f>
        <v>0</v>
      </c>
      <c r="AQ33" s="1"/>
      <c r="AR33" s="14" t="s">
        <v>0</v>
      </c>
      <c r="AS33" s="5">
        <f>Kf-Kl</f>
        <v>221844.11652703283</v>
      </c>
      <c r="BF33" s="48">
        <f>{0;0;1;200;0;FALSE;FALSE;0.075;0;0;FALSE;30}</f>
        <v>0</v>
      </c>
    </row>
    <row r="34" spans="2:58" x14ac:dyDescent="0.3">
      <c r="B34" s="134">
        <v>43857</v>
      </c>
      <c r="C34" s="4">
        <v>27</v>
      </c>
      <c r="D34" s="141"/>
      <c r="E34" s="144"/>
      <c r="F34" s="10">
        <f>Tabella3[[#This Row],[Italy remov. rate data]]*NOT(ISBLANK(Tabella3[[#This Row],[Italy remov. rate data]]))</f>
        <v>0</v>
      </c>
      <c r="G34" s="158">
        <f>Tabella3[[#This Row],[region cumul. fit]]+Tabella3[[#This Row],[rest of Italy cumul. fit]]</f>
        <v>0</v>
      </c>
      <c r="H34" s="158">
        <f>Tabella3[[#This Row],[Italy cumul. fit]]/Kf</f>
        <v>0</v>
      </c>
      <c r="I34" s="143">
        <f>Tabella3[[#This Row],[region fit]]+Tabella3[[#This Row],[rest of Italy fit]]</f>
        <v>97.753883926422191</v>
      </c>
      <c r="J34" s="143">
        <f>Tabella3[[#This Row],[Italy (fit of selected region + fitted sum of the other regions)]]/(y_l_peak+y_a_peak)</f>
        <v>3.086948641802488E-2</v>
      </c>
      <c r="K34" s="72">
        <f>IFERROR(Kf*psi_f*_xlfn.SECH(psi_f*(Tabella3[[#This Row],[Day]]-pf)-phi_f)^2/(1+TANH(phi_f)),0)</f>
        <v>98.46742708803265</v>
      </c>
      <c r="L34" s="292">
        <f>Tabella3[[#This Row],[Italy remov. rate fit]]-Tabella3[[#This Row],[Italy remov. rate data]]</f>
        <v>98.46742708803265</v>
      </c>
      <c r="M34" s="293">
        <f>Tabella3[[#This Row],[rem. rate residuals]]*NOT(ISBLANK(Tabella3[[#This Row],[Italy remov. rate data]]))</f>
        <v>0</v>
      </c>
      <c r="N34" s="72">
        <f>Tabella3[[#This Row],[Italy remov. rate fit]]/y_f_peak</f>
        <v>3.1170547277017492E-2</v>
      </c>
      <c r="O34" s="10">
        <f>Tabella3[[#This Row],[Italy (fit of selected region + fitted sum of the other regions)]]*NOT(ISBLANK(Tabella3[[#This Row],[Italy remov. rate data]]))</f>
        <v>0</v>
      </c>
      <c r="P34" s="72">
        <f>Tabella3[[#This Row],[Italy remov. rate fit]]*NOT(ISBLANK(Tabella3[[#This Row],[Italy remov. rate data]]))</f>
        <v>0</v>
      </c>
      <c r="Q34" s="72">
        <f>Tabella3[[#This Row],[Italy remov. rate fit]]+CIf</f>
        <v>1753.6773960117839</v>
      </c>
      <c r="R34" s="72">
        <f>MAX(Tabella3[[#This Row],[Italy remov. rate fit]]-CIf,0)</f>
        <v>0</v>
      </c>
      <c r="S34" s="139"/>
      <c r="T34" s="144"/>
      <c r="U34" s="10">
        <f>Tabella3[[#This Row],[region data]]*NOT(ISBLANK(Tabella3[[#This Row],[region data]]))</f>
        <v>0</v>
      </c>
      <c r="V34"/>
      <c r="W34" s="72">
        <f>Tabella3[[#This Row],[6-days moving avg]]*NOT(ISBLANK(Tabella3[[#This Row],[6-days moving avg]]))</f>
        <v>0</v>
      </c>
      <c r="X34" s="145">
        <f>Tabella8[[#This Row],[region fit]]</f>
        <v>0</v>
      </c>
      <c r="Y34" s="10">
        <f>Tabella3[[#This Row],[region cumul. fit]]/Kl</f>
        <v>0</v>
      </c>
      <c r="Z34" s="72">
        <f>IFERROR(Kl*psi_l*_xlfn.SECH(psi_l*(Tabella3[[#This Row],[Day]]-pl)-phi_l)^2/(1+TANH(phi_l)),0)</f>
        <v>8.6955498628099246</v>
      </c>
      <c r="AA34" s="72">
        <f>Tabella3[[#This Row],[region fit]]/y_l_peak</f>
        <v>5.9059067278037225E-2</v>
      </c>
      <c r="AB34" s="10">
        <f>Tabella3[[#This Row],[region fit]]*NOT(ISBLANK(Tabella3[[#This Row],[region data]]))</f>
        <v>0</v>
      </c>
      <c r="AC34" s="166">
        <f>IFERROR(kl_m*psi_l_m*_xlfn.SECH(psi_l_m*(Tabella3[[#This Row],[Day]]-pl_m)-phi_l_m)^2/(1+TANH(phi_l_m)),0)</f>
        <v>8.6955498628099246</v>
      </c>
      <c r="AD34" s="72">
        <f>Tabella3[[#This Row],[6-days moving avg fit]]*NOT(ISBLANK(Tabella3[[#This Row],[6-days moving avg]]))</f>
        <v>0</v>
      </c>
      <c r="AE34" s="72">
        <f>Tabella3[[#This Row],[region fit]]+CIl</f>
        <v>78.060536237910327</v>
      </c>
      <c r="AF34" s="72">
        <f>MAX(Tabella3[[#This Row],[region fit]]-CIl,0)</f>
        <v>0</v>
      </c>
      <c r="AG34" s="141"/>
      <c r="AH34" s="144"/>
      <c r="AI34" s="10">
        <f>Tabella3[[#This Row],[rest of Italy data]]*NOT(ISBLANK(Tabella3[[#This Row],[rest of Italy data]]))</f>
        <v>0</v>
      </c>
      <c r="AJ34" s="145">
        <f>Tabella8[[#This Row],[rest of Italy fit]]</f>
        <v>0</v>
      </c>
      <c r="AK34" s="72">
        <f>Tabella3[[#This Row],[rest of Italy cumul. fit]]/Ka</f>
        <v>0</v>
      </c>
      <c r="AL34" s="72">
        <f>IFERROR(Ka*psi_a*_xlfn.SECH(psi_a*(Tabella3[[#This Row],[Day]]-pa)-phi_a)^2/(1+TANH(phi_a)),0)</f>
        <v>89.058334063612264</v>
      </c>
      <c r="AM34" s="72">
        <f>Tabella3[[#This Row],[rest of Italy fit]]/y_a_peak</f>
        <v>2.9494901822822116E-2</v>
      </c>
      <c r="AN34" s="10">
        <f>Tabella3[[#This Row],[rest of Italy fit]]*NOT(ISBLANK(Tabella3[[#This Row],[rest of Italy data]]))</f>
        <v>0</v>
      </c>
      <c r="AO34" s="72">
        <f>Tabella3[[#This Row],[rest of Italy fit]]+CIa</f>
        <v>1723.1922740174136</v>
      </c>
      <c r="AP34" s="72">
        <f>MAX(Tabella3[[#This Row],[rest of Italy fit]]-CIa,0)</f>
        <v>0</v>
      </c>
      <c r="AQ34" s="1"/>
      <c r="AR34" s="85" t="s">
        <v>4713</v>
      </c>
      <c r="AS34" s="30">
        <f>phi_o</f>
        <v>1.3985510202268787</v>
      </c>
      <c r="BF34" s="49"/>
    </row>
    <row r="35" spans="2:58" x14ac:dyDescent="0.3">
      <c r="B35" s="134">
        <v>43858</v>
      </c>
      <c r="C35" s="4">
        <v>28</v>
      </c>
      <c r="D35" s="141"/>
      <c r="E35" s="144"/>
      <c r="F35" s="10">
        <f>Tabella3[[#This Row],[Italy remov. rate data]]*NOT(ISBLANK(Tabella3[[#This Row],[Italy remov. rate data]]))</f>
        <v>0</v>
      </c>
      <c r="G35" s="158">
        <f>Tabella3[[#This Row],[region cumul. fit]]+Tabella3[[#This Row],[rest of Italy cumul. fit]]</f>
        <v>0</v>
      </c>
      <c r="H35" s="158">
        <f>Tabella3[[#This Row],[Italy cumul. fit]]/Kf</f>
        <v>0</v>
      </c>
      <c r="I35" s="143">
        <f>Tabella3[[#This Row],[region fit]]+Tabella3[[#This Row],[rest of Italy fit]]</f>
        <v>102.71607466269489</v>
      </c>
      <c r="J35" s="143">
        <f>Tabella3[[#This Row],[Italy (fit of selected region + fitted sum of the other regions)]]/(y_l_peak+y_a_peak)</f>
        <v>3.2436485839268496E-2</v>
      </c>
      <c r="K35" s="72">
        <f>IFERROR(Kf*psi_f*_xlfn.SECH(psi_f*(Tabella3[[#This Row],[Day]]-pf)-phi_f)^2/(1+TANH(phi_f)),0)</f>
        <v>103.48541415434609</v>
      </c>
      <c r="L35" s="292">
        <f>Tabella3[[#This Row],[Italy remov. rate fit]]-Tabella3[[#This Row],[Italy remov. rate data]]</f>
        <v>103.48541415434609</v>
      </c>
      <c r="M35" s="293">
        <f>Tabella3[[#This Row],[rem. rate residuals]]*NOT(ISBLANK(Tabella3[[#This Row],[Italy remov. rate data]]))</f>
        <v>0</v>
      </c>
      <c r="N35" s="72">
        <f>Tabella3[[#This Row],[Italy remov. rate fit]]/y_f_peak</f>
        <v>3.2759025900980593E-2</v>
      </c>
      <c r="O35" s="10">
        <f>Tabella3[[#This Row],[Italy (fit of selected region + fitted sum of the other regions)]]*NOT(ISBLANK(Tabella3[[#This Row],[Italy remov. rate data]]))</f>
        <v>0</v>
      </c>
      <c r="P35" s="72">
        <f>Tabella3[[#This Row],[Italy remov. rate fit]]*NOT(ISBLANK(Tabella3[[#This Row],[Italy remov. rate data]]))</f>
        <v>0</v>
      </c>
      <c r="Q35" s="72">
        <f>Tabella3[[#This Row],[Italy remov. rate fit]]+CIf</f>
        <v>1758.6953830780974</v>
      </c>
      <c r="R35" s="72">
        <f>MAX(Tabella3[[#This Row],[Italy remov. rate fit]]-CIf,0)</f>
        <v>0</v>
      </c>
      <c r="S35" s="139"/>
      <c r="T35" s="144"/>
      <c r="U35" s="10">
        <f>Tabella3[[#This Row],[region data]]*NOT(ISBLANK(Tabella3[[#This Row],[region data]]))</f>
        <v>0</v>
      </c>
      <c r="V35"/>
      <c r="W35" s="72">
        <f>Tabella3[[#This Row],[6-days moving avg]]*NOT(ISBLANK(Tabella3[[#This Row],[6-days moving avg]]))</f>
        <v>0</v>
      </c>
      <c r="X35" s="145">
        <f>Tabella8[[#This Row],[region fit]]</f>
        <v>0</v>
      </c>
      <c r="Y35" s="10">
        <f>Tabella3[[#This Row],[region cumul. fit]]/Kl</f>
        <v>0</v>
      </c>
      <c r="Z35" s="72">
        <f>IFERROR(Kl*psi_l*_xlfn.SECH(psi_l*(Tabella3[[#This Row],[Day]]-pl)-phi_l)^2/(1+TANH(phi_l)),0)</f>
        <v>9.0418818680633084</v>
      </c>
      <c r="AA35" s="72">
        <f>Tabella3[[#This Row],[region fit]]/y_l_peak</f>
        <v>6.1411310151863664E-2</v>
      </c>
      <c r="AB35" s="10">
        <f>Tabella3[[#This Row],[region fit]]*NOT(ISBLANK(Tabella3[[#This Row],[region data]]))</f>
        <v>0</v>
      </c>
      <c r="AC35" s="166">
        <f>IFERROR(kl_m*psi_l_m*_xlfn.SECH(psi_l_m*(Tabella3[[#This Row],[Day]]-pl_m)-phi_l_m)^2/(1+TANH(phi_l_m)),0)</f>
        <v>9.0418818680633084</v>
      </c>
      <c r="AD35" s="72">
        <f>Tabella3[[#This Row],[6-days moving avg fit]]*NOT(ISBLANK(Tabella3[[#This Row],[6-days moving avg]]))</f>
        <v>0</v>
      </c>
      <c r="AE35" s="72">
        <f>Tabella3[[#This Row],[region fit]]+CIl</f>
        <v>78.406868243163714</v>
      </c>
      <c r="AF35" s="72">
        <f>MAX(Tabella3[[#This Row],[region fit]]-CIl,0)</f>
        <v>0</v>
      </c>
      <c r="AG35" s="141"/>
      <c r="AH35" s="144"/>
      <c r="AI35" s="10">
        <f>Tabella3[[#This Row],[rest of Italy data]]*NOT(ISBLANK(Tabella3[[#This Row],[rest of Italy data]]))</f>
        <v>0</v>
      </c>
      <c r="AJ35" s="145">
        <f>Tabella8[[#This Row],[rest of Italy fit]]</f>
        <v>0</v>
      </c>
      <c r="AK35" s="72">
        <f>Tabella3[[#This Row],[rest of Italy cumul. fit]]/Ka</f>
        <v>0</v>
      </c>
      <c r="AL35" s="72">
        <f>IFERROR(Ka*psi_a*_xlfn.SECH(psi_a*(Tabella3[[#This Row],[Day]]-pa)-phi_a)^2/(1+TANH(phi_a)),0)</f>
        <v>93.67419279463158</v>
      </c>
      <c r="AM35" s="72">
        <f>Tabella3[[#This Row],[rest of Italy fit]]/y_a_peak</f>
        <v>3.1023611084351602E-2</v>
      </c>
      <c r="AN35" s="10">
        <f>Tabella3[[#This Row],[rest of Italy fit]]*NOT(ISBLANK(Tabella3[[#This Row],[rest of Italy data]]))</f>
        <v>0</v>
      </c>
      <c r="AO35" s="72">
        <f>Tabella3[[#This Row],[rest of Italy fit]]+CIa</f>
        <v>1727.8081327484331</v>
      </c>
      <c r="AP35" s="72">
        <f>MAX(Tabella3[[#This Row],[rest of Italy fit]]-CIa,0)</f>
        <v>0</v>
      </c>
      <c r="AR35" s="14" t="s">
        <v>4714</v>
      </c>
      <c r="AS35" s="30">
        <f>psi_o</f>
        <v>2.5656642133826582E-2</v>
      </c>
      <c r="AV35" s="1"/>
      <c r="BF35" s="45"/>
    </row>
    <row r="36" spans="2:58" x14ac:dyDescent="0.3">
      <c r="B36" s="134">
        <v>43859</v>
      </c>
      <c r="C36" s="4">
        <v>29</v>
      </c>
      <c r="D36" s="141"/>
      <c r="E36" s="144"/>
      <c r="F36" s="10">
        <f>Tabella3[[#This Row],[Italy remov. rate data]]*NOT(ISBLANK(Tabella3[[#This Row],[Italy remov. rate data]]))</f>
        <v>0</v>
      </c>
      <c r="G36" s="158">
        <f>Tabella3[[#This Row],[region cumul. fit]]+Tabella3[[#This Row],[rest of Italy cumul. fit]]</f>
        <v>0</v>
      </c>
      <c r="H36" s="158">
        <f>Tabella3[[#This Row],[Italy cumul. fit]]/Kf</f>
        <v>0</v>
      </c>
      <c r="I36" s="143">
        <f>Tabella3[[#This Row],[region fit]]+Tabella3[[#This Row],[rest of Italy fit]]</f>
        <v>107.92680382820986</v>
      </c>
      <c r="J36" s="143">
        <f>Tabella3[[#This Row],[Italy (fit of selected region + fitted sum of the other regions)]]/(y_l_peak+y_a_peak)</f>
        <v>3.4081970670581607E-2</v>
      </c>
      <c r="K36" s="72">
        <f>IFERROR(Kf*psi_f*_xlfn.SECH(psi_f*(Tabella3[[#This Row],[Day]]-pf)-phi_f)^2/(1+TANH(phi_f)),0)</f>
        <v>108.75457501912537</v>
      </c>
      <c r="L36" s="292">
        <f>Tabella3[[#This Row],[Italy remov. rate fit]]-Tabella3[[#This Row],[Italy remov. rate data]]</f>
        <v>108.75457501912537</v>
      </c>
      <c r="M36" s="293">
        <f>Tabella3[[#This Row],[rem. rate residuals]]*NOT(ISBLANK(Tabella3[[#This Row],[Italy remov. rate data]]))</f>
        <v>0</v>
      </c>
      <c r="N36" s="72">
        <f>Tabella3[[#This Row],[Italy remov. rate fit]]/y_f_peak</f>
        <v>3.4427015333658426E-2</v>
      </c>
      <c r="O36" s="10">
        <f>Tabella3[[#This Row],[Italy (fit of selected region + fitted sum of the other regions)]]*NOT(ISBLANK(Tabella3[[#This Row],[Italy remov. rate data]]))</f>
        <v>0</v>
      </c>
      <c r="P36" s="72">
        <f>Tabella3[[#This Row],[Italy remov. rate fit]]*NOT(ISBLANK(Tabella3[[#This Row],[Italy remov. rate data]]))</f>
        <v>0</v>
      </c>
      <c r="Q36" s="72">
        <f>Tabella3[[#This Row],[Italy remov. rate fit]]+CIf</f>
        <v>1763.9645439428768</v>
      </c>
      <c r="R36" s="72">
        <f>MAX(Tabella3[[#This Row],[Italy remov. rate fit]]-CIf,0)</f>
        <v>0</v>
      </c>
      <c r="S36" s="139"/>
      <c r="T36" s="144"/>
      <c r="U36" s="10">
        <f>Tabella3[[#This Row],[region data]]*NOT(ISBLANK(Tabella3[[#This Row],[region data]]))</f>
        <v>0</v>
      </c>
      <c r="V36"/>
      <c r="W36" s="72">
        <f>Tabella3[[#This Row],[6-days moving avg]]*NOT(ISBLANK(Tabella3[[#This Row],[6-days moving avg]]))</f>
        <v>0</v>
      </c>
      <c r="X36" s="145">
        <f>Tabella8[[#This Row],[region fit]]</f>
        <v>0</v>
      </c>
      <c r="Y36" s="10">
        <f>Tabella3[[#This Row],[region cumul. fit]]/Kl</f>
        <v>0</v>
      </c>
      <c r="Z36" s="72">
        <f>IFERROR(Kl*psi_l*_xlfn.SECH(psi_l*(Tabella3[[#This Row],[Day]]-pl)-phi_l)^2/(1+TANH(phi_l)),0)</f>
        <v>9.4015391760093685</v>
      </c>
      <c r="AA36" s="72">
        <f>Tabella3[[#This Row],[region fit]]/y_l_peak</f>
        <v>6.3854056784583238E-2</v>
      </c>
      <c r="AB36" s="10">
        <f>Tabella3[[#This Row],[region fit]]*NOT(ISBLANK(Tabella3[[#This Row],[region data]]))</f>
        <v>0</v>
      </c>
      <c r="AC36" s="166">
        <f>IFERROR(kl_m*psi_l_m*_xlfn.SECH(psi_l_m*(Tabella3[[#This Row],[Day]]-pl_m)-phi_l_m)^2/(1+TANH(phi_l_m)),0)</f>
        <v>9.4015391760093685</v>
      </c>
      <c r="AD36" s="72">
        <f>Tabella3[[#This Row],[6-days moving avg fit]]*NOT(ISBLANK(Tabella3[[#This Row],[6-days moving avg]]))</f>
        <v>0</v>
      </c>
      <c r="AE36" s="72">
        <f>Tabella3[[#This Row],[region fit]]+CIl</f>
        <v>78.766525551109766</v>
      </c>
      <c r="AF36" s="72">
        <f>MAX(Tabella3[[#This Row],[region fit]]-CIl,0)</f>
        <v>0</v>
      </c>
      <c r="AG36" s="141"/>
      <c r="AH36" s="144"/>
      <c r="AI36" s="10">
        <f>Tabella3[[#This Row],[rest of Italy data]]*NOT(ISBLANK(Tabella3[[#This Row],[rest of Italy data]]))</f>
        <v>0</v>
      </c>
      <c r="AJ36" s="145">
        <f>Tabella8[[#This Row],[rest of Italy fit]]</f>
        <v>0</v>
      </c>
      <c r="AK36" s="72">
        <f>Tabella3[[#This Row],[rest of Italy cumul. fit]]/Ka</f>
        <v>0</v>
      </c>
      <c r="AL36" s="72">
        <f>IFERROR(Ka*psi_a*_xlfn.SECH(psi_a*(Tabella3[[#This Row],[Day]]-pa)-phi_a)^2/(1+TANH(phi_a)),0)</f>
        <v>98.525264652200491</v>
      </c>
      <c r="AM36" s="72">
        <f>Tabella3[[#This Row],[rest of Italy fit]]/y_a_peak</f>
        <v>3.2630219715411898E-2</v>
      </c>
      <c r="AN36" s="10">
        <f>Tabella3[[#This Row],[rest of Italy fit]]*NOT(ISBLANK(Tabella3[[#This Row],[rest of Italy data]]))</f>
        <v>0</v>
      </c>
      <c r="AO36" s="72">
        <f>Tabella3[[#This Row],[rest of Italy fit]]+CIa</f>
        <v>1732.659204606002</v>
      </c>
      <c r="AP36" s="72">
        <f>MAX(Tabella3[[#This Row],[rest of Italy fit]]-CIa,0)</f>
        <v>0</v>
      </c>
      <c r="AR36" s="2" t="s">
        <v>1</v>
      </c>
      <c r="AS36" s="6">
        <f>AVERAGE(Tabella3[rest of Italy data])</f>
        <v>1843.5445544554455</v>
      </c>
      <c r="BF36" s="45"/>
    </row>
    <row r="37" spans="2:58" x14ac:dyDescent="0.3">
      <c r="B37" s="134">
        <v>43860</v>
      </c>
      <c r="C37" s="4">
        <v>30</v>
      </c>
      <c r="D37" s="141"/>
      <c r="E37" s="144"/>
      <c r="F37" s="10">
        <f>Tabella3[[#This Row],[Italy remov. rate data]]*NOT(ISBLANK(Tabella3[[#This Row],[Italy remov. rate data]]))</f>
        <v>0</v>
      </c>
      <c r="G37" s="158">
        <f>Tabella3[[#This Row],[region cumul. fit]]+Tabella3[[#This Row],[rest of Italy cumul. fit]]</f>
        <v>0</v>
      </c>
      <c r="H37" s="158">
        <f>Tabella3[[#This Row],[Italy cumul. fit]]/Kf</f>
        <v>0</v>
      </c>
      <c r="I37" s="143">
        <f>Tabella3[[#This Row],[region fit]]+Tabella3[[#This Row],[rest of Italy fit]]</f>
        <v>113.39810058450105</v>
      </c>
      <c r="J37" s="143">
        <f>Tabella3[[#This Row],[Italy (fit of selected region + fitted sum of the other regions)]]/(y_l_peak+y_a_peak)</f>
        <v>3.5809739574724997E-2</v>
      </c>
      <c r="K37" s="72">
        <f>IFERROR(Kf*psi_f*_xlfn.SECH(psi_f*(Tabella3[[#This Row],[Day]]-pf)-phi_f)^2/(1+TANH(phi_f)),0)</f>
        <v>114.28700355311413</v>
      </c>
      <c r="L37" s="292">
        <f>Tabella3[[#This Row],[Italy remov. rate fit]]-Tabella3[[#This Row],[Italy remov. rate data]]</f>
        <v>114.28700355311413</v>
      </c>
      <c r="M37" s="293">
        <f>Tabella3[[#This Row],[rem. rate residuals]]*NOT(ISBLANK(Tabella3[[#This Row],[Italy remov. rate data]]))</f>
        <v>0</v>
      </c>
      <c r="N37" s="72">
        <f>Tabella3[[#This Row],[Italy remov. rate fit]]/y_f_peak</f>
        <v>3.6178343973750166E-2</v>
      </c>
      <c r="O37" s="10">
        <f>Tabella3[[#This Row],[Italy (fit of selected region + fitted sum of the other regions)]]*NOT(ISBLANK(Tabella3[[#This Row],[Italy remov. rate data]]))</f>
        <v>0</v>
      </c>
      <c r="P37" s="72">
        <f>Tabella3[[#This Row],[Italy remov. rate fit]]*NOT(ISBLANK(Tabella3[[#This Row],[Italy remov. rate data]]))</f>
        <v>0</v>
      </c>
      <c r="Q37" s="72">
        <f>Tabella3[[#This Row],[Italy remov. rate fit]]+CIf</f>
        <v>1769.4969724768655</v>
      </c>
      <c r="R37" s="72">
        <f>MAX(Tabella3[[#This Row],[Italy remov. rate fit]]-CIf,0)</f>
        <v>0</v>
      </c>
      <c r="S37" s="139"/>
      <c r="T37" s="144"/>
      <c r="U37" s="10">
        <f>Tabella3[[#This Row],[region data]]*NOT(ISBLANK(Tabella3[[#This Row],[region data]]))</f>
        <v>0</v>
      </c>
      <c r="V37"/>
      <c r="W37" s="72">
        <f>Tabella3[[#This Row],[6-days moving avg]]*NOT(ISBLANK(Tabella3[[#This Row],[6-days moving avg]]))</f>
        <v>0</v>
      </c>
      <c r="X37" s="145">
        <f>Tabella8[[#This Row],[region fit]]</f>
        <v>0</v>
      </c>
      <c r="Y37" s="10">
        <f>Tabella3[[#This Row],[region cumul. fit]]/Kl</f>
        <v>0</v>
      </c>
      <c r="Z37" s="72">
        <f>IFERROR(Kl*psi_l*_xlfn.SECH(psi_l*(Tabella3[[#This Row],[Day]]-pl)-phi_l)^2/(1+TANH(phi_l)),0)</f>
        <v>9.7749958777701771</v>
      </c>
      <c r="AA37" s="72">
        <f>Tabella3[[#This Row],[region fit]]/y_l_peak</f>
        <v>6.6390527142720909E-2</v>
      </c>
      <c r="AB37" s="10">
        <f>Tabella3[[#This Row],[region fit]]*NOT(ISBLANK(Tabella3[[#This Row],[region data]]))</f>
        <v>0</v>
      </c>
      <c r="AC37" s="166">
        <f>IFERROR(kl_m*psi_l_m*_xlfn.SECH(psi_l_m*(Tabella3[[#This Row],[Day]]-pl_m)-phi_l_m)^2/(1+TANH(phi_l_m)),0)</f>
        <v>9.7749958777701771</v>
      </c>
      <c r="AD37" s="72">
        <f>Tabella3[[#This Row],[6-days moving avg fit]]*NOT(ISBLANK(Tabella3[[#This Row],[6-days moving avg]]))</f>
        <v>0</v>
      </c>
      <c r="AE37" s="72">
        <f>Tabella3[[#This Row],[region fit]]+CIl</f>
        <v>79.139982252870581</v>
      </c>
      <c r="AF37" s="72">
        <f>MAX(Tabella3[[#This Row],[region fit]]-CIl,0)</f>
        <v>0</v>
      </c>
      <c r="AG37" s="141"/>
      <c r="AH37" s="144"/>
      <c r="AI37" s="10">
        <f>Tabella3[[#This Row],[rest of Italy data]]*NOT(ISBLANK(Tabella3[[#This Row],[rest of Italy data]]))</f>
        <v>0</v>
      </c>
      <c r="AJ37" s="145">
        <f>Tabella8[[#This Row],[rest of Italy fit]]</f>
        <v>0</v>
      </c>
      <c r="AK37" s="72">
        <f>Tabella3[[#This Row],[rest of Italy cumul. fit]]/Ka</f>
        <v>0</v>
      </c>
      <c r="AL37" s="72">
        <f>IFERROR(Ka*psi_a*_xlfn.SECH(psi_a*(Tabella3[[#This Row],[Day]]-pa)-phi_a)^2/(1+TANH(phi_a)),0)</f>
        <v>103.62310470673087</v>
      </c>
      <c r="AM37" s="72">
        <f>Tabella3[[#This Row],[rest of Italy fit]]/y_a_peak</f>
        <v>3.4318554597236935E-2</v>
      </c>
      <c r="AN37" s="10">
        <f>Tabella3[[#This Row],[rest of Italy fit]]*NOT(ISBLANK(Tabella3[[#This Row],[rest of Italy data]]))</f>
        <v>0</v>
      </c>
      <c r="AO37" s="72">
        <f>Tabella3[[#This Row],[rest of Italy fit]]+CIa</f>
        <v>1737.7570446605323</v>
      </c>
      <c r="AP37" s="72">
        <f>MAX(Tabella3[[#This Row],[rest of Italy fit]]-CIa,0)</f>
        <v>0</v>
      </c>
      <c r="AR37" s="2" t="s">
        <v>2</v>
      </c>
      <c r="AS37" s="1">
        <f>COUNT(Tabella3[rest of Italy data])-COUNT(AS33:AS35,pa)</f>
        <v>97</v>
      </c>
      <c r="BF37" s="45"/>
    </row>
    <row r="38" spans="2:58" x14ac:dyDescent="0.3">
      <c r="B38" s="134">
        <v>43861</v>
      </c>
      <c r="C38" s="4">
        <v>31</v>
      </c>
      <c r="D38" s="141"/>
      <c r="E38" s="144"/>
      <c r="F38" s="10">
        <f>Tabella3[[#This Row],[Italy remov. rate data]]*NOT(ISBLANK(Tabella3[[#This Row],[Italy remov. rate data]]))</f>
        <v>0</v>
      </c>
      <c r="G38" s="158">
        <f>Tabella3[[#This Row],[region cumul. fit]]+Tabella3[[#This Row],[rest of Italy cumul. fit]]</f>
        <v>0</v>
      </c>
      <c r="H38" s="158">
        <f>Tabella3[[#This Row],[Italy cumul. fit]]/Kf</f>
        <v>0</v>
      </c>
      <c r="I38" s="143">
        <f>Tabella3[[#This Row],[region fit]]+Tabella3[[#This Row],[rest of Italy fit]]</f>
        <v>119.14252913869767</v>
      </c>
      <c r="J38" s="143">
        <f>Tabella3[[#This Row],[Italy (fit of selected region + fitted sum of the other regions)]]/(y_l_peak+y_a_peak)</f>
        <v>3.7623760175344391E-2</v>
      </c>
      <c r="K38" s="72">
        <f>IFERROR(Kf*psi_f*_xlfn.SECH(psi_f*(Tabella3[[#This Row],[Day]]-pf)-phi_f)^2/(1+TANH(phi_f)),0)</f>
        <v>120.09532539591808</v>
      </c>
      <c r="L38" s="292">
        <f>Tabella3[[#This Row],[Italy remov. rate fit]]-Tabella3[[#This Row],[Italy remov. rate data]]</f>
        <v>120.09532539591808</v>
      </c>
      <c r="M38" s="293">
        <f>Tabella3[[#This Row],[rem. rate residuals]]*NOT(ISBLANK(Tabella3[[#This Row],[Italy remov. rate data]]))</f>
        <v>0</v>
      </c>
      <c r="N38" s="72">
        <f>Tabella3[[#This Row],[Italy remov. rate fit]]/y_f_peak</f>
        <v>3.8017008555078079E-2</v>
      </c>
      <c r="O38" s="10">
        <f>Tabella3[[#This Row],[Italy (fit of selected region + fitted sum of the other regions)]]*NOT(ISBLANK(Tabella3[[#This Row],[Italy remov. rate data]]))</f>
        <v>0</v>
      </c>
      <c r="P38" s="72">
        <f>Tabella3[[#This Row],[Italy remov. rate fit]]*NOT(ISBLANK(Tabella3[[#This Row],[Italy remov. rate data]]))</f>
        <v>0</v>
      </c>
      <c r="Q38" s="72">
        <f>Tabella3[[#This Row],[Italy remov. rate fit]]+CIf</f>
        <v>1775.3052943196694</v>
      </c>
      <c r="R38" s="72">
        <f>MAX(Tabella3[[#This Row],[Italy remov. rate fit]]-CIf,0)</f>
        <v>0</v>
      </c>
      <c r="S38" s="139"/>
      <c r="T38" s="144"/>
      <c r="U38" s="10">
        <f>Tabella3[[#This Row],[region data]]*NOT(ISBLANK(Tabella3[[#This Row],[region data]]))</f>
        <v>0</v>
      </c>
      <c r="V38"/>
      <c r="W38" s="72">
        <f>Tabella3[[#This Row],[6-days moving avg]]*NOT(ISBLANK(Tabella3[[#This Row],[6-days moving avg]]))</f>
        <v>0</v>
      </c>
      <c r="X38" s="145">
        <f>Tabella8[[#This Row],[region fit]]</f>
        <v>0</v>
      </c>
      <c r="Y38" s="10">
        <f>Tabella3[[#This Row],[region cumul. fit]]/Kl</f>
        <v>0</v>
      </c>
      <c r="Z38" s="72">
        <f>IFERROR(Kl*psi_l*_xlfn.SECH(psi_l*(Tabella3[[#This Row],[Day]]-pl)-phi_l)^2/(1+TANH(phi_l)),0)</f>
        <v>10.162739724651402</v>
      </c>
      <c r="AA38" s="72">
        <f>Tabella3[[#This Row],[region fit]]/y_l_peak</f>
        <v>6.9024033971028992E-2</v>
      </c>
      <c r="AB38" s="10">
        <f>Tabella3[[#This Row],[region fit]]*NOT(ISBLANK(Tabella3[[#This Row],[region data]]))</f>
        <v>0</v>
      </c>
      <c r="AC38" s="166">
        <f>IFERROR(kl_m*psi_l_m*_xlfn.SECH(psi_l_m*(Tabella3[[#This Row],[Day]]-pl_m)-phi_l_m)^2/(1+TANH(phi_l_m)),0)</f>
        <v>10.162739724651402</v>
      </c>
      <c r="AD38" s="72">
        <f>Tabella3[[#This Row],[6-days moving avg fit]]*NOT(ISBLANK(Tabella3[[#This Row],[6-days moving avg]]))</f>
        <v>0</v>
      </c>
      <c r="AE38" s="72">
        <f>Tabella3[[#This Row],[region fit]]+CIl</f>
        <v>79.527726099751803</v>
      </c>
      <c r="AF38" s="72">
        <f>MAX(Tabella3[[#This Row],[region fit]]-CIl,0)</f>
        <v>0</v>
      </c>
      <c r="AG38" s="141"/>
      <c r="AH38" s="144"/>
      <c r="AI38" s="10">
        <f>Tabella3[[#This Row],[rest of Italy data]]*NOT(ISBLANK(Tabella3[[#This Row],[rest of Italy data]]))</f>
        <v>0</v>
      </c>
      <c r="AJ38" s="145">
        <f>Tabella8[[#This Row],[rest of Italy fit]]</f>
        <v>0</v>
      </c>
      <c r="AK38" s="72">
        <f>Tabella3[[#This Row],[rest of Italy cumul. fit]]/Ka</f>
        <v>0</v>
      </c>
      <c r="AL38" s="72">
        <f>IFERROR(Ka*psi_a*_xlfn.SECH(psi_a*(Tabella3[[#This Row],[Day]]-pa)-phi_a)^2/(1+TANH(phi_a)),0)</f>
        <v>108.97978941404627</v>
      </c>
      <c r="AM38" s="72">
        <f>Tabella3[[#This Row],[rest of Italy fit]]/y_a_peak</f>
        <v>3.6092615286775862E-2</v>
      </c>
      <c r="AN38" s="10">
        <f>Tabella3[[#This Row],[rest of Italy fit]]*NOT(ISBLANK(Tabella3[[#This Row],[rest of Italy data]]))</f>
        <v>0</v>
      </c>
      <c r="AO38" s="72">
        <f>Tabella3[[#This Row],[rest of Italy fit]]+CIa</f>
        <v>1743.1137293678478</v>
      </c>
      <c r="AP38" s="72">
        <f>MAX(Tabella3[[#This Row],[rest of Italy fit]]-CIa,0)</f>
        <v>0</v>
      </c>
      <c r="AR38" s="2" t="s">
        <v>3</v>
      </c>
      <c r="AS38" s="6" cm="1">
        <f t="array" ref="AS38">SQRT(SUM((Tabella3[Colonna33]-Tabella3[Colonna322])^2)/dfa)</f>
        <v>823.3560989609399</v>
      </c>
      <c r="BF38" s="45"/>
    </row>
    <row r="39" spans="2:58" ht="16.2" x14ac:dyDescent="0.3">
      <c r="B39" s="134">
        <v>43862</v>
      </c>
      <c r="C39" s="4">
        <v>32</v>
      </c>
      <c r="D39" s="141"/>
      <c r="E39" s="144"/>
      <c r="F39" s="10">
        <f>Tabella3[[#This Row],[Italy remov. rate data]]*NOT(ISBLANK(Tabella3[[#This Row],[Italy remov. rate data]]))</f>
        <v>0</v>
      </c>
      <c r="G39" s="158">
        <f>Tabella3[[#This Row],[region cumul. fit]]+Tabella3[[#This Row],[rest of Italy cumul. fit]]</f>
        <v>0</v>
      </c>
      <c r="H39" s="158">
        <f>Tabella3[[#This Row],[Italy cumul. fit]]/Kf</f>
        <v>0</v>
      </c>
      <c r="I39" s="143">
        <f>Tabella3[[#This Row],[region fit]]+Tabella3[[#This Row],[rest of Italy fit]]</f>
        <v>125.17320733586405</v>
      </c>
      <c r="J39" s="143">
        <f>Tabella3[[#This Row],[Italy (fit of selected region + fitted sum of the other regions)]]/(y_l_peak+y_a_peak)</f>
        <v>3.952817492820504E-2</v>
      </c>
      <c r="K39" s="72">
        <f>IFERROR(Kf*psi_f*_xlfn.SECH(psi_f*(Tabella3[[#This Row],[Day]]-pf)-phi_f)^2/(1+TANH(phi_f)),0)</f>
        <v>126.19271590669184</v>
      </c>
      <c r="L39" s="292">
        <f>Tabella3[[#This Row],[Italy remov. rate fit]]-Tabella3[[#This Row],[Italy remov. rate data]]</f>
        <v>126.19271590669184</v>
      </c>
      <c r="M39" s="293">
        <f>Tabella3[[#This Row],[rem. rate residuals]]*NOT(ISBLANK(Tabella3[[#This Row],[Italy remov. rate data]]))</f>
        <v>0</v>
      </c>
      <c r="N39" s="72">
        <f>Tabella3[[#This Row],[Italy remov. rate fit]]/y_f_peak</f>
        <v>3.9947179829001922E-2</v>
      </c>
      <c r="O39" s="10">
        <f>Tabella3[[#This Row],[Italy (fit of selected region + fitted sum of the other regions)]]*NOT(ISBLANK(Tabella3[[#This Row],[Italy remov. rate data]]))</f>
        <v>0</v>
      </c>
      <c r="P39" s="72">
        <f>Tabella3[[#This Row],[Italy remov. rate fit]]*NOT(ISBLANK(Tabella3[[#This Row],[Italy remov. rate data]]))</f>
        <v>0</v>
      </c>
      <c r="Q39" s="72">
        <f>Tabella3[[#This Row],[Italy remov. rate fit]]+CIf</f>
        <v>1781.4026848304431</v>
      </c>
      <c r="R39" s="72">
        <f>MAX(Tabella3[[#This Row],[Italy remov. rate fit]]-CIf,0)</f>
        <v>0</v>
      </c>
      <c r="S39" s="139"/>
      <c r="T39" s="144"/>
      <c r="U39" s="10">
        <f>Tabella3[[#This Row],[region data]]*NOT(ISBLANK(Tabella3[[#This Row],[region data]]))</f>
        <v>0</v>
      </c>
      <c r="V39"/>
      <c r="W39" s="72">
        <f>Tabella3[[#This Row],[6-days moving avg]]*NOT(ISBLANK(Tabella3[[#This Row],[6-days moving avg]]))</f>
        <v>0</v>
      </c>
      <c r="X39" s="145">
        <f>Tabella8[[#This Row],[region fit]]</f>
        <v>0</v>
      </c>
      <c r="Y39" s="10">
        <f>Tabella3[[#This Row],[region cumul. fit]]/Kl</f>
        <v>0</v>
      </c>
      <c r="Z39" s="72">
        <f>IFERROR(Kl*psi_l*_xlfn.SECH(psi_l*(Tabella3[[#This Row],[Day]]-pl)-phi_l)^2/(1+TANH(phi_l)),0)</f>
        <v>10.565272244335572</v>
      </c>
      <c r="AA39" s="72">
        <f>Tabella3[[#This Row],[region fit]]/y_l_peak</f>
        <v>7.1757983581656956E-2</v>
      </c>
      <c r="AB39" s="10">
        <f>Tabella3[[#This Row],[region fit]]*NOT(ISBLANK(Tabella3[[#This Row],[region data]]))</f>
        <v>0</v>
      </c>
      <c r="AC39" s="166">
        <f>IFERROR(kl_m*psi_l_m*_xlfn.SECH(psi_l_m*(Tabella3[[#This Row],[Day]]-pl_m)-phi_l_m)^2/(1+TANH(phi_l_m)),0)</f>
        <v>10.565272244335572</v>
      </c>
      <c r="AD39" s="72">
        <f>Tabella3[[#This Row],[6-days moving avg fit]]*NOT(ISBLANK(Tabella3[[#This Row],[6-days moving avg]]))</f>
        <v>0</v>
      </c>
      <c r="AE39" s="72">
        <f>Tabella3[[#This Row],[region fit]]+CIl</f>
        <v>79.930258619435975</v>
      </c>
      <c r="AF39" s="72">
        <f>MAX(Tabella3[[#This Row],[region fit]]-CIl,0)</f>
        <v>0</v>
      </c>
      <c r="AG39" s="141"/>
      <c r="AH39" s="144"/>
      <c r="AI39" s="10">
        <f>Tabella3[[#This Row],[rest of Italy data]]*NOT(ISBLANK(Tabella3[[#This Row],[rest of Italy data]]))</f>
        <v>0</v>
      </c>
      <c r="AJ39" s="145">
        <f>Tabella8[[#This Row],[rest of Italy fit]]</f>
        <v>0</v>
      </c>
      <c r="AK39" s="72">
        <f>Tabella3[[#This Row],[rest of Italy cumul. fit]]/Ka</f>
        <v>0</v>
      </c>
      <c r="AL39" s="72">
        <f>IFERROR(Ka*psi_a*_xlfn.SECH(psi_a*(Tabella3[[#This Row],[Day]]-pa)-phi_a)^2/(1+TANH(phi_a)),0)</f>
        <v>114.60793509152847</v>
      </c>
      <c r="AM39" s="72">
        <f>Tabella3[[#This Row],[rest of Italy fit]]/y_a_peak</f>
        <v>3.7956580135739999E-2</v>
      </c>
      <c r="AN39" s="10">
        <f>Tabella3[[#This Row],[rest of Italy fit]]*NOT(ISBLANK(Tabella3[[#This Row],[rest of Italy data]]))</f>
        <v>0</v>
      </c>
      <c r="AO39" s="72">
        <f>Tabella3[[#This Row],[rest of Italy fit]]+CIa</f>
        <v>1748.7418750453298</v>
      </c>
      <c r="AP39" s="72">
        <f>MAX(Tabella3[[#This Row],[rest of Italy fit]]-CIa,0)</f>
        <v>0</v>
      </c>
      <c r="AR39" s="2" t="s">
        <v>4</v>
      </c>
      <c r="AS39" s="7" cm="1">
        <f t="array" ref="AS39">1-SUM((Tabella3[Colonna33]-Tabella3[Colonna322])^2)/SUM((Tabella3[Colonna33]-Mean_of_ya)^2)</f>
        <v>0.91190311998525608</v>
      </c>
      <c r="BF39" s="45"/>
    </row>
    <row r="40" spans="2:58" x14ac:dyDescent="0.3">
      <c r="B40" s="134">
        <v>43863</v>
      </c>
      <c r="C40" s="4">
        <v>33</v>
      </c>
      <c r="D40" s="141"/>
      <c r="E40" s="144"/>
      <c r="F40" s="10">
        <f>Tabella3[[#This Row],[Italy remov. rate data]]*NOT(ISBLANK(Tabella3[[#This Row],[Italy remov. rate data]]))</f>
        <v>0</v>
      </c>
      <c r="G40" s="158">
        <f>Tabella3[[#This Row],[region cumul. fit]]+Tabella3[[#This Row],[rest of Italy cumul. fit]]</f>
        <v>0</v>
      </c>
      <c r="H40" s="158">
        <f>Tabella3[[#This Row],[Italy cumul. fit]]/Kf</f>
        <v>0</v>
      </c>
      <c r="I40" s="143">
        <f>Tabella3[[#This Row],[region fit]]+Tabella3[[#This Row],[rest of Italy fit]]</f>
        <v>131.5038252959645</v>
      </c>
      <c r="J40" s="143">
        <f>Tabella3[[#This Row],[Italy (fit of selected region + fitted sum of the other regions)]]/(y_l_peak+y_a_peak)</f>
        <v>4.1527307006518341E-2</v>
      </c>
      <c r="K40" s="72">
        <f>IFERROR(Kf*psi_f*_xlfn.SECH(psi_f*(Tabella3[[#This Row],[Day]]-pf)-phi_f)^2/(1+TANH(phi_f)),0)</f>
        <v>132.5929181008236</v>
      </c>
      <c r="L40" s="292">
        <f>Tabella3[[#This Row],[Italy remov. rate fit]]-Tabella3[[#This Row],[Italy remov. rate data]]</f>
        <v>132.5929181008236</v>
      </c>
      <c r="M40" s="293">
        <f>Tabella3[[#This Row],[rem. rate residuals]]*NOT(ISBLANK(Tabella3[[#This Row],[Italy remov. rate data]]))</f>
        <v>0</v>
      </c>
      <c r="N40" s="72">
        <f>Tabella3[[#This Row],[Italy remov. rate fit]]/y_f_peak</f>
        <v>4.1973208242400986E-2</v>
      </c>
      <c r="O40" s="10">
        <f>Tabella3[[#This Row],[Italy (fit of selected region + fitted sum of the other regions)]]*NOT(ISBLANK(Tabella3[[#This Row],[Italy remov. rate data]]))</f>
        <v>0</v>
      </c>
      <c r="P40" s="72">
        <f>Tabella3[[#This Row],[Italy remov. rate fit]]*NOT(ISBLANK(Tabella3[[#This Row],[Italy remov. rate data]]))</f>
        <v>0</v>
      </c>
      <c r="Q40" s="72">
        <f>Tabella3[[#This Row],[Italy remov. rate fit]]+CIf</f>
        <v>1787.8028870245751</v>
      </c>
      <c r="R40" s="72">
        <f>MAX(Tabella3[[#This Row],[Italy remov. rate fit]]-CIf,0)</f>
        <v>0</v>
      </c>
      <c r="S40" s="139"/>
      <c r="T40" s="144"/>
      <c r="U40" s="10">
        <f>Tabella3[[#This Row],[region data]]*NOT(ISBLANK(Tabella3[[#This Row],[region data]]))</f>
        <v>0</v>
      </c>
      <c r="V40"/>
      <c r="W40" s="72">
        <f>Tabella3[[#This Row],[6-days moving avg]]*NOT(ISBLANK(Tabella3[[#This Row],[6-days moving avg]]))</f>
        <v>0</v>
      </c>
      <c r="X40" s="145">
        <f>Tabella8[[#This Row],[region fit]]</f>
        <v>0</v>
      </c>
      <c r="Y40" s="10">
        <f>Tabella3[[#This Row],[region cumul. fit]]/Kl</f>
        <v>0</v>
      </c>
      <c r="Z40" s="72">
        <f>IFERROR(Kl*psi_l*_xlfn.SECH(psi_l*(Tabella3[[#This Row],[Day]]-pl)-phi_l)^2/(1+TANH(phi_l)),0)</f>
        <v>10.983108829785914</v>
      </c>
      <c r="AA40" s="72">
        <f>Tabella3[[#This Row],[region fit]]/y_l_peak</f>
        <v>7.4595876457975052E-2</v>
      </c>
      <c r="AB40" s="10">
        <f>Tabella3[[#This Row],[region fit]]*NOT(ISBLANK(Tabella3[[#This Row],[region data]]))</f>
        <v>0</v>
      </c>
      <c r="AC40" s="166">
        <f>IFERROR(kl_m*psi_l_m*_xlfn.SECH(psi_l_m*(Tabella3[[#This Row],[Day]]-pl_m)-phi_l_m)^2/(1+TANH(phi_l_m)),0)</f>
        <v>10.983108829785914</v>
      </c>
      <c r="AD40" s="72">
        <f>Tabella3[[#This Row],[6-days moving avg fit]]*NOT(ISBLANK(Tabella3[[#This Row],[6-days moving avg]]))</f>
        <v>0</v>
      </c>
      <c r="AE40" s="72">
        <f>Tabella3[[#This Row],[region fit]]+CIl</f>
        <v>80.34809520488632</v>
      </c>
      <c r="AF40" s="72">
        <f>MAX(Tabella3[[#This Row],[region fit]]-CIl,0)</f>
        <v>0</v>
      </c>
      <c r="AG40" s="141"/>
      <c r="AH40" s="144"/>
      <c r="AI40" s="10">
        <f>Tabella3[[#This Row],[rest of Italy data]]*NOT(ISBLANK(Tabella3[[#This Row],[rest of Italy data]]))</f>
        <v>0</v>
      </c>
      <c r="AJ40" s="145">
        <f>Tabella8[[#This Row],[rest of Italy fit]]</f>
        <v>0</v>
      </c>
      <c r="AK40" s="72">
        <f>Tabella3[[#This Row],[rest of Italy cumul. fit]]/Ka</f>
        <v>0</v>
      </c>
      <c r="AL40" s="72">
        <f>IFERROR(Ka*psi_a*_xlfn.SECH(psi_a*(Tabella3[[#This Row],[Day]]-pa)-phi_a)^2/(1+TANH(phi_a)),0)</f>
        <v>120.5207164661786</v>
      </c>
      <c r="AM40" s="72">
        <f>Tabella3[[#This Row],[rest of Italy fit]]/y_a_peak</f>
        <v>3.9914812433466888E-2</v>
      </c>
      <c r="AN40" s="10">
        <f>Tabella3[[#This Row],[rest of Italy fit]]*NOT(ISBLANK(Tabella3[[#This Row],[rest of Italy data]]))</f>
        <v>0</v>
      </c>
      <c r="AO40" s="72">
        <f>Tabella3[[#This Row],[rest of Italy fit]]+CIa</f>
        <v>1754.65465641998</v>
      </c>
      <c r="AP40" s="72">
        <f>MAX(Tabella3[[#This Row],[rest of Italy fit]]-CIa,0)</f>
        <v>0</v>
      </c>
      <c r="AR40" s="2" t="s">
        <v>5</v>
      </c>
      <c r="AS40" s="7">
        <f>TINV(0.05,dfa)</f>
        <v>1.9847231860139838</v>
      </c>
      <c r="BF40" s="45"/>
    </row>
    <row r="41" spans="2:58" x14ac:dyDescent="0.3">
      <c r="B41" s="134">
        <v>43864</v>
      </c>
      <c r="C41" s="4">
        <v>34</v>
      </c>
      <c r="D41" s="141"/>
      <c r="E41" s="144"/>
      <c r="F41" s="10">
        <f>Tabella3[[#This Row],[Italy remov. rate data]]*NOT(ISBLANK(Tabella3[[#This Row],[Italy remov. rate data]]))</f>
        <v>0</v>
      </c>
      <c r="G41" s="158">
        <f>Tabella3[[#This Row],[region cumul. fit]]+Tabella3[[#This Row],[rest of Italy cumul. fit]]</f>
        <v>0</v>
      </c>
      <c r="H41" s="158">
        <f>Tabella3[[#This Row],[Italy cumul. fit]]/Kf</f>
        <v>0</v>
      </c>
      <c r="I41" s="143">
        <f>Tabella3[[#This Row],[region fit]]+Tabella3[[#This Row],[rest of Italy fit]]</f>
        <v>138.14866400973665</v>
      </c>
      <c r="J41" s="143">
        <f>Tabella3[[#This Row],[Italy (fit of selected region + fitted sum of the other regions)]]/(y_l_peak+y_a_peak)</f>
        <v>4.3625666173292194E-2</v>
      </c>
      <c r="K41" s="72">
        <f>IFERROR(Kf*psi_f*_xlfn.SECH(psi_f*(Tabella3[[#This Row],[Day]]-pf)-phi_f)^2/(1+TANH(phi_f)),0)</f>
        <v>139.3102604835542</v>
      </c>
      <c r="L41" s="292">
        <f>Tabella3[[#This Row],[Italy remov. rate fit]]-Tabella3[[#This Row],[Italy remov. rate data]]</f>
        <v>139.3102604835542</v>
      </c>
      <c r="M41" s="293">
        <f>Tabella3[[#This Row],[rem. rate residuals]]*NOT(ISBLANK(Tabella3[[#This Row],[Italy remov. rate data]]))</f>
        <v>0</v>
      </c>
      <c r="N41" s="72">
        <f>Tabella3[[#This Row],[Italy remov. rate fit]]/y_f_peak</f>
        <v>4.4099629583029938E-2</v>
      </c>
      <c r="O41" s="10">
        <f>Tabella3[[#This Row],[Italy (fit of selected region + fitted sum of the other regions)]]*NOT(ISBLANK(Tabella3[[#This Row],[Italy remov. rate data]]))</f>
        <v>0</v>
      </c>
      <c r="P41" s="72">
        <f>Tabella3[[#This Row],[Italy remov. rate fit]]*NOT(ISBLANK(Tabella3[[#This Row],[Italy remov. rate data]]))</f>
        <v>0</v>
      </c>
      <c r="Q41" s="72">
        <f>Tabella3[[#This Row],[Italy remov. rate fit]]+CIf</f>
        <v>1794.5202294073056</v>
      </c>
      <c r="R41" s="72">
        <f>MAX(Tabella3[[#This Row],[Italy remov. rate fit]]-CIf,0)</f>
        <v>0</v>
      </c>
      <c r="S41" s="139"/>
      <c r="T41" s="144"/>
      <c r="U41" s="10">
        <f>Tabella3[[#This Row],[region data]]*NOT(ISBLANK(Tabella3[[#This Row],[region data]]))</f>
        <v>0</v>
      </c>
      <c r="V41"/>
      <c r="W41" s="72">
        <f>Tabella3[[#This Row],[6-days moving avg]]*NOT(ISBLANK(Tabella3[[#This Row],[6-days moving avg]]))</f>
        <v>0</v>
      </c>
      <c r="X41" s="145">
        <f>Tabella8[[#This Row],[region fit]]</f>
        <v>0</v>
      </c>
      <c r="Y41" s="10">
        <f>Tabella3[[#This Row],[region cumul. fit]]/Kl</f>
        <v>0</v>
      </c>
      <c r="Z41" s="72">
        <f>IFERROR(Kl*psi_l*_xlfn.SECH(psi_l*(Tabella3[[#This Row],[Day]]-pl)-phi_l)^2/(1+TANH(phi_l)),0)</f>
        <v>11.416778797676209</v>
      </c>
      <c r="AA41" s="72">
        <f>Tabella3[[#This Row],[region fit]]/y_l_peak</f>
        <v>7.7541307651422392E-2</v>
      </c>
      <c r="AB41" s="10">
        <f>Tabella3[[#This Row],[region fit]]*NOT(ISBLANK(Tabella3[[#This Row],[region data]]))</f>
        <v>0</v>
      </c>
      <c r="AC41" s="166">
        <f>IFERROR(kl_m*psi_l_m*_xlfn.SECH(psi_l_m*(Tabella3[[#This Row],[Day]]-pl_m)-phi_l_m)^2/(1+TANH(phi_l_m)),0)</f>
        <v>11.416778797676209</v>
      </c>
      <c r="AD41" s="72">
        <f>Tabella3[[#This Row],[6-days moving avg fit]]*NOT(ISBLANK(Tabella3[[#This Row],[6-days moving avg]]))</f>
        <v>0</v>
      </c>
      <c r="AE41" s="72">
        <f>Tabella3[[#This Row],[region fit]]+CIl</f>
        <v>80.781765172776602</v>
      </c>
      <c r="AF41" s="72">
        <f>MAX(Tabella3[[#This Row],[region fit]]-CIl,0)</f>
        <v>0</v>
      </c>
      <c r="AG41" s="141"/>
      <c r="AH41" s="144"/>
      <c r="AI41" s="10">
        <f>Tabella3[[#This Row],[rest of Italy data]]*NOT(ISBLANK(Tabella3[[#This Row],[rest of Italy data]]))</f>
        <v>0</v>
      </c>
      <c r="AJ41" s="145">
        <f>Tabella8[[#This Row],[rest of Italy fit]]</f>
        <v>0</v>
      </c>
      <c r="AK41" s="72">
        <f>Tabella3[[#This Row],[rest of Italy cumul. fit]]/Ka</f>
        <v>0</v>
      </c>
      <c r="AL41" s="72">
        <f>IFERROR(Ka*psi_a*_xlfn.SECH(psi_a*(Tabella3[[#This Row],[Day]]-pa)-phi_a)^2/(1+TANH(phi_a)),0)</f>
        <v>126.73188521206043</v>
      </c>
      <c r="AM41" s="72">
        <f>Tabella3[[#This Row],[rest of Italy fit]]/y_a_peak</f>
        <v>4.1971866546267965E-2</v>
      </c>
      <c r="AN41" s="10">
        <f>Tabella3[[#This Row],[rest of Italy fit]]*NOT(ISBLANK(Tabella3[[#This Row],[rest of Italy data]]))</f>
        <v>0</v>
      </c>
      <c r="AO41" s="72">
        <f>Tabella3[[#This Row],[rest of Italy fit]]+CIa</f>
        <v>1760.8658251658619</v>
      </c>
      <c r="AP41" s="72">
        <f>MAX(Tabella3[[#This Row],[rest of Italy fit]]-CIa,0)</f>
        <v>0</v>
      </c>
      <c r="AR41" s="2" t="s">
        <v>6</v>
      </c>
      <c r="AS41" s="6">
        <f>Critical_ta*SE_of_ya</f>
        <v>1634.1339399538015</v>
      </c>
      <c r="BF41" s="45"/>
    </row>
    <row r="42" spans="2:58" ht="15" thickBot="1" x14ac:dyDescent="0.35">
      <c r="B42" s="134">
        <v>43865</v>
      </c>
      <c r="C42" s="4">
        <v>35</v>
      </c>
      <c r="D42" s="141"/>
      <c r="E42" s="144"/>
      <c r="F42" s="10">
        <f>Tabella3[[#This Row],[Italy remov. rate data]]*NOT(ISBLANK(Tabella3[[#This Row],[Italy remov. rate data]]))</f>
        <v>0</v>
      </c>
      <c r="G42" s="158">
        <f>Tabella3[[#This Row],[region cumul. fit]]+Tabella3[[#This Row],[rest of Italy cumul. fit]]</f>
        <v>0</v>
      </c>
      <c r="H42" s="158">
        <f>Tabella3[[#This Row],[Italy cumul. fit]]/Kf</f>
        <v>0</v>
      </c>
      <c r="I42" s="143">
        <f>Tabella3[[#This Row],[region fit]]+Tabella3[[#This Row],[rest of Italy fit]]</f>
        <v>145.12261379558279</v>
      </c>
      <c r="J42" s="143">
        <f>Tabella3[[#This Row],[Italy (fit of selected region + fitted sum of the other regions)]]/(y_l_peak+y_a_peak)</f>
        <v>4.5827954609792623E-2</v>
      </c>
      <c r="K42" s="72">
        <f>IFERROR(Kf*psi_f*_xlfn.SECH(psi_f*(Tabella3[[#This Row],[Day]]-pf)-phi_f)^2/(1+TANH(phi_f)),0)</f>
        <v>146.35967467931289</v>
      </c>
      <c r="L42" s="292">
        <f>Tabella3[[#This Row],[Italy remov. rate fit]]-Tabella3[[#This Row],[Italy remov. rate data]]</f>
        <v>146.35967467931289</v>
      </c>
      <c r="M42" s="293">
        <f>Tabella3[[#This Row],[rem. rate residuals]]*NOT(ISBLANK(Tabella3[[#This Row],[Italy remov. rate data]]))</f>
        <v>0</v>
      </c>
      <c r="N42" s="72">
        <f>Tabella3[[#This Row],[Italy remov. rate fit]]/y_f_peak</f>
        <v>4.6331170560207351E-2</v>
      </c>
      <c r="O42" s="10">
        <f>Tabella3[[#This Row],[Italy (fit of selected region + fitted sum of the other regions)]]*NOT(ISBLANK(Tabella3[[#This Row],[Italy remov. rate data]]))</f>
        <v>0</v>
      </c>
      <c r="P42" s="72">
        <f>Tabella3[[#This Row],[Italy remov. rate fit]]*NOT(ISBLANK(Tabella3[[#This Row],[Italy remov. rate data]]))</f>
        <v>0</v>
      </c>
      <c r="Q42" s="72">
        <f>Tabella3[[#This Row],[Italy remov. rate fit]]+CIf</f>
        <v>1801.5696436030644</v>
      </c>
      <c r="R42" s="72">
        <f>MAX(Tabella3[[#This Row],[Italy remov. rate fit]]-CIf,0)</f>
        <v>0</v>
      </c>
      <c r="S42" s="139"/>
      <c r="T42" s="144"/>
      <c r="U42" s="10">
        <f>Tabella3[[#This Row],[region data]]*NOT(ISBLANK(Tabella3[[#This Row],[region data]]))</f>
        <v>0</v>
      </c>
      <c r="V42"/>
      <c r="W42" s="72">
        <f>Tabella3[[#This Row],[6-days moving avg]]*NOT(ISBLANK(Tabella3[[#This Row],[6-days moving avg]]))</f>
        <v>0</v>
      </c>
      <c r="X42" s="145">
        <f>Tabella8[[#This Row],[region fit]]</f>
        <v>0</v>
      </c>
      <c r="Y42" s="10">
        <f>Tabella3[[#This Row],[region cumul. fit]]/Kl</f>
        <v>0</v>
      </c>
      <c r="Z42" s="72">
        <f>IFERROR(Kl*psi_l*_xlfn.SECH(psi_l*(Tabella3[[#This Row],[Day]]-pl)-phi_l)^2/(1+TANH(phi_l)),0)</f>
        <v>11.866825412929652</v>
      </c>
      <c r="AA42" s="72">
        <f>Tabella3[[#This Row],[region fit]]/y_l_peak</f>
        <v>8.0597966948171812E-2</v>
      </c>
      <c r="AB42" s="10">
        <f>Tabella3[[#This Row],[region fit]]*NOT(ISBLANK(Tabella3[[#This Row],[region data]]))</f>
        <v>0</v>
      </c>
      <c r="AC42" s="166">
        <f>IFERROR(kl_m*psi_l_m*_xlfn.SECH(psi_l_m*(Tabella3[[#This Row],[Day]]-pl_m)-phi_l_m)^2/(1+TANH(phi_l_m)),0)</f>
        <v>11.866825412929652</v>
      </c>
      <c r="AD42" s="72">
        <f>Tabella3[[#This Row],[6-days moving avg fit]]*NOT(ISBLANK(Tabella3[[#This Row],[6-days moving avg]]))</f>
        <v>0</v>
      </c>
      <c r="AE42" s="72">
        <f>Tabella3[[#This Row],[region fit]]+CIl</f>
        <v>81.231811788030058</v>
      </c>
      <c r="AF42" s="72">
        <f>MAX(Tabella3[[#This Row],[region fit]]-CIl,0)</f>
        <v>0</v>
      </c>
      <c r="AG42" s="141"/>
      <c r="AH42" s="144"/>
      <c r="AI42" s="10">
        <f>Tabella3[[#This Row],[rest of Italy data]]*NOT(ISBLANK(Tabella3[[#This Row],[rest of Italy data]]))</f>
        <v>0</v>
      </c>
      <c r="AJ42" s="145">
        <f>Tabella8[[#This Row],[rest of Italy fit]]</f>
        <v>0</v>
      </c>
      <c r="AK42" s="72">
        <f>Tabella3[[#This Row],[rest of Italy cumul. fit]]/Ka</f>
        <v>0</v>
      </c>
      <c r="AL42" s="72">
        <f>IFERROR(Ka*psi_a*_xlfn.SECH(psi_a*(Tabella3[[#This Row],[Day]]-pa)-phi_a)^2/(1+TANH(phi_a)),0)</f>
        <v>133.25578838265315</v>
      </c>
      <c r="AM42" s="72">
        <f>Tabella3[[#This Row],[rest of Italy fit]]/y_a_peak</f>
        <v>4.4132494021971565E-2</v>
      </c>
      <c r="AN42" s="10">
        <f>Tabella3[[#This Row],[rest of Italy fit]]*NOT(ISBLANK(Tabella3[[#This Row],[rest of Italy data]]))</f>
        <v>0</v>
      </c>
      <c r="AO42" s="72">
        <f>Tabella3[[#This Row],[rest of Italy fit]]+CIa</f>
        <v>1767.3897283364547</v>
      </c>
      <c r="AP42" s="72">
        <f>MAX(Tabella3[[#This Row],[rest of Italy fit]]-CIa,0)</f>
        <v>0</v>
      </c>
      <c r="AR42" s="37" t="s">
        <v>299</v>
      </c>
      <c r="AS42" s="89">
        <f>Ka*psi_a/(1+TANH(phi_a))</f>
        <v>3019.4483981873118</v>
      </c>
      <c r="BF42" s="46"/>
    </row>
    <row r="43" spans="2:58" ht="15" thickTop="1" x14ac:dyDescent="0.3">
      <c r="B43" s="134">
        <v>43866</v>
      </c>
      <c r="C43" s="4">
        <v>36</v>
      </c>
      <c r="D43" s="141"/>
      <c r="E43" s="144"/>
      <c r="F43" s="10">
        <f>Tabella3[[#This Row],[Italy remov. rate data]]*NOT(ISBLANK(Tabella3[[#This Row],[Italy remov. rate data]]))</f>
        <v>0</v>
      </c>
      <c r="G43" s="158">
        <f>Tabella3[[#This Row],[region cumul. fit]]+Tabella3[[#This Row],[rest of Italy cumul. fit]]</f>
        <v>0</v>
      </c>
      <c r="H43" s="158">
        <f>Tabella3[[#This Row],[Italy cumul. fit]]/Kf</f>
        <v>0</v>
      </c>
      <c r="I43" s="143">
        <f>Tabella3[[#This Row],[region fit]]+Tabella3[[#This Row],[rest of Italy fit]]</f>
        <v>152.44119250622384</v>
      </c>
      <c r="J43" s="143">
        <f>Tabella3[[#This Row],[Italy (fit of selected region + fitted sum of the other regions)]]/(y_l_peak+y_a_peak)</f>
        <v>4.8139072664983427E-2</v>
      </c>
      <c r="K43" s="72">
        <f>IFERROR(Kf*psi_f*_xlfn.SECH(psi_f*(Tabella3[[#This Row],[Day]]-pf)-phi_f)^2/(1+TANH(phi_f)),0)</f>
        <v>153.75671274224686</v>
      </c>
      <c r="L43" s="292">
        <f>Tabella3[[#This Row],[Italy remov. rate fit]]-Tabella3[[#This Row],[Italy remov. rate data]]</f>
        <v>153.75671274224686</v>
      </c>
      <c r="M43" s="293">
        <f>Tabella3[[#This Row],[rem. rate residuals]]*NOT(ISBLANK(Tabella3[[#This Row],[Italy remov. rate data]]))</f>
        <v>0</v>
      </c>
      <c r="N43" s="72">
        <f>Tabella3[[#This Row],[Italy remov. rate fit]]/y_f_peak</f>
        <v>4.8672754284584001E-2</v>
      </c>
      <c r="O43" s="10">
        <f>Tabella3[[#This Row],[Italy (fit of selected region + fitted sum of the other regions)]]*NOT(ISBLANK(Tabella3[[#This Row],[Italy remov. rate data]]))</f>
        <v>0</v>
      </c>
      <c r="P43" s="72">
        <f>Tabella3[[#This Row],[Italy remov. rate fit]]*NOT(ISBLANK(Tabella3[[#This Row],[Italy remov. rate data]]))</f>
        <v>0</v>
      </c>
      <c r="Q43" s="72">
        <f>Tabella3[[#This Row],[Italy remov. rate fit]]+CIf</f>
        <v>1808.9666816659983</v>
      </c>
      <c r="R43" s="72">
        <f>MAX(Tabella3[[#This Row],[Italy remov. rate fit]]-CIf,0)</f>
        <v>0</v>
      </c>
      <c r="S43" s="139"/>
      <c r="T43" s="144"/>
      <c r="U43" s="10">
        <f>Tabella3[[#This Row],[region data]]*NOT(ISBLANK(Tabella3[[#This Row],[region data]]))</f>
        <v>0</v>
      </c>
      <c r="V43"/>
      <c r="W43" s="72">
        <f>Tabella3[[#This Row],[6-days moving avg]]*NOT(ISBLANK(Tabella3[[#This Row],[6-days moving avg]]))</f>
        <v>0</v>
      </c>
      <c r="X43" s="145">
        <f>Tabella8[[#This Row],[region fit]]</f>
        <v>0</v>
      </c>
      <c r="Y43" s="10">
        <f>Tabella3[[#This Row],[region cumul. fit]]/Kl</f>
        <v>0</v>
      </c>
      <c r="Z43" s="72">
        <f>IFERROR(Kl*psi_l*_xlfn.SECH(psi_l*(Tabella3[[#This Row],[Day]]-pl)-phi_l)^2/(1+TANH(phi_l)),0)</f>
        <v>12.333805875707512</v>
      </c>
      <c r="AA43" s="72">
        <f>Tabella3[[#This Row],[region fit]]/y_l_peak</f>
        <v>8.376963878075841E-2</v>
      </c>
      <c r="AB43" s="10">
        <f>Tabella3[[#This Row],[region fit]]*NOT(ISBLANK(Tabella3[[#This Row],[region data]]))</f>
        <v>0</v>
      </c>
      <c r="AC43" s="166">
        <f>IFERROR(kl_m*psi_l_m*_xlfn.SECH(psi_l_m*(Tabella3[[#This Row],[Day]]-pl_m)-phi_l_m)^2/(1+TANH(phi_l_m)),0)</f>
        <v>12.333805875707512</v>
      </c>
      <c r="AD43" s="72">
        <f>Tabella3[[#This Row],[6-days moving avg fit]]*NOT(ISBLANK(Tabella3[[#This Row],[6-days moving avg]]))</f>
        <v>0</v>
      </c>
      <c r="AE43" s="72">
        <f>Tabella3[[#This Row],[region fit]]+CIl</f>
        <v>81.698792250807912</v>
      </c>
      <c r="AF43" s="72">
        <f>MAX(Tabella3[[#This Row],[region fit]]-CIl,0)</f>
        <v>0</v>
      </c>
      <c r="AG43" s="141"/>
      <c r="AH43" s="144"/>
      <c r="AI43" s="10">
        <f>Tabella3[[#This Row],[rest of Italy data]]*NOT(ISBLANK(Tabella3[[#This Row],[rest of Italy data]]))</f>
        <v>0</v>
      </c>
      <c r="AJ43" s="145">
        <f>Tabella8[[#This Row],[rest of Italy fit]]</f>
        <v>0</v>
      </c>
      <c r="AK43" s="72">
        <f>Tabella3[[#This Row],[rest of Italy cumul. fit]]/Ka</f>
        <v>0</v>
      </c>
      <c r="AL43" s="72">
        <f>IFERROR(Ka*psi_a*_xlfn.SECH(psi_a*(Tabella3[[#This Row],[Day]]-pa)-phi_a)^2/(1+TANH(phi_a)),0)</f>
        <v>140.10738663051634</v>
      </c>
      <c r="AM43" s="72">
        <f>Tabella3[[#This Row],[rest of Italy fit]]/y_a_peak</f>
        <v>4.6401649624026715E-2</v>
      </c>
      <c r="AN43" s="10">
        <f>Tabella3[[#This Row],[rest of Italy fit]]*NOT(ISBLANK(Tabella3[[#This Row],[rest of Italy data]]))</f>
        <v>0</v>
      </c>
      <c r="AO43" s="72">
        <f>Tabella3[[#This Row],[rest of Italy fit]]+CIa</f>
        <v>1774.2413265843179</v>
      </c>
      <c r="AP43" s="72">
        <f>MAX(Tabella3[[#This Row],[rest of Italy fit]]-CIa,0)</f>
        <v>0</v>
      </c>
      <c r="AR43" s="37" t="s">
        <v>128</v>
      </c>
      <c r="AS43" s="38">
        <f>_xlfn.XLOOKUP(ROUND(phi_a/psi_a+pa,0),Tabella3[Day],Tabella3[Date])</f>
        <v>43952</v>
      </c>
      <c r="BF43" s="50">
        <f>MAX($AS$52)</f>
        <v>0.91546864050912413</v>
      </c>
    </row>
    <row r="44" spans="2:58" x14ac:dyDescent="0.3">
      <c r="B44" s="134">
        <v>43867</v>
      </c>
      <c r="C44" s="4">
        <v>37</v>
      </c>
      <c r="D44" s="141"/>
      <c r="E44" s="144"/>
      <c r="F44" s="10">
        <f>Tabella3[[#This Row],[Italy remov. rate data]]*NOT(ISBLANK(Tabella3[[#This Row],[Italy remov. rate data]]))</f>
        <v>0</v>
      </c>
      <c r="G44" s="158">
        <f>Tabella3[[#This Row],[region cumul. fit]]+Tabella3[[#This Row],[rest of Italy cumul. fit]]</f>
        <v>0</v>
      </c>
      <c r="H44" s="158">
        <f>Tabella3[[#This Row],[Italy cumul. fit]]/Kf</f>
        <v>0</v>
      </c>
      <c r="I44" s="143">
        <f>Tabella3[[#This Row],[region fit]]+Tabella3[[#This Row],[rest of Italy fit]]</f>
        <v>160.12056335921386</v>
      </c>
      <c r="J44" s="143">
        <f>Tabella3[[#This Row],[Italy (fit of selected region + fitted sum of the other regions)]]/(y_l_peak+y_a_peak)</f>
        <v>5.0564124486185552E-2</v>
      </c>
      <c r="K44" s="72">
        <f>IFERROR(Kf*psi_f*_xlfn.SECH(psi_f*(Tabella3[[#This Row],[Day]]-pf)-phi_f)^2/(1+TANH(phi_f)),0)</f>
        <v>161.51756401888363</v>
      </c>
      <c r="L44" s="292">
        <f>Tabella3[[#This Row],[Italy remov. rate fit]]-Tabella3[[#This Row],[Italy remov. rate data]]</f>
        <v>161.51756401888363</v>
      </c>
      <c r="M44" s="293">
        <f>Tabella3[[#This Row],[rem. rate residuals]]*NOT(ISBLANK(Tabella3[[#This Row],[Italy remov. rate data]]))</f>
        <v>0</v>
      </c>
      <c r="N44" s="72">
        <f>Tabella3[[#This Row],[Italy remov. rate fit]]/y_f_peak</f>
        <v>5.1129505606135578E-2</v>
      </c>
      <c r="O44" s="10">
        <f>Tabella3[[#This Row],[Italy (fit of selected region + fitted sum of the other regions)]]*NOT(ISBLANK(Tabella3[[#This Row],[Italy remov. rate data]]))</f>
        <v>0</v>
      </c>
      <c r="P44" s="72">
        <f>Tabella3[[#This Row],[Italy remov. rate fit]]*NOT(ISBLANK(Tabella3[[#This Row],[Italy remov. rate data]]))</f>
        <v>0</v>
      </c>
      <c r="Q44" s="72">
        <f>Tabella3[[#This Row],[Italy remov. rate fit]]+CIf</f>
        <v>1816.727532942635</v>
      </c>
      <c r="R44" s="72">
        <f>MAX(Tabella3[[#This Row],[Italy remov. rate fit]]-CIf,0)</f>
        <v>0</v>
      </c>
      <c r="S44" s="139"/>
      <c r="T44" s="144"/>
      <c r="U44" s="10">
        <f>Tabella3[[#This Row],[region data]]*NOT(ISBLANK(Tabella3[[#This Row],[region data]]))</f>
        <v>0</v>
      </c>
      <c r="V44"/>
      <c r="W44" s="72">
        <f>Tabella3[[#This Row],[6-days moving avg]]*NOT(ISBLANK(Tabella3[[#This Row],[6-days moving avg]]))</f>
        <v>0</v>
      </c>
      <c r="X44" s="145">
        <f>Tabella8[[#This Row],[region fit]]</f>
        <v>0</v>
      </c>
      <c r="Y44" s="10">
        <f>Tabella3[[#This Row],[region cumul. fit]]/Kl</f>
        <v>0</v>
      </c>
      <c r="Z44" s="72">
        <f>IFERROR(Kl*psi_l*_xlfn.SECH(psi_l*(Tabella3[[#This Row],[Day]]-pl)-phi_l)^2/(1+TANH(phi_l)),0)</f>
        <v>12.818291266935923</v>
      </c>
      <c r="AA44" s="72">
        <f>Tabella3[[#This Row],[region fit]]/y_l_peak</f>
        <v>8.7060201858104591E-2</v>
      </c>
      <c r="AB44" s="10">
        <f>Tabella3[[#This Row],[region fit]]*NOT(ISBLANK(Tabella3[[#This Row],[region data]]))</f>
        <v>0</v>
      </c>
      <c r="AC44" s="166">
        <f>IFERROR(kl_m*psi_l_m*_xlfn.SECH(psi_l_m*(Tabella3[[#This Row],[Day]]-pl_m)-phi_l_m)^2/(1+TANH(phi_l_m)),0)</f>
        <v>12.818291266935923</v>
      </c>
      <c r="AD44" s="72">
        <f>Tabella3[[#This Row],[6-days moving avg fit]]*NOT(ISBLANK(Tabella3[[#This Row],[6-days moving avg]]))</f>
        <v>0</v>
      </c>
      <c r="AE44" s="72">
        <f>Tabella3[[#This Row],[region fit]]+CIl</f>
        <v>82.18327764203633</v>
      </c>
      <c r="AF44" s="72">
        <f>MAX(Tabella3[[#This Row],[region fit]]-CIl,0)</f>
        <v>0</v>
      </c>
      <c r="AG44" s="141"/>
      <c r="AH44" s="144"/>
      <c r="AI44" s="10">
        <f>Tabella3[[#This Row],[rest of Italy data]]*NOT(ISBLANK(Tabella3[[#This Row],[rest of Italy data]]))</f>
        <v>0</v>
      </c>
      <c r="AJ44" s="145">
        <f>Tabella8[[#This Row],[rest of Italy fit]]</f>
        <v>0</v>
      </c>
      <c r="AK44" s="72">
        <f>Tabella3[[#This Row],[rest of Italy cumul. fit]]/Ka</f>
        <v>0</v>
      </c>
      <c r="AL44" s="72">
        <f>IFERROR(Ka*psi_a*_xlfn.SECH(psi_a*(Tabella3[[#This Row],[Day]]-pa)-phi_a)^2/(1+TANH(phi_a)),0)</f>
        <v>147.30227209227795</v>
      </c>
      <c r="AM44" s="72">
        <f>Tabella3[[#This Row],[rest of Italy fit]]/y_a_peak</f>
        <v>4.8784497254766475E-2</v>
      </c>
      <c r="AN44" s="10">
        <f>Tabella3[[#This Row],[rest of Italy fit]]*NOT(ISBLANK(Tabella3[[#This Row],[rest of Italy data]]))</f>
        <v>0</v>
      </c>
      <c r="AO44" s="72">
        <f>Tabella3[[#This Row],[rest of Italy fit]]+CIa</f>
        <v>1781.4362120460794</v>
      </c>
      <c r="AP44" s="72">
        <f>MAX(Tabella3[[#This Row],[rest of Italy fit]]-CIa,0)</f>
        <v>0</v>
      </c>
      <c r="AR44" s="14" t="s">
        <v>356</v>
      </c>
      <c r="AS44" s="137">
        <f>po</f>
        <v>67.882529907638357</v>
      </c>
      <c r="BF44" s="51">
        <f>COUNT($AS$46,$AS$47,$AS$48,$AS$57)</f>
        <v>4</v>
      </c>
    </row>
    <row r="45" spans="2:58" x14ac:dyDescent="0.3">
      <c r="B45" s="134">
        <v>43868</v>
      </c>
      <c r="C45" s="4">
        <v>38</v>
      </c>
      <c r="D45" s="141"/>
      <c r="E45" s="144"/>
      <c r="F45" s="10">
        <f>Tabella3[[#This Row],[Italy remov. rate data]]*NOT(ISBLANK(Tabella3[[#This Row],[Italy remov. rate data]]))</f>
        <v>0</v>
      </c>
      <c r="G45" s="158">
        <f>Tabella3[[#This Row],[region cumul. fit]]+Tabella3[[#This Row],[rest of Italy cumul. fit]]</f>
        <v>0</v>
      </c>
      <c r="H45" s="158">
        <f>Tabella3[[#This Row],[Italy cumul. fit]]/Kf</f>
        <v>0</v>
      </c>
      <c r="I45" s="143">
        <f>Tabella3[[#This Row],[region fit]]+Tabella3[[#This Row],[rest of Italy fit]]</f>
        <v>168.17755224941629</v>
      </c>
      <c r="J45" s="143">
        <f>Tabella3[[#This Row],[Italy (fit of selected region + fitted sum of the other regions)]]/(y_l_peak+y_a_peak)</f>
        <v>5.3108423486146368E-2</v>
      </c>
      <c r="K45" s="72">
        <f>IFERROR(Kf*psi_f*_xlfn.SECH(psi_f*(Tabella3[[#This Row],[Day]]-pf)-phi_f)^2/(1+TANH(phi_f)),0)</f>
        <v>169.65907141802805</v>
      </c>
      <c r="L45" s="292">
        <f>Tabella3[[#This Row],[Italy remov. rate fit]]-Tabella3[[#This Row],[Italy remov. rate data]]</f>
        <v>169.65907141802805</v>
      </c>
      <c r="M45" s="293">
        <f>Tabella3[[#This Row],[rem. rate residuals]]*NOT(ISBLANK(Tabella3[[#This Row],[Italy remov. rate data]]))</f>
        <v>0</v>
      </c>
      <c r="N45" s="72">
        <f>Tabella3[[#This Row],[Italy remov. rate fit]]/y_f_peak</f>
        <v>5.3706756264511539E-2</v>
      </c>
      <c r="O45" s="10">
        <f>Tabella3[[#This Row],[Italy (fit of selected region + fitted sum of the other regions)]]*NOT(ISBLANK(Tabella3[[#This Row],[Italy remov. rate data]]))</f>
        <v>0</v>
      </c>
      <c r="P45" s="72">
        <f>Tabella3[[#This Row],[Italy remov. rate fit]]*NOT(ISBLANK(Tabella3[[#This Row],[Italy remov. rate data]]))</f>
        <v>0</v>
      </c>
      <c r="Q45" s="72">
        <f>Tabella3[[#This Row],[Italy remov. rate fit]]+CIf</f>
        <v>1824.8690403417795</v>
      </c>
      <c r="R45" s="72">
        <f>MAX(Tabella3[[#This Row],[Italy remov. rate fit]]-CIf,0)</f>
        <v>0</v>
      </c>
      <c r="S45" s="139"/>
      <c r="T45" s="144"/>
      <c r="U45" s="10">
        <f>Tabella3[[#This Row],[region data]]*NOT(ISBLANK(Tabella3[[#This Row],[region data]]))</f>
        <v>0</v>
      </c>
      <c r="V45"/>
      <c r="W45" s="72">
        <f>Tabella3[[#This Row],[6-days moving avg]]*NOT(ISBLANK(Tabella3[[#This Row],[6-days moving avg]]))</f>
        <v>0</v>
      </c>
      <c r="X45" s="145">
        <f>Tabella8[[#This Row],[region fit]]</f>
        <v>0</v>
      </c>
      <c r="Y45" s="10">
        <f>Tabella3[[#This Row],[region cumul. fit]]/Kl</f>
        <v>0</v>
      </c>
      <c r="Z45" s="72">
        <f>IFERROR(Kl*psi_l*_xlfn.SECH(psi_l*(Tabella3[[#This Row],[Day]]-pl)-phi_l)^2/(1+TANH(phi_l)),0)</f>
        <v>13.320866448197085</v>
      </c>
      <c r="AA45" s="72">
        <f>Tabella3[[#This Row],[region fit]]/y_l_peak</f>
        <v>9.0473628485593705E-2</v>
      </c>
      <c r="AB45" s="10">
        <f>Tabella3[[#This Row],[region fit]]*NOT(ISBLANK(Tabella3[[#This Row],[region data]]))</f>
        <v>0</v>
      </c>
      <c r="AC45" s="166">
        <f>IFERROR(kl_m*psi_l_m*_xlfn.SECH(psi_l_m*(Tabella3[[#This Row],[Day]]-pl_m)-phi_l_m)^2/(1+TANH(phi_l_m)),0)</f>
        <v>13.320866448197085</v>
      </c>
      <c r="AD45" s="72">
        <f>Tabella3[[#This Row],[6-days moving avg fit]]*NOT(ISBLANK(Tabella3[[#This Row],[6-days moving avg]]))</f>
        <v>0</v>
      </c>
      <c r="AE45" s="72">
        <f>Tabella3[[#This Row],[region fit]]+CIl</f>
        <v>82.685852823297481</v>
      </c>
      <c r="AF45" s="72">
        <f>MAX(Tabella3[[#This Row],[region fit]]-CIl,0)</f>
        <v>0</v>
      </c>
      <c r="AG45" s="141"/>
      <c r="AH45" s="144"/>
      <c r="AI45" s="10">
        <f>Tabella3[[#This Row],[rest of Italy data]]*NOT(ISBLANK(Tabella3[[#This Row],[rest of Italy data]]))</f>
        <v>0</v>
      </c>
      <c r="AJ45" s="145">
        <f>Tabella8[[#This Row],[rest of Italy fit]]</f>
        <v>0</v>
      </c>
      <c r="AK45" s="72">
        <f>Tabella3[[#This Row],[rest of Italy cumul. fit]]/Ka</f>
        <v>0</v>
      </c>
      <c r="AL45" s="72">
        <f>IFERROR(Ka*psi_a*_xlfn.SECH(psi_a*(Tabella3[[#This Row],[Day]]-pa)-phi_a)^2/(1+TANH(phi_a)),0)</f>
        <v>154.85668580121921</v>
      </c>
      <c r="AM45" s="72">
        <f>Tabella3[[#This Row],[rest of Italy fit]]/y_a_peak</f>
        <v>5.1286415722217836E-2</v>
      </c>
      <c r="AN45" s="10">
        <f>Tabella3[[#This Row],[rest of Italy fit]]*NOT(ISBLANK(Tabella3[[#This Row],[rest of Italy data]]))</f>
        <v>0</v>
      </c>
      <c r="AO45" s="72">
        <f>Tabella3[[#This Row],[rest of Italy fit]]+CIa</f>
        <v>1788.9906257550206</v>
      </c>
      <c r="AP45" s="72">
        <f>MAX(Tabella3[[#This Row],[rest of Italy fit]]-CIa,0)</f>
        <v>0</v>
      </c>
      <c r="AR45" s="39" t="s">
        <v>129</v>
      </c>
      <c r="AS45" s="17" t="s">
        <v>85</v>
      </c>
      <c r="BF45" s="51" t="b">
        <f>psi_f&gt;=0.000001</f>
        <v>1</v>
      </c>
    </row>
    <row r="46" spans="2:58" x14ac:dyDescent="0.3">
      <c r="B46" s="134">
        <v>43869</v>
      </c>
      <c r="C46" s="4">
        <v>39</v>
      </c>
      <c r="D46" s="141"/>
      <c r="E46" s="144"/>
      <c r="F46" s="10">
        <f>Tabella3[[#This Row],[Italy remov. rate data]]*NOT(ISBLANK(Tabella3[[#This Row],[Italy remov. rate data]]))</f>
        <v>0</v>
      </c>
      <c r="G46" s="158">
        <f>Tabella3[[#This Row],[region cumul. fit]]+Tabella3[[#This Row],[rest of Italy cumul. fit]]</f>
        <v>0</v>
      </c>
      <c r="H46" s="158">
        <f>Tabella3[[#This Row],[Italy cumul. fit]]/Kf</f>
        <v>0</v>
      </c>
      <c r="I46" s="143">
        <f>Tabella3[[#This Row],[region fit]]+Tabella3[[#This Row],[rest of Italy fit]]</f>
        <v>176.62966438409089</v>
      </c>
      <c r="J46" s="143">
        <f>Tabella3[[#This Row],[Italy (fit of selected region + fitted sum of the other regions)]]/(y_l_peak+y_a_peak)</f>
        <v>5.5777497596197531E-2</v>
      </c>
      <c r="K46" s="72">
        <f>IFERROR(Kf*psi_f*_xlfn.SECH(psi_f*(Tabella3[[#This Row],[Day]]-pf)-phi_f)^2/(1+TANH(phi_f)),0)</f>
        <v>178.19874692577571</v>
      </c>
      <c r="L46" s="292">
        <f>Tabella3[[#This Row],[Italy remov. rate fit]]-Tabella3[[#This Row],[Italy remov. rate data]]</f>
        <v>178.19874692577571</v>
      </c>
      <c r="M46" s="293">
        <f>Tabella3[[#This Row],[rem. rate residuals]]*NOT(ISBLANK(Tabella3[[#This Row],[Italy remov. rate data]]))</f>
        <v>0</v>
      </c>
      <c r="N46" s="72">
        <f>Tabella3[[#This Row],[Italy remov. rate fit]]/y_f_peak</f>
        <v>5.6410049800420206E-2</v>
      </c>
      <c r="O46" s="10">
        <f>Tabella3[[#This Row],[Italy (fit of selected region + fitted sum of the other regions)]]*NOT(ISBLANK(Tabella3[[#This Row],[Italy remov. rate data]]))</f>
        <v>0</v>
      </c>
      <c r="P46" s="72">
        <f>Tabella3[[#This Row],[Italy remov. rate fit]]*NOT(ISBLANK(Tabella3[[#This Row],[Italy remov. rate data]]))</f>
        <v>0</v>
      </c>
      <c r="Q46" s="72">
        <f>Tabella3[[#This Row],[Italy remov. rate fit]]+CIf</f>
        <v>1833.4087158495272</v>
      </c>
      <c r="R46" s="72">
        <f>MAX(Tabella3[[#This Row],[Italy remov. rate fit]]-CIf,0)</f>
        <v>0</v>
      </c>
      <c r="S46" s="139"/>
      <c r="T46" s="144"/>
      <c r="U46" s="10">
        <f>Tabella3[[#This Row],[region data]]*NOT(ISBLANK(Tabella3[[#This Row],[region data]]))</f>
        <v>0</v>
      </c>
      <c r="V46"/>
      <c r="W46" s="72">
        <f>Tabella3[[#This Row],[6-days moving avg]]*NOT(ISBLANK(Tabella3[[#This Row],[6-days moving avg]]))</f>
        <v>0</v>
      </c>
      <c r="X46" s="145">
        <f>Tabella8[[#This Row],[region fit]]</f>
        <v>0</v>
      </c>
      <c r="Y46" s="10">
        <f>Tabella3[[#This Row],[region cumul. fit]]/Kl</f>
        <v>0</v>
      </c>
      <c r="Z46" s="72">
        <f>IFERROR(Kl*psi_l*_xlfn.SECH(psi_l*(Tabella3[[#This Row],[Day]]-pl)-phi_l)^2/(1+TANH(phi_l)),0)</f>
        <v>13.84212991154056</v>
      </c>
      <c r="AA46" s="72">
        <f>Tabella3[[#This Row],[region fit]]/y_l_peak</f>
        <v>9.4013983545007604E-2</v>
      </c>
      <c r="AB46" s="10">
        <f>Tabella3[[#This Row],[region fit]]*NOT(ISBLANK(Tabella3[[#This Row],[region data]]))</f>
        <v>0</v>
      </c>
      <c r="AC46" s="166">
        <f>IFERROR(kl_m*psi_l_m*_xlfn.SECH(psi_l_m*(Tabella3[[#This Row],[Day]]-pl_m)-phi_l_m)^2/(1+TANH(phi_l_m)),0)</f>
        <v>13.84212991154056</v>
      </c>
      <c r="AD46" s="72">
        <f>Tabella3[[#This Row],[6-days moving avg fit]]*NOT(ISBLANK(Tabella3[[#This Row],[6-days moving avg]]))</f>
        <v>0</v>
      </c>
      <c r="AE46" s="72">
        <f>Tabella3[[#This Row],[region fit]]+CIl</f>
        <v>83.207116286640968</v>
      </c>
      <c r="AF46" s="72">
        <f>MAX(Tabella3[[#This Row],[region fit]]-CIl,0)</f>
        <v>0</v>
      </c>
      <c r="AG46" s="141"/>
      <c r="AH46" s="144"/>
      <c r="AI46" s="10">
        <f>Tabella3[[#This Row],[rest of Italy data]]*NOT(ISBLANK(Tabella3[[#This Row],[rest of Italy data]]))</f>
        <v>0</v>
      </c>
      <c r="AJ46" s="145">
        <f>Tabella8[[#This Row],[rest of Italy fit]]</f>
        <v>0</v>
      </c>
      <c r="AK46" s="72">
        <f>Tabella3[[#This Row],[rest of Italy cumul. fit]]/Ka</f>
        <v>0</v>
      </c>
      <c r="AL46" s="72">
        <f>IFERROR(Ka*psi_a*_xlfn.SECH(psi_a*(Tabella3[[#This Row],[Day]]-pa)-phi_a)^2/(1+TANH(phi_a)),0)</f>
        <v>162.78753447255033</v>
      </c>
      <c r="AM46" s="72">
        <f>Tabella3[[#This Row],[rest of Italy fit]]/y_a_peak</f>
        <v>5.3913004299155368E-2</v>
      </c>
      <c r="AN46" s="10">
        <f>Tabella3[[#This Row],[rest of Italy fit]]*NOT(ISBLANK(Tabella3[[#This Row],[rest of Italy data]]))</f>
        <v>0</v>
      </c>
      <c r="AO46" s="72">
        <f>Tabella3[[#This Row],[rest of Italy fit]]+CIa</f>
        <v>1796.9214744263518</v>
      </c>
      <c r="AP46" s="72">
        <f>MAX(Tabella3[[#This Row],[rest of Italy fit]]-CIa,0)</f>
        <v>0</v>
      </c>
      <c r="AR46" s="14" t="s">
        <v>0</v>
      </c>
      <c r="AS46" s="5">
        <f>Kt</f>
        <v>235000.00152445532</v>
      </c>
      <c r="BF46" s="51">
        <f>{32767;32767;0.000001;0.01;FALSE;TRUE;FALSE;1;2;1;0.0001;TRUE}</f>
        <v>32767</v>
      </c>
    </row>
    <row r="47" spans="2:58" x14ac:dyDescent="0.3">
      <c r="B47" s="134">
        <v>43870</v>
      </c>
      <c r="C47" s="4">
        <v>40</v>
      </c>
      <c r="D47" s="141"/>
      <c r="E47" s="144"/>
      <c r="F47" s="10">
        <f>Tabella3[[#This Row],[Italy remov. rate data]]*NOT(ISBLANK(Tabella3[[#This Row],[Italy remov. rate data]]))</f>
        <v>0</v>
      </c>
      <c r="G47" s="158">
        <f>Tabella3[[#This Row],[region cumul. fit]]+Tabella3[[#This Row],[rest of Italy cumul. fit]]</f>
        <v>0</v>
      </c>
      <c r="H47" s="158">
        <f>Tabella3[[#This Row],[Italy cumul. fit]]/Kf</f>
        <v>0</v>
      </c>
      <c r="I47" s="143">
        <f>Tabella3[[#This Row],[region fit]]+Tabella3[[#This Row],[rest of Italy fit]]</f>
        <v>185.49510006226964</v>
      </c>
      <c r="J47" s="143">
        <f>Tabella3[[#This Row],[Italy (fit of selected region + fitted sum of the other regions)]]/(y_l_peak+y_a_peak)</f>
        <v>5.8577094249189866E-2</v>
      </c>
      <c r="K47" s="72">
        <f>IFERROR(Kf*psi_f*_xlfn.SECH(psi_f*(Tabella3[[#This Row],[Day]]-pf)-phi_f)^2/(1+TANH(phi_f)),0)</f>
        <v>187.15478618485929</v>
      </c>
      <c r="L47" s="292">
        <f>Tabella3[[#This Row],[Italy remov. rate fit]]-Tabella3[[#This Row],[Italy remov. rate data]]</f>
        <v>187.15478618485929</v>
      </c>
      <c r="M47" s="293">
        <f>Tabella3[[#This Row],[rem. rate residuals]]*NOT(ISBLANK(Tabella3[[#This Row],[Italy remov. rate data]]))</f>
        <v>0</v>
      </c>
      <c r="N47" s="72">
        <f>Tabella3[[#This Row],[Italy remov. rate fit]]/y_f_peak</f>
        <v>5.9245146170822049E-2</v>
      </c>
      <c r="O47" s="10">
        <f>Tabella3[[#This Row],[Italy (fit of selected region + fitted sum of the other regions)]]*NOT(ISBLANK(Tabella3[[#This Row],[Italy remov. rate data]]))</f>
        <v>0</v>
      </c>
      <c r="P47" s="72">
        <f>Tabella3[[#This Row],[Italy remov. rate fit]]*NOT(ISBLANK(Tabella3[[#This Row],[Italy remov. rate data]]))</f>
        <v>0</v>
      </c>
      <c r="Q47" s="72">
        <f>Tabella3[[#This Row],[Italy remov. rate fit]]+CIf</f>
        <v>1842.3647551086106</v>
      </c>
      <c r="R47" s="72">
        <f>MAX(Tabella3[[#This Row],[Italy remov. rate fit]]-CIf,0)</f>
        <v>0</v>
      </c>
      <c r="S47" s="139"/>
      <c r="T47" s="144"/>
      <c r="U47" s="10">
        <f>Tabella3[[#This Row],[region data]]*NOT(ISBLANK(Tabella3[[#This Row],[region data]]))</f>
        <v>0</v>
      </c>
      <c r="V47"/>
      <c r="W47" s="72">
        <f>Tabella3[[#This Row],[6-days moving avg]]*NOT(ISBLANK(Tabella3[[#This Row],[6-days moving avg]]))</f>
        <v>0</v>
      </c>
      <c r="X47" s="145">
        <f>Tabella8[[#This Row],[region fit]]</f>
        <v>0</v>
      </c>
      <c r="Y47" s="10">
        <f>Tabella3[[#This Row],[region cumul. fit]]/Kl</f>
        <v>0</v>
      </c>
      <c r="Z47" s="72">
        <f>IFERROR(Kl*psi_l*_xlfn.SECH(psi_l*(Tabella3[[#This Row],[Day]]-pl)-phi_l)^2/(1+TANH(phi_l)),0)</f>
        <v>14.382693574491032</v>
      </c>
      <c r="AA47" s="72">
        <f>Tabella3[[#This Row],[region fit]]/y_l_peak</f>
        <v>9.7685423102245414E-2</v>
      </c>
      <c r="AB47" s="10">
        <f>Tabella3[[#This Row],[region fit]]*NOT(ISBLANK(Tabella3[[#This Row],[region data]]))</f>
        <v>0</v>
      </c>
      <c r="AC47" s="166">
        <f>IFERROR(kl_m*psi_l_m*_xlfn.SECH(psi_l_m*(Tabella3[[#This Row],[Day]]-pl_m)-phi_l_m)^2/(1+TANH(phi_l_m)),0)</f>
        <v>14.382693574491032</v>
      </c>
      <c r="AD47" s="72">
        <f>Tabella3[[#This Row],[6-days moving avg fit]]*NOT(ISBLANK(Tabella3[[#This Row],[6-days moving avg]]))</f>
        <v>0</v>
      </c>
      <c r="AE47" s="72">
        <f>Tabella3[[#This Row],[region fit]]+CIl</f>
        <v>83.747679949591429</v>
      </c>
      <c r="AF47" s="72">
        <f>MAX(Tabella3[[#This Row],[region fit]]-CIl,0)</f>
        <v>0</v>
      </c>
      <c r="AG47" s="141"/>
      <c r="AH47" s="144"/>
      <c r="AI47" s="10">
        <f>Tabella3[[#This Row],[rest of Italy data]]*NOT(ISBLANK(Tabella3[[#This Row],[rest of Italy data]]))</f>
        <v>0</v>
      </c>
      <c r="AJ47" s="145">
        <f>Tabella8[[#This Row],[rest of Italy fit]]</f>
        <v>0</v>
      </c>
      <c r="AK47" s="72">
        <f>Tabella3[[#This Row],[rest of Italy cumul. fit]]/Ka</f>
        <v>0</v>
      </c>
      <c r="AL47" s="72">
        <f>IFERROR(Ka*psi_a*_xlfn.SECH(psi_a*(Tabella3[[#This Row],[Day]]-pa)-phi_a)^2/(1+TANH(phi_a)),0)</f>
        <v>171.1124064877786</v>
      </c>
      <c r="AM47" s="72">
        <f>Tabella3[[#This Row],[rest of Italy fit]]/y_a_peak</f>
        <v>5.6670088016905276E-2</v>
      </c>
      <c r="AN47" s="10">
        <f>Tabella3[[#This Row],[rest of Italy fit]]*NOT(ISBLANK(Tabella3[[#This Row],[rest of Italy data]]))</f>
        <v>0</v>
      </c>
      <c r="AO47" s="72">
        <f>Tabella3[[#This Row],[rest of Italy fit]]+CIa</f>
        <v>1805.24634644158</v>
      </c>
      <c r="AP47" s="72">
        <f>MAX(Tabella3[[#This Row],[rest of Italy fit]]-CIa,0)</f>
        <v>0</v>
      </c>
      <c r="AR47" s="85" t="s">
        <v>4713</v>
      </c>
      <c r="AS47" s="30">
        <f>phi_t</f>
        <v>1.3716353764341149</v>
      </c>
      <c r="BF47" s="51">
        <f>{0;0;1;200;0;FALSE;FALSE;0.075;0;0;FALSE;30}</f>
        <v>0</v>
      </c>
    </row>
    <row r="48" spans="2:58" ht="15" thickBot="1" x14ac:dyDescent="0.35">
      <c r="B48" s="134">
        <v>43871</v>
      </c>
      <c r="C48" s="4">
        <v>41</v>
      </c>
      <c r="D48" s="141"/>
      <c r="E48" s="144"/>
      <c r="F48" s="10">
        <f>Tabella3[[#This Row],[Italy remov. rate data]]*NOT(ISBLANK(Tabella3[[#This Row],[Italy remov. rate data]]))</f>
        <v>0</v>
      </c>
      <c r="G48" s="158">
        <f>Tabella3[[#This Row],[region cumul. fit]]+Tabella3[[#This Row],[rest of Italy cumul. fit]]</f>
        <v>0</v>
      </c>
      <c r="H48" s="158">
        <f>Tabella3[[#This Row],[Italy cumul. fit]]/Kf</f>
        <v>0</v>
      </c>
      <c r="I48" s="143">
        <f>Tabella3[[#This Row],[region fit]]+Tabella3[[#This Row],[rest of Italy fit]]</f>
        <v>194.79276939952149</v>
      </c>
      <c r="J48" s="143">
        <f>Tabella3[[#This Row],[Italy (fit of selected region + fitted sum of the other regions)]]/(y_l_peak+y_a_peak)</f>
        <v>6.1513185029394707E-2</v>
      </c>
      <c r="K48" s="72">
        <f>IFERROR(Kf*psi_f*_xlfn.SECH(psi_f*(Tabella3[[#This Row],[Day]]-pf)-phi_f)^2/(1+TANH(phi_f)),0)</f>
        <v>196.54608193735297</v>
      </c>
      <c r="L48" s="292">
        <f>Tabella3[[#This Row],[Italy remov. rate fit]]-Tabella3[[#This Row],[Italy remov. rate data]]</f>
        <v>196.54608193735297</v>
      </c>
      <c r="M48" s="293">
        <f>Tabella3[[#This Row],[rem. rate residuals]]*NOT(ISBLANK(Tabella3[[#This Row],[Italy remov. rate data]]))</f>
        <v>0</v>
      </c>
      <c r="N48" s="72">
        <f>Tabella3[[#This Row],[Italy remov. rate fit]]/y_f_peak</f>
        <v>6.2218026004311019E-2</v>
      </c>
      <c r="O48" s="10">
        <f>Tabella3[[#This Row],[Italy (fit of selected region + fitted sum of the other regions)]]*NOT(ISBLANK(Tabella3[[#This Row],[Italy remov. rate data]]))</f>
        <v>0</v>
      </c>
      <c r="P48" s="72">
        <f>Tabella3[[#This Row],[Italy remov. rate fit]]*NOT(ISBLANK(Tabella3[[#This Row],[Italy remov. rate data]]))</f>
        <v>0</v>
      </c>
      <c r="Q48" s="72">
        <f>Tabella3[[#This Row],[Italy remov. rate fit]]+CIf</f>
        <v>1851.7560508611043</v>
      </c>
      <c r="R48" s="72">
        <f>MAX(Tabella3[[#This Row],[Italy remov. rate fit]]-CIf,0)</f>
        <v>0</v>
      </c>
      <c r="S48" s="139"/>
      <c r="T48" s="144"/>
      <c r="U48" s="10">
        <f>Tabella3[[#This Row],[region data]]*NOT(ISBLANK(Tabella3[[#This Row],[region data]]))</f>
        <v>0</v>
      </c>
      <c r="V48"/>
      <c r="W48" s="72">
        <f>Tabella3[[#This Row],[6-days moving avg]]*NOT(ISBLANK(Tabella3[[#This Row],[6-days moving avg]]))</f>
        <v>0</v>
      </c>
      <c r="X48" s="145">
        <f>Tabella8[[#This Row],[region fit]]</f>
        <v>0</v>
      </c>
      <c r="Y48" s="10">
        <f>Tabella3[[#This Row],[region cumul. fit]]/Kl</f>
        <v>0</v>
      </c>
      <c r="Z48" s="72">
        <f>IFERROR(Kl*psi_l*_xlfn.SECH(psi_l*(Tabella3[[#This Row],[Day]]-pl)-phi_l)^2/(1+TANH(phi_l)),0)</f>
        <v>14.943182515243032</v>
      </c>
      <c r="AA48" s="72">
        <f>Tabella3[[#This Row],[region fit]]/y_l_peak</f>
        <v>0.10149219260879982</v>
      </c>
      <c r="AB48" s="10">
        <f>Tabella3[[#This Row],[region fit]]*NOT(ISBLANK(Tabella3[[#This Row],[region data]]))</f>
        <v>0</v>
      </c>
      <c r="AC48" s="166">
        <f>IFERROR(kl_m*psi_l_m*_xlfn.SECH(psi_l_m*(Tabella3[[#This Row],[Day]]-pl_m)-phi_l_m)^2/(1+TANH(phi_l_m)),0)</f>
        <v>14.943182515243032</v>
      </c>
      <c r="AD48" s="72">
        <f>Tabella3[[#This Row],[6-days moving avg fit]]*NOT(ISBLANK(Tabella3[[#This Row],[6-days moving avg]]))</f>
        <v>0</v>
      </c>
      <c r="AE48" s="72">
        <f>Tabella3[[#This Row],[region fit]]+CIl</f>
        <v>84.308168890343438</v>
      </c>
      <c r="AF48" s="72">
        <f>MAX(Tabella3[[#This Row],[region fit]]-CIl,0)</f>
        <v>0</v>
      </c>
      <c r="AG48" s="141"/>
      <c r="AH48" s="144"/>
      <c r="AI48" s="10">
        <f>Tabella3[[#This Row],[rest of Italy data]]*NOT(ISBLANK(Tabella3[[#This Row],[rest of Italy data]]))</f>
        <v>0</v>
      </c>
      <c r="AJ48" s="145">
        <f>Tabella8[[#This Row],[rest of Italy fit]]</f>
        <v>0</v>
      </c>
      <c r="AK48" s="72">
        <f>Tabella3[[#This Row],[rest of Italy cumul. fit]]/Ka</f>
        <v>0</v>
      </c>
      <c r="AL48" s="72">
        <f>IFERROR(Ka*psi_a*_xlfn.SECH(psi_a*(Tabella3[[#This Row],[Day]]-pa)-phi_a)^2/(1+TANH(phi_a)),0)</f>
        <v>179.84958688427847</v>
      </c>
      <c r="AM48" s="72">
        <f>Tabella3[[#This Row],[rest of Italy fit]]/y_a_peak</f>
        <v>5.9563722629685914E-2</v>
      </c>
      <c r="AN48" s="10">
        <f>Tabella3[[#This Row],[rest of Italy fit]]*NOT(ISBLANK(Tabella3[[#This Row],[rest of Italy data]]))</f>
        <v>0</v>
      </c>
      <c r="AO48" s="72">
        <f>Tabella3[[#This Row],[rest of Italy fit]]+CIa</f>
        <v>1813.98352683808</v>
      </c>
      <c r="AP48" s="72">
        <f>MAX(Tabella3[[#This Row],[rest of Italy fit]]-CIa,0)</f>
        <v>0</v>
      </c>
      <c r="AR48" s="14" t="s">
        <v>4714</v>
      </c>
      <c r="AS48" s="30">
        <f>psi_t</f>
        <v>2.5259337348686014E-2</v>
      </c>
      <c r="AT48" s="6"/>
      <c r="BF48" s="52">
        <f>{0;0;1;200;0;FALSE;FALSE;0.075;0;0;FALSE;30}</f>
        <v>0</v>
      </c>
    </row>
    <row r="49" spans="2:47" x14ac:dyDescent="0.3">
      <c r="B49" s="134">
        <v>43872</v>
      </c>
      <c r="C49" s="4">
        <v>42</v>
      </c>
      <c r="D49" s="141"/>
      <c r="E49" s="144"/>
      <c r="F49" s="10">
        <f>Tabella3[[#This Row],[Italy remov. rate data]]*NOT(ISBLANK(Tabella3[[#This Row],[Italy remov. rate data]]))</f>
        <v>0</v>
      </c>
      <c r="G49" s="158">
        <f>Tabella3[[#This Row],[region cumul. fit]]+Tabella3[[#This Row],[rest of Italy cumul. fit]]</f>
        <v>0</v>
      </c>
      <c r="H49" s="158">
        <f>Tabella3[[#This Row],[Italy cumul. fit]]/Kf</f>
        <v>0</v>
      </c>
      <c r="I49" s="143">
        <f>Tabella3[[#This Row],[region fit]]+Tabella3[[#This Row],[rest of Italy fit]]</f>
        <v>204.54230577694804</v>
      </c>
      <c r="J49" s="143">
        <f>Tabella3[[#This Row],[Italy (fit of selected region + fitted sum of the other regions)]]/(y_l_peak+y_a_peak)</f>
        <v>6.4591969919533074E-2</v>
      </c>
      <c r="K49" s="72">
        <f>IFERROR(Kf*psi_f*_xlfn.SECH(psi_f*(Tabella3[[#This Row],[Day]]-pf)-phi_f)^2/(1+TANH(phi_f)),0)</f>
        <v>206.39223610799851</v>
      </c>
      <c r="L49" s="292">
        <f>Tabella3[[#This Row],[Italy remov. rate fit]]-Tabella3[[#This Row],[Italy remov. rate data]]</f>
        <v>206.39223610799851</v>
      </c>
      <c r="M49" s="293">
        <f>Tabella3[[#This Row],[rem. rate residuals]]*NOT(ISBLANK(Tabella3[[#This Row],[Italy remov. rate data]]))</f>
        <v>0</v>
      </c>
      <c r="N49" s="72">
        <f>Tabella3[[#This Row],[Italy remov. rate fit]]/y_f_peak</f>
        <v>6.5334894426175266E-2</v>
      </c>
      <c r="O49" s="10">
        <f>Tabella3[[#This Row],[Italy (fit of selected region + fitted sum of the other regions)]]*NOT(ISBLANK(Tabella3[[#This Row],[Italy remov. rate data]]))</f>
        <v>0</v>
      </c>
      <c r="P49" s="72">
        <f>Tabella3[[#This Row],[Italy remov. rate fit]]*NOT(ISBLANK(Tabella3[[#This Row],[Italy remov. rate data]]))</f>
        <v>0</v>
      </c>
      <c r="Q49" s="72">
        <f>Tabella3[[#This Row],[Italy remov. rate fit]]+CIf</f>
        <v>1861.6022050317499</v>
      </c>
      <c r="R49" s="72">
        <f>MAX(Tabella3[[#This Row],[Italy remov. rate fit]]-CIf,0)</f>
        <v>0</v>
      </c>
      <c r="S49" s="139"/>
      <c r="T49" s="144"/>
      <c r="U49" s="10">
        <f>Tabella3[[#This Row],[region data]]*NOT(ISBLANK(Tabella3[[#This Row],[region data]]))</f>
        <v>0</v>
      </c>
      <c r="V49"/>
      <c r="W49" s="72">
        <f>Tabella3[[#This Row],[6-days moving avg]]*NOT(ISBLANK(Tabella3[[#This Row],[6-days moving avg]]))</f>
        <v>0</v>
      </c>
      <c r="X49" s="145">
        <f>Tabella8[[#This Row],[region fit]]</f>
        <v>0</v>
      </c>
      <c r="Y49" s="10">
        <f>Tabella3[[#This Row],[region cumul. fit]]/Kl</f>
        <v>0</v>
      </c>
      <c r="Z49" s="72">
        <f>IFERROR(Kl*psi_l*_xlfn.SECH(psi_l*(Tabella3[[#This Row],[Day]]-pl)-phi_l)^2/(1+TANH(phi_l)),0)</f>
        <v>15.524234642740636</v>
      </c>
      <c r="AA49" s="72">
        <f>Tabella3[[#This Row],[region fit]]/y_l_peak</f>
        <v>0.10543862466098042</v>
      </c>
      <c r="AB49" s="10">
        <f>Tabella3[[#This Row],[region fit]]*NOT(ISBLANK(Tabella3[[#This Row],[region data]]))</f>
        <v>0</v>
      </c>
      <c r="AC49" s="166">
        <f>IFERROR(kl_m*psi_l_m*_xlfn.SECH(psi_l_m*(Tabella3[[#This Row],[Day]]-pl_m)-phi_l_m)^2/(1+TANH(phi_l_m)),0)</f>
        <v>15.524234642740636</v>
      </c>
      <c r="AD49" s="72">
        <f>Tabella3[[#This Row],[6-days moving avg fit]]*NOT(ISBLANK(Tabella3[[#This Row],[6-days moving avg]]))</f>
        <v>0</v>
      </c>
      <c r="AE49" s="72">
        <f>Tabella3[[#This Row],[region fit]]+CIl</f>
        <v>84.889221017841038</v>
      </c>
      <c r="AF49" s="72">
        <f>MAX(Tabella3[[#This Row],[region fit]]-CIl,0)</f>
        <v>0</v>
      </c>
      <c r="AG49" s="141"/>
      <c r="AH49" s="144"/>
      <c r="AI49" s="10">
        <f>Tabella3[[#This Row],[rest of Italy data]]*NOT(ISBLANK(Tabella3[[#This Row],[rest of Italy data]]))</f>
        <v>0</v>
      </c>
      <c r="AJ49" s="145">
        <f>Tabella8[[#This Row],[rest of Italy fit]]</f>
        <v>0</v>
      </c>
      <c r="AK49" s="72">
        <f>Tabella3[[#This Row],[rest of Italy cumul. fit]]/Ka</f>
        <v>0</v>
      </c>
      <c r="AL49" s="72">
        <f>IFERROR(Ka*psi_a*_xlfn.SECH(psi_a*(Tabella3[[#This Row],[Day]]-pa)-phi_a)^2/(1+TANH(phi_a)),0)</f>
        <v>189.01807113420742</v>
      </c>
      <c r="AM49" s="72">
        <f>Tabella3[[#This Row],[rest of Italy fit]]/y_a_peak</f>
        <v>6.2600199177996238E-2</v>
      </c>
      <c r="AN49" s="10">
        <f>Tabella3[[#This Row],[rest of Italy fit]]*NOT(ISBLANK(Tabella3[[#This Row],[rest of Italy data]]))</f>
        <v>0</v>
      </c>
      <c r="AO49" s="72">
        <f>Tabella3[[#This Row],[rest of Italy fit]]+CIa</f>
        <v>1823.152011088009</v>
      </c>
      <c r="AP49" s="72">
        <f>MAX(Tabella3[[#This Row],[rest of Italy fit]]-CIa,0)</f>
        <v>0</v>
      </c>
      <c r="AR49" s="2" t="s">
        <v>1</v>
      </c>
      <c r="AS49" s="6">
        <f>AVERAGE(Tabella3[Italy remov. rate data])</f>
        <v>1917.4901960784314</v>
      </c>
    </row>
    <row r="50" spans="2:47" x14ac:dyDescent="0.3">
      <c r="B50" s="134">
        <v>43873</v>
      </c>
      <c r="C50" s="4">
        <v>43</v>
      </c>
      <c r="D50" s="141"/>
      <c r="E50" s="144"/>
      <c r="F50" s="10">
        <f>Tabella3[[#This Row],[Italy remov. rate data]]*NOT(ISBLANK(Tabella3[[#This Row],[Italy remov. rate data]]))</f>
        <v>0</v>
      </c>
      <c r="G50" s="158">
        <f>Tabella3[[#This Row],[region cumul. fit]]+Tabella3[[#This Row],[rest of Italy cumul. fit]]</f>
        <v>0</v>
      </c>
      <c r="H50" s="158">
        <f>Tabella3[[#This Row],[Italy cumul. fit]]/Kf</f>
        <v>0</v>
      </c>
      <c r="I50" s="143">
        <f>Tabella3[[#This Row],[region fit]]+Tabella3[[#This Row],[rest of Italy fit]]</f>
        <v>214.76407776924157</v>
      </c>
      <c r="J50" s="143">
        <f>Tabella3[[#This Row],[Italy (fit of selected region + fitted sum of the other regions)]]/(y_l_peak+y_a_peak)</f>
        <v>6.7819881067511134E-2</v>
      </c>
      <c r="K50" s="72">
        <f>IFERROR(Kf*psi_f*_xlfn.SECH(psi_f*(Tabella3[[#This Row],[Day]]-pf)-phi_f)^2/(1+TANH(phi_f)),0)</f>
        <v>216.71357028200694</v>
      </c>
      <c r="L50" s="292">
        <f>Tabella3[[#This Row],[Italy remov. rate fit]]-Tabella3[[#This Row],[Italy remov. rate data]]</f>
        <v>216.71357028200694</v>
      </c>
      <c r="M50" s="293">
        <f>Tabella3[[#This Row],[rem. rate residuals]]*NOT(ISBLANK(Tabella3[[#This Row],[Italy remov. rate data]]))</f>
        <v>0</v>
      </c>
      <c r="N50" s="72">
        <f>Tabella3[[#This Row],[Italy remov. rate fit]]/y_f_peak</f>
        <v>6.8602184375217992E-2</v>
      </c>
      <c r="O50" s="10">
        <f>Tabella3[[#This Row],[Italy (fit of selected region + fitted sum of the other regions)]]*NOT(ISBLANK(Tabella3[[#This Row],[Italy remov. rate data]]))</f>
        <v>0</v>
      </c>
      <c r="P50" s="72">
        <f>Tabella3[[#This Row],[Italy remov. rate fit]]*NOT(ISBLANK(Tabella3[[#This Row],[Italy remov. rate data]]))</f>
        <v>0</v>
      </c>
      <c r="Q50" s="72">
        <f>Tabella3[[#This Row],[Italy remov. rate fit]]+CIf</f>
        <v>1871.9235392057583</v>
      </c>
      <c r="R50" s="72">
        <f>MAX(Tabella3[[#This Row],[Italy remov. rate fit]]-CIf,0)</f>
        <v>0</v>
      </c>
      <c r="S50" s="139"/>
      <c r="T50" s="144"/>
      <c r="U50" s="10">
        <f>Tabella3[[#This Row],[region data]]*NOT(ISBLANK(Tabella3[[#This Row],[region data]]))</f>
        <v>0</v>
      </c>
      <c r="V50"/>
      <c r="W50" s="72">
        <f>Tabella3[[#This Row],[6-days moving avg]]*NOT(ISBLANK(Tabella3[[#This Row],[6-days moving avg]]))</f>
        <v>0</v>
      </c>
      <c r="X50" s="145">
        <f>Tabella8[[#This Row],[region fit]]</f>
        <v>0</v>
      </c>
      <c r="Y50" s="10">
        <f>Tabella3[[#This Row],[region cumul. fit]]/Kl</f>
        <v>0</v>
      </c>
      <c r="Z50" s="72">
        <f>IFERROR(Kl*psi_l*_xlfn.SECH(psi_l*(Tabella3[[#This Row],[Day]]-pl)-phi_l)^2/(1+TANH(phi_l)),0)</f>
        <v>16.126500296043613</v>
      </c>
      <c r="AA50" s="72">
        <f>Tabella3[[#This Row],[region fit]]/y_l_peak</f>
        <v>0.10952913627885959</v>
      </c>
      <c r="AB50" s="10">
        <f>Tabella3[[#This Row],[region fit]]*NOT(ISBLANK(Tabella3[[#This Row],[region data]]))</f>
        <v>0</v>
      </c>
      <c r="AC50" s="166">
        <f>IFERROR(kl_m*psi_l_m*_xlfn.SECH(psi_l_m*(Tabella3[[#This Row],[Day]]-pl_m)-phi_l_m)^2/(1+TANH(phi_l_m)),0)</f>
        <v>16.126500296043613</v>
      </c>
      <c r="AD50" s="72">
        <f>Tabella3[[#This Row],[6-days moving avg fit]]*NOT(ISBLANK(Tabella3[[#This Row],[6-days moving avg]]))</f>
        <v>0</v>
      </c>
      <c r="AE50" s="72">
        <f>Tabella3[[#This Row],[region fit]]+CIl</f>
        <v>85.491486671144017</v>
      </c>
      <c r="AF50" s="72">
        <f>MAX(Tabella3[[#This Row],[region fit]]-CIl,0)</f>
        <v>0</v>
      </c>
      <c r="AG50" s="141"/>
      <c r="AH50" s="144"/>
      <c r="AI50" s="10">
        <f>Tabella3[[#This Row],[rest of Italy data]]*NOT(ISBLANK(Tabella3[[#This Row],[rest of Italy data]]))</f>
        <v>0</v>
      </c>
      <c r="AJ50" s="145">
        <f>Tabella8[[#This Row],[rest of Italy fit]]</f>
        <v>0</v>
      </c>
      <c r="AK50" s="72">
        <f>Tabella3[[#This Row],[rest of Italy cumul. fit]]/Ka</f>
        <v>0</v>
      </c>
      <c r="AL50" s="72">
        <f>IFERROR(Ka*psi_a*_xlfn.SECH(psi_a*(Tabella3[[#This Row],[Day]]-pa)-phi_a)^2/(1+TANH(phi_a)),0)</f>
        <v>198.63757747319795</v>
      </c>
      <c r="AM50" s="72">
        <f>Tabella3[[#This Row],[rest of Italy fit]]/y_a_peak</f>
        <v>6.5786048071709902E-2</v>
      </c>
      <c r="AN50" s="10">
        <f>Tabella3[[#This Row],[rest of Italy fit]]*NOT(ISBLANK(Tabella3[[#This Row],[rest of Italy data]]))</f>
        <v>0</v>
      </c>
      <c r="AO50" s="72">
        <f>Tabella3[[#This Row],[rest of Italy fit]]+CIa</f>
        <v>1832.7715174269995</v>
      </c>
      <c r="AP50" s="72">
        <f>MAX(Tabella3[[#This Row],[rest of Italy fit]]-CIa,0)</f>
        <v>0</v>
      </c>
      <c r="AR50" s="2" t="s">
        <v>2</v>
      </c>
      <c r="AS50" s="1">
        <f>COUNT(Tabella3[Italy remov. rate data])-COUNT(AS46:AS48,pf)</f>
        <v>98</v>
      </c>
      <c r="AT50" s="6"/>
      <c r="AU50" s="6"/>
    </row>
    <row r="51" spans="2:47" x14ac:dyDescent="0.3">
      <c r="B51" s="134">
        <v>43874</v>
      </c>
      <c r="C51" s="4">
        <v>44</v>
      </c>
      <c r="D51" s="141"/>
      <c r="E51" s="144"/>
      <c r="F51" s="10">
        <f>Tabella3[[#This Row],[Italy remov. rate data]]*NOT(ISBLANK(Tabella3[[#This Row],[Italy remov. rate data]]))</f>
        <v>0</v>
      </c>
      <c r="G51" s="158">
        <f>Tabella3[[#This Row],[region cumul. fit]]+Tabella3[[#This Row],[rest of Italy cumul. fit]]</f>
        <v>0</v>
      </c>
      <c r="H51" s="158">
        <f>Tabella3[[#This Row],[Italy cumul. fit]]/Kf</f>
        <v>0</v>
      </c>
      <c r="I51" s="143">
        <f>Tabella3[[#This Row],[region fit]]+Tabella3[[#This Row],[rest of Italy fit]]</f>
        <v>225.47919928083118</v>
      </c>
      <c r="J51" s="143">
        <f>Tabella3[[#This Row],[Italy (fit of selected region + fitted sum of the other regions)]]/(y_l_peak+y_a_peak)</f>
        <v>7.120358598729179E-2</v>
      </c>
      <c r="K51" s="72">
        <f>IFERROR(Kf*psi_f*_xlfn.SECH(psi_f*(Tabella3[[#This Row],[Day]]-pf)-phi_f)^2/(1+TANH(phi_f)),0)</f>
        <v>227.53113430610995</v>
      </c>
      <c r="L51" s="292">
        <f>Tabella3[[#This Row],[Italy remov. rate fit]]-Tabella3[[#This Row],[Italy remov. rate data]]</f>
        <v>227.53113430610995</v>
      </c>
      <c r="M51" s="293">
        <f>Tabella3[[#This Row],[rem. rate residuals]]*NOT(ISBLANK(Tabella3[[#This Row],[Italy remov. rate data]]))</f>
        <v>0</v>
      </c>
      <c r="N51" s="72">
        <f>Tabella3[[#This Row],[Italy remov. rate fit]]/y_f_peak</f>
        <v>7.2026559326479889E-2</v>
      </c>
      <c r="O51" s="10">
        <f>Tabella3[[#This Row],[Italy (fit of selected region + fitted sum of the other regions)]]*NOT(ISBLANK(Tabella3[[#This Row],[Italy remov. rate data]]))</f>
        <v>0</v>
      </c>
      <c r="P51" s="72">
        <f>Tabella3[[#This Row],[Italy remov. rate fit]]*NOT(ISBLANK(Tabella3[[#This Row],[Italy remov. rate data]]))</f>
        <v>0</v>
      </c>
      <c r="Q51" s="72">
        <f>Tabella3[[#This Row],[Italy remov. rate fit]]+CIf</f>
        <v>1882.7411032298614</v>
      </c>
      <c r="R51" s="72">
        <f>MAX(Tabella3[[#This Row],[Italy remov. rate fit]]-CIf,0)</f>
        <v>0</v>
      </c>
      <c r="S51" s="139"/>
      <c r="T51" s="144"/>
      <c r="U51" s="10">
        <f>Tabella3[[#This Row],[region data]]*NOT(ISBLANK(Tabella3[[#This Row],[region data]]))</f>
        <v>0</v>
      </c>
      <c r="V51"/>
      <c r="W51" s="72">
        <f>Tabella3[[#This Row],[6-days moving avg]]*NOT(ISBLANK(Tabella3[[#This Row],[6-days moving avg]]))</f>
        <v>0</v>
      </c>
      <c r="X51" s="145">
        <f>Tabella8[[#This Row],[region fit]]</f>
        <v>0</v>
      </c>
      <c r="Y51" s="10">
        <f>Tabella3[[#This Row],[region cumul. fit]]/Kl</f>
        <v>0</v>
      </c>
      <c r="Z51" s="72">
        <f>IFERROR(Kl*psi_l*_xlfn.SECH(psi_l*(Tabella3[[#This Row],[Day]]-pl)-phi_l)^2/(1+TANH(phi_l)),0)</f>
        <v>16.750641767081841</v>
      </c>
      <c r="AA51" s="72">
        <f>Tabella3[[#This Row],[region fit]]/y_l_peak</f>
        <v>0.11376822566488126</v>
      </c>
      <c r="AB51" s="10">
        <f>Tabella3[[#This Row],[region fit]]*NOT(ISBLANK(Tabella3[[#This Row],[region data]]))</f>
        <v>0</v>
      </c>
      <c r="AC51" s="166">
        <f>IFERROR(kl_m*psi_l_m*_xlfn.SECH(psi_l_m*(Tabella3[[#This Row],[Day]]-pl_m)-phi_l_m)^2/(1+TANH(phi_l_m)),0)</f>
        <v>16.750641767081841</v>
      </c>
      <c r="AD51" s="72">
        <f>Tabella3[[#This Row],[6-days moving avg fit]]*NOT(ISBLANK(Tabella3[[#This Row],[6-days moving avg]]))</f>
        <v>0</v>
      </c>
      <c r="AE51" s="72">
        <f>Tabella3[[#This Row],[region fit]]+CIl</f>
        <v>86.115628142182246</v>
      </c>
      <c r="AF51" s="72">
        <f>MAX(Tabella3[[#This Row],[region fit]]-CIl,0)</f>
        <v>0</v>
      </c>
      <c r="AG51" s="141"/>
      <c r="AH51" s="144"/>
      <c r="AI51" s="10">
        <f>Tabella3[[#This Row],[rest of Italy data]]*NOT(ISBLANK(Tabella3[[#This Row],[rest of Italy data]]))</f>
        <v>0</v>
      </c>
      <c r="AJ51" s="145">
        <f>Tabella8[[#This Row],[rest of Italy fit]]</f>
        <v>0</v>
      </c>
      <c r="AK51" s="72">
        <f>Tabella3[[#This Row],[rest of Italy cumul. fit]]/Ka</f>
        <v>0</v>
      </c>
      <c r="AL51" s="72">
        <f>IFERROR(Ka*psi_a*_xlfn.SECH(psi_a*(Tabella3[[#This Row],[Day]]-pa)-phi_a)^2/(1+TANH(phi_a)),0)</f>
        <v>208.72855751374934</v>
      </c>
      <c r="AM51" s="72">
        <f>Tabella3[[#This Row],[rest of Italy fit]]/y_a_peak</f>
        <v>6.9128042605085399E-2</v>
      </c>
      <c r="AN51" s="10">
        <f>Tabella3[[#This Row],[rest of Italy fit]]*NOT(ISBLANK(Tabella3[[#This Row],[rest of Italy data]]))</f>
        <v>0</v>
      </c>
      <c r="AO51" s="72">
        <f>Tabella3[[#This Row],[rest of Italy fit]]+CIa</f>
        <v>1842.8624974675508</v>
      </c>
      <c r="AP51" s="72">
        <f>MAX(Tabella3[[#This Row],[rest of Italy fit]]-CIa,0)</f>
        <v>0</v>
      </c>
      <c r="AR51" s="2" t="s">
        <v>3</v>
      </c>
      <c r="AS51" s="6" cm="1">
        <f t="array" ref="AS51">SQRT(SUM((Tabella3[Colonna1]-Tabella3[Colonna22])^2)/dff)</f>
        <v>834.08269818852773</v>
      </c>
    </row>
    <row r="52" spans="2:47" ht="16.2" x14ac:dyDescent="0.3">
      <c r="B52" s="134">
        <v>43875</v>
      </c>
      <c r="C52" s="4">
        <v>45</v>
      </c>
      <c r="D52" s="141"/>
      <c r="E52" s="144"/>
      <c r="F52" s="10">
        <f>Tabella3[[#This Row],[Italy remov. rate data]]*NOT(ISBLANK(Tabella3[[#This Row],[Italy remov. rate data]]))</f>
        <v>0</v>
      </c>
      <c r="G52" s="158">
        <f>Tabella3[[#This Row],[region cumul. fit]]+Tabella3[[#This Row],[rest of Italy cumul. fit]]</f>
        <v>0</v>
      </c>
      <c r="H52" s="158">
        <f>Tabella3[[#This Row],[Italy cumul. fit]]/Kf</f>
        <v>0</v>
      </c>
      <c r="I52" s="143">
        <f>Tabella3[[#This Row],[region fit]]+Tabella3[[#This Row],[rest of Italy fit]]</f>
        <v>236.70953759146971</v>
      </c>
      <c r="J52" s="143">
        <f>Tabella3[[#This Row],[Italy (fit of selected region + fitted sum of the other regions)]]/(y_l_peak+y_a_peak)</f>
        <v>7.4749990099593017E-2</v>
      </c>
      <c r="K52" s="72">
        <f>IFERROR(Kf*psi_f*_xlfn.SECH(psi_f*(Tabella3[[#This Row],[Day]]-pf)-phi_f)^2/(1+TANH(phi_f)),0)</f>
        <v>238.8667127148415</v>
      </c>
      <c r="L52" s="292">
        <f>Tabella3[[#This Row],[Italy remov. rate fit]]-Tabella3[[#This Row],[Italy remov. rate data]]</f>
        <v>238.8667127148415</v>
      </c>
      <c r="M52" s="293">
        <f>Tabella3[[#This Row],[rem. rate residuals]]*NOT(ISBLANK(Tabella3[[#This Row],[Italy remov. rate data]]))</f>
        <v>0</v>
      </c>
      <c r="N52" s="72">
        <f>Tabella3[[#This Row],[Italy remov. rate fit]]/y_f_peak</f>
        <v>7.5614915325523238E-2</v>
      </c>
      <c r="O52" s="10">
        <f>Tabella3[[#This Row],[Italy (fit of selected region + fitted sum of the other regions)]]*NOT(ISBLANK(Tabella3[[#This Row],[Italy remov. rate data]]))</f>
        <v>0</v>
      </c>
      <c r="P52" s="72">
        <f>Tabella3[[#This Row],[Italy remov. rate fit]]*NOT(ISBLANK(Tabella3[[#This Row],[Italy remov. rate data]]))</f>
        <v>0</v>
      </c>
      <c r="Q52" s="72">
        <f>Tabella3[[#This Row],[Italy remov. rate fit]]+CIf</f>
        <v>1894.0766816385928</v>
      </c>
      <c r="R52" s="72">
        <f>MAX(Tabella3[[#This Row],[Italy remov. rate fit]]-CIf,0)</f>
        <v>0</v>
      </c>
      <c r="S52" s="139"/>
      <c r="T52" s="144"/>
      <c r="U52" s="10">
        <f>Tabella3[[#This Row],[region data]]*NOT(ISBLANK(Tabella3[[#This Row],[region data]]))</f>
        <v>0</v>
      </c>
      <c r="V52"/>
      <c r="W52" s="72">
        <f>Tabella3[[#This Row],[6-days moving avg]]*NOT(ISBLANK(Tabella3[[#This Row],[6-days moving avg]]))</f>
        <v>0</v>
      </c>
      <c r="X52" s="145">
        <f>Tabella8[[#This Row],[region fit]]</f>
        <v>0</v>
      </c>
      <c r="Y52" s="10">
        <f>Tabella3[[#This Row],[region cumul. fit]]/Kl</f>
        <v>0</v>
      </c>
      <c r="Z52" s="72">
        <f>IFERROR(Kl*psi_l*_xlfn.SECH(psi_l*(Tabella3[[#This Row],[Day]]-pl)-phi_l)^2/(1+TANH(phi_l)),0)</f>
        <v>17.397332740599591</v>
      </c>
      <c r="AA52" s="72">
        <f>Tabella3[[#This Row],[region fit]]/y_l_peak</f>
        <v>0.11816046840003387</v>
      </c>
      <c r="AB52" s="10">
        <f>Tabella3[[#This Row],[region fit]]*NOT(ISBLANK(Tabella3[[#This Row],[region data]]))</f>
        <v>0</v>
      </c>
      <c r="AC52" s="166">
        <f>IFERROR(kl_m*psi_l_m*_xlfn.SECH(psi_l_m*(Tabella3[[#This Row],[Day]]-pl_m)-phi_l_m)^2/(1+TANH(phi_l_m)),0)</f>
        <v>17.397332740599591</v>
      </c>
      <c r="AD52" s="72">
        <f>Tabella3[[#This Row],[6-days moving avg fit]]*NOT(ISBLANK(Tabella3[[#This Row],[6-days moving avg]]))</f>
        <v>0</v>
      </c>
      <c r="AE52" s="72">
        <f>Tabella3[[#This Row],[region fit]]+CIl</f>
        <v>86.762319115699995</v>
      </c>
      <c r="AF52" s="72">
        <f>MAX(Tabella3[[#This Row],[region fit]]-CIl,0)</f>
        <v>0</v>
      </c>
      <c r="AG52" s="141"/>
      <c r="AH52" s="144"/>
      <c r="AI52" s="10">
        <f>Tabella3[[#This Row],[rest of Italy data]]*NOT(ISBLANK(Tabella3[[#This Row],[rest of Italy data]]))</f>
        <v>0</v>
      </c>
      <c r="AJ52" s="145">
        <f>Tabella8[[#This Row],[rest of Italy fit]]</f>
        <v>0</v>
      </c>
      <c r="AK52" s="72">
        <f>Tabella3[[#This Row],[rest of Italy cumul. fit]]/Ka</f>
        <v>0</v>
      </c>
      <c r="AL52" s="72">
        <f>IFERROR(Ka*psi_a*_xlfn.SECH(psi_a*(Tabella3[[#This Row],[Day]]-pa)-phi_a)^2/(1+TANH(phi_a)),0)</f>
        <v>219.31220485087013</v>
      </c>
      <c r="AM52" s="72">
        <f>Tabella3[[#This Row],[rest of Italy fit]]/y_a_peak</f>
        <v>7.2633201806837133E-2</v>
      </c>
      <c r="AN52" s="10">
        <f>Tabella3[[#This Row],[rest of Italy fit]]*NOT(ISBLANK(Tabella3[[#This Row],[rest of Italy data]]))</f>
        <v>0</v>
      </c>
      <c r="AO52" s="72">
        <f>Tabella3[[#This Row],[rest of Italy fit]]+CIa</f>
        <v>1853.4461448046716</v>
      </c>
      <c r="AP52" s="72">
        <f>MAX(Tabella3[[#This Row],[rest of Italy fit]]-CIa,0)</f>
        <v>0</v>
      </c>
      <c r="AR52" s="2" t="s">
        <v>4</v>
      </c>
      <c r="AS52" s="7" cm="1">
        <f t="array" ref="AS52">1-SUM((Tabella3[Colonna1]-Tabella3[Colonna22])^2)/SUM((Tabella3[Colonna1]-Mean_of_yf)^2)</f>
        <v>0.91546864050912413</v>
      </c>
    </row>
    <row r="53" spans="2:47" x14ac:dyDescent="0.3">
      <c r="B53" s="134">
        <v>43876</v>
      </c>
      <c r="C53" s="4">
        <v>46</v>
      </c>
      <c r="D53" s="141"/>
      <c r="E53" s="144"/>
      <c r="F53" s="10">
        <f>Tabella3[[#This Row],[Italy remov. rate data]]*NOT(ISBLANK(Tabella3[[#This Row],[Italy remov. rate data]]))</f>
        <v>0</v>
      </c>
      <c r="G53" s="158">
        <f>Tabella3[[#This Row],[region cumul. fit]]+Tabella3[[#This Row],[rest of Italy cumul. fit]]</f>
        <v>0</v>
      </c>
      <c r="H53" s="158">
        <f>Tabella3[[#This Row],[Italy cumul. fit]]/Kf</f>
        <v>0</v>
      </c>
      <c r="I53" s="143">
        <f>Tabella3[[#This Row],[region fit]]+Tabella3[[#This Row],[rest of Italy fit]]</f>
        <v>248.47771898306837</v>
      </c>
      <c r="J53" s="143">
        <f>Tabella3[[#This Row],[Italy (fit of selected region + fitted sum of the other regions)]]/(y_l_peak+y_a_peak)</f>
        <v>7.8466238508773795E-2</v>
      </c>
      <c r="K53" s="72">
        <f>IFERROR(Kf*psi_f*_xlfn.SECH(psi_f*(Tabella3[[#This Row],[Day]]-pf)-phi_f)^2/(1+TANH(phi_f)),0)</f>
        <v>250.74282865551183</v>
      </c>
      <c r="L53" s="292">
        <f>Tabella3[[#This Row],[Italy remov. rate fit]]-Tabella3[[#This Row],[Italy remov. rate data]]</f>
        <v>250.74282865551183</v>
      </c>
      <c r="M53" s="293">
        <f>Tabella3[[#This Row],[rem. rate residuals]]*NOT(ISBLANK(Tabella3[[#This Row],[Italy remov. rate data]]))</f>
        <v>0</v>
      </c>
      <c r="N53" s="72">
        <f>Tabella3[[#This Row],[Italy remov. rate fit]]/y_f_peak</f>
        <v>7.9374382230909618E-2</v>
      </c>
      <c r="O53" s="10">
        <f>Tabella3[[#This Row],[Italy (fit of selected region + fitted sum of the other regions)]]*NOT(ISBLANK(Tabella3[[#This Row],[Italy remov. rate data]]))</f>
        <v>0</v>
      </c>
      <c r="P53" s="72">
        <f>Tabella3[[#This Row],[Italy remov. rate fit]]*NOT(ISBLANK(Tabella3[[#This Row],[Italy remov. rate data]]))</f>
        <v>0</v>
      </c>
      <c r="Q53" s="72">
        <f>Tabella3[[#This Row],[Italy remov. rate fit]]+CIf</f>
        <v>1905.9527975792632</v>
      </c>
      <c r="R53" s="72">
        <f>MAX(Tabella3[[#This Row],[Italy remov. rate fit]]-CIf,0)</f>
        <v>0</v>
      </c>
      <c r="S53" s="139"/>
      <c r="T53" s="144"/>
      <c r="U53" s="10">
        <f>Tabella3[[#This Row],[region data]]*NOT(ISBLANK(Tabella3[[#This Row],[region data]]))</f>
        <v>0</v>
      </c>
      <c r="V53"/>
      <c r="W53" s="72">
        <f>Tabella3[[#This Row],[6-days moving avg]]*NOT(ISBLANK(Tabella3[[#This Row],[6-days moving avg]]))</f>
        <v>0</v>
      </c>
      <c r="X53" s="145">
        <f>Tabella8[[#This Row],[region fit]]</f>
        <v>0</v>
      </c>
      <c r="Y53" s="10">
        <f>Tabella3[[#This Row],[region cumul. fit]]/Kl</f>
        <v>0</v>
      </c>
      <c r="Z53" s="72">
        <f>IFERROR(Kl*psi_l*_xlfn.SECH(psi_l*(Tabella3[[#This Row],[Day]]-pl)-phi_l)^2/(1+TANH(phi_l)),0)</f>
        <v>18.06725764479236</v>
      </c>
      <c r="AA53" s="72">
        <f>Tabella3[[#This Row],[region fit]]/y_l_peak</f>
        <v>0.12271051303345837</v>
      </c>
      <c r="AB53" s="10">
        <f>Tabella3[[#This Row],[region fit]]*NOT(ISBLANK(Tabella3[[#This Row],[region data]]))</f>
        <v>0</v>
      </c>
      <c r="AC53" s="166">
        <f>IFERROR(kl_m*psi_l_m*_xlfn.SECH(psi_l_m*(Tabella3[[#This Row],[Day]]-pl_m)-phi_l_m)^2/(1+TANH(phi_l_m)),0)</f>
        <v>18.06725764479236</v>
      </c>
      <c r="AD53" s="72">
        <f>Tabella3[[#This Row],[6-days moving avg fit]]*NOT(ISBLANK(Tabella3[[#This Row],[6-days moving avg]]))</f>
        <v>0</v>
      </c>
      <c r="AE53" s="72">
        <f>Tabella3[[#This Row],[region fit]]+CIl</f>
        <v>87.432244019892764</v>
      </c>
      <c r="AF53" s="72">
        <f>MAX(Tabella3[[#This Row],[region fit]]-CIl,0)</f>
        <v>0</v>
      </c>
      <c r="AG53" s="141"/>
      <c r="AH53" s="144"/>
      <c r="AI53" s="10">
        <f>Tabella3[[#This Row],[rest of Italy data]]*NOT(ISBLANK(Tabella3[[#This Row],[rest of Italy data]]))</f>
        <v>0</v>
      </c>
      <c r="AJ53" s="145">
        <f>Tabella8[[#This Row],[rest of Italy fit]]</f>
        <v>0</v>
      </c>
      <c r="AK53" s="72">
        <f>Tabella3[[#This Row],[rest of Italy cumul. fit]]/Ka</f>
        <v>0</v>
      </c>
      <c r="AL53" s="72">
        <f>IFERROR(Ka*psi_a*_xlfn.SECH(psi_a*(Tabella3[[#This Row],[Day]]-pa)-phi_a)^2/(1+TANH(phi_a)),0)</f>
        <v>230.41046133827601</v>
      </c>
      <c r="AM53" s="72">
        <f>Tabella3[[#This Row],[rest of Italy fit]]/y_a_peak</f>
        <v>7.6308792518726284E-2</v>
      </c>
      <c r="AN53" s="10">
        <f>Tabella3[[#This Row],[rest of Italy fit]]*NOT(ISBLANK(Tabella3[[#This Row],[rest of Italy data]]))</f>
        <v>0</v>
      </c>
      <c r="AO53" s="72">
        <f>Tabella3[[#This Row],[rest of Italy fit]]+CIa</f>
        <v>1864.5444012920775</v>
      </c>
      <c r="AP53" s="72">
        <f>MAX(Tabella3[[#This Row],[rest of Italy fit]]-CIa,0)</f>
        <v>0</v>
      </c>
      <c r="AR53" s="2" t="s">
        <v>5</v>
      </c>
      <c r="AS53" s="7">
        <f>TINV(0.05,dff)</f>
        <v>1.9844674545084788</v>
      </c>
    </row>
    <row r="54" spans="2:47" x14ac:dyDescent="0.3">
      <c r="B54" s="134">
        <v>43877</v>
      </c>
      <c r="C54" s="4">
        <v>47</v>
      </c>
      <c r="D54" s="141"/>
      <c r="E54" s="144"/>
      <c r="F54" s="10">
        <f>Tabella3[[#This Row],[Italy remov. rate data]]*NOT(ISBLANK(Tabella3[[#This Row],[Italy remov. rate data]]))</f>
        <v>0</v>
      </c>
      <c r="G54" s="158">
        <f>Tabella3[[#This Row],[region cumul. fit]]+Tabella3[[#This Row],[rest of Italy cumul. fit]]</f>
        <v>0</v>
      </c>
      <c r="H54" s="158">
        <f>Tabella3[[#This Row],[Italy cumul. fit]]/Kf</f>
        <v>0</v>
      </c>
      <c r="I54" s="143">
        <f>Tabella3[[#This Row],[region fit]]+Tabella3[[#This Row],[rest of Italy fit]]</f>
        <v>260.80713158815161</v>
      </c>
      <c r="J54" s="143">
        <f>Tabella3[[#This Row],[Italy (fit of selected region + fitted sum of the other regions)]]/(y_l_peak+y_a_peak)</f>
        <v>8.2359716902341409E-2</v>
      </c>
      <c r="K54" s="72">
        <f>IFERROR(Kf*psi_f*_xlfn.SECH(psi_f*(Tabella3[[#This Row],[Day]]-pf)-phi_f)^2/(1+TANH(phi_f)),0)</f>
        <v>263.18274495510497</v>
      </c>
      <c r="L54" s="292">
        <f>Tabella3[[#This Row],[Italy remov. rate fit]]-Tabella3[[#This Row],[Italy remov. rate data]]</f>
        <v>263.18274495510497</v>
      </c>
      <c r="M54" s="293">
        <f>Tabella3[[#This Row],[rem. rate residuals]]*NOT(ISBLANK(Tabella3[[#This Row],[Italy remov. rate data]]))</f>
        <v>0</v>
      </c>
      <c r="N54" s="72">
        <f>Tabella3[[#This Row],[Italy remov. rate fit]]/y_f_peak</f>
        <v>8.3312324051933756E-2</v>
      </c>
      <c r="O54" s="10">
        <f>Tabella3[[#This Row],[Italy (fit of selected region + fitted sum of the other regions)]]*NOT(ISBLANK(Tabella3[[#This Row],[Italy remov. rate data]]))</f>
        <v>0</v>
      </c>
      <c r="P54" s="72">
        <f>Tabella3[[#This Row],[Italy remov. rate fit]]*NOT(ISBLANK(Tabella3[[#This Row],[Italy remov. rate data]]))</f>
        <v>0</v>
      </c>
      <c r="Q54" s="72">
        <f>Tabella3[[#This Row],[Italy remov. rate fit]]+CIf</f>
        <v>1918.3927138788563</v>
      </c>
      <c r="R54" s="72">
        <f>MAX(Tabella3[[#This Row],[Italy remov. rate fit]]-CIf,0)</f>
        <v>0</v>
      </c>
      <c r="S54" s="139"/>
      <c r="T54" s="144"/>
      <c r="U54" s="10">
        <f>Tabella3[[#This Row],[region data]]*NOT(ISBLANK(Tabella3[[#This Row],[region data]]))</f>
        <v>0</v>
      </c>
      <c r="V54"/>
      <c r="W54" s="72">
        <f>Tabella3[[#This Row],[6-days moving avg]]*NOT(ISBLANK(Tabella3[[#This Row],[6-days moving avg]]))</f>
        <v>0</v>
      </c>
      <c r="X54" s="145">
        <f>Tabella8[[#This Row],[region fit]]</f>
        <v>0</v>
      </c>
      <c r="Y54" s="10">
        <f>Tabella3[[#This Row],[region cumul. fit]]/Kl</f>
        <v>0</v>
      </c>
      <c r="Z54" s="72">
        <f>IFERROR(Kl*psi_l*_xlfn.SECH(psi_l*(Tabella3[[#This Row],[Day]]-pl)-phi_l)^2/(1+TANH(phi_l)),0)</f>
        <v>18.761110905844905</v>
      </c>
      <c r="AA54" s="72">
        <f>Tabella3[[#This Row],[region fit]]/y_l_peak</f>
        <v>0.12742307601936548</v>
      </c>
      <c r="AB54" s="10">
        <f>Tabella3[[#This Row],[region fit]]*NOT(ISBLANK(Tabella3[[#This Row],[region data]]))</f>
        <v>0</v>
      </c>
      <c r="AC54" s="166">
        <f>IFERROR(kl_m*psi_l_m*_xlfn.SECH(psi_l_m*(Tabella3[[#This Row],[Day]]-pl_m)-phi_l_m)^2/(1+TANH(phi_l_m)),0)</f>
        <v>18.761110905844905</v>
      </c>
      <c r="AD54" s="72">
        <f>Tabella3[[#This Row],[6-days moving avg fit]]*NOT(ISBLANK(Tabella3[[#This Row],[6-days moving avg]]))</f>
        <v>0</v>
      </c>
      <c r="AE54" s="72">
        <f>Tabella3[[#This Row],[region fit]]+CIl</f>
        <v>88.126097280945302</v>
      </c>
      <c r="AF54" s="72">
        <f>MAX(Tabella3[[#This Row],[region fit]]-CIl,0)</f>
        <v>0</v>
      </c>
      <c r="AG54" s="141"/>
      <c r="AH54" s="144"/>
      <c r="AI54" s="10">
        <f>Tabella3[[#This Row],[rest of Italy data]]*NOT(ISBLANK(Tabella3[[#This Row],[rest of Italy data]]))</f>
        <v>0</v>
      </c>
      <c r="AJ54" s="145">
        <f>Tabella8[[#This Row],[rest of Italy fit]]</f>
        <v>0</v>
      </c>
      <c r="AK54" s="72">
        <f>Tabella3[[#This Row],[rest of Italy cumul. fit]]/Ka</f>
        <v>0</v>
      </c>
      <c r="AL54" s="72">
        <f>IFERROR(Ka*psi_a*_xlfn.SECH(psi_a*(Tabella3[[#This Row],[Day]]-pa)-phi_a)^2/(1+TANH(phi_a)),0)</f>
        <v>242.04602068230668</v>
      </c>
      <c r="AM54" s="72">
        <f>Tabella3[[#This Row],[rest of Italy fit]]/y_a_peak</f>
        <v>8.0162330585816927E-2</v>
      </c>
      <c r="AN54" s="10">
        <f>Tabella3[[#This Row],[rest of Italy fit]]*NOT(ISBLANK(Tabella3[[#This Row],[rest of Italy data]]))</f>
        <v>0</v>
      </c>
      <c r="AO54" s="72">
        <f>Tabella3[[#This Row],[rest of Italy fit]]+CIa</f>
        <v>1876.1799606361083</v>
      </c>
      <c r="AP54" s="72">
        <f>MAX(Tabella3[[#This Row],[rest of Italy fit]]-CIa,0)</f>
        <v>0</v>
      </c>
      <c r="AR54" s="2" t="s">
        <v>6</v>
      </c>
      <c r="AS54" s="6">
        <f>Critical_tf*SE_of_yf</f>
        <v>1655.2099689237514</v>
      </c>
    </row>
    <row r="55" spans="2:47" x14ac:dyDescent="0.3">
      <c r="B55" s="134">
        <v>43878</v>
      </c>
      <c r="C55" s="4">
        <v>48</v>
      </c>
      <c r="D55" s="141"/>
      <c r="E55" s="144"/>
      <c r="F55" s="10">
        <f>Tabella3[[#This Row],[Italy remov. rate data]]*NOT(ISBLANK(Tabella3[[#This Row],[Italy remov. rate data]]))</f>
        <v>0</v>
      </c>
      <c r="G55" s="158">
        <f>Tabella3[[#This Row],[region cumul. fit]]+Tabella3[[#This Row],[rest of Italy cumul. fit]]</f>
        <v>0</v>
      </c>
      <c r="H55" s="158">
        <f>Tabella3[[#This Row],[Italy cumul. fit]]/Kf</f>
        <v>0</v>
      </c>
      <c r="I55" s="143">
        <f>Tabella3[[#This Row],[region fit]]+Tabella3[[#This Row],[rest of Italy fit]]</f>
        <v>273.72192506698406</v>
      </c>
      <c r="J55" s="143">
        <f>Tabella3[[#This Row],[Italy (fit of selected region + fitted sum of the other regions)]]/(y_l_peak+y_a_peak)</f>
        <v>8.6438051448992151E-2</v>
      </c>
      <c r="K55" s="72">
        <f>IFERROR(Kf*psi_f*_xlfn.SECH(psi_f*(Tabella3[[#This Row],[Day]]-pf)-phi_f)^2/(1+TANH(phi_f)),0)</f>
        <v>276.21046194041429</v>
      </c>
      <c r="L55" s="292">
        <f>Tabella3[[#This Row],[Italy remov. rate fit]]-Tabella3[[#This Row],[Italy remov. rate data]]</f>
        <v>276.21046194041429</v>
      </c>
      <c r="M55" s="293">
        <f>Tabella3[[#This Row],[rem. rate residuals]]*NOT(ISBLANK(Tabella3[[#This Row],[Italy remov. rate data]]))</f>
        <v>0</v>
      </c>
      <c r="N55" s="72">
        <f>Tabella3[[#This Row],[Italy remov. rate fit]]/y_f_peak</f>
        <v>8.7436338258572263E-2</v>
      </c>
      <c r="O55" s="10">
        <f>Tabella3[[#This Row],[Italy (fit of selected region + fitted sum of the other regions)]]*NOT(ISBLANK(Tabella3[[#This Row],[Italy remov. rate data]]))</f>
        <v>0</v>
      </c>
      <c r="P55" s="72">
        <f>Tabella3[[#This Row],[Italy remov. rate fit]]*NOT(ISBLANK(Tabella3[[#This Row],[Italy remov. rate data]]))</f>
        <v>0</v>
      </c>
      <c r="Q55" s="72">
        <f>Tabella3[[#This Row],[Italy remov. rate fit]]+CIf</f>
        <v>1931.4204308641656</v>
      </c>
      <c r="R55" s="72">
        <f>MAX(Tabella3[[#This Row],[Italy remov. rate fit]]-CIf,0)</f>
        <v>0</v>
      </c>
      <c r="S55" s="139"/>
      <c r="T55" s="144"/>
      <c r="U55" s="10">
        <f>Tabella3[[#This Row],[region data]]*NOT(ISBLANK(Tabella3[[#This Row],[region data]]))</f>
        <v>0</v>
      </c>
      <c r="V55"/>
      <c r="W55" s="72">
        <f>Tabella3[[#This Row],[6-days moving avg]]*NOT(ISBLANK(Tabella3[[#This Row],[6-days moving avg]]))</f>
        <v>0</v>
      </c>
      <c r="X55" s="145">
        <f>Tabella8[[#This Row],[region fit]]</f>
        <v>0</v>
      </c>
      <c r="Y55" s="10">
        <f>Tabella3[[#This Row],[region cumul. fit]]/Kl</f>
        <v>0</v>
      </c>
      <c r="Z55" s="72">
        <f>IFERROR(Kl*psi_l*_xlfn.SECH(psi_l*(Tabella3[[#This Row],[Day]]-pl)-phi_l)^2/(1+TANH(phi_l)),0)</f>
        <v>19.479596099292259</v>
      </c>
      <c r="AA55" s="72">
        <f>Tabella3[[#This Row],[region fit]]/y_l_peak</f>
        <v>0.13230293595318787</v>
      </c>
      <c r="AB55" s="10">
        <f>Tabella3[[#This Row],[region fit]]*NOT(ISBLANK(Tabella3[[#This Row],[region data]]))</f>
        <v>0</v>
      </c>
      <c r="AC55" s="166">
        <f>IFERROR(kl_m*psi_l_m*_xlfn.SECH(psi_l_m*(Tabella3[[#This Row],[Day]]-pl_m)-phi_l_m)^2/(1+TANH(phi_l_m)),0)</f>
        <v>19.479596099292259</v>
      </c>
      <c r="AD55" s="72">
        <f>Tabella3[[#This Row],[6-days moving avg fit]]*NOT(ISBLANK(Tabella3[[#This Row],[6-days moving avg]]))</f>
        <v>0</v>
      </c>
      <c r="AE55" s="72">
        <f>Tabella3[[#This Row],[region fit]]+CIl</f>
        <v>88.844582474392666</v>
      </c>
      <c r="AF55" s="72">
        <f>MAX(Tabella3[[#This Row],[region fit]]-CIl,0)</f>
        <v>0</v>
      </c>
      <c r="AG55" s="141"/>
      <c r="AH55" s="144"/>
      <c r="AI55" s="10">
        <f>Tabella3[[#This Row],[rest of Italy data]]*NOT(ISBLANK(Tabella3[[#This Row],[rest of Italy data]]))</f>
        <v>0</v>
      </c>
      <c r="AJ55" s="145">
        <f>Tabella8[[#This Row],[rest of Italy fit]]</f>
        <v>0</v>
      </c>
      <c r="AK55" s="72">
        <f>Tabella3[[#This Row],[rest of Italy cumul. fit]]/Ka</f>
        <v>0</v>
      </c>
      <c r="AL55" s="72">
        <f>IFERROR(Ka*psi_a*_xlfn.SECH(psi_a*(Tabella3[[#This Row],[Day]]-pa)-phi_a)^2/(1+TANH(phi_a)),0)</f>
        <v>254.2423289676918</v>
      </c>
      <c r="AM55" s="72">
        <f>Tabella3[[#This Row],[rest of Italy fit]]/y_a_peak</f>
        <v>8.4201581030602476E-2</v>
      </c>
      <c r="AN55" s="10">
        <f>Tabella3[[#This Row],[rest of Italy fit]]*NOT(ISBLANK(Tabella3[[#This Row],[rest of Italy data]]))</f>
        <v>0</v>
      </c>
      <c r="AO55" s="72">
        <f>Tabella3[[#This Row],[rest of Italy fit]]+CIa</f>
        <v>1888.3762689214932</v>
      </c>
      <c r="AP55" s="72">
        <f>MAX(Tabella3[[#This Row],[rest of Italy fit]]-CIa,0)</f>
        <v>0</v>
      </c>
      <c r="AR55" s="62" t="s">
        <v>299</v>
      </c>
      <c r="AS55" s="88">
        <f>Kf*psi_f/(1+TANH(phi_f))</f>
        <v>3158.9893566172368</v>
      </c>
    </row>
    <row r="56" spans="2:47" x14ac:dyDescent="0.3">
      <c r="B56" s="134">
        <v>43879</v>
      </c>
      <c r="C56" s="4">
        <v>49</v>
      </c>
      <c r="D56" s="141"/>
      <c r="E56" s="144"/>
      <c r="F56" s="10">
        <f>Tabella3[[#This Row],[Italy remov. rate data]]*NOT(ISBLANK(Tabella3[[#This Row],[Italy remov. rate data]]))</f>
        <v>0</v>
      </c>
      <c r="G56" s="158">
        <f>Tabella3[[#This Row],[region cumul. fit]]+Tabella3[[#This Row],[rest of Italy cumul. fit]]</f>
        <v>0</v>
      </c>
      <c r="H56" s="158">
        <f>Tabella3[[#This Row],[Italy cumul. fit]]/Kf</f>
        <v>0</v>
      </c>
      <c r="I56" s="143">
        <f>Tabella3[[#This Row],[region fit]]+Tabella3[[#This Row],[rest of Italy fit]]</f>
        <v>287.24700668527817</v>
      </c>
      <c r="J56" s="143">
        <f>Tabella3[[#This Row],[Italy (fit of selected region + fitted sum of the other regions)]]/(y_l_peak+y_a_peak)</f>
        <v>9.0709107559999086E-2</v>
      </c>
      <c r="K56" s="72">
        <f>IFERROR(Kf*psi_f*_xlfn.SECH(psi_f*(Tabella3[[#This Row],[Day]]-pf)-phi_f)^2/(1+TANH(phi_f)),0)</f>
        <v>289.85071158920027</v>
      </c>
      <c r="L56" s="292">
        <f>Tabella3[[#This Row],[Italy remov. rate fit]]-Tabella3[[#This Row],[Italy remov. rate data]]</f>
        <v>289.85071158920027</v>
      </c>
      <c r="M56" s="293">
        <f>Tabella3[[#This Row],[rem. rate residuals]]*NOT(ISBLANK(Tabella3[[#This Row],[Italy remov. rate data]]))</f>
        <v>0</v>
      </c>
      <c r="N56" s="72">
        <f>Tabella3[[#This Row],[Italy remov. rate fit]]/y_f_peak</f>
        <v>9.1754253929992091E-2</v>
      </c>
      <c r="O56" s="10">
        <f>Tabella3[[#This Row],[Italy (fit of selected region + fitted sum of the other regions)]]*NOT(ISBLANK(Tabella3[[#This Row],[Italy remov. rate data]]))</f>
        <v>0</v>
      </c>
      <c r="P56" s="72">
        <f>Tabella3[[#This Row],[Italy remov. rate fit]]*NOT(ISBLANK(Tabella3[[#This Row],[Italy remov. rate data]]))</f>
        <v>0</v>
      </c>
      <c r="Q56" s="72">
        <f>Tabella3[[#This Row],[Italy remov. rate fit]]+CIf</f>
        <v>1945.0606805129516</v>
      </c>
      <c r="R56" s="72">
        <f>MAX(Tabella3[[#This Row],[Italy remov. rate fit]]-CIf,0)</f>
        <v>0</v>
      </c>
      <c r="S56" s="139"/>
      <c r="T56" s="144"/>
      <c r="U56" s="10">
        <f>Tabella3[[#This Row],[region data]]*NOT(ISBLANK(Tabella3[[#This Row],[region data]]))</f>
        <v>0</v>
      </c>
      <c r="V56"/>
      <c r="W56" s="72">
        <f>Tabella3[[#This Row],[6-days moving avg]]*NOT(ISBLANK(Tabella3[[#This Row],[6-days moving avg]]))</f>
        <v>0</v>
      </c>
      <c r="X56" s="145">
        <f>Tabella8[[#This Row],[region fit]]</f>
        <v>0</v>
      </c>
      <c r="Y56" s="10">
        <f>Tabella3[[#This Row],[region cumul. fit]]/Kl</f>
        <v>0</v>
      </c>
      <c r="Z56" s="72">
        <f>IFERROR(Kl*psi_l*_xlfn.SECH(psi_l*(Tabella3[[#This Row],[Day]]-pl)-phi_l)^2/(1+TANH(phi_l)),0)</f>
        <v>20.223424990849605</v>
      </c>
      <c r="AA56" s="72">
        <f>Tabella3[[#This Row],[region fit]]/y_l_peak</f>
        <v>0.13735492705701871</v>
      </c>
      <c r="AB56" s="10">
        <f>Tabella3[[#This Row],[region fit]]*NOT(ISBLANK(Tabella3[[#This Row],[region data]]))</f>
        <v>0</v>
      </c>
      <c r="AC56" s="166">
        <f>IFERROR(kl_m*psi_l_m*_xlfn.SECH(psi_l_m*(Tabella3[[#This Row],[Day]]-pl_m)-phi_l_m)^2/(1+TANH(phi_l_m)),0)</f>
        <v>20.223424990849605</v>
      </c>
      <c r="AD56" s="72">
        <f>Tabella3[[#This Row],[6-days moving avg fit]]*NOT(ISBLANK(Tabella3[[#This Row],[6-days moving avg]]))</f>
        <v>0</v>
      </c>
      <c r="AE56" s="72">
        <f>Tabella3[[#This Row],[region fit]]+CIl</f>
        <v>89.588411365950009</v>
      </c>
      <c r="AF56" s="72">
        <f>MAX(Tabella3[[#This Row],[region fit]]-CIl,0)</f>
        <v>0</v>
      </c>
      <c r="AG56" s="141"/>
      <c r="AH56" s="144"/>
      <c r="AI56" s="10">
        <f>Tabella3[[#This Row],[rest of Italy data]]*NOT(ISBLANK(Tabella3[[#This Row],[rest of Italy data]]))</f>
        <v>0</v>
      </c>
      <c r="AJ56" s="145">
        <f>Tabella8[[#This Row],[rest of Italy fit]]</f>
        <v>0</v>
      </c>
      <c r="AK56" s="72">
        <f>Tabella3[[#This Row],[rest of Italy cumul. fit]]/Ka</f>
        <v>0</v>
      </c>
      <c r="AL56" s="72">
        <f>IFERROR(Ka*psi_a*_xlfn.SECH(psi_a*(Tabella3[[#This Row],[Day]]-pa)-phi_a)^2/(1+TANH(phi_a)),0)</f>
        <v>267.02358169442857</v>
      </c>
      <c r="AM56" s="72">
        <f>Tabella3[[#This Row],[rest of Italy fit]]/y_a_peak</f>
        <v>8.8434557071660119E-2</v>
      </c>
      <c r="AN56" s="10">
        <f>Tabella3[[#This Row],[rest of Italy fit]]*NOT(ISBLANK(Tabella3[[#This Row],[rest of Italy data]]))</f>
        <v>0</v>
      </c>
      <c r="AO56" s="72">
        <f>Tabella3[[#This Row],[rest of Italy fit]]+CIa</f>
        <v>1901.1575216482302</v>
      </c>
      <c r="AP56" s="72">
        <f>MAX(Tabella3[[#This Row],[rest of Italy fit]]-CIa,0)</f>
        <v>0</v>
      </c>
      <c r="AR56" s="62" t="s">
        <v>128</v>
      </c>
      <c r="AS56" s="76">
        <f>_xlfn.XLOOKUP(ROUND(phi_f/psi_f+pf,0),Tabella3[Day],Tabella3[Date])</f>
        <v>43953</v>
      </c>
    </row>
    <row r="57" spans="2:47" x14ac:dyDescent="0.3">
      <c r="B57" s="134">
        <v>43880</v>
      </c>
      <c r="C57" s="4">
        <v>50</v>
      </c>
      <c r="D57" s="141"/>
      <c r="E57" s="144"/>
      <c r="F57" s="10">
        <f>Tabella3[[#This Row],[Italy remov. rate data]]*NOT(ISBLANK(Tabella3[[#This Row],[Italy remov. rate data]]))</f>
        <v>0</v>
      </c>
      <c r="G57" s="158">
        <f>Tabella3[[#This Row],[region cumul. fit]]+Tabella3[[#This Row],[rest of Italy cumul. fit]]</f>
        <v>0</v>
      </c>
      <c r="H57" s="158">
        <f>Tabella3[[#This Row],[Italy cumul. fit]]/Kf</f>
        <v>0</v>
      </c>
      <c r="I57" s="143">
        <f>Tabella3[[#This Row],[region fit]]+Tabella3[[#This Row],[rest of Italy fit]]</f>
        <v>301.40803332750335</v>
      </c>
      <c r="J57" s="143">
        <f>Tabella3[[#This Row],[Italy (fit of selected region + fitted sum of the other regions)]]/(y_l_peak+y_a_peak)</f>
        <v>9.5180987367112321E-2</v>
      </c>
      <c r="K57" s="72">
        <f>IFERROR(Kf*psi_f*_xlfn.SECH(psi_f*(Tabella3[[#This Row],[Day]]-pf)-phi_f)^2/(1+TANH(phi_f)),0)</f>
        <v>304.12894755510166</v>
      </c>
      <c r="L57" s="292">
        <f>Tabella3[[#This Row],[Italy remov. rate fit]]-Tabella3[[#This Row],[Italy remov. rate data]]</f>
        <v>304.12894755510166</v>
      </c>
      <c r="M57" s="293">
        <f>Tabella3[[#This Row],[rem. rate residuals]]*NOT(ISBLANK(Tabella3[[#This Row],[Italy remov. rate data]]))</f>
        <v>0</v>
      </c>
      <c r="N57" s="72">
        <f>Tabella3[[#This Row],[Italy remov. rate fit]]/y_f_peak</f>
        <v>9.627412859686689E-2</v>
      </c>
      <c r="O57" s="10">
        <f>Tabella3[[#This Row],[Italy (fit of selected region + fitted sum of the other regions)]]*NOT(ISBLANK(Tabella3[[#This Row],[Italy remov. rate data]]))</f>
        <v>0</v>
      </c>
      <c r="P57" s="72">
        <f>Tabella3[[#This Row],[Italy remov. rate fit]]*NOT(ISBLANK(Tabella3[[#This Row],[Italy remov. rate data]]))</f>
        <v>0</v>
      </c>
      <c r="Q57" s="72">
        <f>Tabella3[[#This Row],[Italy remov. rate fit]]+CIf</f>
        <v>1959.338916478853</v>
      </c>
      <c r="R57" s="72">
        <f>MAX(Tabella3[[#This Row],[Italy remov. rate fit]]-CIf,0)</f>
        <v>0</v>
      </c>
      <c r="S57" s="139"/>
      <c r="T57" s="144"/>
      <c r="U57" s="10">
        <f>Tabella3[[#This Row],[region data]]*NOT(ISBLANK(Tabella3[[#This Row],[region data]]))</f>
        <v>0</v>
      </c>
      <c r="V57"/>
      <c r="W57" s="72">
        <f>Tabella3[[#This Row],[6-days moving avg]]*NOT(ISBLANK(Tabella3[[#This Row],[6-days moving avg]]))</f>
        <v>0</v>
      </c>
      <c r="X57" s="145">
        <f>Tabella8[[#This Row],[region fit]]</f>
        <v>0</v>
      </c>
      <c r="Y57" s="10">
        <f>Tabella3[[#This Row],[region cumul. fit]]/Kl</f>
        <v>0</v>
      </c>
      <c r="Z57" s="72">
        <f>IFERROR(Kl*psi_l*_xlfn.SECH(psi_l*(Tabella3[[#This Row],[Day]]-pl)-phi_l)^2/(1+TANH(phi_l)),0)</f>
        <v>20.99331645909707</v>
      </c>
      <c r="AA57" s="72">
        <f>Tabella3[[#This Row],[region fit]]/y_l_peak</f>
        <v>0.14258393186262402</v>
      </c>
      <c r="AB57" s="10">
        <f>Tabella3[[#This Row],[region fit]]*NOT(ISBLANK(Tabella3[[#This Row],[region data]]))</f>
        <v>0</v>
      </c>
      <c r="AC57" s="166">
        <f>IFERROR(kl_m*psi_l_m*_xlfn.SECH(psi_l_m*(Tabella3[[#This Row],[Day]]-pl_m)-phi_l_m)^2/(1+TANH(phi_l_m)),0)</f>
        <v>20.99331645909707</v>
      </c>
      <c r="AD57" s="72">
        <f>Tabella3[[#This Row],[6-days moving avg fit]]*NOT(ISBLANK(Tabella3[[#This Row],[6-days moving avg]]))</f>
        <v>0</v>
      </c>
      <c r="AE57" s="72">
        <f>Tabella3[[#This Row],[region fit]]+CIl</f>
        <v>90.358302834197474</v>
      </c>
      <c r="AF57" s="72">
        <f>MAX(Tabella3[[#This Row],[region fit]]-CIl,0)</f>
        <v>0</v>
      </c>
      <c r="AG57" s="141"/>
      <c r="AH57" s="144"/>
      <c r="AI57" s="10">
        <f>Tabella3[[#This Row],[rest of Italy data]]*NOT(ISBLANK(Tabella3[[#This Row],[rest of Italy data]]))</f>
        <v>0</v>
      </c>
      <c r="AJ57" s="145">
        <f>Tabella8[[#This Row],[rest of Italy fit]]</f>
        <v>0</v>
      </c>
      <c r="AK57" s="72">
        <f>Tabella3[[#This Row],[rest of Italy cumul. fit]]/Ka</f>
        <v>0</v>
      </c>
      <c r="AL57" s="72">
        <f>IFERROR(Ka*psi_a*_xlfn.SECH(psi_a*(Tabella3[[#This Row],[Day]]-pa)-phi_a)^2/(1+TANH(phi_a)),0)</f>
        <v>280.41471686840629</v>
      </c>
      <c r="AM57" s="72">
        <f>Tabella3[[#This Row],[rest of Italy fit]]/y_a_peak</f>
        <v>9.2869517835360182E-2</v>
      </c>
      <c r="AN57" s="10">
        <f>Tabella3[[#This Row],[rest of Italy fit]]*NOT(ISBLANK(Tabella3[[#This Row],[rest of Italy data]]))</f>
        <v>0</v>
      </c>
      <c r="AO57" s="72">
        <f>Tabella3[[#This Row],[rest of Italy fit]]+CIa</f>
        <v>1914.5486568222077</v>
      </c>
      <c r="AP57" s="72">
        <f>MAX(Tabella3[[#This Row],[rest of Italy fit]]-CIa,0)</f>
        <v>0</v>
      </c>
      <c r="AR57" s="61" t="s">
        <v>356</v>
      </c>
      <c r="AS57" s="138">
        <f>pt</f>
        <v>68.480394693650979</v>
      </c>
    </row>
    <row r="58" spans="2:47" x14ac:dyDescent="0.3">
      <c r="B58" s="134">
        <v>43881</v>
      </c>
      <c r="C58" s="4">
        <v>51</v>
      </c>
      <c r="D58" s="141"/>
      <c r="E58" s="144"/>
      <c r="F58" s="10">
        <f>Tabella3[[#This Row],[Italy remov. rate data]]*NOT(ISBLANK(Tabella3[[#This Row],[Italy remov. rate data]]))</f>
        <v>0</v>
      </c>
      <c r="G58" s="158">
        <f>Tabella3[[#This Row],[region cumul. fit]]+Tabella3[[#This Row],[rest of Italy cumul. fit]]</f>
        <v>0</v>
      </c>
      <c r="H58" s="158">
        <f>Tabella3[[#This Row],[Italy cumul. fit]]/Kf</f>
        <v>0</v>
      </c>
      <c r="I58" s="143">
        <f>Tabella3[[#This Row],[region fit]]+Tabella3[[#This Row],[rest of Italy fit]]</f>
        <v>316.23139894229922</v>
      </c>
      <c r="J58" s="143">
        <f>Tabella3[[#This Row],[Italy (fit of selected region + fitted sum of the other regions)]]/(y_l_peak+y_a_peak)</f>
        <v>9.9862025757973386E-2</v>
      </c>
      <c r="K58" s="72">
        <f>IFERROR(Kf*psi_f*_xlfn.SECH(psi_f*(Tabella3[[#This Row],[Day]]-pf)-phi_f)^2/(1+TANH(phi_f)),0)</f>
        <v>319.07133057261279</v>
      </c>
      <c r="L58" s="292">
        <f>Tabella3[[#This Row],[Italy remov. rate fit]]-Tabella3[[#This Row],[Italy remov. rate data]]</f>
        <v>319.07133057261279</v>
      </c>
      <c r="M58" s="293">
        <f>Tabella3[[#This Row],[rem. rate residuals]]*NOT(ISBLANK(Tabella3[[#This Row],[Italy remov. rate data]]))</f>
        <v>0</v>
      </c>
      <c r="N58" s="72">
        <f>Tabella3[[#This Row],[Italy remov. rate fit]]/y_f_peak</f>
        <v>0.10100424362122139</v>
      </c>
      <c r="O58" s="10">
        <f>Tabella3[[#This Row],[Italy (fit of selected region + fitted sum of the other regions)]]*NOT(ISBLANK(Tabella3[[#This Row],[Italy remov. rate data]]))</f>
        <v>0</v>
      </c>
      <c r="P58" s="72">
        <f>Tabella3[[#This Row],[Italy remov. rate fit]]*NOT(ISBLANK(Tabella3[[#This Row],[Italy remov. rate data]]))</f>
        <v>0</v>
      </c>
      <c r="Q58" s="72">
        <f>Tabella3[[#This Row],[Italy remov. rate fit]]+CIf</f>
        <v>1974.2812994963642</v>
      </c>
      <c r="R58" s="72">
        <f>MAX(Tabella3[[#This Row],[Italy remov. rate fit]]-CIf,0)</f>
        <v>0</v>
      </c>
      <c r="S58" s="139"/>
      <c r="T58" s="144"/>
      <c r="U58" s="10">
        <f>Tabella3[[#This Row],[region data]]*NOT(ISBLANK(Tabella3[[#This Row],[region data]]))</f>
        <v>0</v>
      </c>
      <c r="V58"/>
      <c r="W58" s="72">
        <f>Tabella3[[#This Row],[6-days moving avg]]*NOT(ISBLANK(Tabella3[[#This Row],[6-days moving avg]]))</f>
        <v>0</v>
      </c>
      <c r="X58" s="145">
        <f>Tabella8[[#This Row],[region fit]]</f>
        <v>0</v>
      </c>
      <c r="Y58" s="10">
        <f>Tabella3[[#This Row],[region cumul. fit]]/Kl</f>
        <v>0</v>
      </c>
      <c r="Z58" s="72">
        <f>IFERROR(Kl*psi_l*_xlfn.SECH(psi_l*(Tabella3[[#This Row],[Day]]-pl)-phi_l)^2/(1+TANH(phi_l)),0)</f>
        <v>21.789995292164782</v>
      </c>
      <c r="AA58" s="72">
        <f>Tabella3[[#This Row],[region fit]]/y_l_peak</f>
        <v>0.14799487303868095</v>
      </c>
      <c r="AB58" s="10">
        <f>Tabella3[[#This Row],[region fit]]*NOT(ISBLANK(Tabella3[[#This Row],[region data]]))</f>
        <v>0</v>
      </c>
      <c r="AC58" s="166">
        <f>IFERROR(kl_m*psi_l_m*_xlfn.SECH(psi_l_m*(Tabella3[[#This Row],[Day]]-pl_m)-phi_l_m)^2/(1+TANH(phi_l_m)),0)</f>
        <v>21.789995292164782</v>
      </c>
      <c r="AD58" s="72">
        <f>Tabella3[[#This Row],[6-days moving avg fit]]*NOT(ISBLANK(Tabella3[[#This Row],[6-days moving avg]]))</f>
        <v>0</v>
      </c>
      <c r="AE58" s="72">
        <f>Tabella3[[#This Row],[region fit]]+CIl</f>
        <v>91.15498166726519</v>
      </c>
      <c r="AF58" s="72">
        <f>MAX(Tabella3[[#This Row],[region fit]]-CIl,0)</f>
        <v>0</v>
      </c>
      <c r="AG58" s="141"/>
      <c r="AH58" s="144"/>
      <c r="AI58" s="10">
        <f>Tabella3[[#This Row],[rest of Italy data]]*NOT(ISBLANK(Tabella3[[#This Row],[rest of Italy data]]))</f>
        <v>0</v>
      </c>
      <c r="AJ58" s="145">
        <f>Tabella8[[#This Row],[rest of Italy fit]]</f>
        <v>0</v>
      </c>
      <c r="AK58" s="72">
        <f>Tabella3[[#This Row],[rest of Italy cumul. fit]]/Ka</f>
        <v>0</v>
      </c>
      <c r="AL58" s="72">
        <f>IFERROR(Ka*psi_a*_xlfn.SECH(psi_a*(Tabella3[[#This Row],[Day]]-pa)-phi_a)^2/(1+TANH(phi_a)),0)</f>
        <v>294.44140365013442</v>
      </c>
      <c r="AM58" s="72">
        <f>Tabella3[[#This Row],[rest of Italy fit]]/y_a_peak</f>
        <v>9.7514964596480153E-2</v>
      </c>
      <c r="AN58" s="10">
        <f>Tabella3[[#This Row],[rest of Italy fit]]*NOT(ISBLANK(Tabella3[[#This Row],[rest of Italy data]]))</f>
        <v>0</v>
      </c>
      <c r="AO58" s="72">
        <f>Tabella3[[#This Row],[rest of Italy fit]]+CIa</f>
        <v>1928.5753436039358</v>
      </c>
      <c r="AP58" s="72">
        <f>MAX(Tabella3[[#This Row],[rest of Italy fit]]-CIa,0)</f>
        <v>0</v>
      </c>
    </row>
    <row r="59" spans="2:47" x14ac:dyDescent="0.3">
      <c r="B59" s="134">
        <v>43882</v>
      </c>
      <c r="C59" s="4">
        <v>52</v>
      </c>
      <c r="D59" s="141"/>
      <c r="E59" s="144"/>
      <c r="F59" s="10">
        <f>Tabella3[[#This Row],[Italy remov. rate data]]*NOT(ISBLANK(Tabella3[[#This Row],[Italy remov. rate data]]))</f>
        <v>0</v>
      </c>
      <c r="G59" s="158">
        <f>Tabella3[[#This Row],[region cumul. fit]]+Tabella3[[#This Row],[rest of Italy cumul. fit]]</f>
        <v>0</v>
      </c>
      <c r="H59" s="158">
        <f>Tabella3[[#This Row],[Italy cumul. fit]]/Kf</f>
        <v>0</v>
      </c>
      <c r="I59" s="143">
        <f>Tabella3[[#This Row],[region fit]]+Tabella3[[#This Row],[rest of Italy fit]]</f>
        <v>331.74421687654399</v>
      </c>
      <c r="J59" s="143">
        <f>Tabella3[[#This Row],[Italy (fit of selected region + fitted sum of the other regions)]]/(y_l_peak+y_a_peak)</f>
        <v>0.10476078479742906</v>
      </c>
      <c r="K59" s="72">
        <f>IFERROR(Kf*psi_f*_xlfn.SECH(psi_f*(Tabella3[[#This Row],[Day]]-pf)-phi_f)^2/(1+TANH(phi_f)),0)</f>
        <v>334.70470871083944</v>
      </c>
      <c r="L59" s="292">
        <f>Tabella3[[#This Row],[Italy remov. rate fit]]-Tabella3[[#This Row],[Italy remov. rate data]]</f>
        <v>334.70470871083944</v>
      </c>
      <c r="M59" s="293">
        <f>Tabella3[[#This Row],[rem. rate residuals]]*NOT(ISBLANK(Tabella3[[#This Row],[Italy remov. rate data]]))</f>
        <v>0</v>
      </c>
      <c r="N59" s="72">
        <f>Tabella3[[#This Row],[Italy remov. rate fit]]/y_f_peak</f>
        <v>0.1059530979456207</v>
      </c>
      <c r="O59" s="10">
        <f>Tabella3[[#This Row],[Italy (fit of selected region + fitted sum of the other regions)]]*NOT(ISBLANK(Tabella3[[#This Row],[Italy remov. rate data]]))</f>
        <v>0</v>
      </c>
      <c r="P59" s="72">
        <f>Tabella3[[#This Row],[Italy remov. rate fit]]*NOT(ISBLANK(Tabella3[[#This Row],[Italy remov. rate data]]))</f>
        <v>0</v>
      </c>
      <c r="Q59" s="72">
        <f>Tabella3[[#This Row],[Italy remov. rate fit]]+CIf</f>
        <v>1989.9146776345908</v>
      </c>
      <c r="R59" s="72">
        <f>MAX(Tabella3[[#This Row],[Italy remov. rate fit]]-CIf,0)</f>
        <v>0</v>
      </c>
      <c r="S59" s="139"/>
      <c r="T59" s="144"/>
      <c r="U59" s="10">
        <f>Tabella3[[#This Row],[region data]]*NOT(ISBLANK(Tabella3[[#This Row],[region data]]))</f>
        <v>0</v>
      </c>
      <c r="V59"/>
      <c r="W59" s="72">
        <f>Tabella3[[#This Row],[6-days moving avg]]*NOT(ISBLANK(Tabella3[[#This Row],[6-days moving avg]]))</f>
        <v>0</v>
      </c>
      <c r="X59" s="145">
        <f>Tabella8[[#This Row],[region fit]]</f>
        <v>0</v>
      </c>
      <c r="Y59" s="10">
        <f>Tabella3[[#This Row],[region cumul. fit]]/Kl</f>
        <v>0</v>
      </c>
      <c r="Z59" s="72">
        <f>IFERROR(Kl*psi_l*_xlfn.SECH(psi_l*(Tabella3[[#This Row],[Day]]-pl)-phi_l)^2/(1+TANH(phi_l)),0)</f>
        <v>22.614190850348045</v>
      </c>
      <c r="AA59" s="72">
        <f>Tabella3[[#This Row],[region fit]]/y_l_peak</f>
        <v>0.15359270430743011</v>
      </c>
      <c r="AB59" s="10">
        <f>Tabella3[[#This Row],[region fit]]*NOT(ISBLANK(Tabella3[[#This Row],[region data]]))</f>
        <v>0</v>
      </c>
      <c r="AC59" s="166">
        <f>IFERROR(kl_m*psi_l_m*_xlfn.SECH(psi_l_m*(Tabella3[[#This Row],[Day]]-pl_m)-phi_l_m)^2/(1+TANH(phi_l_m)),0)</f>
        <v>22.614190850348045</v>
      </c>
      <c r="AD59" s="72">
        <f>Tabella3[[#This Row],[6-days moving avg fit]]*NOT(ISBLANK(Tabella3[[#This Row],[6-days moving avg]]))</f>
        <v>0</v>
      </c>
      <c r="AE59" s="72">
        <f>Tabella3[[#This Row],[region fit]]+CIl</f>
        <v>91.979177225448439</v>
      </c>
      <c r="AF59" s="72">
        <f>MAX(Tabella3[[#This Row],[region fit]]-CIl,0)</f>
        <v>0</v>
      </c>
      <c r="AG59" s="141"/>
      <c r="AH59" s="144"/>
      <c r="AI59" s="10">
        <f>Tabella3[[#This Row],[rest of Italy data]]*NOT(ISBLANK(Tabella3[[#This Row],[rest of Italy data]]))</f>
        <v>0</v>
      </c>
      <c r="AJ59" s="145">
        <f>Tabella8[[#This Row],[rest of Italy fit]]</f>
        <v>0</v>
      </c>
      <c r="AK59" s="72">
        <f>Tabella3[[#This Row],[rest of Italy cumul. fit]]/Ka</f>
        <v>0</v>
      </c>
      <c r="AL59" s="72">
        <f>IFERROR(Ka*psi_a*_xlfn.SECH(psi_a*(Tabella3[[#This Row],[Day]]-pa)-phi_a)^2/(1+TANH(phi_a)),0)</f>
        <v>309.13002602619594</v>
      </c>
      <c r="AM59" s="72">
        <f>Tabella3[[#This Row],[rest of Italy fit]]/y_a_peak</f>
        <v>0.10237963537041345</v>
      </c>
      <c r="AN59" s="10">
        <f>Tabella3[[#This Row],[rest of Italy fit]]*NOT(ISBLANK(Tabella3[[#This Row],[rest of Italy data]]))</f>
        <v>0</v>
      </c>
      <c r="AO59" s="72">
        <f>Tabella3[[#This Row],[rest of Italy fit]]+CIa</f>
        <v>1943.2639659799975</v>
      </c>
      <c r="AP59" s="72">
        <f>MAX(Tabella3[[#This Row],[rest of Italy fit]]-CIa,0)</f>
        <v>0</v>
      </c>
      <c r="AR59" s="53"/>
      <c r="AS59" s="55"/>
      <c r="AT59" s="54"/>
      <c r="AU59" s="54"/>
    </row>
    <row r="60" spans="2:47" x14ac:dyDescent="0.3">
      <c r="B60" s="134">
        <v>43883</v>
      </c>
      <c r="C60" s="4">
        <v>53</v>
      </c>
      <c r="D60" s="141"/>
      <c r="E60" s="144"/>
      <c r="F60" s="10">
        <f>Tabella3[[#This Row],[Italy remov. rate data]]*NOT(ISBLANK(Tabella3[[#This Row],[Italy remov. rate data]]))</f>
        <v>0</v>
      </c>
      <c r="G60" s="158">
        <f>Tabella3[[#This Row],[region cumul. fit]]+Tabella3[[#This Row],[rest of Italy cumul. fit]]</f>
        <v>0</v>
      </c>
      <c r="H60" s="158">
        <f>Tabella3[[#This Row],[Italy cumul. fit]]/Kf</f>
        <v>0</v>
      </c>
      <c r="I60" s="143">
        <f>Tabella3[[#This Row],[region fit]]+Tabella3[[#This Row],[rest of Italy fit]]</f>
        <v>347.97429651346846</v>
      </c>
      <c r="J60" s="143">
        <f>Tabella3[[#This Row],[Italy (fit of selected region + fitted sum of the other regions)]]/(y_l_peak+y_a_peak)</f>
        <v>0.10988604635013226</v>
      </c>
      <c r="K60" s="72">
        <f>IFERROR(Kf*psi_f*_xlfn.SECH(psi_f*(Tabella3[[#This Row],[Day]]-pf)-phi_f)^2/(1+TANH(phi_f)),0)</f>
        <v>351.0565919062214</v>
      </c>
      <c r="L60" s="292">
        <f>Tabella3[[#This Row],[Italy remov. rate fit]]-Tabella3[[#This Row],[Italy remov. rate data]]</f>
        <v>351.0565919062214</v>
      </c>
      <c r="M60" s="293">
        <f>Tabella3[[#This Row],[rem. rate residuals]]*NOT(ISBLANK(Tabella3[[#This Row],[Italy remov. rate data]]))</f>
        <v>0</v>
      </c>
      <c r="N60" s="72">
        <f>Tabella3[[#This Row],[Italy remov. rate fit]]/y_f_peak</f>
        <v>0.11112940003132706</v>
      </c>
      <c r="O60" s="10">
        <f>Tabella3[[#This Row],[Italy (fit of selected region + fitted sum of the other regions)]]*NOT(ISBLANK(Tabella3[[#This Row],[Italy remov. rate data]]))</f>
        <v>0</v>
      </c>
      <c r="P60" s="72">
        <f>Tabella3[[#This Row],[Italy remov. rate fit]]*NOT(ISBLANK(Tabella3[[#This Row],[Italy remov. rate data]]))</f>
        <v>0</v>
      </c>
      <c r="Q60" s="72">
        <f>Tabella3[[#This Row],[Italy remov. rate fit]]+CIf</f>
        <v>2006.2665608299728</v>
      </c>
      <c r="R60" s="72">
        <f>MAX(Tabella3[[#This Row],[Italy remov. rate fit]]-CIf,0)</f>
        <v>0</v>
      </c>
      <c r="S60" s="139"/>
      <c r="T60" s="144"/>
      <c r="U60" s="10">
        <f>Tabella3[[#This Row],[region data]]*NOT(ISBLANK(Tabella3[[#This Row],[region data]]))</f>
        <v>0</v>
      </c>
      <c r="V60"/>
      <c r="W60" s="72">
        <f>Tabella3[[#This Row],[6-days moving avg]]*NOT(ISBLANK(Tabella3[[#This Row],[6-days moving avg]]))</f>
        <v>0</v>
      </c>
      <c r="X60" s="145">
        <f>Tabella8[[#This Row],[region fit]]</f>
        <v>0</v>
      </c>
      <c r="Y60" s="10">
        <f>Tabella3[[#This Row],[region cumul. fit]]/Kl</f>
        <v>0</v>
      </c>
      <c r="Z60" s="72">
        <f>IFERROR(Kl*psi_l*_xlfn.SECH(psi_l*(Tabella3[[#This Row],[Day]]-pl)-phi_l)^2/(1+TANH(phi_l)),0)</f>
        <v>23.466635586398084</v>
      </c>
      <c r="AA60" s="72">
        <f>Tabella3[[#This Row],[region fit]]/y_l_peak</f>
        <v>0.15938240039467894</v>
      </c>
      <c r="AB60" s="10">
        <f>Tabella3[[#This Row],[region fit]]*NOT(ISBLANK(Tabella3[[#This Row],[region data]]))</f>
        <v>0</v>
      </c>
      <c r="AC60" s="166">
        <f>IFERROR(kl_m*psi_l_m*_xlfn.SECH(psi_l_m*(Tabella3[[#This Row],[Day]]-pl_m)-phi_l_m)^2/(1+TANH(phi_l_m)),0)</f>
        <v>23.466635586398084</v>
      </c>
      <c r="AD60" s="72">
        <f>Tabella3[[#This Row],[6-days moving avg fit]]*NOT(ISBLANK(Tabella3[[#This Row],[6-days moving avg]]))</f>
        <v>0</v>
      </c>
      <c r="AE60" s="72">
        <f>Tabella3[[#This Row],[region fit]]+CIl</f>
        <v>92.831621961498485</v>
      </c>
      <c r="AF60" s="72">
        <f>MAX(Tabella3[[#This Row],[region fit]]-CIl,0)</f>
        <v>0</v>
      </c>
      <c r="AG60" s="141"/>
      <c r="AH60" s="144"/>
      <c r="AI60" s="10">
        <f>Tabella3[[#This Row],[rest of Italy data]]*NOT(ISBLANK(Tabella3[[#This Row],[rest of Italy data]]))</f>
        <v>0</v>
      </c>
      <c r="AJ60" s="145">
        <f>Tabella8[[#This Row],[rest of Italy fit]]</f>
        <v>0</v>
      </c>
      <c r="AK60" s="72">
        <f>Tabella3[[#This Row],[rest of Italy cumul. fit]]/Ka</f>
        <v>0</v>
      </c>
      <c r="AL60" s="72">
        <f>IFERROR(Ka*psi_a*_xlfn.SECH(psi_a*(Tabella3[[#This Row],[Day]]-pa)-phi_a)^2/(1+TANH(phi_a)),0)</f>
        <v>324.50766092707039</v>
      </c>
      <c r="AM60" s="72">
        <f>Tabella3[[#This Row],[rest of Italy fit]]/y_a_peak</f>
        <v>0.10747249766609177</v>
      </c>
      <c r="AN60" s="10">
        <f>Tabella3[[#This Row],[rest of Italy fit]]*NOT(ISBLANK(Tabella3[[#This Row],[rest of Italy data]]))</f>
        <v>0</v>
      </c>
      <c r="AO60" s="72">
        <f>Tabella3[[#This Row],[rest of Italy fit]]+CIa</f>
        <v>1958.6416008808719</v>
      </c>
      <c r="AP60" s="72">
        <f>MAX(Tabella3[[#This Row],[rest of Italy fit]]-CIa,0)</f>
        <v>0</v>
      </c>
      <c r="AR60" s="53"/>
      <c r="AS60" s="53"/>
    </row>
    <row r="61" spans="2:47" x14ac:dyDescent="0.3">
      <c r="B61" s="134">
        <v>43884</v>
      </c>
      <c r="C61" s="4">
        <v>54</v>
      </c>
      <c r="D61" s="141"/>
      <c r="E61" s="144"/>
      <c r="F61" s="10">
        <f>Tabella3[[#This Row],[Italy remov. rate data]]*NOT(ISBLANK(Tabella3[[#This Row],[Italy remov. rate data]]))</f>
        <v>0</v>
      </c>
      <c r="G61" s="158">
        <f>Tabella3[[#This Row],[region cumul. fit]]+Tabella3[[#This Row],[rest of Italy cumul. fit]]</f>
        <v>0</v>
      </c>
      <c r="H61" s="158">
        <f>Tabella3[[#This Row],[Italy cumul. fit]]/Kf</f>
        <v>0</v>
      </c>
      <c r="I61" s="143">
        <f>Tabella3[[#This Row],[region fit]]+Tabella3[[#This Row],[rest of Italy fit]]</f>
        <v>364.95011358814122</v>
      </c>
      <c r="J61" s="143">
        <f>Tabella3[[#This Row],[Italy (fit of selected region + fitted sum of the other regions)]]/(y_l_peak+y_a_peak)</f>
        <v>0.11524680270653358</v>
      </c>
      <c r="K61" s="72">
        <f>IFERROR(Kf*psi_f*_xlfn.SECH(psi_f*(Tabella3[[#This Row],[Day]]-pf)-phi_f)^2/(1+TANH(phi_f)),0)</f>
        <v>368.15512016528976</v>
      </c>
      <c r="L61" s="292">
        <f>Tabella3[[#This Row],[Italy remov. rate fit]]-Tabella3[[#This Row],[Italy remov. rate data]]</f>
        <v>368.15512016528976</v>
      </c>
      <c r="M61" s="293">
        <f>Tabella3[[#This Row],[rem. rate residuals]]*NOT(ISBLANK(Tabella3[[#This Row],[Italy remov. rate data]]))</f>
        <v>0</v>
      </c>
      <c r="N61" s="72">
        <f>Tabella3[[#This Row],[Italy remov. rate fit]]/y_f_peak</f>
        <v>0.11654205779266187</v>
      </c>
      <c r="O61" s="10">
        <f>Tabella3[[#This Row],[Italy (fit of selected region + fitted sum of the other regions)]]*NOT(ISBLANK(Tabella3[[#This Row],[Italy remov. rate data]]))</f>
        <v>0</v>
      </c>
      <c r="P61" s="72">
        <f>Tabella3[[#This Row],[Italy remov. rate fit]]*NOT(ISBLANK(Tabella3[[#This Row],[Italy remov. rate data]]))</f>
        <v>0</v>
      </c>
      <c r="Q61" s="72">
        <f>Tabella3[[#This Row],[Italy remov. rate fit]]+CIf</f>
        <v>2023.3650890890412</v>
      </c>
      <c r="R61" s="72">
        <f>MAX(Tabella3[[#This Row],[Italy remov. rate fit]]-CIf,0)</f>
        <v>0</v>
      </c>
      <c r="S61" s="139"/>
      <c r="T61" s="144"/>
      <c r="U61" s="10">
        <f>Tabella3[[#This Row],[region data]]*NOT(ISBLANK(Tabella3[[#This Row],[region data]]))</f>
        <v>0</v>
      </c>
      <c r="V61"/>
      <c r="W61" s="72">
        <f>Tabella3[[#This Row],[6-days moving avg]]*NOT(ISBLANK(Tabella3[[#This Row],[6-days moving avg]]))</f>
        <v>0</v>
      </c>
      <c r="X61" s="145">
        <f>Tabella8[[#This Row],[region fit]]</f>
        <v>0</v>
      </c>
      <c r="Y61" s="10">
        <f>Tabella3[[#This Row],[region cumul. fit]]/Kl</f>
        <v>0</v>
      </c>
      <c r="Z61" s="72">
        <f>IFERROR(Kl*psi_l*_xlfn.SECH(psi_l*(Tabella3[[#This Row],[Day]]-pl)-phi_l)^2/(1+TANH(phi_l)),0)</f>
        <v>24.348063415086266</v>
      </c>
      <c r="AA61" s="72">
        <f>Tabella3[[#This Row],[region fit]]/y_l_peak</f>
        <v>0.16536894595608959</v>
      </c>
      <c r="AB61" s="10">
        <f>Tabella3[[#This Row],[region fit]]*NOT(ISBLANK(Tabella3[[#This Row],[region data]]))</f>
        <v>0</v>
      </c>
      <c r="AC61" s="166">
        <f>IFERROR(kl_m*psi_l_m*_xlfn.SECH(psi_l_m*(Tabella3[[#This Row],[Day]]-pl_m)-phi_l_m)^2/(1+TANH(phi_l_m)),0)</f>
        <v>24.348063415086266</v>
      </c>
      <c r="AD61" s="72">
        <f>Tabella3[[#This Row],[6-days moving avg fit]]*NOT(ISBLANK(Tabella3[[#This Row],[6-days moving avg]]))</f>
        <v>0</v>
      </c>
      <c r="AE61" s="72">
        <f>Tabella3[[#This Row],[region fit]]+CIl</f>
        <v>93.713049790186659</v>
      </c>
      <c r="AF61" s="72">
        <f>MAX(Tabella3[[#This Row],[region fit]]-CIl,0)</f>
        <v>0</v>
      </c>
      <c r="AG61" s="141"/>
      <c r="AH61" s="144"/>
      <c r="AI61" s="10">
        <f>Tabella3[[#This Row],[rest of Italy data]]*NOT(ISBLANK(Tabella3[[#This Row],[rest of Italy data]]))</f>
        <v>0</v>
      </c>
      <c r="AJ61" s="145">
        <f>Tabella8[[#This Row],[rest of Italy fit]]</f>
        <v>0</v>
      </c>
      <c r="AK61" s="72">
        <f>Tabella3[[#This Row],[rest of Italy cumul. fit]]/Ka</f>
        <v>0</v>
      </c>
      <c r="AL61" s="72">
        <f>IFERROR(Ka*psi_a*_xlfn.SECH(psi_a*(Tabella3[[#This Row],[Day]]-pa)-phi_a)^2/(1+TANH(phi_a)),0)</f>
        <v>340.60205017305498</v>
      </c>
      <c r="AM61" s="72">
        <f>Tabella3[[#This Row],[rest of Italy fit]]/y_a_peak</f>
        <v>0.11280273919485796</v>
      </c>
      <c r="AN61" s="10">
        <f>Tabella3[[#This Row],[rest of Italy fit]]*NOT(ISBLANK(Tabella3[[#This Row],[rest of Italy data]]))</f>
        <v>0</v>
      </c>
      <c r="AO61" s="72">
        <f>Tabella3[[#This Row],[rest of Italy fit]]+CIa</f>
        <v>1974.7359901268564</v>
      </c>
      <c r="AP61" s="72">
        <f>MAX(Tabella3[[#This Row],[rest of Italy fit]]-CIa,0)</f>
        <v>0</v>
      </c>
      <c r="AR61" s="53"/>
      <c r="AS61" s="53"/>
    </row>
    <row r="62" spans="2:47" x14ac:dyDescent="0.3">
      <c r="B62" s="15">
        <v>43885</v>
      </c>
      <c r="C62" s="4">
        <v>55</v>
      </c>
      <c r="D62" s="72">
        <f>'dpc-covid19-ita-andamento-naz'!J2+'dpc-covid19-ita-andamento-naz'!K2</f>
        <v>8</v>
      </c>
      <c r="E62" s="72">
        <f>(Tabella3[[#This Row],[Italy cumul. data]]-D61)</f>
        <v>8</v>
      </c>
      <c r="F62" s="72">
        <f>Tabella3[[#This Row],[Italy remov. rate data]]*NOT(ISBLANK(Tabella3[[#This Row],[Italy remov. rate data]]))</f>
        <v>8</v>
      </c>
      <c r="G62" s="77">
        <f>Tabella8[[#This Row],[Italy fit]]</f>
        <v>0</v>
      </c>
      <c r="H62" s="158">
        <f>Tabella3[[#This Row],[Italy cumul. fit]]/Kf</f>
        <v>0</v>
      </c>
      <c r="I62" s="77">
        <f>Tabella3[[#This Row],[region fit]]+Tabella3[[#This Row],[rest of Italy fit]]</f>
        <v>382.70077351108154</v>
      </c>
      <c r="J62" s="77">
        <f>Tabella3[[#This Row],[Italy (fit of selected region + fitted sum of the other regions)]]/(y_l_peak+y_a_peak)</f>
        <v>0.12085224500092488</v>
      </c>
      <c r="K62" s="72">
        <f>IFERROR(Kf*psi_f*_xlfn.SECH(psi_f*(Tabella3[[#This Row],[Day]]-pf)-phi_f)^2/(1+TANH(phi_f)),0)</f>
        <v>386.02902478918912</v>
      </c>
      <c r="L62" s="292">
        <f>Tabella3[[#This Row],[Italy remov. rate fit]]-Tabella3[[#This Row],[Italy remov. rate data]]</f>
        <v>378.02902478918912</v>
      </c>
      <c r="M62" s="293">
        <f>Tabella3[[#This Row],[rem. rate residuals]]*NOT(ISBLANK(Tabella3[[#This Row],[Italy remov. rate data]]))</f>
        <v>378.02902478918912</v>
      </c>
      <c r="N62" s="72">
        <f>Tabella3[[#This Row],[Italy remov. rate fit]]/y_f_peak</f>
        <v>0.12220016632235929</v>
      </c>
      <c r="O62" s="72">
        <f>Tabella3[[#This Row],[Italy (fit of selected region + fitted sum of the other regions)]]*NOT(ISBLANK(Tabella3[[#This Row],[Italy remov. rate data]]))</f>
        <v>382.70077351108154</v>
      </c>
      <c r="P62" s="72">
        <f>Tabella3[[#This Row],[Italy remov. rate fit]]*NOT(ISBLANK(Tabella3[[#This Row],[Italy remov. rate data]]))</f>
        <v>386.02902478918912</v>
      </c>
      <c r="Q62" s="72">
        <f>Tabella3[[#This Row],[Italy remov. rate fit]]+CIf</f>
        <v>2041.2389937129406</v>
      </c>
      <c r="R62" s="72">
        <f>MAX(Tabella3[[#This Row],[Italy remov. rate fit]]-CIf,0)</f>
        <v>0</v>
      </c>
      <c r="S62" s="4">
        <f>Tabella8[[#This Row],[region data]]</f>
        <v>0</v>
      </c>
      <c r="T62" s="144"/>
      <c r="U62" s="72">
        <f>Tabella3[[#This Row],[region data]]*NOT(ISBLANK(Tabella3[[#This Row],[region data]]))</f>
        <v>0</v>
      </c>
      <c r="V62"/>
      <c r="W62" s="72">
        <f>Tabella3[[#This Row],[6-days moving avg]]*NOT(ISBLANK(Tabella3[[#This Row],[6-days moving avg]]))</f>
        <v>0</v>
      </c>
      <c r="X62" s="77">
        <f>Tabella8[[#This Row],[region fit]]</f>
        <v>0</v>
      </c>
      <c r="Y62" s="72">
        <f>Tabella3[[#This Row],[region cumul. fit]]/Kl</f>
        <v>0</v>
      </c>
      <c r="Z62" s="72">
        <f>IFERROR(Kl*psi_l*_xlfn.SECH(psi_l*(Tabella3[[#This Row],[Day]]-pl)-phi_l)^2/(1+TANH(phi_l)),0)</f>
        <v>25.259207923536586</v>
      </c>
      <c r="AA62" s="72">
        <f>Tabella3[[#This Row],[region fit]]/y_l_peak</f>
        <v>0.17155732342198485</v>
      </c>
      <c r="AB62" s="72">
        <f>Tabella3[[#This Row],[region fit]]*NOT(ISBLANK(Tabella3[[#This Row],[region data]]))</f>
        <v>0</v>
      </c>
      <c r="AC62" s="166">
        <f>IFERROR(kl_m*psi_l_m*_xlfn.SECH(psi_l_m*(Tabella3[[#This Row],[Day]]-pl_m)-phi_l_m)^2/(1+TANH(phi_l_m)),0)</f>
        <v>25.259207923536586</v>
      </c>
      <c r="AD62" s="72">
        <f>Tabella3[[#This Row],[6-days moving avg fit]]*NOT(ISBLANK(Tabella3[[#This Row],[6-days moving avg]]))</f>
        <v>0</v>
      </c>
      <c r="AE62" s="72">
        <f>Tabella3[[#This Row],[region fit]]+CIl</f>
        <v>94.624194298636979</v>
      </c>
      <c r="AF62" s="72">
        <f>MAX(Tabella3[[#This Row],[region fit]]-CIl,0)</f>
        <v>0</v>
      </c>
      <c r="AG62" s="10">
        <f>Tabella8[[#This Row],[rest of Italy ]]</f>
        <v>8</v>
      </c>
      <c r="AH62" s="144"/>
      <c r="AI62" s="72">
        <f>Tabella3[[#This Row],[rest of Italy data]]*NOT(ISBLANK(Tabella3[[#This Row],[rest of Italy data]]))</f>
        <v>0</v>
      </c>
      <c r="AJ62" s="77">
        <f>Tabella8[[#This Row],[rest of Italy fit]]</f>
        <v>0</v>
      </c>
      <c r="AK62" s="72">
        <f>Tabella3[[#This Row],[rest of Italy cumul. fit]]/Ka</f>
        <v>0</v>
      </c>
      <c r="AL62" s="72">
        <f>IFERROR(Ka*psi_a*_xlfn.SECH(psi_a*(Tabella3[[#This Row],[Day]]-pa)-phi_a)^2/(1+TANH(phi_a)),0)</f>
        <v>357.44156558754497</v>
      </c>
      <c r="AM62" s="72">
        <f>Tabella3[[#This Row],[rest of Italy fit]]/y_a_peak</f>
        <v>0.11837975631646183</v>
      </c>
      <c r="AN62" s="72">
        <f>Tabella3[[#This Row],[rest of Italy fit]]*NOT(ISBLANK(Tabella3[[#This Row],[rest of Italy data]]))</f>
        <v>0</v>
      </c>
      <c r="AO62" s="72">
        <f>Tabella3[[#This Row],[rest of Italy fit]]+CIa</f>
        <v>1991.5755055413465</v>
      </c>
      <c r="AP62" s="72">
        <f>MAX(Tabella3[[#This Row],[rest of Italy fit]]-CIa,0)</f>
        <v>0</v>
      </c>
      <c r="AR62"/>
      <c r="AS62"/>
    </row>
    <row r="63" spans="2:47" x14ac:dyDescent="0.3">
      <c r="B63" s="9">
        <v>43886</v>
      </c>
      <c r="C63" s="4">
        <v>56</v>
      </c>
      <c r="D63" s="72">
        <f>'dpc-covid19-ita-andamento-naz'!J3+'dpc-covid19-ita-andamento-naz'!K3</f>
        <v>11</v>
      </c>
      <c r="E63" s="72">
        <f>(Tabella3[[#This Row],[Italy cumul. data]]-D62)</f>
        <v>3</v>
      </c>
      <c r="F63" s="72">
        <f>Tabella3[[#This Row],[Italy remov. rate data]]*NOT(ISBLANK(Tabella3[[#This Row],[Italy remov. rate data]]))</f>
        <v>3</v>
      </c>
      <c r="G63" s="77">
        <f>Tabella8[[#This Row],[Italy fit]]</f>
        <v>0</v>
      </c>
      <c r="H63" s="158">
        <f>Tabella3[[#This Row],[Italy cumul. fit]]/Kf</f>
        <v>0</v>
      </c>
      <c r="I63" s="77">
        <f>Tabella3[[#This Row],[region fit]]+Tabella3[[#This Row],[rest of Italy fit]]</f>
        <v>401.25596698814536</v>
      </c>
      <c r="J63" s="77">
        <f>Tabella3[[#This Row],[Italy (fit of selected region + fitted sum of the other regions)]]/(y_l_peak+y_a_peak)</f>
        <v>0.1267117491967395</v>
      </c>
      <c r="K63" s="72">
        <f>IFERROR(Kf*psi_f*_xlfn.SECH(psi_f*(Tabella3[[#This Row],[Day]]-pf)-phi_f)^2/(1+TANH(phi_f)),0)</f>
        <v>404.70758193265596</v>
      </c>
      <c r="L63" s="292">
        <f>Tabella3[[#This Row],[Italy remov. rate fit]]-Tabella3[[#This Row],[Italy remov. rate data]]</f>
        <v>401.70758193265596</v>
      </c>
      <c r="M63" s="293">
        <f>Tabella3[[#This Row],[rem. rate residuals]]*NOT(ISBLANK(Tabella3[[#This Row],[Italy remov. rate data]]))</f>
        <v>401.70758193265596</v>
      </c>
      <c r="N63" s="72">
        <f>Tabella3[[#This Row],[Italy remov. rate fit]]/y_f_peak</f>
        <v>0.12811299319033853</v>
      </c>
      <c r="O63" s="72">
        <f>Tabella3[[#This Row],[Italy (fit of selected region + fitted sum of the other regions)]]*NOT(ISBLANK(Tabella3[[#This Row],[Italy remov. rate data]]))</f>
        <v>401.25596698814536</v>
      </c>
      <c r="P63" s="72">
        <f>Tabella3[[#This Row],[Italy remov. rate fit]]*NOT(ISBLANK(Tabella3[[#This Row],[Italy remov. rate data]]))</f>
        <v>404.70758193265596</v>
      </c>
      <c r="Q63" s="72">
        <f>Tabella3[[#This Row],[Italy remov. rate fit]]+CIf</f>
        <v>2059.9175508564072</v>
      </c>
      <c r="R63" s="72">
        <f>MAX(Tabella3[[#This Row],[Italy remov. rate fit]]-CIf,0)</f>
        <v>0</v>
      </c>
      <c r="S63" s="4">
        <f>Tabella8[[#This Row],[region data]]</f>
        <v>0</v>
      </c>
      <c r="T63" s="72">
        <f>(Tabella3[[#This Row],[region cumul. data]]-S62)</f>
        <v>0</v>
      </c>
      <c r="U63" s="72">
        <f>Tabella3[[#This Row],[region data]]*NOT(ISBLANK(Tabella3[[#This Row],[region data]]))</f>
        <v>0</v>
      </c>
      <c r="V63">
        <f t="shared" ref="V63:V76" si="0">AVERAGE(T59:T64)</f>
        <v>0</v>
      </c>
      <c r="W63" s="72">
        <f>Tabella3[[#This Row],[6-days moving avg]]*NOT(ISBLANK(Tabella3[[#This Row],[6-days moving avg]]))</f>
        <v>0</v>
      </c>
      <c r="X63" s="77">
        <f>Tabella8[[#This Row],[region fit]]</f>
        <v>0</v>
      </c>
      <c r="Y63" s="72">
        <f>Tabella3[[#This Row],[region cumul. fit]]/Kl</f>
        <v>0</v>
      </c>
      <c r="Z63" s="72">
        <f>IFERROR(Kl*psi_l*_xlfn.SECH(psi_l*(Tabella3[[#This Row],[Day]]-pl)-phi_l)^2/(1+TANH(phi_l)),0)</f>
        <v>26.200800413769461</v>
      </c>
      <c r="AA63" s="72">
        <f>Tabella3[[#This Row],[region fit]]/y_l_peak</f>
        <v>0.17795249970255511</v>
      </c>
      <c r="AB63" s="72">
        <f>Tabella3[[#This Row],[region fit]]*NOT(ISBLANK(Tabella3[[#This Row],[region data]]))</f>
        <v>26.200800413769461</v>
      </c>
      <c r="AC63" s="166">
        <f>IFERROR(kl_m*psi_l_m*_xlfn.SECH(psi_l_m*(Tabella3[[#This Row],[Day]]-pl_m)-phi_l_m)^2/(1+TANH(phi_l_m)),0)</f>
        <v>26.200800413769461</v>
      </c>
      <c r="AD63" s="72">
        <f>Tabella3[[#This Row],[6-days moving avg fit]]*NOT(ISBLANK(Tabella3[[#This Row],[6-days moving avg]]))</f>
        <v>26.200800413769461</v>
      </c>
      <c r="AE63" s="72">
        <f>Tabella3[[#This Row],[region fit]]+CIl</f>
        <v>95.565786788869858</v>
      </c>
      <c r="AF63" s="72">
        <f>MAX(Tabella3[[#This Row],[region fit]]-CIl,0)</f>
        <v>0</v>
      </c>
      <c r="AG63" s="10">
        <f>Tabella8[[#This Row],[rest of Italy ]]</f>
        <v>11</v>
      </c>
      <c r="AH63" s="10">
        <f>(Tabella3[[#This Row],[rest of Italy cum. data]]-AG62)</f>
        <v>3</v>
      </c>
      <c r="AI63" s="72">
        <f>Tabella3[[#This Row],[rest of Italy data]]*NOT(ISBLANK(Tabella3[[#This Row],[rest of Italy data]]))</f>
        <v>3</v>
      </c>
      <c r="AJ63" s="77">
        <f>Tabella8[[#This Row],[rest of Italy fit]]</f>
        <v>0</v>
      </c>
      <c r="AK63" s="72">
        <f>Tabella3[[#This Row],[rest of Italy cumul. fit]]/Ka</f>
        <v>0</v>
      </c>
      <c r="AL63" s="72">
        <f>IFERROR(Ka*psi_a*_xlfn.SECH(psi_a*(Tabella3[[#This Row],[Day]]-pa)-phi_a)^2/(1+TANH(phi_a)),0)</f>
        <v>375.0551665743759</v>
      </c>
      <c r="AM63" s="72">
        <f>Tabella3[[#This Row],[rest of Italy fit]]/y_a_peak</f>
        <v>0.12421313998925618</v>
      </c>
      <c r="AN63" s="72">
        <f>Tabella3[[#This Row],[rest of Italy fit]]*NOT(ISBLANK(Tabella3[[#This Row],[rest of Italy data]]))</f>
        <v>375.0551665743759</v>
      </c>
      <c r="AO63" s="72">
        <f>Tabella3[[#This Row],[rest of Italy fit]]+CIa</f>
        <v>2009.1891065281775</v>
      </c>
      <c r="AP63" s="72">
        <f>MAX(Tabella3[[#This Row],[rest of Italy fit]]-CIa,0)</f>
        <v>0</v>
      </c>
      <c r="AR63"/>
      <c r="AS63"/>
    </row>
    <row r="64" spans="2:47" x14ac:dyDescent="0.3">
      <c r="B64" s="9">
        <v>43887</v>
      </c>
      <c r="C64" s="4">
        <v>57</v>
      </c>
      <c r="D64" s="72">
        <f>'dpc-covid19-ita-andamento-naz'!J4+'dpc-covid19-ita-andamento-naz'!K4</f>
        <v>15</v>
      </c>
      <c r="E64" s="72">
        <f>(Tabella3[[#This Row],[Italy cumul. data]]-D63)</f>
        <v>4</v>
      </c>
      <c r="F64" s="72">
        <f>Tabella3[[#This Row],[Italy remov. rate data]]*NOT(ISBLANK(Tabella3[[#This Row],[Italy remov. rate data]]))</f>
        <v>4</v>
      </c>
      <c r="G64" s="77">
        <f>Tabella8[[#This Row],[Italy fit]]</f>
        <v>0</v>
      </c>
      <c r="H64" s="158">
        <f>Tabella3[[#This Row],[Italy cumul. fit]]/Kf</f>
        <v>0</v>
      </c>
      <c r="I64" s="77">
        <f>Tabella3[[#This Row],[region fit]]+Tabella3[[#This Row],[rest of Italy fit]]</f>
        <v>420.64591718276284</v>
      </c>
      <c r="J64" s="77">
        <f>Tabella3[[#This Row],[Italy (fit of selected region + fitted sum of the other regions)]]/(y_l_peak+y_a_peak)</f>
        <v>0.13283485940103018</v>
      </c>
      <c r="K64" s="72">
        <f>IFERROR(Kf*psi_f*_xlfn.SECH(psi_f*(Tabella3[[#This Row],[Day]]-pf)-phi_f)^2/(1+TANH(phi_f)),0)</f>
        <v>424.22055777193958</v>
      </c>
      <c r="L64" s="292">
        <f>Tabella3[[#This Row],[Italy remov. rate fit]]-Tabella3[[#This Row],[Italy remov. rate data]]</f>
        <v>420.22055777193958</v>
      </c>
      <c r="M64" s="293">
        <f>Tabella3[[#This Row],[rem. rate residuals]]*NOT(ISBLANK(Tabella3[[#This Row],[Italy remov. rate data]]))</f>
        <v>420.22055777193958</v>
      </c>
      <c r="N64" s="72">
        <f>Tabella3[[#This Row],[Italy remov. rate fit]]/y_f_peak</f>
        <v>0.13428996108622876</v>
      </c>
      <c r="O64" s="72">
        <f>Tabella3[[#This Row],[Italy (fit of selected region + fitted sum of the other regions)]]*NOT(ISBLANK(Tabella3[[#This Row],[Italy remov. rate data]]))</f>
        <v>420.64591718276284</v>
      </c>
      <c r="P64" s="72">
        <f>Tabella3[[#This Row],[Italy remov. rate fit]]*NOT(ISBLANK(Tabella3[[#This Row],[Italy remov. rate data]]))</f>
        <v>424.22055777193958</v>
      </c>
      <c r="Q64" s="72">
        <f>Tabella3[[#This Row],[Italy remov. rate fit]]+CIf</f>
        <v>2079.4305266956908</v>
      </c>
      <c r="R64" s="72">
        <f>MAX(Tabella3[[#This Row],[Italy remov. rate fit]]-CIf,0)</f>
        <v>0</v>
      </c>
      <c r="S64" s="4">
        <f>Tabella8[[#This Row],[region data]]</f>
        <v>0</v>
      </c>
      <c r="T64" s="72">
        <f>(Tabella3[[#This Row],[region cumul. data]]-S63)</f>
        <v>0</v>
      </c>
      <c r="U64" s="72">
        <f>Tabella3[[#This Row],[region data]]*NOT(ISBLANK(Tabella3[[#This Row],[region data]]))</f>
        <v>0</v>
      </c>
      <c r="V64">
        <f t="shared" si="0"/>
        <v>0</v>
      </c>
      <c r="W64" s="72">
        <f>Tabella3[[#This Row],[6-days moving avg]]*NOT(ISBLANK(Tabella3[[#This Row],[6-days moving avg]]))</f>
        <v>0</v>
      </c>
      <c r="X64" s="77">
        <f>Tabella8[[#This Row],[region fit]]</f>
        <v>0</v>
      </c>
      <c r="Y64" s="72">
        <f>Tabella3[[#This Row],[region cumul. fit]]/Kl</f>
        <v>0</v>
      </c>
      <c r="Z64" s="72">
        <f>IFERROR(Kl*psi_l*_xlfn.SECH(psi_l*(Tabella3[[#This Row],[Day]]-pl)-phi_l)^2/(1+TANH(phi_l)),0)</f>
        <v>27.173567768908576</v>
      </c>
      <c r="AA64" s="72">
        <f>Tabella3[[#This Row],[region fit]]/y_l_peak</f>
        <v>0.18455941169540685</v>
      </c>
      <c r="AB64" s="72">
        <f>Tabella3[[#This Row],[region fit]]*NOT(ISBLANK(Tabella3[[#This Row],[region data]]))</f>
        <v>27.173567768908576</v>
      </c>
      <c r="AC64" s="166">
        <f>IFERROR(kl_m*psi_l_m*_xlfn.SECH(psi_l_m*(Tabella3[[#This Row],[Day]]-pl_m)-phi_l_m)^2/(1+TANH(phi_l_m)),0)</f>
        <v>27.173567768908576</v>
      </c>
      <c r="AD64" s="72">
        <f>Tabella3[[#This Row],[6-days moving avg fit]]*NOT(ISBLANK(Tabella3[[#This Row],[6-days moving avg]]))</f>
        <v>27.173567768908576</v>
      </c>
      <c r="AE64" s="72">
        <f>Tabella3[[#This Row],[region fit]]+CIl</f>
        <v>96.53855414400897</v>
      </c>
      <c r="AF64" s="72">
        <f>MAX(Tabella3[[#This Row],[region fit]]-CIl,0)</f>
        <v>0</v>
      </c>
      <c r="AG64" s="10">
        <f>Tabella8[[#This Row],[rest of Italy ]]</f>
        <v>15</v>
      </c>
      <c r="AH64" s="10">
        <f>(Tabella3[[#This Row],[rest of Italy cum. data]]-AG63)</f>
        <v>4</v>
      </c>
      <c r="AI64" s="72">
        <f>Tabella3[[#This Row],[rest of Italy data]]*NOT(ISBLANK(Tabella3[[#This Row],[rest of Italy data]]))</f>
        <v>4</v>
      </c>
      <c r="AJ64" s="77">
        <f>Tabella8[[#This Row],[rest of Italy fit]]</f>
        <v>0</v>
      </c>
      <c r="AK64" s="72">
        <f>Tabella3[[#This Row],[rest of Italy cumul. fit]]/Ka</f>
        <v>0</v>
      </c>
      <c r="AL64" s="72">
        <f>IFERROR(Ka*psi_a*_xlfn.SECH(psi_a*(Tabella3[[#This Row],[Day]]-pa)-phi_a)^2/(1+TANH(phi_a)),0)</f>
        <v>393.47234941385426</v>
      </c>
      <c r="AM64" s="72">
        <f>Tabella3[[#This Row],[rest of Italy fit]]/y_a_peak</f>
        <v>0.13031265897773597</v>
      </c>
      <c r="AN64" s="72">
        <f>Tabella3[[#This Row],[rest of Italy fit]]*NOT(ISBLANK(Tabella3[[#This Row],[rest of Italy data]]))</f>
        <v>393.47234941385426</v>
      </c>
      <c r="AO64" s="72">
        <f>Tabella3[[#This Row],[rest of Italy fit]]+CIa</f>
        <v>2027.6062893676558</v>
      </c>
      <c r="AP64" s="72">
        <f>MAX(Tabella3[[#This Row],[rest of Italy fit]]-CIa,0)</f>
        <v>0</v>
      </c>
      <c r="AR64"/>
      <c r="AS64"/>
    </row>
    <row r="65" spans="2:45" x14ac:dyDescent="0.3">
      <c r="B65" s="9">
        <v>43888</v>
      </c>
      <c r="C65" s="4">
        <v>58</v>
      </c>
      <c r="D65" s="72">
        <f>'dpc-covid19-ita-andamento-naz'!J5+'dpc-covid19-ita-andamento-naz'!K5</f>
        <v>62</v>
      </c>
      <c r="E65" s="72">
        <f>(Tabella3[[#This Row],[Italy cumul. data]]-D64)</f>
        <v>47</v>
      </c>
      <c r="F65" s="72">
        <f>Tabella3[[#This Row],[Italy remov. rate data]]*NOT(ISBLANK(Tabella3[[#This Row],[Italy remov. rate data]]))</f>
        <v>47</v>
      </c>
      <c r="G65" s="77">
        <f>Tabella8[[#This Row],[Italy fit]]</f>
        <v>0</v>
      </c>
      <c r="H65" s="158">
        <f>Tabella3[[#This Row],[Italy cumul. fit]]/Kf</f>
        <v>0</v>
      </c>
      <c r="I65" s="77">
        <f>Tabella3[[#This Row],[region fit]]+Tabella3[[#This Row],[rest of Italy fit]]</f>
        <v>440.90131762577874</v>
      </c>
      <c r="J65" s="77">
        <f>Tabella3[[#This Row],[Italy (fit of selected region + fitted sum of the other regions)]]/(y_l_peak+y_a_peak)</f>
        <v>0.13923126825715265</v>
      </c>
      <c r="K65" s="72">
        <f>IFERROR(Kf*psi_f*_xlfn.SECH(psi_f*(Tabella3[[#This Row],[Day]]-pf)-phi_f)^2/(1+TANH(phi_f)),0)</f>
        <v>444.59814451953287</v>
      </c>
      <c r="L65" s="292">
        <f>Tabella3[[#This Row],[Italy remov. rate fit]]-Tabella3[[#This Row],[Italy remov. rate data]]</f>
        <v>397.59814451953287</v>
      </c>
      <c r="M65" s="293">
        <f>Tabella3[[#This Row],[rem. rate residuals]]*NOT(ISBLANK(Tabella3[[#This Row],[Italy remov. rate data]]))</f>
        <v>397.59814451953287</v>
      </c>
      <c r="N65" s="72">
        <f>Tabella3[[#This Row],[Italy remov. rate fit]]/y_f_peak</f>
        <v>0.14074062756438821</v>
      </c>
      <c r="O65" s="72">
        <f>Tabella3[[#This Row],[Italy (fit of selected region + fitted sum of the other regions)]]*NOT(ISBLANK(Tabella3[[#This Row],[Italy remov. rate data]]))</f>
        <v>440.90131762577874</v>
      </c>
      <c r="P65" s="72">
        <f>Tabella3[[#This Row],[Italy remov. rate fit]]*NOT(ISBLANK(Tabella3[[#This Row],[Italy remov. rate data]]))</f>
        <v>444.59814451953287</v>
      </c>
      <c r="Q65" s="72">
        <f>Tabella3[[#This Row],[Italy remov. rate fit]]+CIf</f>
        <v>2099.8081134432841</v>
      </c>
      <c r="R65" s="72">
        <f>MAX(Tabella3[[#This Row],[Italy remov. rate fit]]-CIf,0)</f>
        <v>0</v>
      </c>
      <c r="S65" s="4">
        <f>Tabella8[[#This Row],[region data]]</f>
        <v>0</v>
      </c>
      <c r="T65" s="72">
        <f>(Tabella3[[#This Row],[region cumul. data]]-S64)</f>
        <v>0</v>
      </c>
      <c r="U65" s="72">
        <f>Tabella3[[#This Row],[region data]]*NOT(ISBLANK(Tabella3[[#This Row],[region data]]))</f>
        <v>0</v>
      </c>
      <c r="V65">
        <f t="shared" si="0"/>
        <v>0</v>
      </c>
      <c r="W65" s="72">
        <f>Tabella3[[#This Row],[6-days moving avg]]*NOT(ISBLANK(Tabella3[[#This Row],[6-days moving avg]]))</f>
        <v>0</v>
      </c>
      <c r="X65" s="77">
        <f>Tabella8[[#This Row],[region fit]]</f>
        <v>0</v>
      </c>
      <c r="Y65" s="72">
        <f>Tabella3[[#This Row],[region cumul. fit]]/Kl</f>
        <v>0</v>
      </c>
      <c r="Z65" s="72">
        <f>IFERROR(Kl*psi_l*_xlfn.SECH(psi_l*(Tabella3[[#This Row],[Day]]-pl)-phi_l)^2/(1+TANH(phi_l)),0)</f>
        <v>28.178230134580993</v>
      </c>
      <c r="AA65" s="72">
        <f>Tabella3[[#This Row],[region fit]]/y_l_peak</f>
        <v>0.19138295053792759</v>
      </c>
      <c r="AB65" s="72">
        <f>Tabella3[[#This Row],[region fit]]*NOT(ISBLANK(Tabella3[[#This Row],[region data]]))</f>
        <v>28.178230134580993</v>
      </c>
      <c r="AC65" s="166">
        <f>IFERROR(kl_m*psi_l_m*_xlfn.SECH(psi_l_m*(Tabella3[[#This Row],[Day]]-pl_m)-phi_l_m)^2/(1+TANH(phi_l_m)),0)</f>
        <v>28.178230134580993</v>
      </c>
      <c r="AD65" s="72">
        <f>Tabella3[[#This Row],[6-days moving avg fit]]*NOT(ISBLANK(Tabella3[[#This Row],[6-days moving avg]]))</f>
        <v>28.178230134580993</v>
      </c>
      <c r="AE65" s="72">
        <f>Tabella3[[#This Row],[region fit]]+CIl</f>
        <v>97.5432165096814</v>
      </c>
      <c r="AF65" s="72">
        <f>MAX(Tabella3[[#This Row],[region fit]]-CIl,0)</f>
        <v>0</v>
      </c>
      <c r="AG65" s="10">
        <f>Tabella8[[#This Row],[rest of Italy ]]</f>
        <v>62</v>
      </c>
      <c r="AH65" s="10">
        <f>(Tabella3[[#This Row],[rest of Italy cum. data]]-AG64)</f>
        <v>47</v>
      </c>
      <c r="AI65" s="72">
        <f>Tabella3[[#This Row],[rest of Italy data]]*NOT(ISBLANK(Tabella3[[#This Row],[rest of Italy data]]))</f>
        <v>47</v>
      </c>
      <c r="AJ65" s="77">
        <f>Tabella8[[#This Row],[rest of Italy fit]]</f>
        <v>0</v>
      </c>
      <c r="AK65" s="72">
        <f>Tabella3[[#This Row],[rest of Italy cumul. fit]]/Ka</f>
        <v>0</v>
      </c>
      <c r="AL65" s="72">
        <f>IFERROR(Ka*psi_a*_xlfn.SECH(psi_a*(Tabella3[[#This Row],[Day]]-pa)-phi_a)^2/(1+TANH(phi_a)),0)</f>
        <v>412.72308749119776</v>
      </c>
      <c r="AM65" s="72">
        <f>Tabella3[[#This Row],[rest of Italy fit]]/y_a_peak</f>
        <v>0.13668824005701535</v>
      </c>
      <c r="AN65" s="72">
        <f>Tabella3[[#This Row],[rest of Italy fit]]*NOT(ISBLANK(Tabella3[[#This Row],[rest of Italy data]]))</f>
        <v>412.72308749119776</v>
      </c>
      <c r="AO65" s="72">
        <f>Tabella3[[#This Row],[rest of Italy fit]]+CIa</f>
        <v>2046.8570274449992</v>
      </c>
      <c r="AP65" s="72">
        <f>MAX(Tabella3[[#This Row],[rest of Italy fit]]-CIa,0)</f>
        <v>0</v>
      </c>
      <c r="AR65"/>
      <c r="AS65"/>
    </row>
    <row r="66" spans="2:45" x14ac:dyDescent="0.3">
      <c r="B66" s="9">
        <v>43889</v>
      </c>
      <c r="C66" s="4">
        <v>59</v>
      </c>
      <c r="D66" s="72">
        <f>'dpc-covid19-ita-andamento-naz'!J6+'dpc-covid19-ita-andamento-naz'!K6</f>
        <v>67</v>
      </c>
      <c r="E66" s="72">
        <f>(Tabella3[[#This Row],[Italy cumul. data]]-D65)</f>
        <v>5</v>
      </c>
      <c r="F66" s="72">
        <f>Tabella3[[#This Row],[Italy remov. rate data]]*NOT(ISBLANK(Tabella3[[#This Row],[Italy remov. rate data]]))</f>
        <v>5</v>
      </c>
      <c r="G66" s="77">
        <f>Tabella8[[#This Row],[Italy fit]]</f>
        <v>0</v>
      </c>
      <c r="H66" s="158">
        <f>Tabella3[[#This Row],[Italy cumul. fit]]/Kf</f>
        <v>0</v>
      </c>
      <c r="I66" s="77">
        <f>Tabella3[[#This Row],[region fit]]+Tabella3[[#This Row],[rest of Italy fit]]</f>
        <v>462.05326003937466</v>
      </c>
      <c r="J66" s="77">
        <f>Tabella3[[#This Row],[Italy (fit of selected region + fitted sum of the other regions)]]/(y_l_peak+y_a_peak)</f>
        <v>0.14591079415243891</v>
      </c>
      <c r="K66" s="72">
        <f>IFERROR(Kf*psi_f*_xlfn.SECH(psi_f*(Tabella3[[#This Row],[Day]]-pf)-phi_f)^2/(1+TANH(phi_f)),0)</f>
        <v>465.87088648928682</v>
      </c>
      <c r="L66" s="292">
        <f>Tabella3[[#This Row],[Italy remov. rate fit]]-Tabella3[[#This Row],[Italy remov. rate data]]</f>
        <v>460.87088648928682</v>
      </c>
      <c r="M66" s="293">
        <f>Tabella3[[#This Row],[rem. rate residuals]]*NOT(ISBLANK(Tabella3[[#This Row],[Italy remov. rate data]]))</f>
        <v>460.87088648928682</v>
      </c>
      <c r="N66" s="72">
        <f>Tabella3[[#This Row],[Italy remov. rate fit]]/y_f_peak</f>
        <v>0.14747466163930312</v>
      </c>
      <c r="O66" s="72">
        <f>Tabella3[[#This Row],[Italy (fit of selected region + fitted sum of the other regions)]]*NOT(ISBLANK(Tabella3[[#This Row],[Italy remov. rate data]]))</f>
        <v>462.05326003937466</v>
      </c>
      <c r="P66" s="72">
        <f>Tabella3[[#This Row],[Italy remov. rate fit]]*NOT(ISBLANK(Tabella3[[#This Row],[Italy remov. rate data]]))</f>
        <v>465.87088648928682</v>
      </c>
      <c r="Q66" s="72">
        <f>Tabella3[[#This Row],[Italy remov. rate fit]]+CIf</f>
        <v>2121.0808554130381</v>
      </c>
      <c r="R66" s="72">
        <f>MAX(Tabella3[[#This Row],[Italy remov. rate fit]]-CIf,0)</f>
        <v>0</v>
      </c>
      <c r="S66" s="4">
        <f>Tabella8[[#This Row],[region data]]</f>
        <v>0</v>
      </c>
      <c r="T66" s="72">
        <f>(Tabella3[[#This Row],[region cumul. data]]-S65)</f>
        <v>0</v>
      </c>
      <c r="U66" s="72">
        <f>Tabella3[[#This Row],[region data]]*NOT(ISBLANK(Tabella3[[#This Row],[region data]]))</f>
        <v>0</v>
      </c>
      <c r="V66">
        <f t="shared" si="0"/>
        <v>0.8</v>
      </c>
      <c r="W66" s="72">
        <f>Tabella3[[#This Row],[6-days moving avg]]*NOT(ISBLANK(Tabella3[[#This Row],[6-days moving avg]]))</f>
        <v>0.8</v>
      </c>
      <c r="X66" s="77">
        <f>Tabella8[[#This Row],[region fit]]</f>
        <v>0</v>
      </c>
      <c r="Y66" s="72">
        <f>Tabella3[[#This Row],[region cumul. fit]]/Kl</f>
        <v>0</v>
      </c>
      <c r="Z66" s="72">
        <f>IFERROR(Kl*psi_l*_xlfn.SECH(psi_l*(Tabella3[[#This Row],[Day]]-pl)-phi_l)^2/(1+TANH(phi_l)),0)</f>
        <v>29.21549840719619</v>
      </c>
      <c r="AA66" s="72">
        <f>Tabella3[[#This Row],[region fit]]/y_l_peak</f>
        <v>0.19842794454799684</v>
      </c>
      <c r="AB66" s="72">
        <f>Tabella3[[#This Row],[region fit]]*NOT(ISBLANK(Tabella3[[#This Row],[region data]]))</f>
        <v>29.21549840719619</v>
      </c>
      <c r="AC66" s="166">
        <f>IFERROR(kl_m*psi_l_m*_xlfn.SECH(psi_l_m*(Tabella3[[#This Row],[Day]]-pl_m)-phi_l_m)^2/(1+TANH(phi_l_m)),0)</f>
        <v>29.21549840719619</v>
      </c>
      <c r="AD66" s="72">
        <f>Tabella3[[#This Row],[6-days moving avg fit]]*NOT(ISBLANK(Tabella3[[#This Row],[6-days moving avg]]))</f>
        <v>29.21549840719619</v>
      </c>
      <c r="AE66" s="72">
        <f>Tabella3[[#This Row],[region fit]]+CIl</f>
        <v>98.580484782296594</v>
      </c>
      <c r="AF66" s="72">
        <f>MAX(Tabella3[[#This Row],[region fit]]-CIl,0)</f>
        <v>0</v>
      </c>
      <c r="AG66" s="10">
        <f>Tabella8[[#This Row],[rest of Italy ]]</f>
        <v>67</v>
      </c>
      <c r="AH66" s="10">
        <f>(Tabella3[[#This Row],[rest of Italy cum. data]]-AG65)</f>
        <v>5</v>
      </c>
      <c r="AI66" s="72">
        <f>Tabella3[[#This Row],[rest of Italy data]]*NOT(ISBLANK(Tabella3[[#This Row],[rest of Italy data]]))</f>
        <v>5</v>
      </c>
      <c r="AJ66" s="77">
        <f>Tabella8[[#This Row],[rest of Italy fit]]</f>
        <v>0</v>
      </c>
      <c r="AK66" s="72">
        <f>Tabella3[[#This Row],[rest of Italy cumul. fit]]/Ka</f>
        <v>0</v>
      </c>
      <c r="AL66" s="72">
        <f>IFERROR(Ka*psi_a*_xlfn.SECH(psi_a*(Tabella3[[#This Row],[Day]]-pa)-phi_a)^2/(1+TANH(phi_a)),0)</f>
        <v>432.83776163217846</v>
      </c>
      <c r="AM66" s="72">
        <f>Tabella3[[#This Row],[rest of Italy fit]]/y_a_peak</f>
        <v>0.14334994494094591</v>
      </c>
      <c r="AN66" s="72">
        <f>Tabella3[[#This Row],[rest of Italy fit]]*NOT(ISBLANK(Tabella3[[#This Row],[rest of Italy data]]))</f>
        <v>432.83776163217846</v>
      </c>
      <c r="AO66" s="72">
        <f>Tabella3[[#This Row],[rest of Italy fit]]+CIa</f>
        <v>2066.9717015859801</v>
      </c>
      <c r="AP66" s="72">
        <f>MAX(Tabella3[[#This Row],[rest of Italy fit]]-CIa,0)</f>
        <v>0</v>
      </c>
      <c r="AR66"/>
      <c r="AS66"/>
    </row>
    <row r="67" spans="2:45" x14ac:dyDescent="0.3">
      <c r="B67" s="9">
        <v>43890</v>
      </c>
      <c r="C67" s="4">
        <v>60</v>
      </c>
      <c r="D67" s="72">
        <f>'dpc-covid19-ita-andamento-naz'!J7+'dpc-covid19-ita-andamento-naz'!K7</f>
        <v>79</v>
      </c>
      <c r="E67" s="72">
        <f>(Tabella3[[#This Row],[Italy cumul. data]]-D66)</f>
        <v>12</v>
      </c>
      <c r="F67" s="72">
        <f>Tabella3[[#This Row],[Italy remov. rate data]]*NOT(ISBLANK(Tabella3[[#This Row],[Italy remov. rate data]]))</f>
        <v>12</v>
      </c>
      <c r="G67" s="77">
        <f>Tabella8[[#This Row],[Italy fit]]</f>
        <v>0</v>
      </c>
      <c r="H67" s="158">
        <f>Tabella3[[#This Row],[Italy cumul. fit]]/Kf</f>
        <v>0</v>
      </c>
      <c r="I67" s="77">
        <f>Tabella3[[#This Row],[region fit]]+Tabella3[[#This Row],[rest of Italy fit]]</f>
        <v>484.1331512058041</v>
      </c>
      <c r="J67" s="77">
        <f>Tabella3[[#This Row],[Italy (fit of selected region + fitted sum of the other regions)]]/(y_l_peak+y_a_peak)</f>
        <v>0.15288335496635588</v>
      </c>
      <c r="K67" s="72">
        <f>IFERROR(Kf*psi_f*_xlfn.SECH(psi_f*(Tabella3[[#This Row],[Day]]-pf)-phi_f)^2/(1+TANH(phi_f)),0)</f>
        <v>488.06959538452236</v>
      </c>
      <c r="L67" s="292">
        <f>Tabella3[[#This Row],[Italy remov. rate fit]]-Tabella3[[#This Row],[Italy remov. rate data]]</f>
        <v>476.06959538452236</v>
      </c>
      <c r="M67" s="293">
        <f>Tabella3[[#This Row],[rem. rate residuals]]*NOT(ISBLANK(Tabella3[[#This Row],[Italy remov. rate data]]))</f>
        <v>476.06959538452236</v>
      </c>
      <c r="N67" s="72">
        <f>Tabella3[[#This Row],[Italy remov. rate fit]]/y_f_peak</f>
        <v>0.15450181696945173</v>
      </c>
      <c r="O67" s="72">
        <f>Tabella3[[#This Row],[Italy (fit of selected region + fitted sum of the other regions)]]*NOT(ISBLANK(Tabella3[[#This Row],[Italy remov. rate data]]))</f>
        <v>484.1331512058041</v>
      </c>
      <c r="P67" s="72">
        <f>Tabella3[[#This Row],[Italy remov. rate fit]]*NOT(ISBLANK(Tabella3[[#This Row],[Italy remov. rate data]]))</f>
        <v>488.06959538452236</v>
      </c>
      <c r="Q67" s="72">
        <f>Tabella3[[#This Row],[Italy remov. rate fit]]+CIf</f>
        <v>2143.2795643082736</v>
      </c>
      <c r="R67" s="72">
        <f>MAX(Tabella3[[#This Row],[Italy remov. rate fit]]-CIf,0)</f>
        <v>0</v>
      </c>
      <c r="S67" s="4">
        <f>Tabella8[[#This Row],[region data]]</f>
        <v>4</v>
      </c>
      <c r="T67" s="72">
        <f>(Tabella3[[#This Row],[region cumul. data]]-S66)</f>
        <v>4</v>
      </c>
      <c r="U67" s="72">
        <f>Tabella3[[#This Row],[region data]]*NOT(ISBLANK(Tabella3[[#This Row],[region data]]))</f>
        <v>4</v>
      </c>
      <c r="V67">
        <f t="shared" si="0"/>
        <v>0.66666666666666663</v>
      </c>
      <c r="W67" s="72">
        <f>Tabella3[[#This Row],[6-days moving avg]]*NOT(ISBLANK(Tabella3[[#This Row],[6-days moving avg]]))</f>
        <v>0.66666666666666663</v>
      </c>
      <c r="X67" s="77">
        <f>Tabella8[[#This Row],[region fit]]</f>
        <v>0</v>
      </c>
      <c r="Y67" s="72">
        <f>Tabella3[[#This Row],[region cumul. fit]]/Kl</f>
        <v>0</v>
      </c>
      <c r="Z67" s="72">
        <f>IFERROR(Kl*psi_l*_xlfn.SECH(psi_l*(Tabella3[[#This Row],[Day]]-pl)-phi_l)^2/(1+TANH(phi_l)),0)</f>
        <v>30.286071521037165</v>
      </c>
      <c r="AA67" s="72">
        <f>Tabella3[[#This Row],[region fit]]/y_l_peak</f>
        <v>0.20569914079825449</v>
      </c>
      <c r="AB67" s="72">
        <f>Tabella3[[#This Row],[region fit]]*NOT(ISBLANK(Tabella3[[#This Row],[region data]]))</f>
        <v>30.286071521037165</v>
      </c>
      <c r="AC67" s="166">
        <f>IFERROR(kl_m*psi_l_m*_xlfn.SECH(psi_l_m*(Tabella3[[#This Row],[Day]]-pl_m)-phi_l_m)^2/(1+TANH(phi_l_m)),0)</f>
        <v>30.286071521037165</v>
      </c>
      <c r="AD67" s="72">
        <f>Tabella3[[#This Row],[6-days moving avg fit]]*NOT(ISBLANK(Tabella3[[#This Row],[6-days moving avg]]))</f>
        <v>30.286071521037165</v>
      </c>
      <c r="AE67" s="72">
        <f>Tabella3[[#This Row],[region fit]]+CIl</f>
        <v>99.651057896137559</v>
      </c>
      <c r="AF67" s="72">
        <f>MAX(Tabella3[[#This Row],[region fit]]-CIl,0)</f>
        <v>0</v>
      </c>
      <c r="AG67" s="10">
        <f>Tabella8[[#This Row],[rest of Italy ]]</f>
        <v>75</v>
      </c>
      <c r="AH67" s="10">
        <f>(Tabella3[[#This Row],[rest of Italy cum. data]]-AG66)</f>
        <v>8</v>
      </c>
      <c r="AI67" s="72">
        <f>Tabella3[[#This Row],[rest of Italy data]]*NOT(ISBLANK(Tabella3[[#This Row],[rest of Italy data]]))</f>
        <v>8</v>
      </c>
      <c r="AJ67" s="77">
        <f>Tabella8[[#This Row],[rest of Italy fit]]</f>
        <v>0</v>
      </c>
      <c r="AK67" s="72">
        <f>Tabella3[[#This Row],[rest of Italy cumul. fit]]/Ka</f>
        <v>0</v>
      </c>
      <c r="AL67" s="72">
        <f>IFERROR(Ka*psi_a*_xlfn.SECH(psi_a*(Tabella3[[#This Row],[Day]]-pa)-phi_a)^2/(1+TANH(phi_a)),0)</f>
        <v>453.84707968476692</v>
      </c>
      <c r="AM67" s="72">
        <f>Tabella3[[#This Row],[rest of Italy fit]]/y_a_peak</f>
        <v>0.15030794364865727</v>
      </c>
      <c r="AN67" s="72">
        <f>Tabella3[[#This Row],[rest of Italy fit]]*NOT(ISBLANK(Tabella3[[#This Row],[rest of Italy data]]))</f>
        <v>453.84707968476692</v>
      </c>
      <c r="AO67" s="72">
        <f>Tabella3[[#This Row],[rest of Italy fit]]+CIa</f>
        <v>2087.9810196385683</v>
      </c>
      <c r="AP67" s="72">
        <f>MAX(Tabella3[[#This Row],[rest of Italy fit]]-CIa,0)</f>
        <v>0</v>
      </c>
      <c r="AR67"/>
      <c r="AS67"/>
    </row>
    <row r="68" spans="2:45" x14ac:dyDescent="0.3">
      <c r="B68" s="15">
        <v>43891</v>
      </c>
      <c r="C68" s="4">
        <v>61</v>
      </c>
      <c r="D68" s="72">
        <f>'dpc-covid19-ita-andamento-naz'!J8+'dpc-covid19-ita-andamento-naz'!K8</f>
        <v>117</v>
      </c>
      <c r="E68" s="72">
        <f>(Tabella3[[#This Row],[Italy cumul. data]]-D67)</f>
        <v>38</v>
      </c>
      <c r="F68" s="72">
        <f>Tabella3[[#This Row],[Italy remov. rate data]]*NOT(ISBLANK(Tabella3[[#This Row],[Italy remov. rate data]]))</f>
        <v>38</v>
      </c>
      <c r="G68" s="77">
        <f>Tabella8[[#This Row],[Italy fit]]</f>
        <v>0</v>
      </c>
      <c r="H68" s="158">
        <f>Tabella3[[#This Row],[Italy cumul. fit]]/Kf</f>
        <v>0</v>
      </c>
      <c r="I68" s="77">
        <f>Tabella3[[#This Row],[region fit]]+Tabella3[[#This Row],[rest of Italy fit]]</f>
        <v>507.17261798006331</v>
      </c>
      <c r="J68" s="77">
        <f>Tabella3[[#This Row],[Italy (fit of selected region + fitted sum of the other regions)]]/(y_l_peak+y_a_peak)</f>
        <v>0.16015893807466339</v>
      </c>
      <c r="K68" s="72">
        <f>IFERROR(Kf*psi_f*_xlfn.SECH(psi_f*(Tabella3[[#This Row],[Day]]-pf)-phi_f)^2/(1+TANH(phi_f)),0)</f>
        <v>511.22525395515953</v>
      </c>
      <c r="L68" s="292">
        <f>Tabella3[[#This Row],[Italy remov. rate fit]]-Tabella3[[#This Row],[Italy remov. rate data]]</f>
        <v>473.22525395515953</v>
      </c>
      <c r="M68" s="293">
        <f>Tabella3[[#This Row],[rem. rate residuals]]*NOT(ISBLANK(Tabella3[[#This Row],[Italy remov. rate data]]))</f>
        <v>473.22525395515953</v>
      </c>
      <c r="N68" s="72">
        <f>Tabella3[[#This Row],[Italy remov. rate fit]]/y_f_peak</f>
        <v>0.16183190135930009</v>
      </c>
      <c r="O68" s="72">
        <f>Tabella3[[#This Row],[Italy (fit of selected region + fitted sum of the other regions)]]*NOT(ISBLANK(Tabella3[[#This Row],[Italy remov. rate data]]))</f>
        <v>507.17261798006331</v>
      </c>
      <c r="P68" s="72">
        <f>Tabella3[[#This Row],[Italy remov. rate fit]]*NOT(ISBLANK(Tabella3[[#This Row],[Italy remov. rate data]]))</f>
        <v>511.22525395515953</v>
      </c>
      <c r="Q68" s="72">
        <f>Tabella3[[#This Row],[Italy remov. rate fit]]+CIf</f>
        <v>2166.4352228789107</v>
      </c>
      <c r="R68" s="72">
        <f>MAX(Tabella3[[#This Row],[Italy remov. rate fit]]-CIf,0)</f>
        <v>0</v>
      </c>
      <c r="S68" s="4">
        <f>Tabella8[[#This Row],[region data]]</f>
        <v>4</v>
      </c>
      <c r="T68" s="72">
        <f>(Tabella3[[#This Row],[region cumul. data]]-S67)</f>
        <v>0</v>
      </c>
      <c r="U68" s="72">
        <f>Tabella3[[#This Row],[region data]]*NOT(ISBLANK(Tabella3[[#This Row],[region data]]))</f>
        <v>0</v>
      </c>
      <c r="V68">
        <f t="shared" si="0"/>
        <v>0.66666666666666663</v>
      </c>
      <c r="W68" s="72">
        <f>Tabella3[[#This Row],[6-days moving avg]]*NOT(ISBLANK(Tabella3[[#This Row],[6-days moving avg]]))</f>
        <v>0.66666666666666663</v>
      </c>
      <c r="X68" s="77">
        <f>Tabella8[[#This Row],[region fit]]</f>
        <v>0</v>
      </c>
      <c r="Y68" s="72">
        <f>Tabella3[[#This Row],[region cumul. fit]]/Kl</f>
        <v>0</v>
      </c>
      <c r="Z68" s="72">
        <f>IFERROR(Kl*psi_l*_xlfn.SECH(psi_l*(Tabella3[[#This Row],[Day]]-pl)-phi_l)^2/(1+TANH(phi_l)),0)</f>
        <v>31.390633526441512</v>
      </c>
      <c r="AA68" s="72">
        <f>Tabella3[[#This Row],[region fit]]/y_l_peak</f>
        <v>0.21320118527147874</v>
      </c>
      <c r="AB68" s="72">
        <f>Tabella3[[#This Row],[region fit]]*NOT(ISBLANK(Tabella3[[#This Row],[region data]]))</f>
        <v>31.390633526441512</v>
      </c>
      <c r="AC68" s="166">
        <f>IFERROR(kl_m*psi_l_m*_xlfn.SECH(psi_l_m*(Tabella3[[#This Row],[Day]]-pl_m)-phi_l_m)^2/(1+TANH(phi_l_m)),0)</f>
        <v>31.390633526441512</v>
      </c>
      <c r="AD68" s="72">
        <f>Tabella3[[#This Row],[6-days moving avg fit]]*NOT(ISBLANK(Tabella3[[#This Row],[6-days moving avg]]))</f>
        <v>31.390633526441512</v>
      </c>
      <c r="AE68" s="72">
        <f>Tabella3[[#This Row],[region fit]]+CIl</f>
        <v>100.75561990154191</v>
      </c>
      <c r="AF68" s="72">
        <f>MAX(Tabella3[[#This Row],[region fit]]-CIl,0)</f>
        <v>0</v>
      </c>
      <c r="AG68" s="10">
        <f>Tabella8[[#This Row],[rest of Italy ]]</f>
        <v>113</v>
      </c>
      <c r="AH68" s="10">
        <f>(Tabella3[[#This Row],[rest of Italy cum. data]]-AG67)</f>
        <v>38</v>
      </c>
      <c r="AI68" s="72">
        <f>Tabella3[[#This Row],[rest of Italy data]]*NOT(ISBLANK(Tabella3[[#This Row],[rest of Italy data]]))</f>
        <v>38</v>
      </c>
      <c r="AJ68" s="77">
        <f>Tabella8[[#This Row],[rest of Italy fit]]</f>
        <v>0</v>
      </c>
      <c r="AK68" s="72">
        <f>Tabella3[[#This Row],[rest of Italy cumul. fit]]/Ka</f>
        <v>0</v>
      </c>
      <c r="AL68" s="72">
        <f>IFERROR(Ka*psi_a*_xlfn.SECH(psi_a*(Tabella3[[#This Row],[Day]]-pa)-phi_a)^2/(1+TANH(phi_a)),0)</f>
        <v>475.78198445362182</v>
      </c>
      <c r="AM68" s="72">
        <f>Tabella3[[#This Row],[rest of Italy fit]]/y_a_peak</f>
        <v>0.15757248401371973</v>
      </c>
      <c r="AN68" s="72">
        <f>Tabella3[[#This Row],[rest of Italy fit]]*NOT(ISBLANK(Tabella3[[#This Row],[rest of Italy data]]))</f>
        <v>475.78198445362182</v>
      </c>
      <c r="AO68" s="72">
        <f>Tabella3[[#This Row],[rest of Italy fit]]+CIa</f>
        <v>2109.9159244074235</v>
      </c>
      <c r="AP68" s="72">
        <f>MAX(Tabella3[[#This Row],[rest of Italy fit]]-CIa,0)</f>
        <v>0</v>
      </c>
      <c r="AR68"/>
      <c r="AS68"/>
    </row>
    <row r="69" spans="2:45" x14ac:dyDescent="0.3">
      <c r="B69" s="9">
        <v>43892</v>
      </c>
      <c r="C69" s="4">
        <v>62</v>
      </c>
      <c r="D69" s="72">
        <f>'dpc-covid19-ita-andamento-naz'!J9+'dpc-covid19-ita-andamento-naz'!K9</f>
        <v>201</v>
      </c>
      <c r="E69" s="72">
        <f>(Tabella3[[#This Row],[Italy cumul. data]]-D68)</f>
        <v>84</v>
      </c>
      <c r="F69" s="72">
        <f>Tabella3[[#This Row],[Italy remov. rate data]]*NOT(ISBLANK(Tabella3[[#This Row],[Italy remov. rate data]]))</f>
        <v>84</v>
      </c>
      <c r="G69" s="77">
        <f>Tabella8[[#This Row],[Italy fit]]</f>
        <v>0</v>
      </c>
      <c r="H69" s="77">
        <f>Tabella3[[#This Row],[Italy cumul. fit]]/Kf</f>
        <v>0</v>
      </c>
      <c r="I69" s="77">
        <f>Tabella3[[#This Row],[region fit]]+Tabella3[[#This Row],[rest of Italy fit]]</f>
        <v>531.20339951942071</v>
      </c>
      <c r="J69" s="77">
        <f>Tabella3[[#This Row],[Italy (fit of selected region + fitted sum of the other regions)]]/(y_l_peak+y_a_peak)</f>
        <v>0.16774756631681151</v>
      </c>
      <c r="K69" s="72">
        <f>IFERROR(Kf*psi_f*_xlfn.SECH(psi_f*(Tabella3[[#This Row],[Day]]-pf)-phi_f)^2/(1+TANH(phi_f)),0)</f>
        <v>535.36890714892047</v>
      </c>
      <c r="L69" s="292">
        <f>Tabella3[[#This Row],[Italy remov. rate fit]]-Tabella3[[#This Row],[Italy remov. rate data]]</f>
        <v>451.36890714892047</v>
      </c>
      <c r="M69" s="293">
        <f>Tabella3[[#This Row],[rem. rate residuals]]*NOT(ISBLANK(Tabella3[[#This Row],[Italy remov. rate data]]))</f>
        <v>451.36890714892047</v>
      </c>
      <c r="N69" s="72">
        <f>Tabella3[[#This Row],[Italy remov. rate fit]]/y_f_peak</f>
        <v>0.16947474230246012</v>
      </c>
      <c r="O69" s="72">
        <f>Tabella3[[#This Row],[Italy (fit of selected region + fitted sum of the other regions)]]*NOT(ISBLANK(Tabella3[[#This Row],[Italy remov. rate data]]))</f>
        <v>531.20339951942071</v>
      </c>
      <c r="P69" s="72">
        <f>Tabella3[[#This Row],[Italy remov. rate fit]]*NOT(ISBLANK(Tabella3[[#This Row],[Italy remov. rate data]]))</f>
        <v>535.36890714892047</v>
      </c>
      <c r="Q69" s="72">
        <f>Tabella3[[#This Row],[Italy remov. rate fit]]+CIf</f>
        <v>2190.5788760726718</v>
      </c>
      <c r="R69" s="72">
        <f>MAX(Tabella3[[#This Row],[Italy remov. rate fit]]-CIf,0)</f>
        <v>0</v>
      </c>
      <c r="S69" s="4">
        <f>Tabella8[[#This Row],[region data]]</f>
        <v>4</v>
      </c>
      <c r="T69" s="72">
        <f>(Tabella3[[#This Row],[region cumul. data]]-S68)</f>
        <v>0</v>
      </c>
      <c r="U69" s="72">
        <f>Tabella3[[#This Row],[region data]]*NOT(ISBLANK(Tabella3[[#This Row],[region data]]))</f>
        <v>0</v>
      </c>
      <c r="V69">
        <f t="shared" si="0"/>
        <v>0.83333333333333337</v>
      </c>
      <c r="W69" s="72">
        <f>Tabella3[[#This Row],[6-days moving avg]]*NOT(ISBLANK(Tabella3[[#This Row],[6-days moving avg]]))</f>
        <v>0.83333333333333337</v>
      </c>
      <c r="X69" s="77">
        <f>Tabella8[[#This Row],[region fit]]</f>
        <v>0</v>
      </c>
      <c r="Y69" s="72">
        <f>Tabella3[[#This Row],[region cumul. fit]]/Kl</f>
        <v>0</v>
      </c>
      <c r="Z69" s="72">
        <f>IFERROR(Kl*psi_l*_xlfn.SECH(psi_l*(Tabella3[[#This Row],[Day]]-pl)-phi_l)^2/(1+TANH(phi_l)),0)</f>
        <v>32.529850451809544</v>
      </c>
      <c r="AA69" s="72">
        <f>Tabella3[[#This Row],[region fit]]/y_l_peak</f>
        <v>0.22093860154774486</v>
      </c>
      <c r="AB69" s="72">
        <f>Tabella3[[#This Row],[region fit]]*NOT(ISBLANK(Tabella3[[#This Row],[region data]]))</f>
        <v>32.529850451809544</v>
      </c>
      <c r="AC69" s="166">
        <f>IFERROR(kl_m*psi_l_m*_xlfn.SECH(psi_l_m*(Tabella3[[#This Row],[Day]]-pl_m)-phi_l_m)^2/(1+TANH(phi_l_m)),0)</f>
        <v>32.529850451809544</v>
      </c>
      <c r="AD69" s="72">
        <f>Tabella3[[#This Row],[6-days moving avg fit]]*NOT(ISBLANK(Tabella3[[#This Row],[6-days moving avg]]))</f>
        <v>32.529850451809544</v>
      </c>
      <c r="AE69" s="72">
        <f>Tabella3[[#This Row],[region fit]]+CIl</f>
        <v>101.89483682690994</v>
      </c>
      <c r="AF69" s="72">
        <f>MAX(Tabella3[[#This Row],[region fit]]-CIl,0)</f>
        <v>0</v>
      </c>
      <c r="AG69" s="10">
        <f>Tabella8[[#This Row],[rest of Italy ]]</f>
        <v>197</v>
      </c>
      <c r="AH69" s="10">
        <f>(Tabella3[[#This Row],[rest of Italy cum. data]]-AG68)</f>
        <v>84</v>
      </c>
      <c r="AI69" s="72">
        <f>Tabella3[[#This Row],[rest of Italy data]]*NOT(ISBLANK(Tabella3[[#This Row],[rest of Italy data]]))</f>
        <v>84</v>
      </c>
      <c r="AJ69" s="77">
        <f>Tabella8[[#This Row],[rest of Italy fit]]</f>
        <v>0</v>
      </c>
      <c r="AK69" s="72">
        <f>Tabella3[[#This Row],[rest of Italy cumul. fit]]/Ka</f>
        <v>0</v>
      </c>
      <c r="AL69" s="72">
        <f>IFERROR(Ka*psi_a*_xlfn.SECH(psi_a*(Tabella3[[#This Row],[Day]]-pa)-phi_a)^2/(1+TANH(phi_a)),0)</f>
        <v>498.67354906761113</v>
      </c>
      <c r="AM69" s="72">
        <f>Tabella3[[#This Row],[rest of Italy fit]]/y_a_peak</f>
        <v>0.1651538570312987</v>
      </c>
      <c r="AN69" s="72">
        <f>Tabella3[[#This Row],[rest of Italy fit]]*NOT(ISBLANK(Tabella3[[#This Row],[rest of Italy data]]))</f>
        <v>498.67354906761113</v>
      </c>
      <c r="AO69" s="72">
        <f>Tabella3[[#This Row],[rest of Italy fit]]+CIa</f>
        <v>2132.8074890214125</v>
      </c>
      <c r="AP69" s="72">
        <f>MAX(Tabella3[[#This Row],[rest of Italy fit]]-CIa,0)</f>
        <v>0</v>
      </c>
      <c r="AR69"/>
      <c r="AS69"/>
    </row>
    <row r="70" spans="2:45" x14ac:dyDescent="0.3">
      <c r="B70" s="9">
        <v>43893</v>
      </c>
      <c r="C70" s="4">
        <v>63</v>
      </c>
      <c r="D70" s="72">
        <f>'dpc-covid19-ita-andamento-naz'!J10+'dpc-covid19-ita-andamento-naz'!K10</f>
        <v>239</v>
      </c>
      <c r="E70" s="72">
        <f>(Tabella3[[#This Row],[Italy cumul. data]]-D69)</f>
        <v>38</v>
      </c>
      <c r="F70" s="72">
        <f>Tabella3[[#This Row],[Italy remov. rate data]]*NOT(ISBLANK(Tabella3[[#This Row],[Italy remov. rate data]]))</f>
        <v>38</v>
      </c>
      <c r="G70" s="77">
        <f>Tabella8[[#This Row],[Italy fit]]</f>
        <v>0</v>
      </c>
      <c r="H70" s="77">
        <f>Tabella3[[#This Row],[Italy cumul. fit]]/Kf</f>
        <v>0</v>
      </c>
      <c r="I70" s="77">
        <f>Tabella3[[#This Row],[region fit]]+Tabella3[[#This Row],[rest of Italy fit]]</f>
        <v>556.25722578343266</v>
      </c>
      <c r="J70" s="77">
        <f>Tabella3[[#This Row],[Italy (fit of selected region + fitted sum of the other regions)]]/(y_l_peak+y_a_peak)</f>
        <v>0.17565925962772483</v>
      </c>
      <c r="K70" s="72">
        <f>IFERROR(Kf*psi_f*_xlfn.SECH(psi_f*(Tabella3[[#This Row],[Day]]-pf)-phi_f)^2/(1+TANH(phi_f)),0)</f>
        <v>560.53153986771986</v>
      </c>
      <c r="L70" s="292">
        <f>Tabella3[[#This Row],[Italy remov. rate fit]]-Tabella3[[#This Row],[Italy remov. rate data]]</f>
        <v>522.53153986771986</v>
      </c>
      <c r="M70" s="293">
        <f>Tabella3[[#This Row],[rem. rate residuals]]*NOT(ISBLANK(Tabella3[[#This Row],[Italy remov. rate data]]))</f>
        <v>522.53153986771986</v>
      </c>
      <c r="N70" s="72">
        <f>Tabella3[[#This Row],[Italy remov. rate fit]]/y_f_peak</f>
        <v>0.17744014828462665</v>
      </c>
      <c r="O70" s="72">
        <f>Tabella3[[#This Row],[Italy (fit of selected region + fitted sum of the other regions)]]*NOT(ISBLANK(Tabella3[[#This Row],[Italy remov. rate data]]))</f>
        <v>556.25722578343266</v>
      </c>
      <c r="P70" s="72">
        <f>Tabella3[[#This Row],[Italy remov. rate fit]]*NOT(ISBLANK(Tabella3[[#This Row],[Italy remov. rate data]]))</f>
        <v>560.53153986771986</v>
      </c>
      <c r="Q70" s="72">
        <f>Tabella3[[#This Row],[Italy remov. rate fit]]+CIf</f>
        <v>2215.7415087914715</v>
      </c>
      <c r="R70" s="72">
        <f>MAX(Tabella3[[#This Row],[Italy remov. rate fit]]-CIf,0)</f>
        <v>0</v>
      </c>
      <c r="S70" s="4">
        <f>Tabella8[[#This Row],[region data]]</f>
        <v>5</v>
      </c>
      <c r="T70" s="72">
        <f>(Tabella3[[#This Row],[region cumul. data]]-S69)</f>
        <v>1</v>
      </c>
      <c r="U70" s="72">
        <f>Tabella3[[#This Row],[region data]]*NOT(ISBLANK(Tabella3[[#This Row],[region data]]))</f>
        <v>1</v>
      </c>
      <c r="V70">
        <f t="shared" si="0"/>
        <v>0.83333333333333337</v>
      </c>
      <c r="W70" s="72">
        <f>Tabella3[[#This Row],[6-days moving avg]]*NOT(ISBLANK(Tabella3[[#This Row],[6-days moving avg]]))</f>
        <v>0.83333333333333337</v>
      </c>
      <c r="X70" s="77">
        <f>Tabella8[[#This Row],[region fit]]</f>
        <v>0</v>
      </c>
      <c r="Y70" s="72">
        <f>Tabella3[[#This Row],[region cumul. fit]]/Kl</f>
        <v>0</v>
      </c>
      <c r="Z70" s="72">
        <f>IFERROR(Kl*psi_l*_xlfn.SECH(psi_l*(Tabella3[[#This Row],[Day]]-pl)-phi_l)^2/(1+TANH(phi_l)),0)</f>
        <v>33.704366942757886</v>
      </c>
      <c r="AA70" s="72">
        <f>Tabella3[[#This Row],[region fit]]/y_l_peak</f>
        <v>0.22891576797798452</v>
      </c>
      <c r="AB70" s="72">
        <f>Tabella3[[#This Row],[region fit]]*NOT(ISBLANK(Tabella3[[#This Row],[region data]]))</f>
        <v>33.704366942757886</v>
      </c>
      <c r="AC70" s="166">
        <f>IFERROR(kl_m*psi_l_m*_xlfn.SECH(psi_l_m*(Tabella3[[#This Row],[Day]]-pl_m)-phi_l_m)^2/(1+TANH(phi_l_m)),0)</f>
        <v>33.704366942757886</v>
      </c>
      <c r="AD70" s="72">
        <f>Tabella3[[#This Row],[6-days moving avg fit]]*NOT(ISBLANK(Tabella3[[#This Row],[6-days moving avg]]))</f>
        <v>33.704366942757886</v>
      </c>
      <c r="AE70" s="72">
        <f>Tabella3[[#This Row],[region fit]]+CIl</f>
        <v>103.06935331785829</v>
      </c>
      <c r="AF70" s="72">
        <f>MAX(Tabella3[[#This Row],[region fit]]-CIl,0)</f>
        <v>0</v>
      </c>
      <c r="AG70" s="10">
        <f>Tabella8[[#This Row],[rest of Italy ]]</f>
        <v>234</v>
      </c>
      <c r="AH70" s="10">
        <f>(Tabella3[[#This Row],[rest of Italy cum. data]]-AG69)</f>
        <v>37</v>
      </c>
      <c r="AI70" s="72">
        <f>Tabella3[[#This Row],[rest of Italy data]]*NOT(ISBLANK(Tabella3[[#This Row],[rest of Italy data]]))</f>
        <v>37</v>
      </c>
      <c r="AJ70" s="77">
        <f>Tabella8[[#This Row],[rest of Italy fit]]</f>
        <v>0</v>
      </c>
      <c r="AK70" s="72">
        <f>Tabella3[[#This Row],[rest of Italy cumul. fit]]/Ka</f>
        <v>0</v>
      </c>
      <c r="AL70" s="72">
        <f>IFERROR(Ka*psi_a*_xlfn.SECH(psi_a*(Tabella3[[#This Row],[Day]]-pa)-phi_a)^2/(1+TANH(phi_a)),0)</f>
        <v>522.55285884067473</v>
      </c>
      <c r="AM70" s="72">
        <f>Tabella3[[#This Row],[rest of Italy fit]]/y_a_peak</f>
        <v>0.1730623577320887</v>
      </c>
      <c r="AN70" s="72">
        <f>Tabella3[[#This Row],[rest of Italy fit]]*NOT(ISBLANK(Tabella3[[#This Row],[rest of Italy data]]))</f>
        <v>522.55285884067473</v>
      </c>
      <c r="AO70" s="72">
        <f>Tabella3[[#This Row],[rest of Italy fit]]+CIa</f>
        <v>2156.6867987944761</v>
      </c>
      <c r="AP70" s="72">
        <f>MAX(Tabella3[[#This Row],[rest of Italy fit]]-CIa,0)</f>
        <v>0</v>
      </c>
      <c r="AR70"/>
      <c r="AS70"/>
    </row>
    <row r="71" spans="2:45" x14ac:dyDescent="0.3">
      <c r="B71" s="9">
        <v>43894</v>
      </c>
      <c r="C71" s="4">
        <v>64</v>
      </c>
      <c r="D71" s="72">
        <f>'dpc-covid19-ita-andamento-naz'!J11+'dpc-covid19-ita-andamento-naz'!K11</f>
        <v>383</v>
      </c>
      <c r="E71" s="72">
        <f>(Tabella3[[#This Row],[Italy cumul. data]]-D70)</f>
        <v>144</v>
      </c>
      <c r="F71" s="72">
        <f>Tabella3[[#This Row],[Italy remov. rate data]]*NOT(ISBLANK(Tabella3[[#This Row],[Italy remov. rate data]]))</f>
        <v>144</v>
      </c>
      <c r="G71" s="77">
        <f>Tabella8[[#This Row],[Italy fit]]</f>
        <v>0</v>
      </c>
      <c r="H71" s="77">
        <f>Tabella3[[#This Row],[Italy cumul. fit]]/Kf</f>
        <v>0</v>
      </c>
      <c r="I71" s="77">
        <f>Tabella3[[#This Row],[region fit]]+Tabella3[[#This Row],[rest of Italy fit]]</f>
        <v>582.36568134726986</v>
      </c>
      <c r="J71" s="77">
        <f>Tabella3[[#This Row],[Italy (fit of selected region + fitted sum of the other regions)]]/(y_l_peak+y_a_peak)</f>
        <v>0.18390399203170898</v>
      </c>
      <c r="K71" s="72">
        <f>IFERROR(Kf*psi_f*_xlfn.SECH(psi_f*(Tabella3[[#This Row],[Day]]-pf)-phi_f)^2/(1+TANH(phi_f)),0)</f>
        <v>586.74394043499558</v>
      </c>
      <c r="L71" s="292">
        <f>Tabella3[[#This Row],[Italy remov. rate fit]]-Tabella3[[#This Row],[Italy remov. rate data]]</f>
        <v>442.74394043499558</v>
      </c>
      <c r="M71" s="293">
        <f>Tabella3[[#This Row],[rem. rate residuals]]*NOT(ISBLANK(Tabella3[[#This Row],[Italy remov. rate data]]))</f>
        <v>442.74394043499558</v>
      </c>
      <c r="N71" s="72">
        <f>Tabella3[[#This Row],[Italy remov. rate fit]]/y_f_peak</f>
        <v>0.18573786556321381</v>
      </c>
      <c r="O71" s="72">
        <f>Tabella3[[#This Row],[Italy (fit of selected region + fitted sum of the other regions)]]*NOT(ISBLANK(Tabella3[[#This Row],[Italy remov. rate data]]))</f>
        <v>582.36568134726986</v>
      </c>
      <c r="P71" s="72">
        <f>Tabella3[[#This Row],[Italy remov. rate fit]]*NOT(ISBLANK(Tabella3[[#This Row],[Italy remov. rate data]]))</f>
        <v>586.74394043499558</v>
      </c>
      <c r="Q71" s="72">
        <f>Tabella3[[#This Row],[Italy remov. rate fit]]+CIf</f>
        <v>2241.9539093587468</v>
      </c>
      <c r="R71" s="72">
        <f>MAX(Tabella3[[#This Row],[Italy remov. rate fit]]-CIf,0)</f>
        <v>0</v>
      </c>
      <c r="S71" s="4">
        <f>Tabella8[[#This Row],[region data]]</f>
        <v>5</v>
      </c>
      <c r="T71" s="72">
        <f>(Tabella3[[#This Row],[region cumul. data]]-S70)</f>
        <v>0</v>
      </c>
      <c r="U71" s="72">
        <f>Tabella3[[#This Row],[region data]]*NOT(ISBLANK(Tabella3[[#This Row],[region data]]))</f>
        <v>0</v>
      </c>
      <c r="V71">
        <f t="shared" si="0"/>
        <v>1.1666666666666667</v>
      </c>
      <c r="W71" s="72">
        <f>Tabella3[[#This Row],[6-days moving avg]]*NOT(ISBLANK(Tabella3[[#This Row],[6-days moving avg]]))</f>
        <v>1.1666666666666667</v>
      </c>
      <c r="X71" s="77">
        <f>Tabella8[[#This Row],[region fit]]</f>
        <v>0</v>
      </c>
      <c r="Y71" s="72">
        <f>Tabella3[[#This Row],[region cumul. fit]]/Kl</f>
        <v>0</v>
      </c>
      <c r="Z71" s="72">
        <f>IFERROR(Kl*psi_l*_xlfn.SECH(psi_l*(Tabella3[[#This Row],[Day]]-pl)-phi_l)^2/(1+TANH(phi_l)),0)</f>
        <v>34.914802672455735</v>
      </c>
      <c r="AA71" s="72">
        <f>Tabella3[[#This Row],[region fit]]/y_l_peak</f>
        <v>0.23713689330344664</v>
      </c>
      <c r="AB71" s="72">
        <f>Tabella3[[#This Row],[region fit]]*NOT(ISBLANK(Tabella3[[#This Row],[region data]]))</f>
        <v>34.914802672455735</v>
      </c>
      <c r="AC71" s="166">
        <f>IFERROR(kl_m*psi_l_m*_xlfn.SECH(psi_l_m*(Tabella3[[#This Row],[Day]]-pl_m)-phi_l_m)^2/(1+TANH(phi_l_m)),0)</f>
        <v>34.914802672455735</v>
      </c>
      <c r="AD71" s="72">
        <f>Tabella3[[#This Row],[6-days moving avg fit]]*NOT(ISBLANK(Tabella3[[#This Row],[6-days moving avg]]))</f>
        <v>34.914802672455735</v>
      </c>
      <c r="AE71" s="72">
        <f>Tabella3[[#This Row],[region fit]]+CIl</f>
        <v>104.27978904755614</v>
      </c>
      <c r="AF71" s="72">
        <f>MAX(Tabella3[[#This Row],[region fit]]-CIl,0)</f>
        <v>0</v>
      </c>
      <c r="AG71" s="10">
        <f>Tabella8[[#This Row],[rest of Italy ]]</f>
        <v>378</v>
      </c>
      <c r="AH71" s="10">
        <f>(Tabella3[[#This Row],[rest of Italy cum. data]]-AG70)</f>
        <v>144</v>
      </c>
      <c r="AI71" s="72">
        <f>Tabella3[[#This Row],[rest of Italy data]]*NOT(ISBLANK(Tabella3[[#This Row],[rest of Italy data]]))</f>
        <v>144</v>
      </c>
      <c r="AJ71" s="77">
        <f>Tabella8[[#This Row],[rest of Italy fit]]</f>
        <v>0</v>
      </c>
      <c r="AK71" s="72">
        <f>Tabella3[[#This Row],[rest of Italy cumul. fit]]/Ka</f>
        <v>0</v>
      </c>
      <c r="AL71" s="72">
        <f>IFERROR(Ka*psi_a*_xlfn.SECH(psi_a*(Tabella3[[#This Row],[Day]]-pa)-phi_a)^2/(1+TANH(phi_a)),0)</f>
        <v>547.45087867481413</v>
      </c>
      <c r="AM71" s="72">
        <f>Tabella3[[#This Row],[rest of Italy fit]]/y_a_peak</f>
        <v>0.18130824126799763</v>
      </c>
      <c r="AN71" s="72">
        <f>Tabella3[[#This Row],[rest of Italy fit]]*NOT(ISBLANK(Tabella3[[#This Row],[rest of Italy data]]))</f>
        <v>547.45087867481413</v>
      </c>
      <c r="AO71" s="72">
        <f>Tabella3[[#This Row],[rest of Italy fit]]+CIa</f>
        <v>2181.5848186286157</v>
      </c>
      <c r="AP71" s="72">
        <f>MAX(Tabella3[[#This Row],[rest of Italy fit]]-CIa,0)</f>
        <v>0</v>
      </c>
      <c r="AR71"/>
      <c r="AS71"/>
    </row>
    <row r="72" spans="2:45" x14ac:dyDescent="0.3">
      <c r="B72" s="15">
        <v>43895</v>
      </c>
      <c r="C72" s="4">
        <v>65</v>
      </c>
      <c r="D72" s="72">
        <f>'dpc-covid19-ita-andamento-naz'!J12+'dpc-covid19-ita-andamento-naz'!K12</f>
        <v>562</v>
      </c>
      <c r="E72" s="72">
        <f>(Tabella3[[#This Row],[Italy cumul. data]]-D71)</f>
        <v>179</v>
      </c>
      <c r="F72" s="72">
        <f>Tabella3[[#This Row],[Italy remov. rate data]]*NOT(ISBLANK(Tabella3[[#This Row],[Italy remov. rate data]]))</f>
        <v>179</v>
      </c>
      <c r="G72" s="77">
        <f>Tabella8[[#This Row],[Italy fit]]</f>
        <v>0</v>
      </c>
      <c r="H72" s="77">
        <f>Tabella3[[#This Row],[Italy cumul. fit]]/Kf</f>
        <v>0</v>
      </c>
      <c r="I72" s="77">
        <f>Tabella3[[#This Row],[region fit]]+Tabella3[[#This Row],[rest of Italy fit]]</f>
        <v>609.56005357079016</v>
      </c>
      <c r="J72" s="77">
        <f>Tabella3[[#This Row],[Italy (fit of selected region + fitted sum of the other regions)]]/(y_l_peak+y_a_peak)</f>
        <v>0.19249164369609231</v>
      </c>
      <c r="K72" s="72">
        <f>IFERROR(Kf*psi_f*_xlfn.SECH(psi_f*(Tabella3[[#This Row],[Day]]-pf)-phi_f)^2/(1+TANH(phi_f)),0)</f>
        <v>614.03654888470521</v>
      </c>
      <c r="L72" s="292">
        <f>Tabella3[[#This Row],[Italy remov. rate fit]]-Tabella3[[#This Row],[Italy remov. rate data]]</f>
        <v>435.03654888470521</v>
      </c>
      <c r="M72" s="293">
        <f>Tabella3[[#This Row],[rem. rate residuals]]*NOT(ISBLANK(Tabella3[[#This Row],[Italy remov. rate data]]))</f>
        <v>435.03654888470521</v>
      </c>
      <c r="N72" s="72">
        <f>Tabella3[[#This Row],[Italy remov. rate fit]]/y_f_peak</f>
        <v>0.19437753014218395</v>
      </c>
      <c r="O72" s="72">
        <f>Tabella3[[#This Row],[Italy (fit of selected region + fitted sum of the other regions)]]*NOT(ISBLANK(Tabella3[[#This Row],[Italy remov. rate data]]))</f>
        <v>609.56005357079016</v>
      </c>
      <c r="P72" s="72">
        <f>Tabella3[[#This Row],[Italy remov. rate fit]]*NOT(ISBLANK(Tabella3[[#This Row],[Italy remov. rate data]]))</f>
        <v>614.03654888470521</v>
      </c>
      <c r="Q72" s="72">
        <f>Tabella3[[#This Row],[Italy remov. rate fit]]+CIf</f>
        <v>2269.2465178084567</v>
      </c>
      <c r="R72" s="72">
        <f>MAX(Tabella3[[#This Row],[Italy remov. rate fit]]-CIf,0)</f>
        <v>0</v>
      </c>
      <c r="S72" s="4">
        <f>Tabella8[[#This Row],[region data]]</f>
        <v>7</v>
      </c>
      <c r="T72" s="72">
        <f>(Tabella3[[#This Row],[region cumul. data]]-S71)</f>
        <v>2</v>
      </c>
      <c r="U72" s="72">
        <f>Tabella3[[#This Row],[region data]]*NOT(ISBLANK(Tabella3[[#This Row],[region data]]))</f>
        <v>2</v>
      </c>
      <c r="V72">
        <f t="shared" si="0"/>
        <v>0.66666666666666663</v>
      </c>
      <c r="W72" s="72">
        <f>Tabella3[[#This Row],[6-days moving avg]]*NOT(ISBLANK(Tabella3[[#This Row],[6-days moving avg]]))</f>
        <v>0.66666666666666663</v>
      </c>
      <c r="X72" s="77">
        <f>Tabella8[[#This Row],[region fit]]</f>
        <v>0</v>
      </c>
      <c r="Y72" s="72">
        <f>Tabella3[[#This Row],[region cumul. fit]]/Kl</f>
        <v>0</v>
      </c>
      <c r="Z72" s="72">
        <f>IFERROR(Kl*psi_l*_xlfn.SECH(psi_l*(Tabella3[[#This Row],[Day]]-pl)-phi_l)^2/(1+TANH(phi_l)),0)</f>
        <v>36.161748518049563</v>
      </c>
      <c r="AA72" s="72">
        <f>Tabella3[[#This Row],[region fit]]/y_l_peak</f>
        <v>0.24560599068646105</v>
      </c>
      <c r="AB72" s="72">
        <f>Tabella3[[#This Row],[region fit]]*NOT(ISBLANK(Tabella3[[#This Row],[region data]]))</f>
        <v>36.161748518049563</v>
      </c>
      <c r="AC72" s="166">
        <f>IFERROR(kl_m*psi_l_m*_xlfn.SECH(psi_l_m*(Tabella3[[#This Row],[Day]]-pl_m)-phi_l_m)^2/(1+TANH(phi_l_m)),0)</f>
        <v>36.161748518049563</v>
      </c>
      <c r="AD72" s="72">
        <f>Tabella3[[#This Row],[6-days moving avg fit]]*NOT(ISBLANK(Tabella3[[#This Row],[6-days moving avg]]))</f>
        <v>36.161748518049563</v>
      </c>
      <c r="AE72" s="72">
        <f>Tabella3[[#This Row],[region fit]]+CIl</f>
        <v>105.52673489314996</v>
      </c>
      <c r="AF72" s="72">
        <f>MAX(Tabella3[[#This Row],[region fit]]-CIl,0)</f>
        <v>0</v>
      </c>
      <c r="AG72" s="10">
        <f>Tabella8[[#This Row],[rest of Italy ]]</f>
        <v>555</v>
      </c>
      <c r="AH72" s="10">
        <f>(Tabella3[[#This Row],[rest of Italy cum. data]]-AG71)</f>
        <v>177</v>
      </c>
      <c r="AI72" s="72">
        <f>Tabella3[[#This Row],[rest of Italy data]]*NOT(ISBLANK(Tabella3[[#This Row],[rest of Italy data]]))</f>
        <v>177</v>
      </c>
      <c r="AJ72" s="77">
        <f>Tabella8[[#This Row],[rest of Italy fit]]</f>
        <v>0</v>
      </c>
      <c r="AK72" s="72">
        <f>Tabella3[[#This Row],[rest of Italy cumul. fit]]/Ka</f>
        <v>0</v>
      </c>
      <c r="AL72" s="72">
        <f>IFERROR(Ka*psi_a*_xlfn.SECH(psi_a*(Tabella3[[#This Row],[Day]]-pa)-phi_a)^2/(1+TANH(phi_a)),0)</f>
        <v>573.39830505274062</v>
      </c>
      <c r="AM72" s="72">
        <f>Tabella3[[#This Row],[rest of Italy fit]]/y_a_peak</f>
        <v>0.18990167389413681</v>
      </c>
      <c r="AN72" s="72">
        <f>Tabella3[[#This Row],[rest of Italy fit]]*NOT(ISBLANK(Tabella3[[#This Row],[rest of Italy data]]))</f>
        <v>573.39830505274062</v>
      </c>
      <c r="AO72" s="72">
        <f>Tabella3[[#This Row],[rest of Italy fit]]+CIa</f>
        <v>2207.5322450065423</v>
      </c>
      <c r="AP72" s="72">
        <f>MAX(Tabella3[[#This Row],[rest of Italy fit]]-CIa,0)</f>
        <v>0</v>
      </c>
      <c r="AR72"/>
      <c r="AS72"/>
    </row>
    <row r="73" spans="2:45" x14ac:dyDescent="0.3">
      <c r="B73" s="9">
        <v>43896</v>
      </c>
      <c r="C73" s="4">
        <v>66</v>
      </c>
      <c r="D73" s="72">
        <f>'dpc-covid19-ita-andamento-naz'!J13+'dpc-covid19-ita-andamento-naz'!K13</f>
        <v>720</v>
      </c>
      <c r="E73" s="72">
        <f>(Tabella3[[#This Row],[Italy cumul. data]]-D72)</f>
        <v>158</v>
      </c>
      <c r="F73" s="72">
        <f>Tabella3[[#This Row],[Italy remov. rate data]]*NOT(ISBLANK(Tabella3[[#This Row],[Italy remov. rate data]]))</f>
        <v>158</v>
      </c>
      <c r="G73" s="77">
        <f>Tabella8[[#This Row],[Italy fit]]</f>
        <v>0</v>
      </c>
      <c r="H73" s="77">
        <f>Tabella3[[#This Row],[Italy cumul. fit]]/Kf</f>
        <v>0</v>
      </c>
      <c r="I73" s="77">
        <f>Tabella3[[#This Row],[region fit]]+Tabella3[[#This Row],[rest of Italy fit]]</f>
        <v>637.87116417776713</v>
      </c>
      <c r="J73" s="77">
        <f>Tabella3[[#This Row],[Italy (fit of selected region + fitted sum of the other regions)]]/(y_l_peak+y_a_peak)</f>
        <v>0.20143194774599668</v>
      </c>
      <c r="K73" s="72">
        <f>IFERROR(Kf*psi_f*_xlfn.SECH(psi_f*(Tabella3[[#This Row],[Day]]-pf)-phi_f)^2/(1+TANH(phi_f)),0)</f>
        <v>642.43928919992322</v>
      </c>
      <c r="L73" s="292">
        <f>Tabella3[[#This Row],[Italy remov. rate fit]]-Tabella3[[#This Row],[Italy remov. rate data]]</f>
        <v>484.43928919992322</v>
      </c>
      <c r="M73" s="293">
        <f>Tabella3[[#This Row],[rem. rate residuals]]*NOT(ISBLANK(Tabella3[[#This Row],[Italy remov. rate data]]))</f>
        <v>484.43928919992322</v>
      </c>
      <c r="N73" s="72">
        <f>Tabella3[[#This Row],[Italy remov. rate fit]]/y_f_peak</f>
        <v>0.20336861466601175</v>
      </c>
      <c r="O73" s="72">
        <f>Tabella3[[#This Row],[Italy (fit of selected region + fitted sum of the other regions)]]*NOT(ISBLANK(Tabella3[[#This Row],[Italy remov. rate data]]))</f>
        <v>637.87116417776713</v>
      </c>
      <c r="P73" s="72">
        <f>Tabella3[[#This Row],[Italy remov. rate fit]]*NOT(ISBLANK(Tabella3[[#This Row],[Italy remov. rate data]]))</f>
        <v>642.43928919992322</v>
      </c>
      <c r="Q73" s="72">
        <f>Tabella3[[#This Row],[Italy remov. rate fit]]+CIf</f>
        <v>2297.6492581236744</v>
      </c>
      <c r="R73" s="72">
        <f>MAX(Tabella3[[#This Row],[Italy remov. rate fit]]-CIf,0)</f>
        <v>0</v>
      </c>
      <c r="S73" s="4">
        <f>Tabella8[[#This Row],[region data]]</f>
        <v>8</v>
      </c>
      <c r="T73" s="72">
        <f>(Tabella3[[#This Row],[region cumul. data]]-S72)</f>
        <v>1</v>
      </c>
      <c r="U73" s="72">
        <f>Tabella3[[#This Row],[region data]]*NOT(ISBLANK(Tabella3[[#This Row],[region data]]))</f>
        <v>1</v>
      </c>
      <c r="V73">
        <f t="shared" si="0"/>
        <v>0.83333333333333337</v>
      </c>
      <c r="W73" s="72">
        <f>Tabella3[[#This Row],[6-days moving avg]]*NOT(ISBLANK(Tabella3[[#This Row],[6-days moving avg]]))</f>
        <v>0.83333333333333337</v>
      </c>
      <c r="X73" s="77">
        <f>Tabella8[[#This Row],[region fit]]</f>
        <v>0</v>
      </c>
      <c r="Y73" s="72">
        <f>Tabella3[[#This Row],[region cumul. fit]]/Kl</f>
        <v>0</v>
      </c>
      <c r="Z73" s="72">
        <f>IFERROR(Kl*psi_l*_xlfn.SECH(psi_l*(Tabella3[[#This Row],[Day]]-pl)-phi_l)^2/(1+TANH(phi_l)),0)</f>
        <v>37.445762499111865</v>
      </c>
      <c r="AA73" s="72">
        <f>Tabella3[[#This Row],[region fit]]/y_l_peak</f>
        <v>0.25432685012489958</v>
      </c>
      <c r="AB73" s="72">
        <f>Tabella3[[#This Row],[region fit]]*NOT(ISBLANK(Tabella3[[#This Row],[region data]]))</f>
        <v>37.445762499111865</v>
      </c>
      <c r="AC73" s="166">
        <f>IFERROR(kl_m*psi_l_m*_xlfn.SECH(psi_l_m*(Tabella3[[#This Row],[Day]]-pl_m)-phi_l_m)^2/(1+TANH(phi_l_m)),0)</f>
        <v>37.445762499111865</v>
      </c>
      <c r="AD73" s="72">
        <f>Tabella3[[#This Row],[6-days moving avg fit]]*NOT(ISBLANK(Tabella3[[#This Row],[6-days moving avg]]))</f>
        <v>37.445762499111865</v>
      </c>
      <c r="AE73" s="72">
        <f>Tabella3[[#This Row],[region fit]]+CIl</f>
        <v>106.81074887421227</v>
      </c>
      <c r="AF73" s="72">
        <f>MAX(Tabella3[[#This Row],[region fit]]-CIl,0)</f>
        <v>0</v>
      </c>
      <c r="AG73" s="10">
        <f>Tabella8[[#This Row],[rest of Italy ]]</f>
        <v>712</v>
      </c>
      <c r="AH73" s="10">
        <f>(Tabella3[[#This Row],[rest of Italy cum. data]]-AG72)</f>
        <v>157</v>
      </c>
      <c r="AI73" s="72">
        <f>Tabella3[[#This Row],[rest of Italy data]]*NOT(ISBLANK(Tabella3[[#This Row],[rest of Italy data]]))</f>
        <v>157</v>
      </c>
      <c r="AJ73" s="77">
        <f>Tabella8[[#This Row],[rest of Italy fit]]</f>
        <v>0</v>
      </c>
      <c r="AK73" s="72">
        <f>Tabella3[[#This Row],[rest of Italy cumul. fit]]/Ka</f>
        <v>0</v>
      </c>
      <c r="AL73" s="72">
        <f>IFERROR(Ka*psi_a*_xlfn.SECH(psi_a*(Tabella3[[#This Row],[Day]]-pa)-phi_a)^2/(1+TANH(phi_a)),0)</f>
        <v>600.42540167865525</v>
      </c>
      <c r="AM73" s="72">
        <f>Tabella3[[#This Row],[rest of Italy fit]]/y_a_peak</f>
        <v>0.19885267853529576</v>
      </c>
      <c r="AN73" s="72">
        <f>Tabella3[[#This Row],[rest of Italy fit]]*NOT(ISBLANK(Tabella3[[#This Row],[rest of Italy data]]))</f>
        <v>600.42540167865525</v>
      </c>
      <c r="AO73" s="72">
        <f>Tabella3[[#This Row],[rest of Italy fit]]+CIa</f>
        <v>2234.5593416324568</v>
      </c>
      <c r="AP73" s="72">
        <f>MAX(Tabella3[[#This Row],[rest of Italy fit]]-CIa,0)</f>
        <v>0</v>
      </c>
      <c r="AR73"/>
      <c r="AS73"/>
    </row>
    <row r="74" spans="2:45" x14ac:dyDescent="0.3">
      <c r="B74" s="9">
        <v>43897</v>
      </c>
      <c r="C74" s="4">
        <v>67</v>
      </c>
      <c r="D74" s="72">
        <f>'dpc-covid19-ita-andamento-naz'!J14+'dpc-covid19-ita-andamento-naz'!K14</f>
        <v>822</v>
      </c>
      <c r="E74" s="72">
        <f>(Tabella3[[#This Row],[Italy cumul. data]]-D73)</f>
        <v>102</v>
      </c>
      <c r="F74" s="72">
        <f>Tabella3[[#This Row],[Italy remov. rate data]]*NOT(ISBLANK(Tabella3[[#This Row],[Italy remov. rate data]]))</f>
        <v>102</v>
      </c>
      <c r="G74" s="77">
        <f>Tabella8[[#This Row],[Italy fit]]</f>
        <v>0</v>
      </c>
      <c r="H74" s="77">
        <f>Tabella3[[#This Row],[Italy cumul. fit]]/Kf</f>
        <v>0</v>
      </c>
      <c r="I74" s="77">
        <f>Tabella3[[#This Row],[region fit]]+Tabella3[[#This Row],[rest of Italy fit]]</f>
        <v>667.329183326372</v>
      </c>
      <c r="J74" s="77">
        <f>Tabella3[[#This Row],[Italy (fit of selected region + fitted sum of the other regions)]]/(y_l_peak+y_a_peak)</f>
        <v>0.21073443155005947</v>
      </c>
      <c r="K74" s="72">
        <f>IFERROR(Kf*psi_f*_xlfn.SECH(psi_f*(Tabella3[[#This Row],[Day]]-pf)-phi_f)^2/(1+TANH(phi_f)),0)</f>
        <v>671.98138466054297</v>
      </c>
      <c r="L74" s="292">
        <f>Tabella3[[#This Row],[Italy remov. rate fit]]-Tabella3[[#This Row],[Italy remov. rate data]]</f>
        <v>569.98138466054297</v>
      </c>
      <c r="M74" s="293">
        <f>Tabella3[[#This Row],[rem. rate residuals]]*NOT(ISBLANK(Tabella3[[#This Row],[Italy remov. rate data]]))</f>
        <v>569.98138466054297</v>
      </c>
      <c r="N74" s="72">
        <f>Tabella3[[#This Row],[Italy remov. rate fit]]/y_f_peak</f>
        <v>0.21272036996671798</v>
      </c>
      <c r="O74" s="72">
        <f>Tabella3[[#This Row],[Italy (fit of selected region + fitted sum of the other regions)]]*NOT(ISBLANK(Tabella3[[#This Row],[Italy remov. rate data]]))</f>
        <v>667.329183326372</v>
      </c>
      <c r="P74" s="72">
        <f>Tabella3[[#This Row],[Italy remov. rate fit]]*NOT(ISBLANK(Tabella3[[#This Row],[Italy remov. rate data]]))</f>
        <v>671.98138466054297</v>
      </c>
      <c r="Q74" s="72">
        <f>Tabella3[[#This Row],[Italy remov. rate fit]]+CIf</f>
        <v>2327.1913535842941</v>
      </c>
      <c r="R74" s="72">
        <f>MAX(Tabella3[[#This Row],[Italy remov. rate fit]]-CIf,0)</f>
        <v>0</v>
      </c>
      <c r="S74" s="4">
        <f>Tabella8[[#This Row],[region data]]</f>
        <v>9</v>
      </c>
      <c r="T74" s="72">
        <f>(Tabella3[[#This Row],[region cumul. data]]-S73)</f>
        <v>1</v>
      </c>
      <c r="U74" s="72">
        <f>Tabella3[[#This Row],[region data]]*NOT(ISBLANK(Tabella3[[#This Row],[region data]]))</f>
        <v>1</v>
      </c>
      <c r="V74">
        <f t="shared" si="0"/>
        <v>1.1666666666666667</v>
      </c>
      <c r="W74" s="72">
        <f>Tabella3[[#This Row],[6-days moving avg]]*NOT(ISBLANK(Tabella3[[#This Row],[6-days moving avg]]))</f>
        <v>1.1666666666666667</v>
      </c>
      <c r="X74" s="77">
        <f>Tabella8[[#This Row],[region fit]]</f>
        <v>0</v>
      </c>
      <c r="Y74" s="72">
        <f>Tabella3[[#This Row],[region cumul. fit]]/Kl</f>
        <v>0</v>
      </c>
      <c r="Z74" s="72">
        <f>IFERROR(Kl*psi_l*_xlfn.SECH(psi_l*(Tabella3[[#This Row],[Day]]-pl)-phi_l)^2/(1+TANH(phi_l)),0)</f>
        <v>38.767365475257805</v>
      </c>
      <c r="AA74" s="72">
        <f>Tabella3[[#This Row],[region fit]]/y_l_peak</f>
        <v>0.2633030092309363</v>
      </c>
      <c r="AB74" s="72">
        <f>Tabella3[[#This Row],[region fit]]*NOT(ISBLANK(Tabella3[[#This Row],[region data]]))</f>
        <v>38.767365475257805</v>
      </c>
      <c r="AC74" s="166">
        <f>IFERROR(kl_m*psi_l_m*_xlfn.SECH(psi_l_m*(Tabella3[[#This Row],[Day]]-pl_m)-phi_l_m)^2/(1+TANH(phi_l_m)),0)</f>
        <v>38.767365475257805</v>
      </c>
      <c r="AD74" s="72">
        <f>Tabella3[[#This Row],[6-days moving avg fit]]*NOT(ISBLANK(Tabella3[[#This Row],[6-days moving avg]]))</f>
        <v>38.767365475257805</v>
      </c>
      <c r="AE74" s="72">
        <f>Tabella3[[#This Row],[region fit]]+CIl</f>
        <v>108.13235185035821</v>
      </c>
      <c r="AF74" s="72">
        <f>MAX(Tabella3[[#This Row],[region fit]]-CIl,0)</f>
        <v>0</v>
      </c>
      <c r="AG74" s="10">
        <f>Tabella8[[#This Row],[rest of Italy ]]</f>
        <v>813</v>
      </c>
      <c r="AH74" s="10">
        <f>(Tabella3[[#This Row],[rest of Italy cum. data]]-AG73)</f>
        <v>101</v>
      </c>
      <c r="AI74" s="72">
        <f>Tabella3[[#This Row],[rest of Italy data]]*NOT(ISBLANK(Tabella3[[#This Row],[rest of Italy data]]))</f>
        <v>101</v>
      </c>
      <c r="AJ74" s="77">
        <f>Tabella8[[#This Row],[rest of Italy fit]]</f>
        <v>0</v>
      </c>
      <c r="AK74" s="72">
        <f>Tabella3[[#This Row],[rest of Italy cumul. fit]]/Ka</f>
        <v>0</v>
      </c>
      <c r="AL74" s="72">
        <f>IFERROR(Ka*psi_a*_xlfn.SECH(psi_a*(Tabella3[[#This Row],[Day]]-pa)-phi_a)^2/(1+TANH(phi_a)),0)</f>
        <v>628.56181785111414</v>
      </c>
      <c r="AM74" s="72">
        <f>Tabella3[[#This Row],[rest of Italy fit]]/y_a_peak</f>
        <v>0.20817107463352028</v>
      </c>
      <c r="AN74" s="72">
        <f>Tabella3[[#This Row],[rest of Italy fit]]*NOT(ISBLANK(Tabella3[[#This Row],[rest of Italy data]]))</f>
        <v>628.56181785111414</v>
      </c>
      <c r="AO74" s="72">
        <f>Tabella3[[#This Row],[rest of Italy fit]]+CIa</f>
        <v>2262.6957578049155</v>
      </c>
      <c r="AP74" s="72">
        <f>MAX(Tabella3[[#This Row],[rest of Italy fit]]-CIa,0)</f>
        <v>0</v>
      </c>
      <c r="AR74"/>
      <c r="AS74"/>
    </row>
    <row r="75" spans="2:45" x14ac:dyDescent="0.3">
      <c r="B75" s="15">
        <v>43898</v>
      </c>
      <c r="C75" s="4">
        <v>68</v>
      </c>
      <c r="D75" s="72">
        <f>'dpc-covid19-ita-andamento-naz'!J15+'dpc-covid19-ita-andamento-naz'!K15</f>
        <v>988</v>
      </c>
      <c r="E75" s="72">
        <f>(Tabella3[[#This Row],[Italy cumul. data]]-D74)</f>
        <v>166</v>
      </c>
      <c r="F75" s="72">
        <f>Tabella3[[#This Row],[Italy remov. rate data]]*NOT(ISBLANK(Tabella3[[#This Row],[Italy remov. rate data]]))</f>
        <v>166</v>
      </c>
      <c r="G75" s="77">
        <f>Tabella8[[#This Row],[Italy fit]]</f>
        <v>0</v>
      </c>
      <c r="H75" s="77">
        <f>Tabella3[[#This Row],[Italy cumul. fit]]/Kf</f>
        <v>0</v>
      </c>
      <c r="I75" s="77">
        <f>Tabella3[[#This Row],[region fit]]+Tabella3[[#This Row],[rest of Italy fit]]</f>
        <v>697.96342529571803</v>
      </c>
      <c r="J75" s="77">
        <f>Tabella3[[#This Row],[Italy (fit of selected region + fitted sum of the other regions)]]/(y_l_peak+y_a_peak)</f>
        <v>0.22040835220073152</v>
      </c>
      <c r="K75" s="72">
        <f>IFERROR(Kf*psi_f*_xlfn.SECH(psi_f*(Tabella3[[#This Row],[Day]]-pf)-phi_f)^2/(1+TANH(phi_f)),0)</f>
        <v>702.69115550771505</v>
      </c>
      <c r="L75" s="292">
        <f>Tabella3[[#This Row],[Italy remov. rate fit]]-Tabella3[[#This Row],[Italy remov. rate data]]</f>
        <v>536.69115550771505</v>
      </c>
      <c r="M75" s="293">
        <f>Tabella3[[#This Row],[rem. rate residuals]]*NOT(ISBLANK(Tabella3[[#This Row],[Italy remov. rate data]]))</f>
        <v>536.69115550771505</v>
      </c>
      <c r="N75" s="72">
        <f>Tabella3[[#This Row],[Italy remov. rate fit]]/y_f_peak</f>
        <v>0.22244176101314342</v>
      </c>
      <c r="O75" s="72">
        <f>Tabella3[[#This Row],[Italy (fit of selected region + fitted sum of the other regions)]]*NOT(ISBLANK(Tabella3[[#This Row],[Italy remov. rate data]]))</f>
        <v>697.96342529571803</v>
      </c>
      <c r="P75" s="72">
        <f>Tabella3[[#This Row],[Italy remov. rate fit]]*NOT(ISBLANK(Tabella3[[#This Row],[Italy remov. rate data]]))</f>
        <v>702.69115550771505</v>
      </c>
      <c r="Q75" s="72">
        <f>Tabella3[[#This Row],[Italy remov. rate fit]]+CIf</f>
        <v>2357.9011244314665</v>
      </c>
      <c r="R75" s="72">
        <f>MAX(Tabella3[[#This Row],[Italy remov. rate fit]]-CIf,0)</f>
        <v>0</v>
      </c>
      <c r="S75" s="4">
        <f>Tabella8[[#This Row],[region data]]</f>
        <v>11</v>
      </c>
      <c r="T75" s="72">
        <f>(Tabella3[[#This Row],[region cumul. data]]-S74)</f>
        <v>2</v>
      </c>
      <c r="U75" s="72">
        <f>Tabella3[[#This Row],[region data]]*NOT(ISBLANK(Tabella3[[#This Row],[region data]]))</f>
        <v>2</v>
      </c>
      <c r="V75">
        <f t="shared" si="0"/>
        <v>1.1666666666666667</v>
      </c>
      <c r="W75" s="72">
        <f>Tabella3[[#This Row],[6-days moving avg]]*NOT(ISBLANK(Tabella3[[#This Row],[6-days moving avg]]))</f>
        <v>1.1666666666666667</v>
      </c>
      <c r="X75" s="77">
        <f>Tabella8[[#This Row],[region fit]]</f>
        <v>0</v>
      </c>
      <c r="Y75" s="72">
        <f>Tabella3[[#This Row],[region cumul. fit]]/Kl</f>
        <v>0</v>
      </c>
      <c r="Z75" s="72">
        <f>IFERROR(Kl*psi_l*_xlfn.SECH(psi_l*(Tabella3[[#This Row],[Day]]-pl)-phi_l)^2/(1+TANH(phi_l)),0)</f>
        <v>40.12703660146687</v>
      </c>
      <c r="AA75" s="72">
        <f>Tabella3[[#This Row],[region fit]]/y_l_peak</f>
        <v>0.27253772236417073</v>
      </c>
      <c r="AB75" s="72">
        <f>Tabella3[[#This Row],[region fit]]*NOT(ISBLANK(Tabella3[[#This Row],[region data]]))</f>
        <v>40.12703660146687</v>
      </c>
      <c r="AC75" s="166">
        <f>IFERROR(kl_m*psi_l_m*_xlfn.SECH(psi_l_m*(Tabella3[[#This Row],[Day]]-pl_m)-phi_l_m)^2/(1+TANH(phi_l_m)),0)</f>
        <v>40.12703660146687</v>
      </c>
      <c r="AD75" s="72">
        <f>Tabella3[[#This Row],[6-days moving avg fit]]*NOT(ISBLANK(Tabella3[[#This Row],[6-days moving avg]]))</f>
        <v>40.12703660146687</v>
      </c>
      <c r="AE75" s="72">
        <f>Tabella3[[#This Row],[region fit]]+CIl</f>
        <v>109.49202297656727</v>
      </c>
      <c r="AF75" s="72">
        <f>MAX(Tabella3[[#This Row],[region fit]]-CIl,0)</f>
        <v>0</v>
      </c>
      <c r="AG75" s="10">
        <f>Tabella8[[#This Row],[rest of Italy ]]</f>
        <v>977</v>
      </c>
      <c r="AH75" s="10">
        <f>(Tabella3[[#This Row],[rest of Italy cum. data]]-AG74)</f>
        <v>164</v>
      </c>
      <c r="AI75" s="72">
        <f>Tabella3[[#This Row],[rest of Italy data]]*NOT(ISBLANK(Tabella3[[#This Row],[rest of Italy data]]))</f>
        <v>164</v>
      </c>
      <c r="AJ75" s="77">
        <f>Tabella8[[#This Row],[rest of Italy fit]]</f>
        <v>77.070441965511719</v>
      </c>
      <c r="AK75" s="72">
        <f>Tabella3[[#This Row],[rest of Italy cumul. fit]]/Ka</f>
        <v>3.4740809525196626E-4</v>
      </c>
      <c r="AL75" s="72">
        <f>IFERROR(Ka*psi_a*_xlfn.SECH(psi_a*(Tabella3[[#This Row],[Day]]-pa)-phi_a)^2/(1+TANH(phi_a)),0)</f>
        <v>657.83638869425113</v>
      </c>
      <c r="AM75" s="72">
        <f>Tabella3[[#This Row],[rest of Italy fit]]/y_a_peak</f>
        <v>0.21786641198742623</v>
      </c>
      <c r="AN75" s="72">
        <f>Tabella3[[#This Row],[rest of Italy fit]]*NOT(ISBLANK(Tabella3[[#This Row],[rest of Italy data]]))</f>
        <v>657.83638869425113</v>
      </c>
      <c r="AO75" s="72">
        <f>Tabella3[[#This Row],[rest of Italy fit]]+CIa</f>
        <v>2291.9703286480526</v>
      </c>
      <c r="AP75" s="72">
        <f>MAX(Tabella3[[#This Row],[rest of Italy fit]]-CIa,0)</f>
        <v>0</v>
      </c>
      <c r="AR75"/>
      <c r="AS75"/>
    </row>
    <row r="76" spans="2:45" x14ac:dyDescent="0.3">
      <c r="B76" s="9">
        <v>43899</v>
      </c>
      <c r="C76" s="4">
        <v>69</v>
      </c>
      <c r="D76" s="72">
        <f>'dpc-covid19-ita-andamento-naz'!J16+'dpc-covid19-ita-andamento-naz'!K16</f>
        <v>1187</v>
      </c>
      <c r="E76" s="72">
        <f>(Tabella3[[#This Row],[Italy cumul. data]]-D75)</f>
        <v>199</v>
      </c>
      <c r="F76" s="72">
        <f>Tabella3[[#This Row],[Italy remov. rate data]]*NOT(ISBLANK(Tabella3[[#This Row],[Italy remov. rate data]]))</f>
        <v>199</v>
      </c>
      <c r="G76" s="77">
        <f>Tabella8[[#This Row],[Italy fit]]</f>
        <v>377.33955064412049</v>
      </c>
      <c r="H76" s="77">
        <f>Tabella3[[#This Row],[Italy cumul. fit]]/Kf</f>
        <v>1.6057002050906479E-3</v>
      </c>
      <c r="I76" s="77">
        <f>Tabella3[[#This Row],[region fit]]+Tabella3[[#This Row],[rest of Italy fit]]</f>
        <v>729.8021249767595</v>
      </c>
      <c r="J76" s="77">
        <f>Tabella3[[#This Row],[Italy (fit of selected region + fitted sum of the other regions)]]/(y_l_peak+y_a_peak)</f>
        <v>0.23046262593282441</v>
      </c>
      <c r="K76" s="72">
        <f>IFERROR(Kf*psi_f*_xlfn.SECH(psi_f*(Tabella3[[#This Row],[Day]]-pf)-phi_f)^2/(1+TANH(phi_f)),0)</f>
        <v>734.59579819982787</v>
      </c>
      <c r="L76" s="292">
        <f>Tabella3[[#This Row],[Italy remov. rate fit]]-Tabella3[[#This Row],[Italy remov. rate data]]</f>
        <v>535.59579819982787</v>
      </c>
      <c r="M76" s="293">
        <f>Tabella3[[#This Row],[rem. rate residuals]]*NOT(ISBLANK(Tabella3[[#This Row],[Italy remov. rate data]]))</f>
        <v>535.59579819982787</v>
      </c>
      <c r="N76" s="72">
        <f>Tabella3[[#This Row],[Italy remov. rate fit]]/y_f_peak</f>
        <v>0.232541397032898</v>
      </c>
      <c r="O76" s="72">
        <f>Tabella3[[#This Row],[Italy (fit of selected region + fitted sum of the other regions)]]*NOT(ISBLANK(Tabella3[[#This Row],[Italy remov. rate data]]))</f>
        <v>729.8021249767595</v>
      </c>
      <c r="P76" s="72">
        <f>Tabella3[[#This Row],[Italy remov. rate fit]]*NOT(ISBLANK(Tabella3[[#This Row],[Italy remov. rate data]]))</f>
        <v>734.59579819982787</v>
      </c>
      <c r="Q76" s="72">
        <f>Tabella3[[#This Row],[Italy remov. rate fit]]+CIf</f>
        <v>2389.8057671235792</v>
      </c>
      <c r="R76" s="72">
        <f>MAX(Tabella3[[#This Row],[Italy remov. rate fit]]-CIf,0)</f>
        <v>0</v>
      </c>
      <c r="S76" s="4">
        <f>Tabella8[[#This Row],[region data]]</f>
        <v>12</v>
      </c>
      <c r="T76" s="72">
        <f>(Tabella3[[#This Row],[region cumul. data]]-S75)</f>
        <v>1</v>
      </c>
      <c r="U76" s="72">
        <f>Tabella3[[#This Row],[region data]]*NOT(ISBLANK(Tabella3[[#This Row],[region data]]))</f>
        <v>1</v>
      </c>
      <c r="V76">
        <f t="shared" si="0"/>
        <v>1.3333333333333333</v>
      </c>
      <c r="W76" s="72">
        <f>Tabella3[[#This Row],[6-days moving avg]]*NOT(ISBLANK(Tabella3[[#This Row],[6-days moving avg]]))</f>
        <v>1.3333333333333333</v>
      </c>
      <c r="X76" s="77">
        <f>Tabella8[[#This Row],[region fit]]</f>
        <v>0</v>
      </c>
      <c r="Y76" s="72">
        <f>Tabella3[[#This Row],[region cumul. fit]]/Kl</f>
        <v>0</v>
      </c>
      <c r="Z76" s="72">
        <f>IFERROR(Kl*psi_l*_xlfn.SECH(psi_l*(Tabella3[[#This Row],[Day]]-pl)-phi_l)^2/(1+TANH(phi_l)),0)</f>
        <v>41.525208541246265</v>
      </c>
      <c r="AA76" s="72">
        <f>Tabella3[[#This Row],[region fit]]/y_l_peak</f>
        <v>0.28203392812004358</v>
      </c>
      <c r="AB76" s="72">
        <f>Tabella3[[#This Row],[region fit]]*NOT(ISBLANK(Tabella3[[#This Row],[region data]]))</f>
        <v>41.525208541246265</v>
      </c>
      <c r="AC76" s="166">
        <f>IFERROR(kl_m*psi_l_m*_xlfn.SECH(psi_l_m*(Tabella3[[#This Row],[Day]]-pl_m)-phi_l_m)^2/(1+TANH(phi_l_m)),0)</f>
        <v>41.525208541246265</v>
      </c>
      <c r="AD76" s="72">
        <f>Tabella3[[#This Row],[6-days moving avg fit]]*NOT(ISBLANK(Tabella3[[#This Row],[6-days moving avg]]))</f>
        <v>41.525208541246265</v>
      </c>
      <c r="AE76" s="72">
        <f>Tabella3[[#This Row],[region fit]]+CIl</f>
        <v>110.89019491634667</v>
      </c>
      <c r="AF76" s="72">
        <f>MAX(Tabella3[[#This Row],[region fit]]-CIl,0)</f>
        <v>0</v>
      </c>
      <c r="AG76" s="10">
        <f>Tabella8[[#This Row],[rest of Italy ]]</f>
        <v>1175</v>
      </c>
      <c r="AH76" s="10">
        <f>(Tabella3[[#This Row],[rest of Italy cum. data]]-AG75)</f>
        <v>198</v>
      </c>
      <c r="AI76" s="72">
        <f>Tabella3[[#This Row],[rest of Italy data]]*NOT(ISBLANK(Tabella3[[#This Row],[rest of Italy data]]))</f>
        <v>198</v>
      </c>
      <c r="AJ76" s="77">
        <f>Tabella8[[#This Row],[rest of Italy fit]]</f>
        <v>750.02880466726651</v>
      </c>
      <c r="AK76" s="72">
        <f>Tabella3[[#This Row],[rest of Italy cumul. fit]]/Ka</f>
        <v>3.3808821095143702E-3</v>
      </c>
      <c r="AL76" s="72">
        <f>IFERROR(Ka*psi_a*_xlfn.SECH(psi_a*(Tabella3[[#This Row],[Day]]-pa)-phi_a)^2/(1+TANH(phi_a)),0)</f>
        <v>688.27691643551327</v>
      </c>
      <c r="AM76" s="72">
        <f>Tabella3[[#This Row],[rest of Italy fit]]/y_a_peak</f>
        <v>0.22794789831437812</v>
      </c>
      <c r="AN76" s="72">
        <f>Tabella3[[#This Row],[rest of Italy fit]]*NOT(ISBLANK(Tabella3[[#This Row],[rest of Italy data]]))</f>
        <v>688.27691643551327</v>
      </c>
      <c r="AO76" s="72">
        <f>Tabella3[[#This Row],[rest of Italy fit]]+CIa</f>
        <v>2322.4108563893146</v>
      </c>
      <c r="AP76" s="72">
        <f>MAX(Tabella3[[#This Row],[rest of Italy fit]]-CIa,0)</f>
        <v>0</v>
      </c>
      <c r="AR76"/>
      <c r="AS76"/>
    </row>
    <row r="77" spans="2:45" x14ac:dyDescent="0.3">
      <c r="B77" s="15">
        <v>43900</v>
      </c>
      <c r="C77" s="4">
        <v>70</v>
      </c>
      <c r="D77" s="72">
        <f>'dpc-covid19-ita-andamento-naz'!J17+'dpc-covid19-ita-andamento-naz'!K17</f>
        <v>1635</v>
      </c>
      <c r="E77" s="72">
        <f>(Tabella3[[#This Row],[Italy cumul. data]]-D76)</f>
        <v>448</v>
      </c>
      <c r="F77" s="72">
        <f>Tabella3[[#This Row],[Italy remov. rate data]]*NOT(ISBLANK(Tabella3[[#This Row],[Italy remov. rate data]]))</f>
        <v>448</v>
      </c>
      <c r="G77" s="77">
        <f>Tabella8[[#This Row],[Italy fit]]</f>
        <v>1128.395261548379</v>
      </c>
      <c r="H77" s="77">
        <f>Tabella3[[#This Row],[Italy cumul. fit]]/Kf</f>
        <v>4.8016819328869339E-3</v>
      </c>
      <c r="I77" s="77">
        <f>Tabella3[[#This Row],[region fit]]+Tabella3[[#This Row],[rest of Italy fit]]</f>
        <v>762.87219444177117</v>
      </c>
      <c r="J77" s="77">
        <f>Tabella3[[#This Row],[Italy (fit of selected region + fitted sum of the other regions)]]/(y_l_peak+y_a_peak)</f>
        <v>0.24090575125111557</v>
      </c>
      <c r="K77" s="72">
        <f>IFERROR(Kf*psi_f*_xlfn.SECH(psi_f*(Tabella3[[#This Row],[Day]]-pf)-phi_f)^2/(1+TANH(phi_f)),0)</f>
        <v>767.72114562353147</v>
      </c>
      <c r="L77" s="292">
        <f>Tabella3[[#This Row],[Italy remov. rate fit]]-Tabella3[[#This Row],[Italy remov. rate data]]</f>
        <v>319.72114562353147</v>
      </c>
      <c r="M77" s="293">
        <f>Tabella3[[#This Row],[rem. rate residuals]]*NOT(ISBLANK(Tabella3[[#This Row],[Italy remov. rate data]]))</f>
        <v>319.72114562353147</v>
      </c>
      <c r="N77" s="72">
        <f>Tabella3[[#This Row],[Italy remov. rate fit]]/y_f_peak</f>
        <v>0.24302745560549649</v>
      </c>
      <c r="O77" s="72">
        <f>Tabella3[[#This Row],[Italy (fit of selected region + fitted sum of the other regions)]]*NOT(ISBLANK(Tabella3[[#This Row],[Italy remov. rate data]]))</f>
        <v>762.87219444177117</v>
      </c>
      <c r="P77" s="72">
        <f>Tabella3[[#This Row],[Italy remov. rate fit]]*NOT(ISBLANK(Tabella3[[#This Row],[Italy remov. rate data]]))</f>
        <v>767.72114562353147</v>
      </c>
      <c r="Q77" s="72">
        <f>Tabella3[[#This Row],[Italy remov. rate fit]]+CIf</f>
        <v>2422.931114547283</v>
      </c>
      <c r="R77" s="72">
        <f>MAX(Tabella3[[#This Row],[Italy remov. rate fit]]-CIf,0)</f>
        <v>0</v>
      </c>
      <c r="S77" s="4">
        <f>Tabella8[[#This Row],[region data]]</f>
        <v>13</v>
      </c>
      <c r="T77" s="72">
        <f>(Tabella3[[#This Row],[region cumul. data]]-S76)</f>
        <v>1</v>
      </c>
      <c r="U77" s="72">
        <f>Tabella3[[#This Row],[region data]]*NOT(ISBLANK(Tabella3[[#This Row],[region data]]))</f>
        <v>1</v>
      </c>
      <c r="V77">
        <f t="shared" ref="V77:V139" si="1">AVERAGE(T73:T78)</f>
        <v>1</v>
      </c>
      <c r="W77" s="72">
        <f>Tabella3[[#This Row],[6-days moving avg]]*NOT(ISBLANK(Tabella3[[#This Row],[6-days moving avg]]))</f>
        <v>1</v>
      </c>
      <c r="X77" s="77">
        <f>Tabella8[[#This Row],[region fit]]</f>
        <v>0</v>
      </c>
      <c r="Y77" s="72">
        <f>Tabella3[[#This Row],[region cumul. fit]]/Kl</f>
        <v>0</v>
      </c>
      <c r="Z77" s="72">
        <f>IFERROR(Kl*psi_l*_xlfn.SECH(psi_l*(Tabella3[[#This Row],[Day]]-pl)-phi_l)^2/(1+TANH(phi_l)),0)</f>
        <v>42.962262439581075</v>
      </c>
      <c r="AA77" s="72">
        <f>Tabella3[[#This Row],[region fit]]/y_l_peak</f>
        <v>0.29179421518675425</v>
      </c>
      <c r="AB77" s="72">
        <f>Tabella3[[#This Row],[region fit]]*NOT(ISBLANK(Tabella3[[#This Row],[region data]]))</f>
        <v>42.962262439581075</v>
      </c>
      <c r="AC77" s="166">
        <f>IFERROR(kl_m*psi_l_m*_xlfn.SECH(psi_l_m*(Tabella3[[#This Row],[Day]]-pl_m)-phi_l_m)^2/(1+TANH(phi_l_m)),0)</f>
        <v>42.962262439581075</v>
      </c>
      <c r="AD77" s="72">
        <f>Tabella3[[#This Row],[6-days moving avg fit]]*NOT(ISBLANK(Tabella3[[#This Row],[6-days moving avg]]))</f>
        <v>42.962262439581075</v>
      </c>
      <c r="AE77" s="72">
        <f>Tabella3[[#This Row],[region fit]]+CIl</f>
        <v>112.32724881468147</v>
      </c>
      <c r="AF77" s="72">
        <f>MAX(Tabella3[[#This Row],[region fit]]-CIl,0)</f>
        <v>0</v>
      </c>
      <c r="AG77" s="10">
        <f>Tabella8[[#This Row],[rest of Italy ]]</f>
        <v>1622</v>
      </c>
      <c r="AH77" s="10">
        <f>(Tabella3[[#This Row],[rest of Italy cum. data]]-AG76)</f>
        <v>447</v>
      </c>
      <c r="AI77" s="72">
        <f>Tabella3[[#This Row],[rest of Italy data]]*NOT(ISBLANK(Tabella3[[#This Row],[rest of Italy data]]))</f>
        <v>447</v>
      </c>
      <c r="AJ77" s="77">
        <f>Tabella8[[#This Row],[rest of Italy fit]]</f>
        <v>1454.0217877526813</v>
      </c>
      <c r="AK77" s="72">
        <f>Tabella3[[#This Row],[rest of Italy cumul. fit]]/Ka</f>
        <v>6.5542499414245293E-3</v>
      </c>
      <c r="AL77" s="72">
        <f>IFERROR(Ka*psi_a*_xlfn.SECH(psi_a*(Tabella3[[#This Row],[Day]]-pa)-phi_a)^2/(1+TANH(phi_a)),0)</f>
        <v>719.90993200219009</v>
      </c>
      <c r="AM77" s="72">
        <f>Tabella3[[#This Row],[rest of Italy fit]]/y_a_peak</f>
        <v>0.23842432029452101</v>
      </c>
      <c r="AN77" s="72">
        <f>Tabella3[[#This Row],[rest of Italy fit]]*NOT(ISBLANK(Tabella3[[#This Row],[rest of Italy data]]))</f>
        <v>719.90993200219009</v>
      </c>
      <c r="AO77" s="72">
        <f>Tabella3[[#This Row],[rest of Italy fit]]+CIa</f>
        <v>2354.0438719559916</v>
      </c>
      <c r="AP77" s="72">
        <f>MAX(Tabella3[[#This Row],[rest of Italy fit]]-CIa,0)</f>
        <v>0</v>
      </c>
      <c r="AR77"/>
      <c r="AS77"/>
    </row>
    <row r="78" spans="2:45" x14ac:dyDescent="0.3">
      <c r="B78" s="9">
        <v>43901</v>
      </c>
      <c r="C78" s="4">
        <v>71</v>
      </c>
      <c r="D78" s="72">
        <f>'dpc-covid19-ita-andamento-naz'!J18+'dpc-covid19-ita-andamento-naz'!K18</f>
        <v>1872</v>
      </c>
      <c r="E78" s="72">
        <f>(Tabella3[[#This Row],[Italy cumul. data]]-D77)</f>
        <v>237</v>
      </c>
      <c r="F78" s="72">
        <f>Tabella3[[#This Row],[Italy remov. rate data]]*NOT(ISBLANK(Tabella3[[#This Row],[Italy remov. rate data]]))</f>
        <v>237</v>
      </c>
      <c r="G78" s="77">
        <f>Tabella8[[#This Row],[Italy fit]]</f>
        <v>1913.1968345634587</v>
      </c>
      <c r="H78" s="77">
        <f>Tabella3[[#This Row],[Italy cumul. fit]]/Kf</f>
        <v>8.1412630729892198E-3</v>
      </c>
      <c r="I78" s="77">
        <f>Tabella3[[#This Row],[region fit]]+Tabella3[[#This Row],[rest of Italy fit]]</f>
        <v>797.19895897796084</v>
      </c>
      <c r="J78" s="77">
        <f>Tabella3[[#This Row],[Italy (fit of selected region + fitted sum of the other regions)]]/(y_l_peak+y_a_peak)</f>
        <v>0.25174572557297709</v>
      </c>
      <c r="K78" s="72">
        <f>IFERROR(Kf*psi_f*_xlfn.SECH(psi_f*(Tabella3[[#This Row],[Day]]-pf)-phi_f)^2/(1+TANH(phi_f)),0)</f>
        <v>802.09140773618856</v>
      </c>
      <c r="L78" s="292">
        <f>Tabella3[[#This Row],[Italy remov. rate fit]]-Tabella3[[#This Row],[Italy remov. rate data]]</f>
        <v>565.09140773618856</v>
      </c>
      <c r="M78" s="293">
        <f>Tabella3[[#This Row],[rem. rate residuals]]*NOT(ISBLANK(Tabella3[[#This Row],[Italy remov. rate data]]))</f>
        <v>565.09140773618856</v>
      </c>
      <c r="N78" s="72">
        <f>Tabella3[[#This Row],[Italy remov. rate fit]]/y_f_peak</f>
        <v>0.25390760056092682</v>
      </c>
      <c r="O78" s="72">
        <f>Tabella3[[#This Row],[Italy (fit of selected region + fitted sum of the other regions)]]*NOT(ISBLANK(Tabella3[[#This Row],[Italy remov. rate data]]))</f>
        <v>797.19895897796084</v>
      </c>
      <c r="P78" s="72">
        <f>Tabella3[[#This Row],[Italy remov. rate fit]]*NOT(ISBLANK(Tabella3[[#This Row],[Italy remov. rate data]]))</f>
        <v>802.09140773618856</v>
      </c>
      <c r="Q78" s="72">
        <f>Tabella3[[#This Row],[Italy remov. rate fit]]+CIf</f>
        <v>2457.3013766599397</v>
      </c>
      <c r="R78" s="72">
        <f>MAX(Tabella3[[#This Row],[Italy remov. rate fit]]-CIf,0)</f>
        <v>0</v>
      </c>
      <c r="S78" s="4">
        <f>Tabella8[[#This Row],[region data]]</f>
        <v>13</v>
      </c>
      <c r="T78" s="72">
        <f>(Tabella3[[#This Row],[region cumul. data]]-S77)</f>
        <v>0</v>
      </c>
      <c r="U78" s="72">
        <f>Tabella3[[#This Row],[region data]]*NOT(ISBLANK(Tabella3[[#This Row],[region data]]))</f>
        <v>0</v>
      </c>
      <c r="V78">
        <f t="shared" si="1"/>
        <v>3.8333333333333335</v>
      </c>
      <c r="W78" s="72">
        <f>Tabella3[[#This Row],[6-days moving avg]]*NOT(ISBLANK(Tabella3[[#This Row],[6-days moving avg]]))</f>
        <v>3.8333333333333335</v>
      </c>
      <c r="X78" s="77">
        <f>Tabella8[[#This Row],[region fit]]</f>
        <v>0</v>
      </c>
      <c r="Y78" s="72">
        <f>Tabella3[[#This Row],[region cumul. fit]]/Kl</f>
        <v>0</v>
      </c>
      <c r="Z78" s="72">
        <f>IFERROR(Kl*psi_l*_xlfn.SECH(psi_l*(Tabella3[[#This Row],[Day]]-pl)-phi_l)^2/(1+TANH(phi_l)),0)</f>
        <v>44.438522659652108</v>
      </c>
      <c r="AA78" s="72">
        <f>Tabella3[[#This Row],[region fit]]/y_l_peak</f>
        <v>0.3018207865977186</v>
      </c>
      <c r="AB78" s="72">
        <f>Tabella3[[#This Row],[region fit]]*NOT(ISBLANK(Tabella3[[#This Row],[region data]]))</f>
        <v>44.438522659652108</v>
      </c>
      <c r="AC78" s="166">
        <f>IFERROR(kl_m*psi_l_m*_xlfn.SECH(psi_l_m*(Tabella3[[#This Row],[Day]]-pl_m)-phi_l_m)^2/(1+TANH(phi_l_m)),0)</f>
        <v>44.438522659652108</v>
      </c>
      <c r="AD78" s="72">
        <f>Tabella3[[#This Row],[6-days moving avg fit]]*NOT(ISBLANK(Tabella3[[#This Row],[6-days moving avg]]))</f>
        <v>44.438522659652108</v>
      </c>
      <c r="AE78" s="72">
        <f>Tabella3[[#This Row],[region fit]]+CIl</f>
        <v>113.80350903475251</v>
      </c>
      <c r="AF78" s="72">
        <f>MAX(Tabella3[[#This Row],[region fit]]-CIl,0)</f>
        <v>0</v>
      </c>
      <c r="AG78" s="10">
        <f>Tabella8[[#This Row],[rest of Italy ]]</f>
        <v>1859</v>
      </c>
      <c r="AH78" s="10">
        <f>(Tabella3[[#This Row],[rest of Italy cum. data]]-AG77)</f>
        <v>237</v>
      </c>
      <c r="AI78" s="72">
        <f>Tabella3[[#This Row],[rest of Italy data]]*NOT(ISBLANK(Tabella3[[#This Row],[rest of Italy data]]))</f>
        <v>237</v>
      </c>
      <c r="AJ78" s="77">
        <f>Tabella8[[#This Row],[rest of Italy fit]]</f>
        <v>2190.2545183341754</v>
      </c>
      <c r="AK78" s="72">
        <f>Tabella3[[#This Row],[rest of Italy cumul. fit]]/Ka</f>
        <v>9.8729439059398339E-3</v>
      </c>
      <c r="AL78" s="72">
        <f>IFERROR(Ka*psi_a*_xlfn.SECH(psi_a*(Tabella3[[#This Row],[Day]]-pa)-phi_a)^2/(1+TANH(phi_a)),0)</f>
        <v>752.76043631830873</v>
      </c>
      <c r="AM78" s="72">
        <f>Tabella3[[#This Row],[rest of Italy fit]]/y_a_peak</f>
        <v>0.24930395789185172</v>
      </c>
      <c r="AN78" s="72">
        <f>Tabella3[[#This Row],[rest of Italy fit]]*NOT(ISBLANK(Tabella3[[#This Row],[rest of Italy data]]))</f>
        <v>752.76043631830873</v>
      </c>
      <c r="AO78" s="72">
        <f>Tabella3[[#This Row],[rest of Italy fit]]+CIa</f>
        <v>2386.8943762721101</v>
      </c>
      <c r="AP78" s="72">
        <f>MAX(Tabella3[[#This Row],[rest of Italy fit]]-CIa,0)</f>
        <v>0</v>
      </c>
      <c r="AR78"/>
      <c r="AS78"/>
    </row>
    <row r="79" spans="2:45" x14ac:dyDescent="0.3">
      <c r="B79" s="15">
        <v>43902</v>
      </c>
      <c r="C79" s="4">
        <v>72</v>
      </c>
      <c r="D79" s="72">
        <f>'dpc-covid19-ita-andamento-naz'!J19+'dpc-covid19-ita-andamento-naz'!K19</f>
        <v>2274</v>
      </c>
      <c r="E79" s="72">
        <f>(Tabella3[[#This Row],[Italy cumul. data]]-D78)</f>
        <v>402</v>
      </c>
      <c r="F79" s="72">
        <f>Tabella3[[#This Row],[Italy remov. rate data]]*NOT(ISBLANK(Tabella3[[#This Row],[Italy remov. rate data]]))</f>
        <v>402</v>
      </c>
      <c r="G79" s="77">
        <f>Tabella8[[#This Row],[Italy fit]]</f>
        <v>2733.0005089265746</v>
      </c>
      <c r="H79" s="77">
        <f>Tabella3[[#This Row],[Italy cumul. fit]]/Kf</f>
        <v>1.1629789324244598E-2</v>
      </c>
      <c r="I79" s="77">
        <f>Tabella3[[#This Row],[region fit]]+Tabella3[[#This Row],[rest of Italy fit]]</f>
        <v>832.80587211054376</v>
      </c>
      <c r="J79" s="77">
        <f>Tabella3[[#This Row],[Italy (fit of selected region + fitted sum of the other regions)]]/(y_l_peak+y_a_peak)</f>
        <v>0.26298995523613178</v>
      </c>
      <c r="K79" s="72">
        <f>IFERROR(Kf*psi_f*_xlfn.SECH(psi_f*(Tabella3[[#This Row],[Day]]-pf)-phi_f)^2/(1+TANH(phi_f)),0)</f>
        <v>837.72889225593622</v>
      </c>
      <c r="L79" s="292">
        <f>Tabella3[[#This Row],[Italy remov. rate fit]]-Tabella3[[#This Row],[Italy remov. rate data]]</f>
        <v>435.72889225593622</v>
      </c>
      <c r="M79" s="293">
        <f>Tabella3[[#This Row],[rem. rate residuals]]*NOT(ISBLANK(Tabella3[[#This Row],[Italy remov. rate data]]))</f>
        <v>435.72889225593622</v>
      </c>
      <c r="N79" s="72">
        <f>Tabella3[[#This Row],[Italy remov. rate fit]]/y_f_peak</f>
        <v>0.26518889356215097</v>
      </c>
      <c r="O79" s="72">
        <f>Tabella3[[#This Row],[Italy (fit of selected region + fitted sum of the other regions)]]*NOT(ISBLANK(Tabella3[[#This Row],[Italy remov. rate data]]))</f>
        <v>832.80587211054376</v>
      </c>
      <c r="P79" s="72">
        <f>Tabella3[[#This Row],[Italy remov. rate fit]]*NOT(ISBLANK(Tabella3[[#This Row],[Italy remov. rate data]]))</f>
        <v>837.72889225593622</v>
      </c>
      <c r="Q79" s="72">
        <f>Tabella3[[#This Row],[Italy remov. rate fit]]+CIf</f>
        <v>2492.9388611796876</v>
      </c>
      <c r="R79" s="72">
        <f>MAX(Tabella3[[#This Row],[Italy remov. rate fit]]-CIf,0)</f>
        <v>0</v>
      </c>
      <c r="S79" s="4">
        <f>Tabella8[[#This Row],[region data]]</f>
        <v>31</v>
      </c>
      <c r="T79" s="72">
        <f>(Tabella3[[#This Row],[region cumul. data]]-S78)</f>
        <v>18</v>
      </c>
      <c r="U79" s="72">
        <f>Tabella3[[#This Row],[region data]]*NOT(ISBLANK(Tabella3[[#This Row],[region data]]))</f>
        <v>18</v>
      </c>
      <c r="V79">
        <f t="shared" si="1"/>
        <v>5.333333333333333</v>
      </c>
      <c r="W79" s="72">
        <f>Tabella3[[#This Row],[6-days moving avg]]*NOT(ISBLANK(Tabella3[[#This Row],[6-days moving avg]]))</f>
        <v>5.333333333333333</v>
      </c>
      <c r="X79" s="77">
        <f>Tabella8[[#This Row],[region fit]]</f>
        <v>0</v>
      </c>
      <c r="Y79" s="72">
        <f>Tabella3[[#This Row],[region cumul. fit]]/Kl</f>
        <v>0</v>
      </c>
      <c r="Z79" s="72">
        <f>IFERROR(Kl*psi_l*_xlfn.SECH(psi_l*(Tabella3[[#This Row],[Day]]-pl)-phi_l)^2/(1+TANH(phi_l)),0)</f>
        <v>45.954251289571992</v>
      </c>
      <c r="AA79" s="72">
        <f>Tabella3[[#This Row],[region fit]]/y_l_peak</f>
        <v>0.31211542242202039</v>
      </c>
      <c r="AB79" s="72">
        <f>Tabella3[[#This Row],[region fit]]*NOT(ISBLANK(Tabella3[[#This Row],[region data]]))</f>
        <v>45.954251289571992</v>
      </c>
      <c r="AC79" s="166">
        <f>IFERROR(kl_m*psi_l_m*_xlfn.SECH(psi_l_m*(Tabella3[[#This Row],[Day]]-pl_m)-phi_l_m)^2/(1+TANH(phi_l_m)),0)</f>
        <v>45.954251289571992</v>
      </c>
      <c r="AD79" s="72">
        <f>Tabella3[[#This Row],[6-days moving avg fit]]*NOT(ISBLANK(Tabella3[[#This Row],[6-days moving avg]]))</f>
        <v>45.954251289571992</v>
      </c>
      <c r="AE79" s="72">
        <f>Tabella3[[#This Row],[region fit]]+CIl</f>
        <v>115.31923766467239</v>
      </c>
      <c r="AF79" s="72">
        <f>MAX(Tabella3[[#This Row],[region fit]]-CIl,0)</f>
        <v>0</v>
      </c>
      <c r="AG79" s="10">
        <f>Tabella8[[#This Row],[rest of Italy ]]</f>
        <v>2243</v>
      </c>
      <c r="AH79" s="10">
        <f>(Tabella3[[#This Row],[rest of Italy cum. data]]-AG78)</f>
        <v>384</v>
      </c>
      <c r="AI79" s="72">
        <f>Tabella3[[#This Row],[rest of Italy data]]*NOT(ISBLANK(Tabella3[[#This Row],[rest of Italy data]]))</f>
        <v>384</v>
      </c>
      <c r="AJ79" s="77">
        <f>Tabella8[[#This Row],[rest of Italy fit]]</f>
        <v>2959.9562438705416</v>
      </c>
      <c r="AK79" s="72">
        <f>Tabella3[[#This Row],[rest of Italy cumul. fit]]/Ka</f>
        <v>1.3342505044571943E-2</v>
      </c>
      <c r="AL79" s="72">
        <f>IFERROR(Ka*psi_a*_xlfn.SECH(psi_a*(Tabella3[[#This Row],[Day]]-pa)-phi_a)^2/(1+TANH(phi_a)),0)</f>
        <v>786.85162082097179</v>
      </c>
      <c r="AM79" s="72">
        <f>Tabella3[[#This Row],[rest of Italy fit]]/y_a_peak</f>
        <v>0.26059449179305344</v>
      </c>
      <c r="AN79" s="72">
        <f>Tabella3[[#This Row],[rest of Italy fit]]*NOT(ISBLANK(Tabella3[[#This Row],[rest of Italy data]]))</f>
        <v>786.85162082097179</v>
      </c>
      <c r="AO79" s="72">
        <f>Tabella3[[#This Row],[rest of Italy fit]]+CIa</f>
        <v>2420.9855607747731</v>
      </c>
      <c r="AP79" s="72">
        <f>MAX(Tabella3[[#This Row],[rest of Italy fit]]-CIa,0)</f>
        <v>0</v>
      </c>
      <c r="AR79"/>
      <c r="AS79"/>
    </row>
    <row r="80" spans="2:45" x14ac:dyDescent="0.3">
      <c r="B80" s="9">
        <v>43903</v>
      </c>
      <c r="C80" s="4">
        <v>73</v>
      </c>
      <c r="D80" s="72">
        <f>'dpc-covid19-ita-andamento-naz'!J20+'dpc-covid19-ita-andamento-naz'!K20</f>
        <v>2705</v>
      </c>
      <c r="E80" s="72">
        <f>(Tabella3[[#This Row],[Italy cumul. data]]-D79)</f>
        <v>431</v>
      </c>
      <c r="F80" s="72">
        <f>Tabella3[[#This Row],[Italy remov. rate data]]*NOT(ISBLANK(Tabella3[[#This Row],[Italy remov. rate data]]))</f>
        <v>431</v>
      </c>
      <c r="G80" s="77">
        <f>Tabella8[[#This Row],[Italy fit]]</f>
        <v>3589.083756533872</v>
      </c>
      <c r="H80" s="77">
        <f>Tabella3[[#This Row],[Italy cumul. fit]]/Kf</f>
        <v>1.5272696737239695E-2</v>
      </c>
      <c r="I80" s="77">
        <f>Tabella3[[#This Row],[region fit]]+Tabella3[[#This Row],[rest of Italy fit]]</f>
        <v>869.71420931174237</v>
      </c>
      <c r="J80" s="77">
        <f>Tabella3[[#This Row],[Italy (fit of selected region + fitted sum of the other regions)]]/(y_l_peak+y_a_peak)</f>
        <v>0.27464515877568474</v>
      </c>
      <c r="K80" s="72">
        <f>IFERROR(Kf*psi_f*_xlfn.SECH(psi_f*(Tabella3[[#This Row],[Day]]-pf)-phi_f)^2/(1+TANH(phi_f)),0)</f>
        <v>874.65370518489215</v>
      </c>
      <c r="L80" s="292">
        <f>Tabella3[[#This Row],[Italy remov. rate fit]]-Tabella3[[#This Row],[Italy remov. rate data]]</f>
        <v>443.65370518489215</v>
      </c>
      <c r="M80" s="293">
        <f>Tabella3[[#This Row],[rem. rate residuals]]*NOT(ISBLANK(Tabella3[[#This Row],[Italy remov. rate data]]))</f>
        <v>443.65370518489215</v>
      </c>
      <c r="N80" s="72">
        <f>Tabella3[[#This Row],[Italy remov. rate fit]]/y_f_peak</f>
        <v>0.27687769930364814</v>
      </c>
      <c r="O80" s="72">
        <f>Tabella3[[#This Row],[Italy (fit of selected region + fitted sum of the other regions)]]*NOT(ISBLANK(Tabella3[[#This Row],[Italy remov. rate data]]))</f>
        <v>869.71420931174237</v>
      </c>
      <c r="P80" s="72">
        <f>Tabella3[[#This Row],[Italy remov. rate fit]]*NOT(ISBLANK(Tabella3[[#This Row],[Italy remov. rate data]]))</f>
        <v>874.65370518489215</v>
      </c>
      <c r="Q80" s="72">
        <f>Tabella3[[#This Row],[Italy remov. rate fit]]+CIf</f>
        <v>2529.8636741086434</v>
      </c>
      <c r="R80" s="72">
        <f>MAX(Tabella3[[#This Row],[Italy remov. rate fit]]-CIf,0)</f>
        <v>0</v>
      </c>
      <c r="S80" s="4">
        <f>Tabella8[[#This Row],[region data]]</f>
        <v>41</v>
      </c>
      <c r="T80" s="72">
        <f>(Tabella3[[#This Row],[region cumul. data]]-S79)</f>
        <v>10</v>
      </c>
      <c r="U80" s="72">
        <f>Tabella3[[#This Row],[region data]]*NOT(ISBLANK(Tabella3[[#This Row],[region data]]))</f>
        <v>10</v>
      </c>
      <c r="V80">
        <f t="shared" si="1"/>
        <v>11.333333333333334</v>
      </c>
      <c r="W80" s="72">
        <f>Tabella3[[#This Row],[6-days moving avg]]*NOT(ISBLANK(Tabella3[[#This Row],[6-days moving avg]]))</f>
        <v>11.333333333333334</v>
      </c>
      <c r="X80" s="77">
        <f>Tabella8[[#This Row],[region fit]]</f>
        <v>0</v>
      </c>
      <c r="Y80" s="72">
        <f>Tabella3[[#This Row],[region cumul. fit]]/Kl</f>
        <v>0</v>
      </c>
      <c r="Z80" s="72">
        <f>IFERROR(Kl*psi_l*_xlfn.SECH(psi_l*(Tabella3[[#This Row],[Day]]-pl)-phi_l)^2/(1+TANH(phi_l)),0)</f>
        <v>47.50964242789933</v>
      </c>
      <c r="AA80" s="72">
        <f>Tabella3[[#This Row],[region fit]]/y_l_peak</f>
        <v>0.32267944095235096</v>
      </c>
      <c r="AB80" s="72">
        <f>Tabella3[[#This Row],[region fit]]*NOT(ISBLANK(Tabella3[[#This Row],[region data]]))</f>
        <v>47.50964242789933</v>
      </c>
      <c r="AC80" s="166">
        <f>IFERROR(kl_m*psi_l_m*_xlfn.SECH(psi_l_m*(Tabella3[[#This Row],[Day]]-pl_m)-phi_l_m)^2/(1+TANH(phi_l_m)),0)</f>
        <v>47.50964242789933</v>
      </c>
      <c r="AD80" s="72">
        <f>Tabella3[[#This Row],[6-days moving avg fit]]*NOT(ISBLANK(Tabella3[[#This Row],[6-days moving avg]]))</f>
        <v>47.50964242789933</v>
      </c>
      <c r="AE80" s="72">
        <f>Tabella3[[#This Row],[region fit]]+CIl</f>
        <v>116.87462880299972</v>
      </c>
      <c r="AF80" s="72">
        <f>MAX(Tabella3[[#This Row],[region fit]]-CIl,0)</f>
        <v>0</v>
      </c>
      <c r="AG80" s="10">
        <f>Tabella8[[#This Row],[rest of Italy ]]</f>
        <v>2664</v>
      </c>
      <c r="AH80" s="10">
        <f>(Tabella3[[#This Row],[rest of Italy cum. data]]-AG79)</f>
        <v>421</v>
      </c>
      <c r="AI80" s="72">
        <f>Tabella3[[#This Row],[rest of Italy data]]*NOT(ISBLANK(Tabella3[[#This Row],[rest of Italy data]]))</f>
        <v>421</v>
      </c>
      <c r="AJ80" s="77">
        <f>Tabella8[[#This Row],[rest of Italy fit]]</f>
        <v>3764.3783741574816</v>
      </c>
      <c r="AK80" s="72">
        <f>Tabella3[[#This Row],[rest of Italy cumul. fit]]/Ka</f>
        <v>1.6968574299326855E-2</v>
      </c>
      <c r="AL80" s="72">
        <f>IFERROR(Ka*psi_a*_xlfn.SECH(psi_a*(Tabella3[[#This Row],[Day]]-pa)-phi_a)^2/(1+TANH(phi_a)),0)</f>
        <v>822.20456688384309</v>
      </c>
      <c r="AM80" s="72">
        <f>Tabella3[[#This Row],[rest of Italy fit]]/y_a_peak</f>
        <v>0.27230290386066652</v>
      </c>
      <c r="AN80" s="72">
        <f>Tabella3[[#This Row],[rest of Italy fit]]*NOT(ISBLANK(Tabella3[[#This Row],[rest of Italy data]]))</f>
        <v>822.20456688384309</v>
      </c>
      <c r="AO80" s="72">
        <f>Tabella3[[#This Row],[rest of Italy fit]]+CIa</f>
        <v>2456.3385068376447</v>
      </c>
      <c r="AP80" s="72">
        <f>MAX(Tabella3[[#This Row],[rest of Italy fit]]-CIa,0)</f>
        <v>0</v>
      </c>
      <c r="AR80"/>
      <c r="AS80"/>
    </row>
    <row r="81" spans="2:45" x14ac:dyDescent="0.3">
      <c r="B81" s="9">
        <v>43904</v>
      </c>
      <c r="C81" s="4">
        <v>74</v>
      </c>
      <c r="D81" s="72">
        <f>'dpc-covid19-ita-andamento-naz'!J21+'dpc-covid19-ita-andamento-naz'!K21</f>
        <v>3407</v>
      </c>
      <c r="E81" s="72">
        <f>(Tabella3[[#This Row],[Italy cumul. data]]-D80)</f>
        <v>702</v>
      </c>
      <c r="F81" s="72">
        <f>Tabella3[[#This Row],[Italy remov. rate data]]*NOT(ISBLANK(Tabella3[[#This Row],[Italy remov. rate data]]))</f>
        <v>702</v>
      </c>
      <c r="G81" s="77">
        <f>Tabella8[[#This Row],[Italy fit]]</f>
        <v>4482.7429220722188</v>
      </c>
      <c r="H81" s="77">
        <f>Tabella3[[#This Row],[Italy cumul. fit]]/Kf</f>
        <v>1.9075501672308377E-2</v>
      </c>
      <c r="I81" s="77">
        <f>Tabella3[[#This Row],[region fit]]+Tabella3[[#This Row],[rest of Italy fit]]</f>
        <v>907.94274029782116</v>
      </c>
      <c r="J81" s="77">
        <f>Tabella3[[#This Row],[Italy (fit of selected region + fitted sum of the other regions)]]/(y_l_peak+y_a_peak)</f>
        <v>0.2867172634395162</v>
      </c>
      <c r="K81" s="72">
        <f>IFERROR(Kf*psi_f*_xlfn.SECH(psi_f*(Tabella3[[#This Row],[Day]]-pf)-phi_f)^2/(1+TANH(phi_f)),0)</f>
        <v>912.88343115266719</v>
      </c>
      <c r="L81" s="292">
        <f>Tabella3[[#This Row],[Italy remov. rate fit]]-Tabella3[[#This Row],[Italy remov. rate data]]</f>
        <v>210.88343115266719</v>
      </c>
      <c r="M81" s="293">
        <f>Tabella3[[#This Row],[rem. rate residuals]]*NOT(ISBLANK(Tabella3[[#This Row],[Italy remov. rate data]]))</f>
        <v>210.88343115266719</v>
      </c>
      <c r="N81" s="72">
        <f>Tabella3[[#This Row],[Italy remov. rate fit]]/y_f_peak</f>
        <v>0.28897958432193538</v>
      </c>
      <c r="O81" s="72">
        <f>Tabella3[[#This Row],[Italy (fit of selected region + fitted sum of the other regions)]]*NOT(ISBLANK(Tabella3[[#This Row],[Italy remov. rate data]]))</f>
        <v>907.94274029782116</v>
      </c>
      <c r="P81" s="72">
        <f>Tabella3[[#This Row],[Italy remov. rate fit]]*NOT(ISBLANK(Tabella3[[#This Row],[Italy remov. rate data]]))</f>
        <v>912.88343115266719</v>
      </c>
      <c r="Q81" s="72">
        <f>Tabella3[[#This Row],[Italy remov. rate fit]]+CIf</f>
        <v>2568.0934000764187</v>
      </c>
      <c r="R81" s="72">
        <f>MAX(Tabella3[[#This Row],[Italy remov. rate fit]]-CIf,0)</f>
        <v>0</v>
      </c>
      <c r="S81" s="4">
        <f>Tabella8[[#This Row],[region data]]</f>
        <v>79</v>
      </c>
      <c r="T81" s="72">
        <f>(Tabella3[[#This Row],[region cumul. data]]-S80)</f>
        <v>38</v>
      </c>
      <c r="U81" s="72">
        <f>Tabella3[[#This Row],[region data]]*NOT(ISBLANK(Tabella3[[#This Row],[region data]]))</f>
        <v>38</v>
      </c>
      <c r="V81">
        <f t="shared" si="1"/>
        <v>9</v>
      </c>
      <c r="W81" s="72">
        <f>Tabella3[[#This Row],[6-days moving avg]]*NOT(ISBLANK(Tabella3[[#This Row],[6-days moving avg]]))</f>
        <v>9</v>
      </c>
      <c r="X81" s="77">
        <f>Tabella8[[#This Row],[region fit]]</f>
        <v>0</v>
      </c>
      <c r="Y81" s="72">
        <f>Tabella3[[#This Row],[region cumul. fit]]/Kl</f>
        <v>0</v>
      </c>
      <c r="Z81" s="72">
        <f>IFERROR(Kl*psi_l*_xlfn.SECH(psi_l*(Tabella3[[#This Row],[Day]]-pl)-phi_l)^2/(1+TANH(phi_l)),0)</f>
        <v>49.104816259452008</v>
      </c>
      <c r="AA81" s="72">
        <f>Tabella3[[#This Row],[region fit]]/y_l_peak</f>
        <v>0.33351365846868758</v>
      </c>
      <c r="AB81" s="72">
        <f>Tabella3[[#This Row],[region fit]]*NOT(ISBLANK(Tabella3[[#This Row],[region data]]))</f>
        <v>49.104816259452008</v>
      </c>
      <c r="AC81" s="166">
        <f>IFERROR(kl_m*psi_l_m*_xlfn.SECH(psi_l_m*(Tabella3[[#This Row],[Day]]-pl_m)-phi_l_m)^2/(1+TANH(phi_l_m)),0)</f>
        <v>49.104816259452008</v>
      </c>
      <c r="AD81" s="72">
        <f>Tabella3[[#This Row],[6-days moving avg fit]]*NOT(ISBLANK(Tabella3[[#This Row],[6-days moving avg]]))</f>
        <v>49.104816259452008</v>
      </c>
      <c r="AE81" s="72">
        <f>Tabella3[[#This Row],[region fit]]+CIl</f>
        <v>118.46980263455241</v>
      </c>
      <c r="AF81" s="72">
        <f>MAX(Tabella3[[#This Row],[region fit]]-CIl,0)</f>
        <v>0</v>
      </c>
      <c r="AG81" s="10">
        <f>Tabella8[[#This Row],[rest of Italy ]]</f>
        <v>3328</v>
      </c>
      <c r="AH81" s="10">
        <f>(Tabella3[[#This Row],[rest of Italy cum. data]]-AG80)</f>
        <v>664</v>
      </c>
      <c r="AI81" s="72">
        <f>Tabella3[[#This Row],[rest of Italy data]]*NOT(ISBLANK(Tabella3[[#This Row],[rest of Italy data]]))</f>
        <v>664</v>
      </c>
      <c r="AJ81" s="77">
        <f>Tabella8[[#This Row],[rest of Italy fit]]</f>
        <v>4604.7922121401743</v>
      </c>
      <c r="AK81" s="72">
        <f>Tabella3[[#This Row],[rest of Italy cumul. fit]]/Ka</f>
        <v>2.0756882283957515E-2</v>
      </c>
      <c r="AL81" s="72">
        <f>IFERROR(Ka*psi_a*_xlfn.SECH(psi_a*(Tabella3[[#This Row],[Day]]-pa)-phi_a)^2/(1+TANH(phi_a)),0)</f>
        <v>858.83792403836912</v>
      </c>
      <c r="AM81" s="72">
        <f>Tabella3[[#This Row],[rest of Italy fit]]/y_a_peak</f>
        <v>0.2844353705643593</v>
      </c>
      <c r="AN81" s="72">
        <f>Tabella3[[#This Row],[rest of Italy fit]]*NOT(ISBLANK(Tabella3[[#This Row],[rest of Italy data]]))</f>
        <v>858.83792403836912</v>
      </c>
      <c r="AO81" s="72">
        <f>Tabella3[[#This Row],[rest of Italy fit]]+CIa</f>
        <v>2492.9718639921707</v>
      </c>
      <c r="AP81" s="72">
        <f>MAX(Tabella3[[#This Row],[rest of Italy fit]]-CIa,0)</f>
        <v>0</v>
      </c>
      <c r="AR81"/>
      <c r="AS81"/>
    </row>
    <row r="82" spans="2:45" x14ac:dyDescent="0.3">
      <c r="B82" s="9">
        <v>43905</v>
      </c>
      <c r="C82" s="4">
        <v>75</v>
      </c>
      <c r="D82" s="72">
        <f>'dpc-covid19-ita-andamento-naz'!J22+'dpc-covid19-ita-andamento-naz'!K22</f>
        <v>4144</v>
      </c>
      <c r="E82" s="72">
        <f>(Tabella3[[#This Row],[Italy cumul. data]]-D81)</f>
        <v>737</v>
      </c>
      <c r="F82" s="72">
        <f>Tabella3[[#This Row],[Italy remov. rate data]]*NOT(ISBLANK(Tabella3[[#This Row],[Italy remov. rate data]]))</f>
        <v>737</v>
      </c>
      <c r="G82" s="77">
        <f>Tabella8[[#This Row],[Italy fit]]</f>
        <v>5415.2905334872894</v>
      </c>
      <c r="H82" s="77">
        <f>Tabella3[[#This Row],[Italy cumul. fit]]/Kf</f>
        <v>2.3043789354715159E-2</v>
      </c>
      <c r="I82" s="77">
        <f>Tabella3[[#This Row],[region fit]]+Tabella3[[#This Row],[rest of Italy fit]]</f>
        <v>947.50738005916105</v>
      </c>
      <c r="J82" s="77">
        <f>Tabella3[[#This Row],[Italy (fit of selected region + fitted sum of the other regions)]]/(y_l_peak+y_a_peak)</f>
        <v>0.299211294987828</v>
      </c>
      <c r="K82" s="72">
        <f>IFERROR(Kf*psi_f*_xlfn.SECH(psi_f*(Tabella3[[#This Row],[Day]]-pf)-phi_f)^2/(1+TANH(phi_f)),0)</f>
        <v>952.43279380368335</v>
      </c>
      <c r="L82" s="292">
        <f>Tabella3[[#This Row],[Italy remov. rate fit]]-Tabella3[[#This Row],[Italy remov. rate data]]</f>
        <v>215.43279380368335</v>
      </c>
      <c r="M82" s="293">
        <f>Tabella3[[#This Row],[rem. rate residuals]]*NOT(ISBLANK(Tabella3[[#This Row],[Italy remov. rate data]]))</f>
        <v>215.43279380368335</v>
      </c>
      <c r="N82" s="72">
        <f>Tabella3[[#This Row],[Italy remov. rate fit]]/y_f_peak</f>
        <v>0.30149920948881692</v>
      </c>
      <c r="O82" s="72">
        <f>Tabella3[[#This Row],[Italy (fit of selected region + fitted sum of the other regions)]]*NOT(ISBLANK(Tabella3[[#This Row],[Italy remov. rate data]]))</f>
        <v>947.50738005916105</v>
      </c>
      <c r="P82" s="72">
        <f>Tabella3[[#This Row],[Italy remov. rate fit]]*NOT(ISBLANK(Tabella3[[#This Row],[Italy remov. rate data]]))</f>
        <v>952.43279380368335</v>
      </c>
      <c r="Q82" s="72">
        <f>Tabella3[[#This Row],[Italy remov. rate fit]]+CIf</f>
        <v>2607.6427627274347</v>
      </c>
      <c r="R82" s="72">
        <f>MAX(Tabella3[[#This Row],[Italy remov. rate fit]]-CIf,0)</f>
        <v>0</v>
      </c>
      <c r="S82" s="4">
        <f>Tabella8[[#This Row],[region data]]</f>
        <v>66</v>
      </c>
      <c r="T82" s="72">
        <f>(Tabella3[[#This Row],[region cumul. data]]-S81)</f>
        <v>-13</v>
      </c>
      <c r="U82" s="72">
        <f>Tabella3[[#This Row],[region data]]*NOT(ISBLANK(Tabella3[[#This Row],[region data]]))</f>
        <v>-13</v>
      </c>
      <c r="V82">
        <f t="shared" si="1"/>
        <v>13.166666666666666</v>
      </c>
      <c r="W82" s="72">
        <f>Tabella3[[#This Row],[6-days moving avg]]*NOT(ISBLANK(Tabella3[[#This Row],[6-days moving avg]]))</f>
        <v>13.166666666666666</v>
      </c>
      <c r="X82" s="77">
        <f>Tabella8[[#This Row],[region fit]]</f>
        <v>0</v>
      </c>
      <c r="Y82" s="72">
        <f>Tabella3[[#This Row],[region cumul. fit]]/Kl</f>
        <v>0</v>
      </c>
      <c r="Z82" s="72">
        <f>IFERROR(Kl*psi_l*_xlfn.SECH(psi_l*(Tabella3[[#This Row],[Day]]-pl)-phi_l)^2/(1+TANH(phi_l)),0)</f>
        <v>50.73981293594796</v>
      </c>
      <c r="AA82" s="72">
        <f>Tabella3[[#This Row],[region fit]]/y_l_peak</f>
        <v>0.34461834767638516</v>
      </c>
      <c r="AB82" s="72">
        <f>Tabella3[[#This Row],[region fit]]*NOT(ISBLANK(Tabella3[[#This Row],[region data]]))</f>
        <v>50.73981293594796</v>
      </c>
      <c r="AC82" s="166">
        <f>IFERROR(kl_m*psi_l_m*_xlfn.SECH(psi_l_m*(Tabella3[[#This Row],[Day]]-pl_m)-phi_l_m)^2/(1+TANH(phi_l_m)),0)</f>
        <v>50.73981293594796</v>
      </c>
      <c r="AD82" s="72">
        <f>Tabella3[[#This Row],[6-days moving avg fit]]*NOT(ISBLANK(Tabella3[[#This Row],[6-days moving avg]]))</f>
        <v>50.73981293594796</v>
      </c>
      <c r="AE82" s="72">
        <f>Tabella3[[#This Row],[region fit]]+CIl</f>
        <v>120.10479931104837</v>
      </c>
      <c r="AF82" s="72">
        <f>MAX(Tabella3[[#This Row],[region fit]]-CIl,0)</f>
        <v>0</v>
      </c>
      <c r="AG82" s="10">
        <f>Tabella8[[#This Row],[rest of Italy ]]</f>
        <v>4078</v>
      </c>
      <c r="AH82" s="10">
        <f>(Tabella3[[#This Row],[rest of Italy cum. data]]-AG81)</f>
        <v>750</v>
      </c>
      <c r="AI82" s="72">
        <f>Tabella3[[#This Row],[rest of Italy data]]*NOT(ISBLANK(Tabella3[[#This Row],[rest of Italy data]]))</f>
        <v>750</v>
      </c>
      <c r="AJ82" s="77">
        <f>Tabella8[[#This Row],[rest of Italy fit]]</f>
        <v>5482.4863523891363</v>
      </c>
      <c r="AK82" s="72">
        <f>Tabella3[[#This Row],[rest of Italy cumul. fit]]/Ka</f>
        <v>2.4713237557152289E-2</v>
      </c>
      <c r="AL82" s="72">
        <f>IFERROR(Ka*psi_a*_xlfn.SECH(psi_a*(Tabella3[[#This Row],[Day]]-pa)-phi_a)^2/(1+TANH(phi_a)),0)</f>
        <v>896.7675671232131</v>
      </c>
      <c r="AM82" s="72">
        <f>Tabella3[[#This Row],[rest of Italy fit]]/y_a_peak</f>
        <v>0.29699714943351119</v>
      </c>
      <c r="AN82" s="72">
        <f>Tabella3[[#This Row],[rest of Italy fit]]*NOT(ISBLANK(Tabella3[[#This Row],[rest of Italy data]]))</f>
        <v>896.7675671232131</v>
      </c>
      <c r="AO82" s="72">
        <f>Tabella3[[#This Row],[rest of Italy fit]]+CIa</f>
        <v>2530.9015070770147</v>
      </c>
      <c r="AP82" s="72">
        <f>MAX(Tabella3[[#This Row],[rest of Italy fit]]-CIa,0)</f>
        <v>0</v>
      </c>
      <c r="AR82"/>
      <c r="AS82"/>
    </row>
    <row r="83" spans="2:45" x14ac:dyDescent="0.3">
      <c r="B83" s="9">
        <v>43906</v>
      </c>
      <c r="C83" s="4">
        <v>76</v>
      </c>
      <c r="D83" s="72">
        <f>'dpc-covid19-ita-andamento-naz'!J23+'dpc-covid19-ita-andamento-naz'!K23</f>
        <v>4907</v>
      </c>
      <c r="E83" s="72">
        <f>(Tabella3[[#This Row],[Italy cumul. data]]-D82)</f>
        <v>763</v>
      </c>
      <c r="F83" s="72">
        <f>Tabella3[[#This Row],[Italy remov. rate data]]*NOT(ISBLANK(Tabella3[[#This Row],[Italy remov. rate data]]))</f>
        <v>763</v>
      </c>
      <c r="G83" s="77">
        <f>Tabella8[[#This Row],[Italy fit]]</f>
        <v>6388.0522630551823</v>
      </c>
      <c r="H83" s="77">
        <f>Tabella3[[#This Row],[Italy cumul. fit]]/Kf</f>
        <v>2.7183200943045136E-2</v>
      </c>
      <c r="I83" s="77">
        <f>Tabella3[[#This Row],[region fit]]+Tabella3[[#This Row],[rest of Italy fit]]</f>
        <v>988.42081905127804</v>
      </c>
      <c r="J83" s="77">
        <f>Tabella3[[#This Row],[Italy (fit of selected region + fitted sum of the other regions)]]/(y_l_peak+y_a_peak)</f>
        <v>0.31213126091196941</v>
      </c>
      <c r="K83" s="72">
        <f>IFERROR(Kf*psi_f*_xlfn.SECH(psi_f*(Tabella3[[#This Row],[Day]]-pf)-phi_f)^2/(1+TANH(phi_f)),0)</f>
        <v>993.31329672515051</v>
      </c>
      <c r="L83" s="292">
        <f>Tabella3[[#This Row],[Italy remov. rate fit]]-Tabella3[[#This Row],[Italy remov. rate data]]</f>
        <v>230.31329672515051</v>
      </c>
      <c r="M83" s="293">
        <f>Tabella3[[#This Row],[rem. rate residuals]]*NOT(ISBLANK(Tabella3[[#This Row],[Italy remov. rate data]]))</f>
        <v>230.31329672515051</v>
      </c>
      <c r="N83" s="72">
        <f>Tabella3[[#This Row],[Italy remov. rate fit]]/y_f_peak</f>
        <v>0.31444021634464364</v>
      </c>
      <c r="O83" s="72">
        <f>Tabella3[[#This Row],[Italy (fit of selected region + fitted sum of the other regions)]]*NOT(ISBLANK(Tabella3[[#This Row],[Italy remov. rate data]]))</f>
        <v>988.42081905127804</v>
      </c>
      <c r="P83" s="72">
        <f>Tabella3[[#This Row],[Italy remov. rate fit]]*NOT(ISBLANK(Tabella3[[#This Row],[Italy remov. rate data]]))</f>
        <v>993.31329672515051</v>
      </c>
      <c r="Q83" s="72">
        <f>Tabella3[[#This Row],[Italy remov. rate fit]]+CIf</f>
        <v>2648.523265648902</v>
      </c>
      <c r="R83" s="72">
        <f>MAX(Tabella3[[#This Row],[Italy remov. rate fit]]-CIf,0)</f>
        <v>0</v>
      </c>
      <c r="S83" s="4">
        <f>Tabella8[[#This Row],[region data]]</f>
        <v>92</v>
      </c>
      <c r="T83" s="72">
        <f>(Tabella3[[#This Row],[region cumul. data]]-S82)</f>
        <v>26</v>
      </c>
      <c r="U83" s="72">
        <f>Tabella3[[#This Row],[region data]]*NOT(ISBLANK(Tabella3[[#This Row],[region data]]))</f>
        <v>26</v>
      </c>
      <c r="V83">
        <f t="shared" si="1"/>
        <v>17.333333333333332</v>
      </c>
      <c r="W83" s="72">
        <f>Tabella3[[#This Row],[6-days moving avg]]*NOT(ISBLANK(Tabella3[[#This Row],[6-days moving avg]]))</f>
        <v>17.333333333333332</v>
      </c>
      <c r="X83" s="77">
        <f>Tabella8[[#This Row],[region fit]]</f>
        <v>0</v>
      </c>
      <c r="Y83" s="72">
        <f>Tabella3[[#This Row],[region cumul. fit]]/Kl</f>
        <v>0</v>
      </c>
      <c r="Z83" s="72">
        <f>IFERROR(Kl*psi_l*_xlfn.SECH(psi_l*(Tabella3[[#This Row],[Day]]-pl)-phi_l)^2/(1+TANH(phi_l)),0)</f>
        <v>52.414586279264491</v>
      </c>
      <c r="AA83" s="72">
        <f>Tabella3[[#This Row],[region fit]]/y_l_peak</f>
        <v>0.35599319493951526</v>
      </c>
      <c r="AB83" s="72">
        <f>Tabella3[[#This Row],[region fit]]*NOT(ISBLANK(Tabella3[[#This Row],[region data]]))</f>
        <v>52.414586279264491</v>
      </c>
      <c r="AC83" s="166">
        <f>IFERROR(kl_m*psi_l_m*_xlfn.SECH(psi_l_m*(Tabella3[[#This Row],[Day]]-pl_m)-phi_l_m)^2/(1+TANH(phi_l_m)),0)</f>
        <v>52.414586279264491</v>
      </c>
      <c r="AD83" s="72">
        <f>Tabella3[[#This Row],[6-days moving avg fit]]*NOT(ISBLANK(Tabella3[[#This Row],[6-days moving avg]]))</f>
        <v>52.414586279264491</v>
      </c>
      <c r="AE83" s="72">
        <f>Tabella3[[#This Row],[region fit]]+CIl</f>
        <v>121.7795726543649</v>
      </c>
      <c r="AF83" s="72">
        <f>MAX(Tabella3[[#This Row],[region fit]]-CIl,0)</f>
        <v>0</v>
      </c>
      <c r="AG83" s="10">
        <f>Tabella8[[#This Row],[rest of Italy ]]</f>
        <v>4815</v>
      </c>
      <c r="AH83" s="10">
        <f>(Tabella3[[#This Row],[rest of Italy cum. data]]-AG82)</f>
        <v>737</v>
      </c>
      <c r="AI83" s="72">
        <f>Tabella3[[#This Row],[rest of Italy data]]*NOT(ISBLANK(Tabella3[[#This Row],[rest of Italy data]]))</f>
        <v>737</v>
      </c>
      <c r="AJ83" s="77">
        <f>Tabella8[[#This Row],[rest of Italy fit]]</f>
        <v>6398.7637263480547</v>
      </c>
      <c r="AK83" s="72">
        <f>Tabella3[[#This Row],[rest of Italy cumul. fit]]/Ka</f>
        <v>2.8843513303488184E-2</v>
      </c>
      <c r="AL83" s="72">
        <f>IFERROR(Ka*psi_a*_xlfn.SECH(psi_a*(Tabella3[[#This Row],[Day]]-pa)-phi_a)^2/(1+TANH(phi_a)),0)</f>
        <v>936.0062327720135</v>
      </c>
      <c r="AM83" s="72">
        <f>Tabella3[[#This Row],[rest of Italy fit]]/y_a_peak</f>
        <v>0.30999245866693176</v>
      </c>
      <c r="AN83" s="72">
        <f>Tabella3[[#This Row],[rest of Italy fit]]*NOT(ISBLANK(Tabella3[[#This Row],[rest of Italy data]]))</f>
        <v>936.0062327720135</v>
      </c>
      <c r="AO83" s="72">
        <f>Tabella3[[#This Row],[rest of Italy fit]]+CIa</f>
        <v>2570.1401727258149</v>
      </c>
      <c r="AP83" s="72">
        <f>MAX(Tabella3[[#This Row],[rest of Italy fit]]-CIa,0)</f>
        <v>0</v>
      </c>
      <c r="AR83"/>
      <c r="AS83"/>
    </row>
    <row r="84" spans="2:45" x14ac:dyDescent="0.3">
      <c r="B84" s="9">
        <v>43907</v>
      </c>
      <c r="C84" s="4">
        <v>77</v>
      </c>
      <c r="D84" s="72">
        <f>'dpc-covid19-ita-andamento-naz'!J24+'dpc-covid19-ita-andamento-naz'!K24</f>
        <v>5444</v>
      </c>
      <c r="E84" s="72">
        <f>(Tabella3[[#This Row],[Italy cumul. data]]-D83)</f>
        <v>537</v>
      </c>
      <c r="F84" s="72">
        <f>Tabella3[[#This Row],[Italy remov. rate data]]*NOT(ISBLANK(Tabella3[[#This Row],[Italy remov. rate data]]))</f>
        <v>537</v>
      </c>
      <c r="G84" s="77">
        <f>Tabella8[[#This Row],[Italy fit]]</f>
        <v>7402.3635199757218</v>
      </c>
      <c r="H84" s="77">
        <f>Tabella3[[#This Row],[Italy cumul. fit]]/Kf</f>
        <v>3.1499419029601128E-2</v>
      </c>
      <c r="I84" s="77">
        <f>Tabella3[[#This Row],[region fit]]+Tabella3[[#This Row],[rest of Italy fit]]</f>
        <v>1030.6921332998272</v>
      </c>
      <c r="J84" s="77">
        <f>Tabella3[[#This Row],[Italy (fit of selected region + fitted sum of the other regions)]]/(y_l_peak+y_a_peak)</f>
        <v>0.32548002731034414</v>
      </c>
      <c r="K84" s="72">
        <f>IFERROR(Kf*psi_f*_xlfn.SECH(psi_f*(Tabella3[[#This Row],[Day]]-pf)-phi_f)^2/(1+TANH(phi_f)),0)</f>
        <v>1035.5328457247904</v>
      </c>
      <c r="L84" s="292">
        <f>Tabella3[[#This Row],[Italy remov. rate fit]]-Tabella3[[#This Row],[Italy remov. rate data]]</f>
        <v>498.53284572479038</v>
      </c>
      <c r="M84" s="293">
        <f>Tabella3[[#This Row],[rem. rate residuals]]*NOT(ISBLANK(Tabella3[[#This Row],[Italy remov. rate data]]))</f>
        <v>498.53284572479038</v>
      </c>
      <c r="N84" s="72">
        <f>Tabella3[[#This Row],[Italy remov. rate fit]]/y_f_peak</f>
        <v>0.32780510752770547</v>
      </c>
      <c r="O84" s="72">
        <f>Tabella3[[#This Row],[Italy (fit of selected region + fitted sum of the other regions)]]*NOT(ISBLANK(Tabella3[[#This Row],[Italy remov. rate data]]))</f>
        <v>1030.6921332998272</v>
      </c>
      <c r="P84" s="72">
        <f>Tabella3[[#This Row],[Italy remov. rate fit]]*NOT(ISBLANK(Tabella3[[#This Row],[Italy remov. rate data]]))</f>
        <v>1035.5328457247904</v>
      </c>
      <c r="Q84" s="72">
        <f>Tabella3[[#This Row],[Italy remov. rate fit]]+CIf</f>
        <v>2690.7428146485418</v>
      </c>
      <c r="R84" s="72">
        <f>MAX(Tabella3[[#This Row],[Italy remov. rate fit]]-CIf,0)</f>
        <v>0</v>
      </c>
      <c r="S84" s="4">
        <f>Tabella8[[#This Row],[region data]]</f>
        <v>117</v>
      </c>
      <c r="T84" s="72">
        <f>(Tabella3[[#This Row],[region cumul. data]]-S83)</f>
        <v>25</v>
      </c>
      <c r="U84" s="72">
        <f>Tabella3[[#This Row],[region data]]*NOT(ISBLANK(Tabella3[[#This Row],[region data]]))</f>
        <v>25</v>
      </c>
      <c r="V84">
        <f t="shared" si="1"/>
        <v>18.666666666666668</v>
      </c>
      <c r="W84" s="72">
        <f>Tabella3[[#This Row],[6-days moving avg]]*NOT(ISBLANK(Tabella3[[#This Row],[6-days moving avg]]))</f>
        <v>18.666666666666668</v>
      </c>
      <c r="X84" s="77">
        <f>Tabella8[[#This Row],[region fit]]</f>
        <v>34.475609649753139</v>
      </c>
      <c r="Y84" s="72">
        <f>Tabella3[[#This Row],[region cumul. fit]]/Kl</f>
        <v>2.6205465961816788E-3</v>
      </c>
      <c r="Z84" s="72">
        <f>IFERROR(Kl*psi_l*_xlfn.SECH(psi_l*(Tabella3[[#This Row],[Day]]-pl)-phi_l)^2/(1+TANH(phi_l)),0)</f>
        <v>54.128997328613558</v>
      </c>
      <c r="AA84" s="72">
        <f>Tabella3[[#This Row],[region fit]]/y_l_peak</f>
        <v>0.36763725645410217</v>
      </c>
      <c r="AB84" s="72">
        <f>Tabella3[[#This Row],[region fit]]*NOT(ISBLANK(Tabella3[[#This Row],[region data]]))</f>
        <v>54.128997328613558</v>
      </c>
      <c r="AC84" s="166">
        <f>IFERROR(kl_m*psi_l_m*_xlfn.SECH(psi_l_m*(Tabella3[[#This Row],[Day]]-pl_m)-phi_l_m)^2/(1+TANH(phi_l_m)),0)</f>
        <v>54.128997328613558</v>
      </c>
      <c r="AD84" s="72">
        <f>Tabella3[[#This Row],[6-days moving avg fit]]*NOT(ISBLANK(Tabella3[[#This Row],[6-days moving avg]]))</f>
        <v>54.128997328613558</v>
      </c>
      <c r="AE84" s="72">
        <f>Tabella3[[#This Row],[region fit]]+CIl</f>
        <v>123.49398370371395</v>
      </c>
      <c r="AF84" s="72">
        <f>MAX(Tabella3[[#This Row],[region fit]]-CIl,0)</f>
        <v>0</v>
      </c>
      <c r="AG84" s="10">
        <f>Tabella8[[#This Row],[rest of Italy ]]</f>
        <v>5327</v>
      </c>
      <c r="AH84" s="10">
        <f>(Tabella3[[#This Row],[rest of Italy cum. data]]-AG83)</f>
        <v>512</v>
      </c>
      <c r="AI84" s="72">
        <f>Tabella3[[#This Row],[rest of Italy data]]*NOT(ISBLANK(Tabella3[[#This Row],[rest of Italy data]]))</f>
        <v>512</v>
      </c>
      <c r="AJ84" s="77">
        <f>Tabella8[[#This Row],[rest of Italy fit]]</f>
        <v>7354.9382740285901</v>
      </c>
      <c r="AK84" s="72">
        <f>Tabella3[[#This Row],[rest of Italy cumul. fit]]/Ka</f>
        <v>3.3153632330530404E-2</v>
      </c>
      <c r="AL84" s="72">
        <f>IFERROR(Ka*psi_a*_xlfn.SECH(psi_a*(Tabella3[[#This Row],[Day]]-pa)-phi_a)^2/(1+TANH(phi_a)),0)</f>
        <v>976.56313597121368</v>
      </c>
      <c r="AM84" s="72">
        <f>Tabella3[[#This Row],[rest of Italy fit]]/y_a_peak</f>
        <v>0.32342435014205945</v>
      </c>
      <c r="AN84" s="72">
        <f>Tabella3[[#This Row],[rest of Italy fit]]*NOT(ISBLANK(Tabella3[[#This Row],[rest of Italy data]]))</f>
        <v>976.56313597121368</v>
      </c>
      <c r="AO84" s="72">
        <f>Tabella3[[#This Row],[rest of Italy fit]]+CIa</f>
        <v>2610.6970759250153</v>
      </c>
      <c r="AP84" s="72">
        <f>MAX(Tabella3[[#This Row],[rest of Italy fit]]-CIa,0)</f>
        <v>0</v>
      </c>
      <c r="AR84"/>
      <c r="AS84"/>
    </row>
    <row r="85" spans="2:45" x14ac:dyDescent="0.3">
      <c r="B85" s="9">
        <v>43908</v>
      </c>
      <c r="C85" s="4">
        <v>78</v>
      </c>
      <c r="D85" s="72">
        <f>'dpc-covid19-ita-andamento-naz'!J25+'dpc-covid19-ita-andamento-naz'!K25</f>
        <v>7003</v>
      </c>
      <c r="E85" s="72">
        <f>(Tabella3[[#This Row],[Italy cumul. data]]-D84)</f>
        <v>1559</v>
      </c>
      <c r="F85" s="72">
        <f>Tabella3[[#This Row],[Italy remov. rate data]]*NOT(ISBLANK(Tabella3[[#This Row],[Italy remov. rate data]]))</f>
        <v>1559</v>
      </c>
      <c r="G85" s="77">
        <f>Tabella8[[#This Row],[Italy fit]]</f>
        <v>8459.5656563862358</v>
      </c>
      <c r="H85" s="77">
        <f>Tabella3[[#This Row],[Italy cumul. fit]]/Kf</f>
        <v>3.599815149578154E-2</v>
      </c>
      <c r="I85" s="77">
        <f>Tabella3[[#This Row],[region fit]]+Tabella3[[#This Row],[rest of Italy fit]]</f>
        <v>1074.3263755418307</v>
      </c>
      <c r="J85" s="77">
        <f>Tabella3[[#This Row],[Italy (fit of selected region + fitted sum of the other regions)]]/(y_l_peak+y_a_peak)</f>
        <v>0.33925918977578823</v>
      </c>
      <c r="K85" s="72">
        <f>IFERROR(Kf*psi_f*_xlfn.SECH(psi_f*(Tabella3[[#This Row],[Day]]-pf)-phi_f)^2/(1+TANH(phi_f)),0)</f>
        <v>1079.0953536199775</v>
      </c>
      <c r="L85" s="292">
        <f>Tabella3[[#This Row],[Italy remov. rate fit]]-Tabella3[[#This Row],[Italy remov. rate data]]</f>
        <v>-479.90464638002254</v>
      </c>
      <c r="M85" s="293">
        <f>Tabella3[[#This Row],[rem. rate residuals]]*NOT(ISBLANK(Tabella3[[#This Row],[Italy remov. rate data]]))</f>
        <v>-479.90464638002254</v>
      </c>
      <c r="N85" s="72">
        <f>Tabella3[[#This Row],[Italy remov. rate fit]]/y_f_peak</f>
        <v>0.34159512166749206</v>
      </c>
      <c r="O85" s="72">
        <f>Tabella3[[#This Row],[Italy (fit of selected region + fitted sum of the other regions)]]*NOT(ISBLANK(Tabella3[[#This Row],[Italy remov. rate data]]))</f>
        <v>1074.3263755418307</v>
      </c>
      <c r="P85" s="72">
        <f>Tabella3[[#This Row],[Italy remov. rate fit]]*NOT(ISBLANK(Tabella3[[#This Row],[Italy remov. rate data]]))</f>
        <v>1079.0953536199775</v>
      </c>
      <c r="Q85" s="72">
        <f>Tabella3[[#This Row],[Italy remov. rate fit]]+CIf</f>
        <v>2734.3053225437288</v>
      </c>
      <c r="R85" s="72">
        <f>MAX(Tabella3[[#This Row],[Italy remov. rate fit]]-CIf,0)</f>
        <v>0</v>
      </c>
      <c r="S85" s="4">
        <f>Tabella8[[#This Row],[region data]]</f>
        <v>143</v>
      </c>
      <c r="T85" s="72">
        <f>(Tabella3[[#This Row],[region cumul. data]]-S84)</f>
        <v>26</v>
      </c>
      <c r="U85" s="72">
        <f>Tabella3[[#This Row],[region data]]*NOT(ISBLANK(Tabella3[[#This Row],[region data]]))</f>
        <v>26</v>
      </c>
      <c r="V85">
        <f t="shared" si="1"/>
        <v>22.5</v>
      </c>
      <c r="W85" s="72">
        <f>Tabella3[[#This Row],[6-days moving avg]]*NOT(ISBLANK(Tabella3[[#This Row],[6-days moving avg]]))</f>
        <v>22.5</v>
      </c>
      <c r="X85" s="77">
        <f>Tabella8[[#This Row],[region fit]]</f>
        <v>89.478241588311164</v>
      </c>
      <c r="Y85" s="72">
        <f>Tabella3[[#This Row],[region cumul. fit]]/Kl</f>
        <v>6.8013852056202796E-3</v>
      </c>
      <c r="Z85" s="72">
        <f>IFERROR(Kl*psi_l*_xlfn.SECH(psi_l*(Tabella3[[#This Row],[Day]]-pl)-phi_l)^2/(1+TANH(phi_l)),0)</f>
        <v>55.88280775667738</v>
      </c>
      <c r="AA85" s="72">
        <f>Tabella3[[#This Row],[region fit]]/y_l_peak</f>
        <v>0.379548913531355</v>
      </c>
      <c r="AB85" s="72">
        <f>Tabella3[[#This Row],[region fit]]*NOT(ISBLANK(Tabella3[[#This Row],[region data]]))</f>
        <v>55.88280775667738</v>
      </c>
      <c r="AC85" s="166">
        <f>IFERROR(kl_m*psi_l_m*_xlfn.SECH(psi_l_m*(Tabella3[[#This Row],[Day]]-pl_m)-phi_l_m)^2/(1+TANH(phi_l_m)),0)</f>
        <v>55.88280775667738</v>
      </c>
      <c r="AD85" s="72">
        <f>Tabella3[[#This Row],[6-days moving avg fit]]*NOT(ISBLANK(Tabella3[[#This Row],[6-days moving avg]]))</f>
        <v>55.88280775667738</v>
      </c>
      <c r="AE85" s="72">
        <f>Tabella3[[#This Row],[region fit]]+CIl</f>
        <v>125.24779413177778</v>
      </c>
      <c r="AF85" s="72">
        <f>MAX(Tabella3[[#This Row],[region fit]]-CIl,0)</f>
        <v>0</v>
      </c>
      <c r="AG85" s="10">
        <f>Tabella8[[#This Row],[rest of Italy ]]</f>
        <v>6860</v>
      </c>
      <c r="AH85" s="10">
        <f>(Tabella3[[#This Row],[rest of Italy cum. data]]-AG84)</f>
        <v>1533</v>
      </c>
      <c r="AI85" s="72">
        <f>Tabella3[[#This Row],[rest of Italy data]]*NOT(ISBLANK(Tabella3[[#This Row],[rest of Italy data]]))</f>
        <v>1533</v>
      </c>
      <c r="AJ85" s="77">
        <f>Tabella8[[#This Row],[rest of Italy fit]]</f>
        <v>8352.3312227389069</v>
      </c>
      <c r="AK85" s="72">
        <f>Tabella3[[#This Row],[rest of Italy cumul. fit]]/Ka</f>
        <v>3.7649550294569713E-2</v>
      </c>
      <c r="AL85" s="72">
        <f>IFERROR(Ka*psi_a*_xlfn.SECH(psi_a*(Tabella3[[#This Row],[Day]]-pa)-phi_a)^2/(1+TANH(phi_a)),0)</f>
        <v>1018.4435677851533</v>
      </c>
      <c r="AM85" s="72">
        <f>Tabella3[[#This Row],[rest of Italy fit]]/y_a_peak</f>
        <v>0.33729457618701586</v>
      </c>
      <c r="AN85" s="72">
        <f>Tabella3[[#This Row],[rest of Italy fit]]*NOT(ISBLANK(Tabella3[[#This Row],[rest of Italy data]]))</f>
        <v>1018.4435677851533</v>
      </c>
      <c r="AO85" s="72">
        <f>Tabella3[[#This Row],[rest of Italy fit]]+CIa</f>
        <v>2652.5775077389549</v>
      </c>
      <c r="AP85" s="72">
        <f>MAX(Tabella3[[#This Row],[rest of Italy fit]]-CIa,0)</f>
        <v>0</v>
      </c>
      <c r="AR85"/>
      <c r="AS85"/>
    </row>
    <row r="86" spans="2:45" x14ac:dyDescent="0.3">
      <c r="B86" s="9">
        <v>43909</v>
      </c>
      <c r="C86" s="4">
        <v>79</v>
      </c>
      <c r="D86" s="72">
        <f>'dpc-covid19-ita-andamento-naz'!J26+'dpc-covid19-ita-andamento-naz'!K26</f>
        <v>7845</v>
      </c>
      <c r="E86" s="72">
        <f>(Tabella3[[#This Row],[Italy cumul. data]]-D85)</f>
        <v>842</v>
      </c>
      <c r="F86" s="72">
        <f>Tabella3[[#This Row],[Italy remov. rate data]]*NOT(ISBLANK(Tabella3[[#This Row],[Italy remov. rate data]]))</f>
        <v>842</v>
      </c>
      <c r="G86" s="77">
        <f>Tabella8[[#This Row],[Italy fit]]</f>
        <v>9561.0017700512126</v>
      </c>
      <c r="H86" s="77">
        <f>Tabella3[[#This Row],[Italy cumul. fit]]/Kf</f>
        <v>4.0685113651185427E-2</v>
      </c>
      <c r="I86" s="77">
        <f>Tabella3[[#This Row],[region fit]]+Tabella3[[#This Row],[rest of Italy fit]]</f>
        <v>1119.3241489397933</v>
      </c>
      <c r="J86" s="77">
        <f>Tabella3[[#This Row],[Italy (fit of selected region + fitted sum of the other regions)]]/(y_l_peak+y_a_peak)</f>
        <v>0.35346893877967733</v>
      </c>
      <c r="K86" s="72">
        <f>IFERROR(Kf*psi_f*_xlfn.SECH(psi_f*(Tabella3[[#This Row],[Day]]-pf)-phi_f)^2/(1+TANH(phi_f)),0)</f>
        <v>1124.0003290936158</v>
      </c>
      <c r="L86" s="292">
        <f>Tabella3[[#This Row],[Italy remov. rate fit]]-Tabella3[[#This Row],[Italy remov. rate data]]</f>
        <v>282.00032909361585</v>
      </c>
      <c r="M86" s="293">
        <f>Tabella3[[#This Row],[rem. rate residuals]]*NOT(ISBLANK(Tabella3[[#This Row],[Italy remov. rate data]]))</f>
        <v>282.00032909361585</v>
      </c>
      <c r="N86" s="72">
        <f>Tabella3[[#This Row],[Italy remov. rate fit]]/y_f_peak</f>
        <v>0.35581010323416762</v>
      </c>
      <c r="O86" s="72">
        <f>Tabella3[[#This Row],[Italy (fit of selected region + fitted sum of the other regions)]]*NOT(ISBLANK(Tabella3[[#This Row],[Italy remov. rate data]]))</f>
        <v>1119.3241489397933</v>
      </c>
      <c r="P86" s="72">
        <f>Tabella3[[#This Row],[Italy remov. rate fit]]*NOT(ISBLANK(Tabella3[[#This Row],[Italy remov. rate data]]))</f>
        <v>1124.0003290936158</v>
      </c>
      <c r="Q86" s="72">
        <f>Tabella3[[#This Row],[Italy remov. rate fit]]+CIf</f>
        <v>2779.2102980173672</v>
      </c>
      <c r="R86" s="72">
        <f>MAX(Tabella3[[#This Row],[Italy remov. rate fit]]-CIf,0)</f>
        <v>0</v>
      </c>
      <c r="S86" s="4">
        <f>Tabella8[[#This Row],[region data]]</f>
        <v>176</v>
      </c>
      <c r="T86" s="72">
        <f>(Tabella3[[#This Row],[region cumul. data]]-S85)</f>
        <v>33</v>
      </c>
      <c r="U86" s="72">
        <f>Tabella3[[#This Row],[region data]]*NOT(ISBLANK(Tabella3[[#This Row],[region data]]))</f>
        <v>33</v>
      </c>
      <c r="V86">
        <f t="shared" si="1"/>
        <v>23.5</v>
      </c>
      <c r="W86" s="72">
        <f>Tabella3[[#This Row],[6-days moving avg]]*NOT(ISBLANK(Tabella3[[#This Row],[6-days moving avg]]))</f>
        <v>23.5</v>
      </c>
      <c r="X86" s="77">
        <f>Tabella8[[#This Row],[region fit]]</f>
        <v>146.25424474947047</v>
      </c>
      <c r="Y86" s="72">
        <f>Tabella3[[#This Row],[region cumul. fit]]/Kl</f>
        <v>1.1117020616866492E-2</v>
      </c>
      <c r="Z86" s="72">
        <f>IFERROR(Kl*psi_l*_xlfn.SECH(psi_l*(Tabella3[[#This Row],[Day]]-pl)-phi_l)^2/(1+TANH(phi_l)),0)</f>
        <v>57.675673183721671</v>
      </c>
      <c r="AA86" s="72">
        <f>Tabella3[[#This Row],[region fit]]/y_l_peak</f>
        <v>0.39172582718797561</v>
      </c>
      <c r="AB86" s="72">
        <f>Tabella3[[#This Row],[region fit]]*NOT(ISBLANK(Tabella3[[#This Row],[region data]]))</f>
        <v>57.675673183721671</v>
      </c>
      <c r="AC86" s="166">
        <f>IFERROR(kl_m*psi_l_m*_xlfn.SECH(psi_l_m*(Tabella3[[#This Row],[Day]]-pl_m)-phi_l_m)^2/(1+TANH(phi_l_m)),0)</f>
        <v>57.675673183721671</v>
      </c>
      <c r="AD86" s="72">
        <f>Tabella3[[#This Row],[6-days moving avg fit]]*NOT(ISBLANK(Tabella3[[#This Row],[6-days moving avg]]))</f>
        <v>57.675673183721671</v>
      </c>
      <c r="AE86" s="72">
        <f>Tabella3[[#This Row],[region fit]]+CIl</f>
        <v>127.04065955882207</v>
      </c>
      <c r="AF86" s="72">
        <f>MAX(Tabella3[[#This Row],[region fit]]-CIl,0)</f>
        <v>0</v>
      </c>
      <c r="AG86" s="10">
        <f>Tabella8[[#This Row],[rest of Italy ]]</f>
        <v>7669</v>
      </c>
      <c r="AH86" s="10">
        <f>(Tabella3[[#This Row],[rest of Italy cum. data]]-AG85)</f>
        <v>809</v>
      </c>
      <c r="AI86" s="72">
        <f>Tabella3[[#This Row],[rest of Italy data]]*NOT(ISBLANK(Tabella3[[#This Row],[rest of Italy data]]))</f>
        <v>809</v>
      </c>
      <c r="AJ86" s="77">
        <f>Tabella8[[#This Row],[rest of Italy fit]]</f>
        <v>9392.2669547310088</v>
      </c>
      <c r="AK86" s="72">
        <f>Tabella3[[#This Row],[rest of Italy cumul. fit]]/Ka</f>
        <v>4.2337237073341603E-2</v>
      </c>
      <c r="AL86" s="72">
        <f>IFERROR(Ka*psi_a*_xlfn.SECH(psi_a*(Tabella3[[#This Row],[Day]]-pa)-phi_a)^2/(1+TANH(phi_a)),0)</f>
        <v>1061.6484757560715</v>
      </c>
      <c r="AM86" s="72">
        <f>Tabella3[[#This Row],[rest of Italy fit]]/y_a_peak</f>
        <v>0.35160345061482717</v>
      </c>
      <c r="AN86" s="72">
        <f>Tabella3[[#This Row],[rest of Italy fit]]*NOT(ISBLANK(Tabella3[[#This Row],[rest of Italy data]]))</f>
        <v>1061.6484757560715</v>
      </c>
      <c r="AO86" s="72">
        <f>Tabella3[[#This Row],[rest of Italy fit]]+CIa</f>
        <v>2695.782415709873</v>
      </c>
      <c r="AP86" s="72">
        <f>MAX(Tabella3[[#This Row],[rest of Italy fit]]-CIa,0)</f>
        <v>0</v>
      </c>
      <c r="AR86"/>
      <c r="AS86"/>
    </row>
    <row r="87" spans="2:45" x14ac:dyDescent="0.3">
      <c r="B87" s="9">
        <v>43910</v>
      </c>
      <c r="C87" s="4">
        <v>80</v>
      </c>
      <c r="D87" s="72">
        <f>'dpc-covid19-ita-andamento-naz'!J27+'dpc-covid19-ita-andamento-naz'!K27</f>
        <v>9161</v>
      </c>
      <c r="E87" s="72">
        <f>(Tabella3[[#This Row],[Italy cumul. data]]-D86)</f>
        <v>1316</v>
      </c>
      <c r="F87" s="72">
        <f>Tabella3[[#This Row],[Italy remov. rate data]]*NOT(ISBLANK(Tabella3[[#This Row],[Italy remov. rate data]]))</f>
        <v>1316</v>
      </c>
      <c r="G87" s="77">
        <f>Tabella8[[#This Row],[Italy fit]]</f>
        <v>10708.01208875074</v>
      </c>
      <c r="H87" s="77">
        <f>Tabella3[[#This Row],[Italy cumul. fit]]/Kf</f>
        <v>4.5566008592712322E-2</v>
      </c>
      <c r="I87" s="77">
        <f>Tabella3[[#This Row],[region fit]]+Tabella3[[#This Row],[rest of Italy fit]]</f>
        <v>1165.6811653652767</v>
      </c>
      <c r="J87" s="77">
        <f>Tabella3[[#This Row],[Italy (fit of selected region + fitted sum of the other regions)]]/(y_l_peak+y_a_peak)</f>
        <v>0.36810792018325733</v>
      </c>
      <c r="K87" s="72">
        <f>IFERROR(Kf*psi_f*_xlfn.SECH(psi_f*(Tabella3[[#This Row],[Day]]-pf)-phi_f)^2/(1+TANH(phi_f)),0)</f>
        <v>1170.2424516068429</v>
      </c>
      <c r="L87" s="292">
        <f>Tabella3[[#This Row],[Italy remov. rate fit]]-Tabella3[[#This Row],[Italy remov. rate data]]</f>
        <v>-145.75754839315709</v>
      </c>
      <c r="M87" s="293">
        <f>Tabella3[[#This Row],[rem. rate residuals]]*NOT(ISBLANK(Tabella3[[#This Row],[Italy remov. rate data]]))</f>
        <v>-145.75754839315709</v>
      </c>
      <c r="N87" s="72">
        <f>Tabella3[[#This Row],[Italy remov. rate fit]]/y_f_peak</f>
        <v>0.3704483679742378</v>
      </c>
      <c r="O87" s="72">
        <f>Tabella3[[#This Row],[Italy (fit of selected region + fitted sum of the other regions)]]*NOT(ISBLANK(Tabella3[[#This Row],[Italy remov. rate data]]))</f>
        <v>1165.6811653652767</v>
      </c>
      <c r="P87" s="72">
        <f>Tabella3[[#This Row],[Italy remov. rate fit]]*NOT(ISBLANK(Tabella3[[#This Row],[Italy remov. rate data]]))</f>
        <v>1170.2424516068429</v>
      </c>
      <c r="Q87" s="72">
        <f>Tabella3[[#This Row],[Italy remov. rate fit]]+CIf</f>
        <v>2825.4524205305943</v>
      </c>
      <c r="R87" s="72">
        <f>MAX(Tabella3[[#This Row],[Italy remov. rate fit]]-CIf,0)</f>
        <v>0</v>
      </c>
      <c r="S87" s="4">
        <f>Tabella8[[#This Row],[region data]]</f>
        <v>220</v>
      </c>
      <c r="T87" s="72">
        <f>(Tabella3[[#This Row],[region cumul. data]]-S86)</f>
        <v>44</v>
      </c>
      <c r="U87" s="72">
        <f>Tabella3[[#This Row],[region data]]*NOT(ISBLANK(Tabella3[[#This Row],[region data]]))</f>
        <v>44</v>
      </c>
      <c r="V87">
        <f t="shared" si="1"/>
        <v>35.166666666666664</v>
      </c>
      <c r="W87" s="72">
        <f>Tabella3[[#This Row],[6-days moving avg]]*NOT(ISBLANK(Tabella3[[#This Row],[6-days moving avg]]))</f>
        <v>35.166666666666664</v>
      </c>
      <c r="X87" s="77">
        <f>Tabella8[[#This Row],[region fit]]</f>
        <v>204.84245522195209</v>
      </c>
      <c r="Y87" s="72">
        <f>Tabella3[[#This Row],[region cumul. fit]]/Kl</f>
        <v>1.5570404823551197E-2</v>
      </c>
      <c r="Z87" s="72">
        <f>IFERROR(Kl*psi_l*_xlfn.SECH(psi_l*(Tabella3[[#This Row],[Day]]-pl)-phi_l)^2/(1+TANH(phi_l)),0)</f>
        <v>59.507136422883782</v>
      </c>
      <c r="AA87" s="72">
        <f>Tabella3[[#This Row],[region fit]]/y_l_peak</f>
        <v>0.40416489226901631</v>
      </c>
      <c r="AB87" s="72">
        <f>Tabella3[[#This Row],[region fit]]*NOT(ISBLANK(Tabella3[[#This Row],[region data]]))</f>
        <v>59.507136422883782</v>
      </c>
      <c r="AC87" s="166">
        <f>IFERROR(kl_m*psi_l_m*_xlfn.SECH(psi_l_m*(Tabella3[[#This Row],[Day]]-pl_m)-phi_l_m)^2/(1+TANH(phi_l_m)),0)</f>
        <v>59.507136422883782</v>
      </c>
      <c r="AD87" s="72">
        <f>Tabella3[[#This Row],[6-days moving avg fit]]*NOT(ISBLANK(Tabella3[[#This Row],[6-days moving avg]]))</f>
        <v>59.507136422883782</v>
      </c>
      <c r="AE87" s="72">
        <f>Tabella3[[#This Row],[region fit]]+CIl</f>
        <v>128.87212279798419</v>
      </c>
      <c r="AF87" s="72">
        <f>MAX(Tabella3[[#This Row],[region fit]]-CIl,0)</f>
        <v>0</v>
      </c>
      <c r="AG87" s="10">
        <f>Tabella8[[#This Row],[rest of Italy ]]</f>
        <v>8941</v>
      </c>
      <c r="AH87" s="10">
        <f>(Tabella3[[#This Row],[rest of Italy cum. data]]-AG86)</f>
        <v>1272</v>
      </c>
      <c r="AI87" s="72">
        <f>Tabella3[[#This Row],[rest of Italy data]]*NOT(ISBLANK(Tabella3[[#This Row],[rest of Italy data]]))</f>
        <v>1272</v>
      </c>
      <c r="AJ87" s="77">
        <f>Tabella8[[#This Row],[rest of Italy fit]]</f>
        <v>10476.068447382966</v>
      </c>
      <c r="AK87" s="72">
        <f>Tabella3[[#This Row],[rest of Italy cumul. fit]]/Ka</f>
        <v>4.7222656211873909E-2</v>
      </c>
      <c r="AL87" s="72">
        <f>IFERROR(Ka*psi_a*_xlfn.SECH(psi_a*(Tabella3[[#This Row],[Day]]-pa)-phi_a)^2/(1+TANH(phi_a)),0)</f>
        <v>1106.1740289423929</v>
      </c>
      <c r="AM87" s="72">
        <f>Tabella3[[#This Row],[rest of Italy fit]]/y_a_peak</f>
        <v>0.36634970467005518</v>
      </c>
      <c r="AN87" s="72">
        <f>Tabella3[[#This Row],[rest of Italy fit]]*NOT(ISBLANK(Tabella3[[#This Row],[rest of Italy data]]))</f>
        <v>1106.1740289423929</v>
      </c>
      <c r="AO87" s="72">
        <f>Tabella3[[#This Row],[rest of Italy fit]]+CIa</f>
        <v>2740.3079688961943</v>
      </c>
      <c r="AP87" s="72">
        <f>MAX(Tabella3[[#This Row],[rest of Italy fit]]-CIa,0)</f>
        <v>0</v>
      </c>
      <c r="AR87"/>
      <c r="AS87"/>
    </row>
    <row r="88" spans="2:45" x14ac:dyDescent="0.3">
      <c r="B88" s="9">
        <v>43911</v>
      </c>
      <c r="C88" s="4">
        <v>81</v>
      </c>
      <c r="D88" s="72">
        <f>'dpc-covid19-ita-andamento-naz'!J28+'dpc-covid19-ita-andamento-naz'!K28</f>
        <v>10897</v>
      </c>
      <c r="E88" s="72">
        <f>(Tabella3[[#This Row],[Italy cumul. data]]-D87)</f>
        <v>1736</v>
      </c>
      <c r="F88" s="72">
        <f>Tabella3[[#This Row],[Italy remov. rate data]]*NOT(ISBLANK(Tabella3[[#This Row],[Italy remov. rate data]]))</f>
        <v>1736</v>
      </c>
      <c r="G88" s="77">
        <f>Tabella8[[#This Row],[Italy fit]]</f>
        <v>11901.928923616581</v>
      </c>
      <c r="H88" s="77">
        <f>Tabella3[[#This Row],[Italy cumul. fit]]/Kf</f>
        <v>5.0646505729396787E-2</v>
      </c>
      <c r="I88" s="77">
        <f>Tabella3[[#This Row],[region fit]]+Tabella3[[#This Row],[rest of Italy fit]]</f>
        <v>1213.3877907531767</v>
      </c>
      <c r="J88" s="77">
        <f>Tabella3[[#This Row],[Italy (fit of selected region + fitted sum of the other regions)]]/(y_l_peak+y_a_peak)</f>
        <v>0.38317309166606045</v>
      </c>
      <c r="K88" s="72">
        <f>IFERROR(Kf*psi_f*_xlfn.SECH(psi_f*(Tabella3[[#This Row],[Day]]-pf)-phi_f)^2/(1+TANH(phi_f)),0)</f>
        <v>1217.8111348334685</v>
      </c>
      <c r="L88" s="292">
        <f>Tabella3[[#This Row],[Italy remov. rate fit]]-Tabella3[[#This Row],[Italy remov. rate data]]</f>
        <v>-518.18886516653151</v>
      </c>
      <c r="M88" s="293">
        <f>Tabella3[[#This Row],[rem. rate residuals]]*NOT(ISBLANK(Tabella3[[#This Row],[Italy remov. rate data]]))</f>
        <v>-518.18886516653151</v>
      </c>
      <c r="N88" s="72">
        <f>Tabella3[[#This Row],[Italy remov. rate fit]]/y_f_peak</f>
        <v>0.38550656471269212</v>
      </c>
      <c r="O88" s="72">
        <f>Tabella3[[#This Row],[Italy (fit of selected region + fitted sum of the other regions)]]*NOT(ISBLANK(Tabella3[[#This Row],[Italy remov. rate data]]))</f>
        <v>1213.3877907531767</v>
      </c>
      <c r="P88" s="72">
        <f>Tabella3[[#This Row],[Italy remov. rate fit]]*NOT(ISBLANK(Tabella3[[#This Row],[Italy remov. rate data]]))</f>
        <v>1217.8111348334685</v>
      </c>
      <c r="Q88" s="72">
        <f>Tabella3[[#This Row],[Italy remov. rate fit]]+CIf</f>
        <v>2873.0211037572199</v>
      </c>
      <c r="R88" s="72">
        <f>MAX(Tabella3[[#This Row],[Italy remov. rate fit]]-CIf,0)</f>
        <v>0</v>
      </c>
      <c r="S88" s="4">
        <f>Tabella8[[#This Row],[region data]]</f>
        <v>277</v>
      </c>
      <c r="T88" s="72">
        <f>(Tabella3[[#This Row],[region cumul. data]]-S87)</f>
        <v>57</v>
      </c>
      <c r="U88" s="72">
        <f>Tabella3[[#This Row],[region data]]*NOT(ISBLANK(Tabella3[[#This Row],[region data]]))</f>
        <v>57</v>
      </c>
      <c r="V88">
        <f t="shared" si="1"/>
        <v>37</v>
      </c>
      <c r="W88" s="72">
        <f>Tabella3[[#This Row],[6-days moving avg]]*NOT(ISBLANK(Tabella3[[#This Row],[6-days moving avg]]))</f>
        <v>37</v>
      </c>
      <c r="X88" s="77">
        <f>Tabella8[[#This Row],[region fit]]</f>
        <v>265.28119267678937</v>
      </c>
      <c r="Y88" s="72">
        <f>Tabella3[[#This Row],[region cumul. fit]]/Kl</f>
        <v>2.0164450565565394E-2</v>
      </c>
      <c r="Z88" s="72">
        <f>IFERROR(Kl*psi_l*_xlfn.SECH(psi_l*(Tabella3[[#This Row],[Day]]-pl)-phi_l)^2/(1+TANH(phi_l)),0)</f>
        <v>61.376620694196077</v>
      </c>
      <c r="AA88" s="72">
        <f>Tabella3[[#This Row],[region fit]]/y_l_peak</f>
        <v>0.41686219135839059</v>
      </c>
      <c r="AB88" s="72">
        <f>Tabella3[[#This Row],[region fit]]*NOT(ISBLANK(Tabella3[[#This Row],[region data]]))</f>
        <v>61.376620694196077</v>
      </c>
      <c r="AC88" s="166">
        <f>IFERROR(kl_m*psi_l_m*_xlfn.SECH(psi_l_m*(Tabella3[[#This Row],[Day]]-pl_m)-phi_l_m)^2/(1+TANH(phi_l_m)),0)</f>
        <v>61.376620694196077</v>
      </c>
      <c r="AD88" s="72">
        <f>Tabella3[[#This Row],[6-days moving avg fit]]*NOT(ISBLANK(Tabella3[[#This Row],[6-days moving avg]]))</f>
        <v>61.376620694196077</v>
      </c>
      <c r="AE88" s="72">
        <f>Tabella3[[#This Row],[region fit]]+CIl</f>
        <v>130.74160706929649</v>
      </c>
      <c r="AF88" s="72">
        <f>MAX(Tabella3[[#This Row],[region fit]]-CIl,0)</f>
        <v>0</v>
      </c>
      <c r="AG88" s="10">
        <f>Tabella8[[#This Row],[rest of Italy ]]</f>
        <v>10620</v>
      </c>
      <c r="AH88" s="10">
        <f>(Tabella3[[#This Row],[rest of Italy cum. data]]-AG87)</f>
        <v>1679</v>
      </c>
      <c r="AI88" s="72">
        <f>Tabella3[[#This Row],[rest of Italy data]]*NOT(ISBLANK(Tabella3[[#This Row],[rest of Italy data]]))</f>
        <v>1679</v>
      </c>
      <c r="AJ88" s="77">
        <f>Tabella8[[#This Row],[rest of Italy fit]]</f>
        <v>11605.052271743623</v>
      </c>
      <c r="AK88" s="72">
        <f>Tabella3[[#This Row],[rest of Italy cumul. fit]]/Ka</f>
        <v>5.2311742377578394E-2</v>
      </c>
      <c r="AL88" s="72">
        <f>IFERROR(Ka*psi_a*_xlfn.SECH(psi_a*(Tabella3[[#This Row],[Day]]-pa)-phi_a)^2/(1+TANH(phi_a)),0)</f>
        <v>1152.0111700589805</v>
      </c>
      <c r="AM88" s="72">
        <f>Tabella3[[#This Row],[rest of Italy fit]]/y_a_peak</f>
        <v>0.38153033870377651</v>
      </c>
      <c r="AN88" s="72">
        <f>Tabella3[[#This Row],[rest of Italy fit]]*NOT(ISBLANK(Tabella3[[#This Row],[rest of Italy data]]))</f>
        <v>1152.0111700589805</v>
      </c>
      <c r="AO88" s="72">
        <f>Tabella3[[#This Row],[rest of Italy fit]]+CIa</f>
        <v>2786.145110012782</v>
      </c>
      <c r="AP88" s="72">
        <f>MAX(Tabella3[[#This Row],[rest of Italy fit]]-CIa,0)</f>
        <v>0</v>
      </c>
      <c r="AR88"/>
      <c r="AS88"/>
    </row>
    <row r="89" spans="2:45" x14ac:dyDescent="0.3">
      <c r="B89" s="9">
        <v>43912</v>
      </c>
      <c r="C89" s="4">
        <v>82</v>
      </c>
      <c r="D89" s="72">
        <f>'dpc-covid19-ita-andamento-naz'!J29+'dpc-covid19-ita-andamento-naz'!K29</f>
        <v>12500</v>
      </c>
      <c r="E89" s="72">
        <f>(Tabella3[[#This Row],[Italy cumul. data]]-D88)</f>
        <v>1603</v>
      </c>
      <c r="F89" s="72">
        <f>Tabella3[[#This Row],[Italy remov. rate data]]*NOT(ISBLANK(Tabella3[[#This Row],[Italy remov. rate data]]))</f>
        <v>1603</v>
      </c>
      <c r="G89" s="77">
        <f>Tabella8[[#This Row],[Italy fit]]</f>
        <v>13144.07118138202</v>
      </c>
      <c r="H89" s="77">
        <f>Tabella3[[#This Row],[Italy cumul. fit]]/Kf</f>
        <v>5.5932217430280227E-2</v>
      </c>
      <c r="I89" s="77">
        <f>Tabella3[[#This Row],[region fit]]+Tabella3[[#This Row],[rest of Italy fit]]</f>
        <v>1262.4285805753959</v>
      </c>
      <c r="J89" s="77">
        <f>Tabella3[[#This Row],[Italy (fit of selected region + fitted sum of the other regions)]]/(y_l_peak+y_a_peak)</f>
        <v>0.39865957603414626</v>
      </c>
      <c r="K89" s="72">
        <f>IFERROR(Kf*psi_f*_xlfn.SECH(psi_f*(Tabella3[[#This Row],[Day]]-pf)-phi_f)^2/(1+TANH(phi_f)),0)</f>
        <v>1266.6900815938557</v>
      </c>
      <c r="L89" s="292">
        <f>Tabella3[[#This Row],[Italy remov. rate fit]]-Tabella3[[#This Row],[Italy remov. rate data]]</f>
        <v>-336.30991840614433</v>
      </c>
      <c r="M89" s="293">
        <f>Tabella3[[#This Row],[rem. rate residuals]]*NOT(ISBLANK(Tabella3[[#This Row],[Italy remov. rate data]]))</f>
        <v>-336.30991840614433</v>
      </c>
      <c r="N89" s="72">
        <f>Tabella3[[#This Row],[Italy remov. rate fit]]/y_f_peak</f>
        <v>0.4009795344642359</v>
      </c>
      <c r="O89" s="72">
        <f>Tabella3[[#This Row],[Italy (fit of selected region + fitted sum of the other regions)]]*NOT(ISBLANK(Tabella3[[#This Row],[Italy remov. rate data]]))</f>
        <v>1262.4285805753959</v>
      </c>
      <c r="P89" s="72">
        <f>Tabella3[[#This Row],[Italy remov. rate fit]]*NOT(ISBLANK(Tabella3[[#This Row],[Italy remov. rate data]]))</f>
        <v>1266.6900815938557</v>
      </c>
      <c r="Q89" s="72">
        <f>Tabella3[[#This Row],[Italy remov. rate fit]]+CIf</f>
        <v>2921.9000505176073</v>
      </c>
      <c r="R89" s="72">
        <f>MAX(Tabella3[[#This Row],[Italy remov. rate fit]]-CIf,0)</f>
        <v>0</v>
      </c>
      <c r="S89" s="4">
        <f>Tabella8[[#This Row],[region data]]</f>
        <v>314</v>
      </c>
      <c r="T89" s="72">
        <f>(Tabella3[[#This Row],[region cumul. data]]-S88)</f>
        <v>37</v>
      </c>
      <c r="U89" s="72">
        <f>Tabella3[[#This Row],[region data]]*NOT(ISBLANK(Tabella3[[#This Row],[region data]]))</f>
        <v>37</v>
      </c>
      <c r="V89">
        <f t="shared" si="1"/>
        <v>42.333333333333336</v>
      </c>
      <c r="W89" s="72">
        <f>Tabella3[[#This Row],[6-days moving avg]]*NOT(ISBLANK(Tabella3[[#This Row],[6-days moving avg]]))</f>
        <v>42.333333333333336</v>
      </c>
      <c r="X89" s="77">
        <f>Tabella8[[#This Row],[region fit]]</f>
        <v>327.60813738385758</v>
      </c>
      <c r="Y89" s="72">
        <f>Tabella3[[#This Row],[region cumul. fit]]/Kl</f>
        <v>2.4902021980888599E-2</v>
      </c>
      <c r="Z89" s="72">
        <f>IFERROR(Kl*psi_l*_xlfn.SECH(psi_l*(Tabella3[[#This Row],[Day]]-pl)-phi_l)^2/(1+TANH(phi_l)),0)</f>
        <v>63.283422849420788</v>
      </c>
      <c r="AA89" s="72">
        <f>Tabella3[[#This Row],[region fit]]/y_l_peak</f>
        <v>0.42981294876281445</v>
      </c>
      <c r="AB89" s="72">
        <f>Tabella3[[#This Row],[region fit]]*NOT(ISBLANK(Tabella3[[#This Row],[region data]]))</f>
        <v>63.283422849420788</v>
      </c>
      <c r="AC89" s="166">
        <f>IFERROR(kl_m*psi_l_m*_xlfn.SECH(psi_l_m*(Tabella3[[#This Row],[Day]]-pl_m)-phi_l_m)^2/(1+TANH(phi_l_m)),0)</f>
        <v>63.283422849420788</v>
      </c>
      <c r="AD89" s="72">
        <f>Tabella3[[#This Row],[6-days moving avg fit]]*NOT(ISBLANK(Tabella3[[#This Row],[6-days moving avg]]))</f>
        <v>63.283422849420788</v>
      </c>
      <c r="AE89" s="72">
        <f>Tabella3[[#This Row],[region fit]]+CIl</f>
        <v>132.64840922452117</v>
      </c>
      <c r="AF89" s="72">
        <f>MAX(Tabella3[[#This Row],[region fit]]-CIl,0)</f>
        <v>0</v>
      </c>
      <c r="AG89" s="10">
        <f>Tabella8[[#This Row],[rest of Italy ]]</f>
        <v>12186</v>
      </c>
      <c r="AH89" s="10">
        <f>(Tabella3[[#This Row],[rest of Italy cum. data]]-AG88)</f>
        <v>1566</v>
      </c>
      <c r="AI89" s="72">
        <f>Tabella3[[#This Row],[rest of Italy data]]*NOT(ISBLANK(Tabella3[[#This Row],[rest of Italy data]]))</f>
        <v>1566</v>
      </c>
      <c r="AJ89" s="77">
        <f>Tabella8[[#This Row],[rest of Italy fit]]</f>
        <v>12780.523137997296</v>
      </c>
      <c r="AK89" s="72">
        <f>Tabella3[[#This Row],[rest of Italy cumul. fit]]/Ka</f>
        <v>5.7610376773007295E-2</v>
      </c>
      <c r="AL89" s="72">
        <f>IFERROR(Ka*psi_a*_xlfn.SECH(psi_a*(Tabella3[[#This Row],[Day]]-pa)-phi_a)^2/(1+TANH(phi_a)),0)</f>
        <v>1199.1451577259752</v>
      </c>
      <c r="AM89" s="72">
        <f>Tabella3[[#This Row],[rest of Italy fit]]/y_a_peak</f>
        <v>0.39714047057266055</v>
      </c>
      <c r="AN89" s="72">
        <f>Tabella3[[#This Row],[rest of Italy fit]]*NOT(ISBLANK(Tabella3[[#This Row],[rest of Italy data]]))</f>
        <v>1199.1451577259752</v>
      </c>
      <c r="AO89" s="72">
        <f>Tabella3[[#This Row],[rest of Italy fit]]+CIa</f>
        <v>2833.2790976797769</v>
      </c>
      <c r="AP89" s="72">
        <f>MAX(Tabella3[[#This Row],[rest of Italy fit]]-CIa,0)</f>
        <v>0</v>
      </c>
      <c r="AR89"/>
      <c r="AS89"/>
    </row>
    <row r="90" spans="2:45" x14ac:dyDescent="0.3">
      <c r="B90" s="15">
        <v>43913</v>
      </c>
      <c r="C90" s="4">
        <v>83</v>
      </c>
      <c r="D90" s="72">
        <f>'dpc-covid19-ita-andamento-naz'!J30+'dpc-covid19-ita-andamento-naz'!K30</f>
        <v>13509</v>
      </c>
      <c r="E90" s="72">
        <f>(Tabella3[[#This Row],[Italy cumul. data]]-D89)</f>
        <v>1009</v>
      </c>
      <c r="F90" s="72">
        <f>Tabella3[[#This Row],[Italy remov. rate data]]*NOT(ISBLANK(Tabella3[[#This Row],[Italy remov. rate data]]))</f>
        <v>1009</v>
      </c>
      <c r="G90" s="77">
        <f>Tabella8[[#This Row],[Italy fit]]</f>
        <v>14435.738428760094</v>
      </c>
      <c r="H90" s="77">
        <f>Tabella3[[#This Row],[Italy cumul. fit]]/Kf</f>
        <v>6.1428673766446069E-2</v>
      </c>
      <c r="I90" s="77">
        <f>Tabella3[[#This Row],[region fit]]+Tabella3[[#This Row],[rest of Italy fit]]</f>
        <v>1312.7818090693311</v>
      </c>
      <c r="J90" s="77">
        <f>Tabella3[[#This Row],[Italy (fit of selected region + fitted sum of the other regions)]]/(y_l_peak+y_a_peak)</f>
        <v>0.41456051255618959</v>
      </c>
      <c r="K90" s="72">
        <f>IFERROR(Kf*psi_f*_xlfn.SECH(psi_f*(Tabella3[[#This Row],[Day]]-pf)-phi_f)^2/(1+TANH(phi_f)),0)</f>
        <v>1316.8568338131224</v>
      </c>
      <c r="L90" s="292">
        <f>Tabella3[[#This Row],[Italy remov. rate fit]]-Tabella3[[#This Row],[Italy remov. rate data]]</f>
        <v>307.85683381312242</v>
      </c>
      <c r="M90" s="293">
        <f>Tabella3[[#This Row],[rem. rate residuals]]*NOT(ISBLANK(Tabella3[[#This Row],[Italy remov. rate data]]))</f>
        <v>307.85683381312242</v>
      </c>
      <c r="N90" s="72">
        <f>Tabella3[[#This Row],[Italy remov. rate fit]]/y_f_peak</f>
        <v>0.41686016796943615</v>
      </c>
      <c r="O90" s="72">
        <f>Tabella3[[#This Row],[Italy (fit of selected region + fitted sum of the other regions)]]*NOT(ISBLANK(Tabella3[[#This Row],[Italy remov. rate data]]))</f>
        <v>1312.7818090693311</v>
      </c>
      <c r="P90" s="72">
        <f>Tabella3[[#This Row],[Italy remov. rate fit]]*NOT(ISBLANK(Tabella3[[#This Row],[Italy remov. rate data]]))</f>
        <v>1316.8568338131224</v>
      </c>
      <c r="Q90" s="72">
        <f>Tabella3[[#This Row],[Italy remov. rate fit]]+CIf</f>
        <v>2972.0668027368738</v>
      </c>
      <c r="R90" s="72">
        <f>MAX(Tabella3[[#This Row],[Italy remov. rate fit]]-CIf,0)</f>
        <v>0</v>
      </c>
      <c r="S90" s="4">
        <f>Tabella8[[#This Row],[region data]]</f>
        <v>371</v>
      </c>
      <c r="T90" s="72">
        <f>(Tabella3[[#This Row],[region cumul. data]]-S89)</f>
        <v>57</v>
      </c>
      <c r="U90" s="72">
        <f>Tabella3[[#This Row],[region data]]*NOT(ISBLANK(Tabella3[[#This Row],[region data]]))</f>
        <v>57</v>
      </c>
      <c r="V90">
        <f t="shared" si="1"/>
        <v>46.833333333333336</v>
      </c>
      <c r="W90" s="72">
        <f>Tabella3[[#This Row],[6-days moving avg]]*NOT(ISBLANK(Tabella3[[#This Row],[6-days moving avg]]))</f>
        <v>46.833333333333336</v>
      </c>
      <c r="X90" s="77">
        <f>Tabella8[[#This Row],[region fit]]</f>
        <v>391.86020047792823</v>
      </c>
      <c r="Y90" s="72">
        <f>Tabella3[[#This Row],[region cumul. fit]]/Kl</f>
        <v>2.978592474430276E-2</v>
      </c>
      <c r="Z90" s="72">
        <f>IFERROR(Kl*psi_l*_xlfn.SECH(psi_l*(Tabella3[[#This Row],[Day]]-pl)-phi_l)^2/(1+TANH(phi_l)),0)</f>
        <v>65.226706654399095</v>
      </c>
      <c r="AA90" s="72">
        <f>Tabella3[[#This Row],[region fit]]/y_l_peak</f>
        <v>0.44301148488637676</v>
      </c>
      <c r="AB90" s="72">
        <f>Tabella3[[#This Row],[region fit]]*NOT(ISBLANK(Tabella3[[#This Row],[region data]]))</f>
        <v>65.226706654399095</v>
      </c>
      <c r="AC90" s="166">
        <f>IFERROR(kl_m*psi_l_m*_xlfn.SECH(psi_l_m*(Tabella3[[#This Row],[Day]]-pl_m)-phi_l_m)^2/(1+TANH(phi_l_m)),0)</f>
        <v>65.226706654399095</v>
      </c>
      <c r="AD90" s="72">
        <f>Tabella3[[#This Row],[6-days moving avg fit]]*NOT(ISBLANK(Tabella3[[#This Row],[6-days moving avg]]))</f>
        <v>65.226706654399095</v>
      </c>
      <c r="AE90" s="72">
        <f>Tabella3[[#This Row],[region fit]]+CIl</f>
        <v>134.59169302949948</v>
      </c>
      <c r="AF90" s="72">
        <f>MAX(Tabella3[[#This Row],[region fit]]-CIl,0)</f>
        <v>0</v>
      </c>
      <c r="AG90" s="10">
        <f>Tabella8[[#This Row],[rest of Italy ]]</f>
        <v>13138</v>
      </c>
      <c r="AH90" s="10">
        <f>(Tabella3[[#This Row],[rest of Italy cum. data]]-AG89)</f>
        <v>952</v>
      </c>
      <c r="AI90" s="72">
        <f>Tabella3[[#This Row],[rest of Italy data]]*NOT(ISBLANK(Tabella3[[#This Row],[rest of Italy data]]))</f>
        <v>952</v>
      </c>
      <c r="AJ90" s="77">
        <f>Tabella8[[#This Row],[rest of Italy fit]]</f>
        <v>14003.76797970181</v>
      </c>
      <c r="AK90" s="72">
        <f>Tabella3[[#This Row],[rest of Italy cumul. fit]]/Ka</f>
        <v>6.3124360469552415E-2</v>
      </c>
      <c r="AL90" s="72">
        <f>IFERROR(Ka*psi_a*_xlfn.SECH(psi_a*(Tabella3[[#This Row],[Day]]-pa)-phi_a)^2/(1+TANH(phi_a)),0)</f>
        <v>1247.555102414932</v>
      </c>
      <c r="AM90" s="72">
        <f>Tabella3[[#This Row],[rest of Italy fit]]/y_a_peak</f>
        <v>0.41317318195067887</v>
      </c>
      <c r="AN90" s="72">
        <f>Tabella3[[#This Row],[rest of Italy fit]]*NOT(ISBLANK(Tabella3[[#This Row],[rest of Italy data]]))</f>
        <v>1247.555102414932</v>
      </c>
      <c r="AO90" s="72">
        <f>Tabella3[[#This Row],[rest of Italy fit]]+CIa</f>
        <v>2881.6890423687337</v>
      </c>
      <c r="AP90" s="72">
        <f>MAX(Tabella3[[#This Row],[rest of Italy fit]]-CIa,0)</f>
        <v>0</v>
      </c>
      <c r="AR90"/>
      <c r="AS90"/>
    </row>
    <row r="91" spans="2:45" x14ac:dyDescent="0.3">
      <c r="B91" s="9">
        <v>43914</v>
      </c>
      <c r="C91" s="4">
        <v>84</v>
      </c>
      <c r="D91" s="72">
        <f>'dpc-covid19-ita-andamento-naz'!J31+'dpc-covid19-ita-andamento-naz'!K31</f>
        <v>15146</v>
      </c>
      <c r="E91" s="72">
        <f>(Tabella3[[#This Row],[Italy cumul. data]]-D90)</f>
        <v>1637</v>
      </c>
      <c r="F91" s="72">
        <f>Tabella3[[#This Row],[Italy remov. rate data]]*NOT(ISBLANK(Tabella3[[#This Row],[Italy remov. rate data]]))</f>
        <v>1637</v>
      </c>
      <c r="G91" s="77">
        <f>Tabella8[[#This Row],[Italy fit]]</f>
        <v>15778.204505976713</v>
      </c>
      <c r="H91" s="77">
        <f>Tabella3[[#This Row],[Italy cumul. fit]]/Kf</f>
        <v>6.7141295334565143E-2</v>
      </c>
      <c r="I91" s="77">
        <f>Tabella3[[#This Row],[region fit]]+Tabella3[[#This Row],[rest of Italy fit]]</f>
        <v>1364.4189964773791</v>
      </c>
      <c r="J91" s="77">
        <f>Tabella3[[#This Row],[Italy (fit of selected region + fitted sum of the other regions)]]/(y_l_peak+y_a_peak)</f>
        <v>0.43086690767147251</v>
      </c>
      <c r="K91" s="72">
        <f>IFERROR(Kf*psi_f*_xlfn.SECH(psi_f*(Tabella3[[#This Row],[Day]]-pf)-phi_f)^2/(1+TANH(phi_f)),0)</f>
        <v>1368.2823216050815</v>
      </c>
      <c r="L91" s="292">
        <f>Tabella3[[#This Row],[Italy remov. rate fit]]-Tabella3[[#This Row],[Italy remov. rate data]]</f>
        <v>-268.71767839491849</v>
      </c>
      <c r="M91" s="293">
        <f>Tabella3[[#This Row],[rem. rate residuals]]*NOT(ISBLANK(Tabella3[[#This Row],[Italy remov. rate data]]))</f>
        <v>-268.71767839491849</v>
      </c>
      <c r="N91" s="72">
        <f>Tabella3[[#This Row],[Italy remov. rate fit]]/y_f_peak</f>
        <v>0.43313926295411426</v>
      </c>
      <c r="O91" s="72">
        <f>Tabella3[[#This Row],[Italy (fit of selected region + fitted sum of the other regions)]]*NOT(ISBLANK(Tabella3[[#This Row],[Italy remov. rate data]]))</f>
        <v>1364.4189964773791</v>
      </c>
      <c r="P91" s="72">
        <f>Tabella3[[#This Row],[Italy remov. rate fit]]*NOT(ISBLANK(Tabella3[[#This Row],[Italy remov. rate data]]))</f>
        <v>1368.2823216050815</v>
      </c>
      <c r="Q91" s="72">
        <f>Tabella3[[#This Row],[Italy remov. rate fit]]+CIf</f>
        <v>3023.4922905288331</v>
      </c>
      <c r="R91" s="72">
        <f>MAX(Tabella3[[#This Row],[Italy remov. rate fit]]-CIf,0)</f>
        <v>0</v>
      </c>
      <c r="S91" s="4">
        <f>Tabella8[[#This Row],[region data]]</f>
        <v>424</v>
      </c>
      <c r="T91" s="72">
        <f>(Tabella3[[#This Row],[region cumul. data]]-S90)</f>
        <v>53</v>
      </c>
      <c r="U91" s="72">
        <f>Tabella3[[#This Row],[region data]]*NOT(ISBLANK(Tabella3[[#This Row],[region data]]))</f>
        <v>53</v>
      </c>
      <c r="V91">
        <f t="shared" si="1"/>
        <v>50.5</v>
      </c>
      <c r="W91" s="72">
        <f>Tabella3[[#This Row],[6-days moving avg]]*NOT(ISBLANK(Tabella3[[#This Row],[6-days moving avg]]))</f>
        <v>50.5</v>
      </c>
      <c r="X91" s="77">
        <f>Tabella8[[#This Row],[region fit]]</f>
        <v>458.07338755702551</v>
      </c>
      <c r="Y91" s="72">
        <f>Tabella3[[#This Row],[region cumul. fit]]/Kl</f>
        <v>3.4818895699283724E-2</v>
      </c>
      <c r="Z91" s="72">
        <f>IFERROR(Kl*psi_l*_xlfn.SECH(psi_l*(Tabella3[[#This Row],[Day]]-pl)-phi_l)^2/(1+TANH(phi_l)),0)</f>
        <v>67.205496180315308</v>
      </c>
      <c r="AA91" s="72">
        <f>Tabella3[[#This Row],[region fit]]/y_l_peak</f>
        <v>0.4564511713448472</v>
      </c>
      <c r="AB91" s="72">
        <f>Tabella3[[#This Row],[region fit]]*NOT(ISBLANK(Tabella3[[#This Row],[region data]]))</f>
        <v>67.205496180315308</v>
      </c>
      <c r="AC91" s="166">
        <f>IFERROR(kl_m*psi_l_m*_xlfn.SECH(psi_l_m*(Tabella3[[#This Row],[Day]]-pl_m)-phi_l_m)^2/(1+TANH(phi_l_m)),0)</f>
        <v>67.205496180315308</v>
      </c>
      <c r="AD91" s="72">
        <f>Tabella3[[#This Row],[6-days moving avg fit]]*NOT(ISBLANK(Tabella3[[#This Row],[6-days moving avg]]))</f>
        <v>67.205496180315308</v>
      </c>
      <c r="AE91" s="72">
        <f>Tabella3[[#This Row],[region fit]]+CIl</f>
        <v>136.57048255541571</v>
      </c>
      <c r="AF91" s="72">
        <f>MAX(Tabella3[[#This Row],[region fit]]-CIl,0)</f>
        <v>0</v>
      </c>
      <c r="AG91" s="10">
        <f>Tabella8[[#This Row],[rest of Italy ]]</f>
        <v>14722</v>
      </c>
      <c r="AH91" s="10">
        <f>(Tabella3[[#This Row],[rest of Italy cum. data]]-AG90)</f>
        <v>1584</v>
      </c>
      <c r="AI91" s="72">
        <f>Tabella3[[#This Row],[rest of Italy data]]*NOT(ISBLANK(Tabella3[[#This Row],[rest of Italy data]]))</f>
        <v>1584</v>
      </c>
      <c r="AJ91" s="77">
        <f>Tabella8[[#This Row],[rest of Italy fit]]</f>
        <v>15276.049572546795</v>
      </c>
      <c r="AK91" s="72">
        <f>Tabella3[[#This Row],[rest of Italy cumul. fit]]/Ka</f>
        <v>6.8859385642915313E-2</v>
      </c>
      <c r="AL91" s="72">
        <f>IFERROR(Ka*psi_a*_xlfn.SECH(psi_a*(Tabella3[[#This Row],[Day]]-pa)-phi_a)^2/(1+TANH(phi_a)),0)</f>
        <v>1297.2135002970638</v>
      </c>
      <c r="AM91" s="72">
        <f>Tabella3[[#This Row],[rest of Italy fit]]/y_a_peak</f>
        <v>0.42961936394602063</v>
      </c>
      <c r="AN91" s="72">
        <f>Tabella3[[#This Row],[rest of Italy fit]]*NOT(ISBLANK(Tabella3[[#This Row],[rest of Italy data]]))</f>
        <v>1297.2135002970638</v>
      </c>
      <c r="AO91" s="72">
        <f>Tabella3[[#This Row],[rest of Italy fit]]+CIa</f>
        <v>2931.3474402508655</v>
      </c>
      <c r="AP91" s="72">
        <f>MAX(Tabella3[[#This Row],[rest of Italy fit]]-CIa,0)</f>
        <v>0</v>
      </c>
      <c r="AR91"/>
      <c r="AS91"/>
    </row>
    <row r="92" spans="2:45" x14ac:dyDescent="0.3">
      <c r="B92" s="9">
        <v>43915</v>
      </c>
      <c r="C92" s="4">
        <v>85</v>
      </c>
      <c r="D92" s="72">
        <f>'dpc-covid19-ita-andamento-naz'!J32+'dpc-covid19-ita-andamento-naz'!K32</f>
        <v>16865</v>
      </c>
      <c r="E92" s="72">
        <f>(Tabella3[[#This Row],[Italy cumul. data]]-D91)</f>
        <v>1719</v>
      </c>
      <c r="F92" s="72">
        <f>Tabella3[[#This Row],[Italy remov. rate data]]*NOT(ISBLANK(Tabella3[[#This Row],[Italy remov. rate data]]))</f>
        <v>1719</v>
      </c>
      <c r="G92" s="77">
        <f>Tabella8[[#This Row],[Italy fit]]</f>
        <v>17172.710690883545</v>
      </c>
      <c r="H92" s="77">
        <f>Tabella3[[#This Row],[Italy cumul. fit]]/Kf</f>
        <v>7.3075364168014537E-2</v>
      </c>
      <c r="I92" s="77">
        <f>Tabella3[[#This Row],[region fit]]+Tabella3[[#This Row],[rest of Italy fit]]</f>
        <v>1417.3044392015254</v>
      </c>
      <c r="J92" s="77">
        <f>Tabella3[[#This Row],[Italy (fit of selected region + fitted sum of the other regions)]]/(y_l_peak+y_a_peak)</f>
        <v>0.44756748661842316</v>
      </c>
      <c r="K92" s="72">
        <f>IFERROR(Kf*psi_f*_xlfn.SECH(psi_f*(Tabella3[[#This Row],[Day]]-pf)-phi_f)^2/(1+TANH(phi_f)),0)</f>
        <v>1420.9304161823907</v>
      </c>
      <c r="L92" s="292">
        <f>Tabella3[[#This Row],[Italy remov. rate fit]]-Tabella3[[#This Row],[Italy remov. rate data]]</f>
        <v>-298.06958381760933</v>
      </c>
      <c r="M92" s="293">
        <f>Tabella3[[#This Row],[rem. rate residuals]]*NOT(ISBLANK(Tabella3[[#This Row],[Italy remov. rate data]]))</f>
        <v>-298.06958381760933</v>
      </c>
      <c r="N92" s="72">
        <f>Tabella3[[#This Row],[Italy remov. rate fit]]/y_f_peak</f>
        <v>0.44980538259995145</v>
      </c>
      <c r="O92" s="72">
        <f>Tabella3[[#This Row],[Italy (fit of selected region + fitted sum of the other regions)]]*NOT(ISBLANK(Tabella3[[#This Row],[Italy remov. rate data]]))</f>
        <v>1417.3044392015254</v>
      </c>
      <c r="P92" s="72">
        <f>Tabella3[[#This Row],[Italy remov. rate fit]]*NOT(ISBLANK(Tabella3[[#This Row],[Italy remov. rate data]]))</f>
        <v>1420.9304161823907</v>
      </c>
      <c r="Q92" s="72">
        <f>Tabella3[[#This Row],[Italy remov. rate fit]]+CIf</f>
        <v>3076.1403851061423</v>
      </c>
      <c r="R92" s="72">
        <f>MAX(Tabella3[[#This Row],[Italy remov. rate fit]]-CIf,0)</f>
        <v>0</v>
      </c>
      <c r="S92" s="4">
        <f>Tabella8[[#This Row],[region data]]</f>
        <v>479</v>
      </c>
      <c r="T92" s="72">
        <f>(Tabella3[[#This Row],[region cumul. data]]-S91)</f>
        <v>55</v>
      </c>
      <c r="U92" s="72">
        <f>Tabella3[[#This Row],[region data]]*NOT(ISBLANK(Tabella3[[#This Row],[region data]]))</f>
        <v>55</v>
      </c>
      <c r="V92">
        <f t="shared" si="1"/>
        <v>53.333333333333336</v>
      </c>
      <c r="W92" s="72">
        <f>Tabella3[[#This Row],[6-days moving avg]]*NOT(ISBLANK(Tabella3[[#This Row],[6-days moving avg]]))</f>
        <v>53.333333333333336</v>
      </c>
      <c r="X92" s="77">
        <f>Tabella8[[#This Row],[region fit]]</f>
        <v>526.28265574970794</v>
      </c>
      <c r="Y92" s="72">
        <f>Tabella3[[#This Row],[region cumul. fit]]/Kl</f>
        <v>4.0003591993455191E-2</v>
      </c>
      <c r="Z92" s="72">
        <f>IFERROR(Kl*psi_l*_xlfn.SECH(psi_l*(Tabella3[[#This Row],[Day]]-pl)-phi_l)^2/(1+TANH(phi_l)),0)</f>
        <v>69.218669359982613</v>
      </c>
      <c r="AA92" s="72">
        <f>Tabella3[[#This Row],[region fit]]/y_l_peak</f>
        <v>0.47012438720078975</v>
      </c>
      <c r="AB92" s="72">
        <f>Tabella3[[#This Row],[region fit]]*NOT(ISBLANK(Tabella3[[#This Row],[region data]]))</f>
        <v>69.218669359982613</v>
      </c>
      <c r="AC92" s="166">
        <f>IFERROR(kl_m*psi_l_m*_xlfn.SECH(psi_l_m*(Tabella3[[#This Row],[Day]]-pl_m)-phi_l_m)^2/(1+TANH(phi_l_m)),0)</f>
        <v>69.218669359982613</v>
      </c>
      <c r="AD92" s="72">
        <f>Tabella3[[#This Row],[6-days moving avg fit]]*NOT(ISBLANK(Tabella3[[#This Row],[6-days moving avg]]))</f>
        <v>69.218669359982613</v>
      </c>
      <c r="AE92" s="72">
        <f>Tabella3[[#This Row],[region fit]]+CIl</f>
        <v>138.58365573508303</v>
      </c>
      <c r="AF92" s="72">
        <f>MAX(Tabella3[[#This Row],[region fit]]-CIl,0)</f>
        <v>0</v>
      </c>
      <c r="AG92" s="10">
        <f>Tabella8[[#This Row],[rest of Italy ]]</f>
        <v>16386</v>
      </c>
      <c r="AH92" s="10">
        <f>(Tabella3[[#This Row],[rest of Italy cum. data]]-AG91)</f>
        <v>1664</v>
      </c>
      <c r="AI92" s="72">
        <f>Tabella3[[#This Row],[rest of Italy data]]*NOT(ISBLANK(Tabella3[[#This Row],[rest of Italy data]]))</f>
        <v>1664</v>
      </c>
      <c r="AJ92" s="77">
        <f>Tabella8[[#This Row],[rest of Italy fit]]</f>
        <v>16598.59968790405</v>
      </c>
      <c r="AK92" s="72">
        <f>Tabella3[[#This Row],[rest of Italy cumul. fit]]/Ka</f>
        <v>7.4821004711573796E-2</v>
      </c>
      <c r="AL92" s="72">
        <f>IFERROR(Ka*psi_a*_xlfn.SECH(psi_a*(Tabella3[[#This Row],[Day]]-pa)-phi_a)^2/(1+TANH(phi_a)),0)</f>
        <v>1348.0857698415427</v>
      </c>
      <c r="AM92" s="72">
        <f>Tabella3[[#This Row],[rest of Italy fit]]/y_a_peak</f>
        <v>0.44646756362879036</v>
      </c>
      <c r="AN92" s="72">
        <f>Tabella3[[#This Row],[rest of Italy fit]]*NOT(ISBLANK(Tabella3[[#This Row],[rest of Italy data]]))</f>
        <v>1348.0857698415427</v>
      </c>
      <c r="AO92" s="72">
        <f>Tabella3[[#This Row],[rest of Italy fit]]+CIa</f>
        <v>2982.219709795344</v>
      </c>
      <c r="AP92" s="72">
        <f>MAX(Tabella3[[#This Row],[rest of Italy fit]]-CIa,0)</f>
        <v>0</v>
      </c>
      <c r="AR92"/>
      <c r="AS92"/>
    </row>
    <row r="93" spans="2:45" x14ac:dyDescent="0.3">
      <c r="B93" s="164">
        <v>43916</v>
      </c>
      <c r="C93" s="165">
        <v>86</v>
      </c>
      <c r="D93" s="72">
        <f>'dpc-covid19-ita-andamento-naz'!J33+'dpc-covid19-ita-andamento-naz'!K33</f>
        <v>18526</v>
      </c>
      <c r="E93" s="72">
        <f>(Tabella3[[#This Row],[Italy cumul. data]]-D92)</f>
        <v>1661</v>
      </c>
      <c r="F93" s="166">
        <f>Tabella3[[#This Row],[Italy remov. rate data]]*NOT(ISBLANK(Tabella3[[#This Row],[Italy remov. rate data]]))</f>
        <v>1661</v>
      </c>
      <c r="G93" s="167">
        <f>Tabella8[[#This Row],[Italy fit]]</f>
        <v>18620.458420082512</v>
      </c>
      <c r="H93" s="167">
        <f>Tabella3[[#This Row],[Italy cumul. fit]]/Kf</f>
        <v>7.9235992762939494E-2</v>
      </c>
      <c r="I93" s="167">
        <f>Tabella3[[#This Row],[region fit]]+Tabella3[[#This Row],[rest of Italy fit]]</f>
        <v>1471.3947484425912</v>
      </c>
      <c r="J93" s="167">
        <f>Tabella3[[#This Row],[Italy (fit of selected region + fitted sum of the other regions)]]/(y_l_peak+y_a_peak)</f>
        <v>0.46464854774250736</v>
      </c>
      <c r="K93" s="72">
        <f>IFERROR(Kf*psi_f*_xlfn.SECH(psi_f*(Tabella3[[#This Row],[Day]]-pf)-phi_f)^2/(1+TANH(phi_f)),0)</f>
        <v>1474.7574919062652</v>
      </c>
      <c r="L93" s="292">
        <f>Tabella3[[#This Row],[Italy remov. rate fit]]-Tabella3[[#This Row],[Italy remov. rate data]]</f>
        <v>-186.24250809373484</v>
      </c>
      <c r="M93" s="293">
        <f>Tabella3[[#This Row],[rem. rate residuals]]*NOT(ISBLANK(Tabella3[[#This Row],[Italy remov. rate data]]))</f>
        <v>-186.24250809373484</v>
      </c>
      <c r="N93" s="166">
        <f>Tabella3[[#This Row],[Italy remov. rate fit]]/y_f_peak</f>
        <v>0.46684471690828688</v>
      </c>
      <c r="O93" s="166">
        <f>Tabella3[[#This Row],[Italy (fit of selected region + fitted sum of the other regions)]]*NOT(ISBLANK(Tabella3[[#This Row],[Italy remov. rate data]]))</f>
        <v>1471.3947484425912</v>
      </c>
      <c r="P93" s="166">
        <f>Tabella3[[#This Row],[Italy remov. rate fit]]*NOT(ISBLANK(Tabella3[[#This Row],[Italy remov. rate data]]))</f>
        <v>1474.7574919062652</v>
      </c>
      <c r="Q93" s="166">
        <f>Tabella3[[#This Row],[Italy remov. rate fit]]+CIf</f>
        <v>3129.9674608300165</v>
      </c>
      <c r="R93" s="166">
        <f>MAX(Tabella3[[#This Row],[Italy remov. rate fit]]-CIf,0)</f>
        <v>0</v>
      </c>
      <c r="S93" s="165">
        <f>Tabella8[[#This Row],[region data]]</f>
        <v>540</v>
      </c>
      <c r="T93" s="166">
        <f>(Tabella3[[#This Row],[region cumul. data]]-S92)</f>
        <v>61</v>
      </c>
      <c r="U93" s="166">
        <f>Tabella3[[#This Row],[region data]]*NOT(ISBLANK(Tabella3[[#This Row],[region data]]))</f>
        <v>61</v>
      </c>
      <c r="V93">
        <f t="shared" si="1"/>
        <v>59.833333333333336</v>
      </c>
      <c r="W93" s="72">
        <f>Tabella3[[#This Row],[6-days moving avg]]*NOT(ISBLANK(Tabella3[[#This Row],[6-days moving avg]]))</f>
        <v>59.833333333333336</v>
      </c>
      <c r="X93" s="167">
        <f>Tabella8[[#This Row],[region fit]]</f>
        <v>596.52176444625877</v>
      </c>
      <c r="Y93" s="166">
        <f>Tabella3[[#This Row],[region cumul. fit]]/Kl</f>
        <v>4.5342579732426162E-2</v>
      </c>
      <c r="Z93" s="72">
        <f>IFERROR(Kl*psi_l*_xlfn.SECH(psi_l*(Tabella3[[#This Row],[Day]]-pl)-phi_l)^2/(1+TANH(phi_l)),0)</f>
        <v>71.264951769918511</v>
      </c>
      <c r="AA93" s="166">
        <f>Tabella3[[#This Row],[region fit]]/y_l_peak</f>
        <v>0.48402247673221077</v>
      </c>
      <c r="AB93" s="166">
        <f>Tabella3[[#This Row],[region fit]]*NOT(ISBLANK(Tabella3[[#This Row],[region data]]))</f>
        <v>71.264951769918511</v>
      </c>
      <c r="AC93" s="166">
        <f>IFERROR(kl_m*psi_l_m*_xlfn.SECH(psi_l_m*(Tabella3[[#This Row],[Day]]-pl_m)-phi_l_m)^2/(1+TANH(phi_l_m)),0)</f>
        <v>71.264951769918511</v>
      </c>
      <c r="AD93" s="72">
        <f>Tabella3[[#This Row],[6-days moving avg fit]]*NOT(ISBLANK(Tabella3[[#This Row],[6-days moving avg]]))</f>
        <v>71.264951769918511</v>
      </c>
      <c r="AE93" s="166">
        <f>Tabella3[[#This Row],[region fit]]+CIl</f>
        <v>140.62993814501891</v>
      </c>
      <c r="AF93" s="166">
        <f>MAX(Tabella3[[#This Row],[region fit]]-CIl,0)</f>
        <v>1.8999653948181106</v>
      </c>
      <c r="AG93" s="168">
        <f>Tabella8[[#This Row],[rest of Italy ]]</f>
        <v>17986</v>
      </c>
      <c r="AH93" s="168">
        <f>(Tabella3[[#This Row],[rest of Italy cum. data]]-AG92)</f>
        <v>1600</v>
      </c>
      <c r="AI93" s="166">
        <f>Tabella3[[#This Row],[rest of Italy data]]*NOT(ISBLANK(Tabella3[[#This Row],[rest of Italy data]]))</f>
        <v>1600</v>
      </c>
      <c r="AJ93" s="167">
        <f>Tabella8[[#This Row],[rest of Italy fit]]</f>
        <v>17972.611786618727</v>
      </c>
      <c r="AK93" s="166">
        <f>Tabella3[[#This Row],[rest of Italy cumul. fit]]/Ka</f>
        <v>8.1014597402805921E-2</v>
      </c>
      <c r="AL93" s="72">
        <f>IFERROR(Ka*psi_a*_xlfn.SECH(psi_a*(Tabella3[[#This Row],[Day]]-pa)-phi_a)^2/(1+TANH(phi_a)),0)</f>
        <v>1400.1297966726727</v>
      </c>
      <c r="AM93" s="166">
        <f>Tabella3[[#This Row],[rest of Italy fit]]/y_a_peak</f>
        <v>0.46370383329392983</v>
      </c>
      <c r="AN93" s="166">
        <f>Tabella3[[#This Row],[rest of Italy fit]]*NOT(ISBLANK(Tabella3[[#This Row],[rest of Italy data]]))</f>
        <v>1400.1297966726727</v>
      </c>
      <c r="AO93" s="166">
        <f>Tabella3[[#This Row],[rest of Italy fit]]+CIa</f>
        <v>3034.2637366264744</v>
      </c>
      <c r="AP93" s="166">
        <f>MAX(Tabella3[[#This Row],[rest of Italy fit]]-CIa,0)</f>
        <v>0</v>
      </c>
      <c r="AR93"/>
      <c r="AS93"/>
    </row>
    <row r="94" spans="2:45" x14ac:dyDescent="0.3">
      <c r="B94" s="9">
        <v>43917</v>
      </c>
      <c r="C94" s="4">
        <v>87</v>
      </c>
      <c r="D94" s="72">
        <f>'dpc-covid19-ita-andamento-naz'!J34+'dpc-covid19-ita-andamento-naz'!K34</f>
        <v>20084</v>
      </c>
      <c r="E94" s="72">
        <f>(Tabella3[[#This Row],[Italy cumul. data]]-D93)</f>
        <v>1558</v>
      </c>
      <c r="F94" s="72">
        <f>Tabella3[[#This Row],[Italy remov. rate data]]*NOT(ISBLANK(Tabella3[[#This Row],[Italy remov. rate data]]))</f>
        <v>1558</v>
      </c>
      <c r="G94" s="77">
        <f>Tabella8[[#This Row],[Italy fit]]</f>
        <v>20122.601579114606</v>
      </c>
      <c r="H94" s="77">
        <f>Tabella3[[#This Row],[Italy cumul. fit]]/Kf</f>
        <v>8.5628091270546408E-2</v>
      </c>
      <c r="I94" s="77">
        <f>Tabella3[[#This Row],[region fit]]+Tabella3[[#This Row],[rest of Italy fit]]</f>
        <v>1526.6384035655344</v>
      </c>
      <c r="J94" s="77">
        <f>Tabella3[[#This Row],[Italy (fit of selected region + fitted sum of the other regions)]]/(y_l_peak+y_a_peak)</f>
        <v>0.48209382145442792</v>
      </c>
      <c r="K94" s="72">
        <f>IFERROR(Kf*psi_f*_xlfn.SECH(psi_f*(Tabella3[[#This Row],[Day]]-pf)-phi_f)^2/(1+TANH(phi_f)),0)</f>
        <v>1529.7120034050286</v>
      </c>
      <c r="L94" s="292">
        <f>Tabella3[[#This Row],[Italy remov. rate fit]]-Tabella3[[#This Row],[Italy remov. rate data]]</f>
        <v>-28.287996594971446</v>
      </c>
      <c r="M94" s="293">
        <f>Tabella3[[#This Row],[rem. rate residuals]]*NOT(ISBLANK(Tabella3[[#This Row],[Italy remov. rate data]]))</f>
        <v>-28.287996594971446</v>
      </c>
      <c r="N94" s="72">
        <f>Tabella3[[#This Row],[Italy remov. rate fit]]/y_f_peak</f>
        <v>0.48424094883406033</v>
      </c>
      <c r="O94" s="72">
        <f>Tabella3[[#This Row],[Italy (fit of selected region + fitted sum of the other regions)]]*NOT(ISBLANK(Tabella3[[#This Row],[Italy remov. rate data]]))</f>
        <v>1526.6384035655344</v>
      </c>
      <c r="P94" s="72">
        <f>Tabella3[[#This Row],[Italy remov. rate fit]]*NOT(ISBLANK(Tabella3[[#This Row],[Italy remov. rate data]]))</f>
        <v>1529.7120034050286</v>
      </c>
      <c r="Q94" s="72">
        <f>Tabella3[[#This Row],[Italy remov. rate fit]]+CIf</f>
        <v>3184.9219723287797</v>
      </c>
      <c r="R94" s="72">
        <f>MAX(Tabella3[[#This Row],[Italy remov. rate fit]]-CIf,0)</f>
        <v>0</v>
      </c>
      <c r="S94" s="4">
        <f>Tabella8[[#This Row],[region data]]</f>
        <v>636</v>
      </c>
      <c r="T94" s="72">
        <f>(Tabella3[[#This Row],[region cumul. data]]-S93)</f>
        <v>96</v>
      </c>
      <c r="U94" s="72">
        <f>Tabella3[[#This Row],[region data]]*NOT(ISBLANK(Tabella3[[#This Row],[region data]]))</f>
        <v>96</v>
      </c>
      <c r="V94">
        <f t="shared" si="1"/>
        <v>70.333333333333329</v>
      </c>
      <c r="W94" s="72">
        <f>Tabella3[[#This Row],[6-days moving avg]]*NOT(ISBLANK(Tabella3[[#This Row],[6-days moving avg]]))</f>
        <v>70.333333333333329</v>
      </c>
      <c r="X94" s="77">
        <f>Tabella8[[#This Row],[region fit]]</f>
        <v>668.82311995188422</v>
      </c>
      <c r="Y94" s="72">
        <f>Tabella3[[#This Row],[region cumul. fit]]/Kl</f>
        <v>5.0838322171630423E-2</v>
      </c>
      <c r="Z94" s="72">
        <f>IFERROR(Kl*psi_l*_xlfn.SECH(psi_l*(Tabella3[[#This Row],[Day]]-pl)-phi_l)^2/(1+TANH(phi_l)),0)</f>
        <v>73.342910703513695</v>
      </c>
      <c r="AA94" s="72">
        <f>Tabella3[[#This Row],[region fit]]/y_l_peak</f>
        <v>0.4981357091782771</v>
      </c>
      <c r="AB94" s="72">
        <f>Tabella3[[#This Row],[region fit]]*NOT(ISBLANK(Tabella3[[#This Row],[region data]]))</f>
        <v>73.342910703513695</v>
      </c>
      <c r="AC94" s="166">
        <f>IFERROR(kl_m*psi_l_m*_xlfn.SECH(psi_l_m*(Tabella3[[#This Row],[Day]]-pl_m)-phi_l_m)^2/(1+TANH(phi_l_m)),0)</f>
        <v>73.342910703513695</v>
      </c>
      <c r="AD94" s="72">
        <f>Tabella3[[#This Row],[6-days moving avg fit]]*NOT(ISBLANK(Tabella3[[#This Row],[6-days moving avg]]))</f>
        <v>73.342910703513695</v>
      </c>
      <c r="AE94" s="72">
        <f>Tabella3[[#This Row],[region fit]]+CIl</f>
        <v>142.70789707861411</v>
      </c>
      <c r="AF94" s="72">
        <f>MAX(Tabella3[[#This Row],[region fit]]-CIl,0)</f>
        <v>3.9779243284132946</v>
      </c>
      <c r="AG94" s="10">
        <f>Tabella8[[#This Row],[rest of Italy ]]</f>
        <v>19448</v>
      </c>
      <c r="AH94" s="10">
        <f>(Tabella3[[#This Row],[rest of Italy cum. data]]-AG93)</f>
        <v>1462</v>
      </c>
      <c r="AI94" s="72">
        <f>Tabella3[[#This Row],[rest of Italy data]]*NOT(ISBLANK(Tabella3[[#This Row],[rest of Italy data]]))</f>
        <v>1462</v>
      </c>
      <c r="AJ94" s="77">
        <f>Tabella8[[#This Row],[rest of Italy fit]]</f>
        <v>19399.233264332561</v>
      </c>
      <c r="AK94" s="72">
        <f>Tabella3[[#This Row],[rest of Italy cumul. fit]]/Ka</f>
        <v>8.7445335797168483E-2</v>
      </c>
      <c r="AL94" s="72">
        <f>IFERROR(Ka*psi_a*_xlfn.SECH(psi_a*(Tabella3[[#This Row],[Day]]-pa)-phi_a)^2/(1+TANH(phi_a)),0)</f>
        <v>1453.2954928620206</v>
      </c>
      <c r="AM94" s="72">
        <f>Tabella3[[#This Row],[rest of Italy fit]]/y_a_peak</f>
        <v>0.48131158450480177</v>
      </c>
      <c r="AN94" s="72">
        <f>Tabella3[[#This Row],[rest of Italy fit]]*NOT(ISBLANK(Tabella3[[#This Row],[rest of Italy data]]))</f>
        <v>1453.2954928620206</v>
      </c>
      <c r="AO94" s="72">
        <f>Tabella3[[#This Row],[rest of Italy fit]]+CIa</f>
        <v>3087.4294328158221</v>
      </c>
      <c r="AP94" s="72">
        <f>MAX(Tabella3[[#This Row],[rest of Italy fit]]-CIa,0)</f>
        <v>0</v>
      </c>
      <c r="AR94"/>
      <c r="AS94"/>
    </row>
    <row r="95" spans="2:45" x14ac:dyDescent="0.3">
      <c r="B95" s="9">
        <v>43918</v>
      </c>
      <c r="C95" s="4">
        <v>88</v>
      </c>
      <c r="D95" s="72">
        <f>'dpc-covid19-ita-andamento-naz'!J35+'dpc-covid19-ita-andamento-naz'!K35</f>
        <v>22407</v>
      </c>
      <c r="E95" s="72">
        <f>(Tabella3[[#This Row],[Italy cumul. data]]-D94)</f>
        <v>2323</v>
      </c>
      <c r="F95" s="72">
        <f>Tabella3[[#This Row],[Italy remov. rate data]]*NOT(ISBLANK(Tabella3[[#This Row],[Italy remov. rate data]]))</f>
        <v>2323</v>
      </c>
      <c r="G95" s="77">
        <f>Tabella8[[#This Row],[Italy fit]]</f>
        <v>21680.238380000101</v>
      </c>
      <c r="H95" s="77">
        <f>Tabella3[[#This Row],[Italy cumul. fit]]/Kf</f>
        <v>9.2256332933444443E-2</v>
      </c>
      <c r="I95" s="77">
        <f>Tabella3[[#This Row],[region fit]]+Tabella3[[#This Row],[rest of Italy fit]]</f>
        <v>1582.9753270962813</v>
      </c>
      <c r="J95" s="77">
        <f>Tabella3[[#This Row],[Italy (fit of selected region + fitted sum of the other regions)]]/(y_l_peak+y_a_peak)</f>
        <v>0.49988433601929866</v>
      </c>
      <c r="K95" s="72">
        <f>IFERROR(Kf*psi_f*_xlfn.SECH(psi_f*(Tabella3[[#This Row],[Day]]-pf)-phi_f)^2/(1+TANH(phi_f)),0)</f>
        <v>1585.7340842968274</v>
      </c>
      <c r="L95" s="292">
        <f>Tabella3[[#This Row],[Italy remov. rate fit]]-Tabella3[[#This Row],[Italy remov. rate data]]</f>
        <v>-737.2659157031726</v>
      </c>
      <c r="M95" s="293">
        <f>Tabella3[[#This Row],[rem. rate residuals]]*NOT(ISBLANK(Tabella3[[#This Row],[Italy remov. rate data]]))</f>
        <v>-737.2659157031726</v>
      </c>
      <c r="N95" s="72">
        <f>Tabella3[[#This Row],[Italy remov. rate fit]]/y_f_peak</f>
        <v>0.50197512725870352</v>
      </c>
      <c r="O95" s="72">
        <f>Tabella3[[#This Row],[Italy (fit of selected region + fitted sum of the other regions)]]*NOT(ISBLANK(Tabella3[[#This Row],[Italy remov. rate data]]))</f>
        <v>1582.9753270962813</v>
      </c>
      <c r="P95" s="72">
        <f>Tabella3[[#This Row],[Italy remov. rate fit]]*NOT(ISBLANK(Tabella3[[#This Row],[Italy remov. rate data]]))</f>
        <v>1585.7340842968274</v>
      </c>
      <c r="Q95" s="72">
        <f>Tabella3[[#This Row],[Italy remov. rate fit]]+CIf</f>
        <v>3240.944053220579</v>
      </c>
      <c r="R95" s="72">
        <f>MAX(Tabella3[[#This Row],[Italy remov. rate fit]]-CIf,0)</f>
        <v>0</v>
      </c>
      <c r="S95" s="4">
        <f>Tabella8[[#This Row],[region data]]</f>
        <v>736</v>
      </c>
      <c r="T95" s="72">
        <f>(Tabella3[[#This Row],[region cumul. data]]-S94)</f>
        <v>100</v>
      </c>
      <c r="U95" s="72">
        <f>Tabella3[[#This Row],[region data]]*NOT(ISBLANK(Tabella3[[#This Row],[region data]]))</f>
        <v>100</v>
      </c>
      <c r="V95">
        <f t="shared" si="1"/>
        <v>71</v>
      </c>
      <c r="W95" s="72">
        <f>Tabella3[[#This Row],[6-days moving avg]]*NOT(ISBLANK(Tabella3[[#This Row],[6-days moving avg]]))</f>
        <v>71</v>
      </c>
      <c r="X95" s="77">
        <f>Tabella8[[#This Row],[region fit]]</f>
        <v>743.21761438747058</v>
      </c>
      <c r="Y95" s="72">
        <f>Tabella3[[#This Row],[region cumul. fit]]/Kl</f>
        <v>5.6493167470913729E-2</v>
      </c>
      <c r="Z95" s="72">
        <f>IFERROR(Kl*psi_l*_xlfn.SECH(psi_l*(Tabella3[[#This Row],[Day]]-pl)-phi_l)^2/(1+TANH(phi_l)),0)</f>
        <v>75.450949604938373</v>
      </c>
      <c r="AA95" s="72">
        <f>Tabella3[[#This Row],[region fit]]/y_l_peak</f>
        <v>0.51245324093511624</v>
      </c>
      <c r="AB95" s="72">
        <f>Tabella3[[#This Row],[region fit]]*NOT(ISBLANK(Tabella3[[#This Row],[region data]]))</f>
        <v>75.450949604938373</v>
      </c>
      <c r="AC95" s="166">
        <f>IFERROR(kl_m*psi_l_m*_xlfn.SECH(psi_l_m*(Tabella3[[#This Row],[Day]]-pl_m)-phi_l_m)^2/(1+TANH(phi_l_m)),0)</f>
        <v>75.450949604938373</v>
      </c>
      <c r="AD95" s="72">
        <f>Tabella3[[#This Row],[6-days moving avg fit]]*NOT(ISBLANK(Tabella3[[#This Row],[6-days moving avg]]))</f>
        <v>75.450949604938373</v>
      </c>
      <c r="AE95" s="72">
        <f>Tabella3[[#This Row],[region fit]]+CIl</f>
        <v>144.81593598003877</v>
      </c>
      <c r="AF95" s="72">
        <f>MAX(Tabella3[[#This Row],[region fit]]-CIl,0)</f>
        <v>6.0859632298379722</v>
      </c>
      <c r="AG95" s="10">
        <f>Tabella8[[#This Row],[rest of Italy ]]</f>
        <v>21671</v>
      </c>
      <c r="AH95" s="10">
        <f>(Tabella3[[#This Row],[rest of Italy cum. data]]-AG94)</f>
        <v>2223</v>
      </c>
      <c r="AI95" s="72">
        <f>Tabella3[[#This Row],[rest of Italy data]]*NOT(ISBLANK(Tabella3[[#This Row],[rest of Italy data]]))</f>
        <v>2223</v>
      </c>
      <c r="AJ95" s="77">
        <f>Tabella8[[#This Row],[rest of Italy fit]]</f>
        <v>20879.557266138359</v>
      </c>
      <c r="AK95" s="72">
        <f>Tabella3[[#This Row],[rest of Italy cumul. fit]]/Ka</f>
        <v>9.411814743166326E-2</v>
      </c>
      <c r="AL95" s="72">
        <f>IFERROR(Ka*psi_a*_xlfn.SECH(psi_a*(Tabella3[[#This Row],[Day]]-pa)-phi_a)^2/(1+TANH(phi_a)),0)</f>
        <v>1507.5243774913429</v>
      </c>
      <c r="AM95" s="72">
        <f>Tabella3[[#This Row],[rest of Italy fit]]/y_a_peak</f>
        <v>0.49927144918136912</v>
      </c>
      <c r="AN95" s="72">
        <f>Tabella3[[#This Row],[rest of Italy fit]]*NOT(ISBLANK(Tabella3[[#This Row],[rest of Italy data]]))</f>
        <v>1507.5243774913429</v>
      </c>
      <c r="AO95" s="72">
        <f>Tabella3[[#This Row],[rest of Italy fit]]+CIa</f>
        <v>3141.6583174451443</v>
      </c>
      <c r="AP95" s="72">
        <f>MAX(Tabella3[[#This Row],[rest of Italy fit]]-CIa,0)</f>
        <v>0</v>
      </c>
      <c r="AR95"/>
      <c r="AS95"/>
    </row>
    <row r="96" spans="2:45" x14ac:dyDescent="0.3">
      <c r="B96" s="159">
        <v>43919</v>
      </c>
      <c r="C96" s="160">
        <v>89</v>
      </c>
      <c r="D96" s="72">
        <f>'dpc-covid19-ita-andamento-naz'!J36+'dpc-covid19-ita-andamento-naz'!K36</f>
        <v>23809</v>
      </c>
      <c r="E96" s="72">
        <f>(Tabella3[[#This Row],[Italy cumul. data]]-D95)</f>
        <v>1402</v>
      </c>
      <c r="F96" s="161">
        <f>Tabella3[[#This Row],[Italy remov. rate data]]*NOT(ISBLANK(Tabella3[[#This Row],[Italy remov. rate data]]))</f>
        <v>1402</v>
      </c>
      <c r="G96" s="162">
        <f>Tabella8[[#This Row],[Italy fit]]</f>
        <v>23294.402851245672</v>
      </c>
      <c r="H96" s="162">
        <f>Tabella3[[#This Row],[Italy cumul. fit]]/Kf</f>
        <v>9.9125117872910035E-2</v>
      </c>
      <c r="I96" s="162">
        <f>Tabella3[[#This Row],[region fit]]+Tabella3[[#This Row],[rest of Italy fit]]</f>
        <v>1640.3364888954709</v>
      </c>
      <c r="J96" s="162">
        <f>Tabella3[[#This Row],[Italy (fit of selected region + fitted sum of the other regions)]]/(y_l_peak+y_a_peak)</f>
        <v>0.51799829255953178</v>
      </c>
      <c r="K96" s="72">
        <f>IFERROR(Kf*psi_f*_xlfn.SECH(psi_f*(Tabella3[[#This Row],[Day]]-pf)-phi_f)^2/(1+TANH(phi_f)),0)</f>
        <v>1642.7551746329507</v>
      </c>
      <c r="L96" s="292">
        <f>Tabella3[[#This Row],[Italy remov. rate fit]]-Tabella3[[#This Row],[Italy remov. rate data]]</f>
        <v>240.75517463295068</v>
      </c>
      <c r="M96" s="293">
        <f>Tabella3[[#This Row],[rem. rate residuals]]*NOT(ISBLANK(Tabella3[[#This Row],[Italy remov. rate data]]))</f>
        <v>240.75517463295068</v>
      </c>
      <c r="N96" s="161">
        <f>Tabella3[[#This Row],[Italy remov. rate fit]]/y_f_peak</f>
        <v>0.52002554905473752</v>
      </c>
      <c r="O96" s="161">
        <f>Tabella3[[#This Row],[Italy (fit of selected region + fitted sum of the other regions)]]*NOT(ISBLANK(Tabella3[[#This Row],[Italy remov. rate data]]))</f>
        <v>1640.3364888954709</v>
      </c>
      <c r="P96" s="161">
        <f>Tabella3[[#This Row],[Italy remov. rate fit]]*NOT(ISBLANK(Tabella3[[#This Row],[Italy remov. rate data]]))</f>
        <v>1642.7551746329507</v>
      </c>
      <c r="Q96" s="161">
        <f>Tabella3[[#This Row],[Italy remov. rate fit]]+CIf</f>
        <v>3297.9651435567021</v>
      </c>
      <c r="R96" s="161">
        <f>MAX(Tabella3[[#This Row],[Italy remov. rate fit]]-CIf,0)</f>
        <v>0</v>
      </c>
      <c r="S96" s="160">
        <f>Tabella8[[#This Row],[region data]]</f>
        <v>797</v>
      </c>
      <c r="T96" s="161">
        <f>(Tabella3[[#This Row],[region cumul. data]]-S95)</f>
        <v>61</v>
      </c>
      <c r="U96" s="161">
        <f>Tabella3[[#This Row],[region data]]*NOT(ISBLANK(Tabella3[[#This Row],[region data]]))</f>
        <v>61</v>
      </c>
      <c r="V96">
        <f t="shared" si="1"/>
        <v>68.333333333333329</v>
      </c>
      <c r="W96" s="72">
        <f>Tabella3[[#This Row],[6-days moving avg]]*NOT(ISBLANK(Tabella3[[#This Row],[6-days moving avg]]))</f>
        <v>68.333333333333329</v>
      </c>
      <c r="X96" s="162">
        <f>Tabella8[[#This Row],[region fit]]</f>
        <v>819.73445923514714</v>
      </c>
      <c r="Y96" s="161">
        <f>Tabella3[[#This Row],[region cumul. fit]]/Kl</f>
        <v>6.2309336042064033E-2</v>
      </c>
      <c r="Z96" s="72">
        <f>IFERROR(Kl*psi_l*_xlfn.SECH(psi_l*(Tabella3[[#This Row],[Day]]-pl)-phi_l)^2/(1+TANH(phi_l)),0)</f>
        <v>77.587302937478483</v>
      </c>
      <c r="AA96" s="161">
        <f>Tabella3[[#This Row],[region fit]]/y_l_peak</f>
        <v>0.52696308070220998</v>
      </c>
      <c r="AB96" s="161">
        <f>Tabella3[[#This Row],[region fit]]*NOT(ISBLANK(Tabella3[[#This Row],[region data]]))</f>
        <v>77.587302937478483</v>
      </c>
      <c r="AC96" s="166">
        <f>IFERROR(kl_m*psi_l_m*_xlfn.SECH(psi_l_m*(Tabella3[[#This Row],[Day]]-pl_m)-phi_l_m)^2/(1+TANH(phi_l_m)),0)</f>
        <v>77.587302937478483</v>
      </c>
      <c r="AD96" s="72">
        <f>Tabella3[[#This Row],[6-days moving avg fit]]*NOT(ISBLANK(Tabella3[[#This Row],[6-days moving avg]]))</f>
        <v>77.587302937478483</v>
      </c>
      <c r="AE96" s="161">
        <f>Tabella3[[#This Row],[region fit]]+CIl</f>
        <v>146.9522893125789</v>
      </c>
      <c r="AF96" s="161">
        <f>MAX(Tabella3[[#This Row],[region fit]]-CIl,0)</f>
        <v>8.2223165623780829</v>
      </c>
      <c r="AG96" s="163">
        <f>Tabella8[[#This Row],[rest of Italy ]]</f>
        <v>23012</v>
      </c>
      <c r="AH96" s="163">
        <f>(Tabella3[[#This Row],[rest of Italy cum. data]]-AG95)</f>
        <v>1341</v>
      </c>
      <c r="AI96" s="161">
        <f>Tabella3[[#This Row],[rest of Italy data]]*NOT(ISBLANK(Tabella3[[#This Row],[rest of Italy data]]))</f>
        <v>1341</v>
      </c>
      <c r="AJ96" s="162">
        <f>Tabella8[[#This Row],[rest of Italy fit]]</f>
        <v>22414.614095520239</v>
      </c>
      <c r="AK96" s="161">
        <f>Tabella3[[#This Row],[rest of Italy cumul. fit]]/Ka</f>
        <v>0.10103767657407721</v>
      </c>
      <c r="AL96" s="72">
        <f>IFERROR(Ka*psi_a*_xlfn.SECH(psi_a*(Tabella3[[#This Row],[Day]]-pa)-phi_a)^2/(1+TANH(phi_a)),0)</f>
        <v>1562.7491859579925</v>
      </c>
      <c r="AM96" s="161">
        <f>Tabella3[[#This Row],[rest of Italy fit]]/y_a_peak</f>
        <v>0.51756115020749138</v>
      </c>
      <c r="AN96" s="161">
        <f>Tabella3[[#This Row],[rest of Italy fit]]*NOT(ISBLANK(Tabella3[[#This Row],[rest of Italy data]]))</f>
        <v>1562.7491859579925</v>
      </c>
      <c r="AO96" s="161">
        <f>Tabella3[[#This Row],[rest of Italy fit]]+CIa</f>
        <v>3196.8831259117942</v>
      </c>
      <c r="AP96" s="161">
        <f>MAX(Tabella3[[#This Row],[rest of Italy fit]]-CIa,0)</f>
        <v>0</v>
      </c>
      <c r="AR96"/>
      <c r="AS96"/>
    </row>
    <row r="97" spans="2:45" x14ac:dyDescent="0.3">
      <c r="B97" s="9">
        <v>43920</v>
      </c>
      <c r="C97" s="4">
        <v>90</v>
      </c>
      <c r="D97" s="72">
        <f>'dpc-covid19-ita-andamento-naz'!J37+'dpc-covid19-ita-andamento-naz'!K37</f>
        <v>26211</v>
      </c>
      <c r="E97" s="72">
        <f>(Tabella3[[#This Row],[Italy cumul. data]]-D96)</f>
        <v>2402</v>
      </c>
      <c r="F97" s="72">
        <f>Tabella3[[#This Row],[Italy remov. rate data]]*NOT(ISBLANK(Tabella3[[#This Row],[Italy remov. rate data]]))</f>
        <v>2402</v>
      </c>
      <c r="G97" s="77">
        <f>Tabella8[[#This Row],[Italy fit]]</f>
        <v>24966.055972823433</v>
      </c>
      <c r="H97" s="77">
        <f>Tabella3[[#This Row],[Italy cumul. fit]]/Kf</f>
        <v>0.10623853536539375</v>
      </c>
      <c r="I97" s="77">
        <f>Tabella3[[#This Row],[region fit]]+Tabella3[[#This Row],[rest of Italy fit]]</f>
        <v>1698.6435476514039</v>
      </c>
      <c r="J97" s="77">
        <f>Tabella3[[#This Row],[Italy (fit of selected region + fitted sum of the other regions)]]/(y_l_peak+y_a_peak)</f>
        <v>0.53641095184267618</v>
      </c>
      <c r="K97" s="72">
        <f>IFERROR(Kf*psi_f*_xlfn.SECH(psi_f*(Tabella3[[#This Row],[Day]]-pf)-phi_f)^2/(1+TANH(phi_f)),0)</f>
        <v>1700.6976847170738</v>
      </c>
      <c r="L97" s="292">
        <f>Tabella3[[#This Row],[Italy remov. rate fit]]-Tabella3[[#This Row],[Italy remov. rate data]]</f>
        <v>-701.3023152829262</v>
      </c>
      <c r="M97" s="293">
        <f>Tabella3[[#This Row],[rem. rate residuals]]*NOT(ISBLANK(Tabella3[[#This Row],[Italy remov. rate data]]))</f>
        <v>-701.3023152829262</v>
      </c>
      <c r="N97" s="72">
        <f>Tabella3[[#This Row],[Italy remov. rate fit]]/y_f_peak</f>
        <v>0.53836765266542208</v>
      </c>
      <c r="O97" s="72">
        <f>Tabella3[[#This Row],[Italy (fit of selected region + fitted sum of the other regions)]]*NOT(ISBLANK(Tabella3[[#This Row],[Italy remov. rate data]]))</f>
        <v>1698.6435476514039</v>
      </c>
      <c r="P97" s="72">
        <f>Tabella3[[#This Row],[Italy remov. rate fit]]*NOT(ISBLANK(Tabella3[[#This Row],[Italy remov. rate data]]))</f>
        <v>1700.6976847170738</v>
      </c>
      <c r="Q97" s="72">
        <f>Tabella3[[#This Row],[Italy remov. rate fit]]+CIf</f>
        <v>3355.9076536408252</v>
      </c>
      <c r="R97" s="72">
        <f>MAX(Tabella3[[#This Row],[Italy remov. rate fit]]-CIf,0)</f>
        <v>45.487715793322423</v>
      </c>
      <c r="S97" s="4">
        <f>Tabella8[[#This Row],[region data]]</f>
        <v>834</v>
      </c>
      <c r="T97" s="72">
        <f>(Tabella3[[#This Row],[region cumul. data]]-S96)</f>
        <v>37</v>
      </c>
      <c r="U97" s="72">
        <f>Tabella3[[#This Row],[region data]]*NOT(ISBLANK(Tabella3[[#This Row],[region data]]))</f>
        <v>37</v>
      </c>
      <c r="V97">
        <f t="shared" si="1"/>
        <v>71.5</v>
      </c>
      <c r="W97" s="72">
        <f>Tabella3[[#This Row],[6-days moving avg]]*NOT(ISBLANK(Tabella3[[#This Row],[6-days moving avg]]))</f>
        <v>71.5</v>
      </c>
      <c r="X97" s="77">
        <f>Tabella8[[#This Row],[region fit]]</f>
        <v>898.40101400151593</v>
      </c>
      <c r="Y97" s="72">
        <f>Tabella3[[#This Row],[region cumul. fit]]/Kl</f>
        <v>6.8288907525227746E-2</v>
      </c>
      <c r="Z97" s="72">
        <f>IFERROR(Kl*psi_l*_xlfn.SECH(psi_l*(Tabella3[[#This Row],[Day]]-pl)-phi_l)^2/(1+TANH(phi_l)),0)</f>
        <v>79.750031563661324</v>
      </c>
      <c r="AA97" s="72">
        <f>Tabella3[[#This Row],[region fit]]/y_l_peak</f>
        <v>0.54165205810479533</v>
      </c>
      <c r="AB97" s="72">
        <f>Tabella3[[#This Row],[region fit]]*NOT(ISBLANK(Tabella3[[#This Row],[region data]]))</f>
        <v>79.750031563661324</v>
      </c>
      <c r="AC97" s="166">
        <f>IFERROR(kl_m*psi_l_m*_xlfn.SECH(psi_l_m*(Tabella3[[#This Row],[Day]]-pl_m)-phi_l_m)^2/(1+TANH(phi_l_m)),0)</f>
        <v>79.750031563661324</v>
      </c>
      <c r="AD97" s="72">
        <f>Tabella3[[#This Row],[6-days moving avg fit]]*NOT(ISBLANK(Tabella3[[#This Row],[6-days moving avg]]))</f>
        <v>79.750031563661324</v>
      </c>
      <c r="AE97" s="72">
        <f>Tabella3[[#This Row],[region fit]]+CIl</f>
        <v>149.11501793876172</v>
      </c>
      <c r="AF97" s="72">
        <f>MAX(Tabella3[[#This Row],[region fit]]-CIl,0)</f>
        <v>10.385045188560923</v>
      </c>
      <c r="AG97" s="10">
        <f>Tabella8[[#This Row],[rest of Italy ]]</f>
        <v>25377</v>
      </c>
      <c r="AH97" s="10">
        <f>(Tabella3[[#This Row],[rest of Italy cum. data]]-AG96)</f>
        <v>2365</v>
      </c>
      <c r="AI97" s="72">
        <f>Tabella3[[#This Row],[rest of Italy data]]*NOT(ISBLANK(Tabella3[[#This Row],[rest of Italy data]]))</f>
        <v>2365</v>
      </c>
      <c r="AJ97" s="77">
        <f>Tabella8[[#This Row],[rest of Italy fit]]</f>
        <v>24005.362250307662</v>
      </c>
      <c r="AK97" s="72">
        <f>Tabella3[[#This Row],[rest of Italy cumul. fit]]/Ka</f>
        <v>0.10820824381602424</v>
      </c>
      <c r="AL97" s="72">
        <f>IFERROR(Ka*psi_a*_xlfn.SECH(psi_a*(Tabella3[[#This Row],[Day]]-pa)-phi_a)^2/(1+TANH(phi_a)),0)</f>
        <v>1618.8935160877425</v>
      </c>
      <c r="AM97" s="72">
        <f>Tabella3[[#This Row],[rest of Italy fit]]/y_a_peak</f>
        <v>0.53615538422833287</v>
      </c>
      <c r="AN97" s="72">
        <f>Tabella3[[#This Row],[rest of Italy fit]]*NOT(ISBLANK(Tabella3[[#This Row],[rest of Italy data]]))</f>
        <v>1618.8935160877425</v>
      </c>
      <c r="AO97" s="72">
        <f>Tabella3[[#This Row],[rest of Italy fit]]+CIa</f>
        <v>3253.0274560415437</v>
      </c>
      <c r="AP97" s="72">
        <f>MAX(Tabella3[[#This Row],[rest of Italy fit]]-CIa,0)</f>
        <v>0</v>
      </c>
      <c r="AR97"/>
      <c r="AS97"/>
    </row>
    <row r="98" spans="2:45" x14ac:dyDescent="0.3">
      <c r="B98" s="9">
        <v>43921</v>
      </c>
      <c r="C98" s="4">
        <v>91</v>
      </c>
      <c r="D98" s="72">
        <f>'dpc-covid19-ita-andamento-naz'!J38+'dpc-covid19-ita-andamento-naz'!K38</f>
        <v>28157</v>
      </c>
      <c r="E98" s="72">
        <f>(Tabella3[[#This Row],[Italy cumul. data]]-D97)</f>
        <v>1946</v>
      </c>
      <c r="F98" s="72">
        <f>Tabella3[[#This Row],[Italy remov. rate data]]*NOT(ISBLANK(Tabella3[[#This Row],[Italy remov. rate data]]))</f>
        <v>1946</v>
      </c>
      <c r="G98" s="77">
        <f>Tabella8[[#This Row],[Italy fit]]</f>
        <v>26696.07649652844</v>
      </c>
      <c r="H98" s="77">
        <f>Tabella3[[#This Row],[Italy cumul. fit]]/Kf</f>
        <v>0.11360032478021199</v>
      </c>
      <c r="I98" s="77">
        <f>Tabella3[[#This Row],[region fit]]+Tabella3[[#This Row],[rest of Italy fit]]</f>
        <v>1757.8085383670641</v>
      </c>
      <c r="J98" s="77">
        <f>Tabella3[[#This Row],[Italy (fit of selected region + fitted sum of the other regions)]]/(y_l_peak+y_a_peak)</f>
        <v>0.55509453559362298</v>
      </c>
      <c r="K98" s="72">
        <f>IFERROR(Kf*psi_f*_xlfn.SECH(psi_f*(Tabella3[[#This Row],[Day]]-pf)-phi_f)^2/(1+TANH(phi_f)),0)</f>
        <v>1759.4747034331526</v>
      </c>
      <c r="L98" s="292">
        <f>Tabella3[[#This Row],[Italy remov. rate fit]]-Tabella3[[#This Row],[Italy remov. rate data]]</f>
        <v>-186.52529656684737</v>
      </c>
      <c r="M98" s="293">
        <f>Tabella3[[#This Row],[rem. rate residuals]]*NOT(ISBLANK(Tabella3[[#This Row],[Italy remov. rate data]]))</f>
        <v>-186.52529656684737</v>
      </c>
      <c r="N98" s="72">
        <f>Tabella3[[#This Row],[Italy remov. rate fit]]/y_f_peak</f>
        <v>0.55697392577392646</v>
      </c>
      <c r="O98" s="72">
        <f>Tabella3[[#This Row],[Italy (fit of selected region + fitted sum of the other regions)]]*NOT(ISBLANK(Tabella3[[#This Row],[Italy remov. rate data]]))</f>
        <v>1757.8085383670641</v>
      </c>
      <c r="P98" s="72">
        <f>Tabella3[[#This Row],[Italy remov. rate fit]]*NOT(ISBLANK(Tabella3[[#This Row],[Italy remov. rate data]]))</f>
        <v>1759.4747034331526</v>
      </c>
      <c r="Q98" s="72">
        <f>Tabella3[[#This Row],[Italy remov. rate fit]]+CIf</f>
        <v>3414.6846723569042</v>
      </c>
      <c r="R98" s="72">
        <f>MAX(Tabella3[[#This Row],[Italy remov. rate fit]]-CIf,0)</f>
        <v>104.26473450940125</v>
      </c>
      <c r="S98" s="4">
        <f>Tabella8[[#This Row],[region data]]</f>
        <v>908</v>
      </c>
      <c r="T98" s="72">
        <f>(Tabella3[[#This Row],[region cumul. data]]-S97)</f>
        <v>74</v>
      </c>
      <c r="U98" s="72">
        <f>Tabella3[[#This Row],[region data]]*NOT(ISBLANK(Tabella3[[#This Row],[region data]]))</f>
        <v>74</v>
      </c>
      <c r="V98">
        <f t="shared" si="1"/>
        <v>79.166666666666671</v>
      </c>
      <c r="W98" s="72">
        <f>Tabella3[[#This Row],[6-days moving avg]]*NOT(ISBLANK(Tabella3[[#This Row],[6-days moving avg]]))</f>
        <v>79.166666666666671</v>
      </c>
      <c r="X98" s="77">
        <f>Tabella8[[#This Row],[region fit]]</f>
        <v>979.24261055032537</v>
      </c>
      <c r="Y98" s="72">
        <f>Tabella3[[#This Row],[region cumul. fit]]/Kl</f>
        <v>7.4433807436153382E-2</v>
      </c>
      <c r="Z98" s="72">
        <f>IFERROR(Kl*psi_l*_xlfn.SECH(psi_l*(Tabella3[[#This Row],[Day]]-pl)-phi_l)^2/(1+TANH(phi_l)),0)</f>
        <v>81.937018717711595</v>
      </c>
      <c r="AA98" s="72">
        <f>Tabella3[[#This Row],[region fit]]/y_l_peak</f>
        <v>0.55650579633929964</v>
      </c>
      <c r="AB98" s="72">
        <f>Tabella3[[#This Row],[region fit]]*NOT(ISBLANK(Tabella3[[#This Row],[region data]]))</f>
        <v>81.937018717711595</v>
      </c>
      <c r="AC98" s="166">
        <f>IFERROR(kl_m*psi_l_m*_xlfn.SECH(psi_l_m*(Tabella3[[#This Row],[Day]]-pl_m)-phi_l_m)^2/(1+TANH(phi_l_m)),0)</f>
        <v>81.937018717711595</v>
      </c>
      <c r="AD98" s="72">
        <f>Tabella3[[#This Row],[6-days moving avg fit]]*NOT(ISBLANK(Tabella3[[#This Row],[6-days moving avg]]))</f>
        <v>81.937018717711595</v>
      </c>
      <c r="AE98" s="72">
        <f>Tabella3[[#This Row],[region fit]]+CIl</f>
        <v>151.30200509281201</v>
      </c>
      <c r="AF98" s="72">
        <f>MAX(Tabella3[[#This Row],[region fit]]-CIl,0)</f>
        <v>12.572032342611195</v>
      </c>
      <c r="AG98" s="10">
        <f>Tabella8[[#This Row],[rest of Italy ]]</f>
        <v>27249</v>
      </c>
      <c r="AH98" s="10">
        <f>(Tabella3[[#This Row],[rest of Italy cum. data]]-AG97)</f>
        <v>1872</v>
      </c>
      <c r="AI98" s="72">
        <f>Tabella3[[#This Row],[rest of Italy data]]*NOT(ISBLANK(Tabella3[[#This Row],[rest of Italy data]]))</f>
        <v>1872</v>
      </c>
      <c r="AJ98" s="77">
        <f>Tabella8[[#This Row],[rest of Italy fit]]</f>
        <v>25652.679126707266</v>
      </c>
      <c r="AK98" s="72">
        <f>Tabella3[[#This Row],[rest of Italy cumul. fit]]/Ka</f>
        <v>0.11563380416979126</v>
      </c>
      <c r="AL98" s="72">
        <f>IFERROR(Ka*psi_a*_xlfn.SECH(psi_a*(Tabella3[[#This Row],[Day]]-pa)-phi_a)^2/(1+TANH(phi_a)),0)</f>
        <v>1675.8715196493524</v>
      </c>
      <c r="AM98" s="72">
        <f>Tabella3[[#This Row],[rest of Italy fit]]/y_a_peak</f>
        <v>0.55502571948420809</v>
      </c>
      <c r="AN98" s="72">
        <f>Tabella3[[#This Row],[rest of Italy fit]]*NOT(ISBLANK(Tabella3[[#This Row],[rest of Italy data]]))</f>
        <v>1675.8715196493524</v>
      </c>
      <c r="AO98" s="72">
        <f>Tabella3[[#This Row],[rest of Italy fit]]+CIa</f>
        <v>3310.0054596031541</v>
      </c>
      <c r="AP98" s="72">
        <f>MAX(Tabella3[[#This Row],[rest of Italy fit]]-CIa,0)</f>
        <v>41.737579695550949</v>
      </c>
      <c r="AR98"/>
      <c r="AS98"/>
    </row>
    <row r="99" spans="2:45" x14ac:dyDescent="0.3">
      <c r="B99" s="9">
        <v>43922</v>
      </c>
      <c r="C99" s="4">
        <v>92</v>
      </c>
      <c r="D99" s="72">
        <f>'dpc-covid19-ita-andamento-naz'!J39+'dpc-covid19-ita-andamento-naz'!K39</f>
        <v>30002</v>
      </c>
      <c r="E99" s="72">
        <f>(Tabella3[[#This Row],[Italy cumul. data]]-D98)</f>
        <v>1845</v>
      </c>
      <c r="F99" s="72">
        <f>Tabella3[[#This Row],[Italy remov. rate data]]*NOT(ISBLANK(Tabella3[[#This Row],[Italy remov. rate data]]))</f>
        <v>1845</v>
      </c>
      <c r="G99" s="77">
        <f>Tabella8[[#This Row],[Italy fit]]</f>
        <v>28485.251500457278</v>
      </c>
      <c r="H99" s="77">
        <f>Tabella3[[#This Row],[Italy cumul. fit]]/Kf</f>
        <v>0.12121383538583916</v>
      </c>
      <c r="I99" s="77">
        <f>Tabella3[[#This Row],[region fit]]+Tabella3[[#This Row],[rest of Italy fit]]</f>
        <v>1817.7336149610287</v>
      </c>
      <c r="J99" s="77">
        <f>Tabella3[[#This Row],[Italy (fit of selected region + fitted sum of the other regions)]]/(y_l_peak+y_a_peak)</f>
        <v>0.57401814521110728</v>
      </c>
      <c r="K99" s="72">
        <f>IFERROR(Kf*psi_f*_xlfn.SECH(psi_f*(Tabella3[[#This Row],[Day]]-pf)-phi_f)^2/(1+TANH(phi_f)),0)</f>
        <v>1818.9897596094827</v>
      </c>
      <c r="L99" s="292">
        <f>Tabella3[[#This Row],[Italy remov. rate fit]]-Tabella3[[#This Row],[Italy remov. rate data]]</f>
        <v>-26.010240390517311</v>
      </c>
      <c r="M99" s="293">
        <f>Tabella3[[#This Row],[rem. rate residuals]]*NOT(ISBLANK(Tabella3[[#This Row],[Italy remov. rate data]]))</f>
        <v>-26.010240390517311</v>
      </c>
      <c r="N99" s="72">
        <f>Tabella3[[#This Row],[Italy remov. rate fit]]/y_f_peak</f>
        <v>0.57581382976146667</v>
      </c>
      <c r="O99" s="72">
        <f>Tabella3[[#This Row],[Italy (fit of selected region + fitted sum of the other regions)]]*NOT(ISBLANK(Tabella3[[#This Row],[Italy remov. rate data]]))</f>
        <v>1817.7336149610287</v>
      </c>
      <c r="P99" s="72">
        <f>Tabella3[[#This Row],[Italy remov. rate fit]]*NOT(ISBLANK(Tabella3[[#This Row],[Italy remov. rate data]]))</f>
        <v>1818.9897596094827</v>
      </c>
      <c r="Q99" s="72">
        <f>Tabella3[[#This Row],[Italy remov. rate fit]]+CIf</f>
        <v>3474.1997285332341</v>
      </c>
      <c r="R99" s="72">
        <f>MAX(Tabella3[[#This Row],[Italy remov. rate fit]]-CIf,0)</f>
        <v>163.77979068573131</v>
      </c>
      <c r="S99" s="4">
        <f>Tabella8[[#This Row],[region data]]</f>
        <v>1015</v>
      </c>
      <c r="T99" s="72">
        <f>(Tabella3[[#This Row],[region cumul. data]]-S98)</f>
        <v>107</v>
      </c>
      <c r="U99" s="72">
        <f>Tabella3[[#This Row],[region data]]*NOT(ISBLANK(Tabella3[[#This Row],[region data]]))</f>
        <v>107</v>
      </c>
      <c r="V99">
        <f t="shared" si="1"/>
        <v>81</v>
      </c>
      <c r="W99" s="72">
        <f>Tabella3[[#This Row],[6-days moving avg]]*NOT(ISBLANK(Tabella3[[#This Row],[6-days moving avg]]))</f>
        <v>81</v>
      </c>
      <c r="X99" s="77">
        <f>Tabella8[[#This Row],[region fit]]</f>
        <v>1062.2823737383162</v>
      </c>
      <c r="Y99" s="72">
        <f>Tabella3[[#This Row],[region cumul. fit]]/Kl</f>
        <v>8.0745793532433482E-2</v>
      </c>
      <c r="Z99" s="72">
        <f>IFERROR(Kl*psi_l*_xlfn.SECH(psi_l*(Tabella3[[#This Row],[Day]]-pl)-phi_l)^2/(1+TANH(phi_l)),0)</f>
        <v>84.145966653463461</v>
      </c>
      <c r="AA99" s="72">
        <f>Tabella3[[#This Row],[region fit]]/y_l_peak</f>
        <v>0.57150868940638555</v>
      </c>
      <c r="AB99" s="72">
        <f>Tabella3[[#This Row],[region fit]]*NOT(ISBLANK(Tabella3[[#This Row],[region data]]))</f>
        <v>84.145966653463461</v>
      </c>
      <c r="AC99" s="166">
        <f>IFERROR(kl_m*psi_l_m*_xlfn.SECH(psi_l_m*(Tabella3[[#This Row],[Day]]-pl_m)-phi_l_m)^2/(1+TANH(phi_l_m)),0)</f>
        <v>84.145966653463461</v>
      </c>
      <c r="AD99" s="72">
        <f>Tabella3[[#This Row],[6-days moving avg fit]]*NOT(ISBLANK(Tabella3[[#This Row],[6-days moving avg]]))</f>
        <v>84.145966653463461</v>
      </c>
      <c r="AE99" s="72">
        <f>Tabella3[[#This Row],[region fit]]+CIl</f>
        <v>153.51095302856385</v>
      </c>
      <c r="AF99" s="72">
        <f>MAX(Tabella3[[#This Row],[region fit]]-CIl,0)</f>
        <v>14.78098027836306</v>
      </c>
      <c r="AG99" s="10">
        <f>Tabella8[[#This Row],[rest of Italy ]]</f>
        <v>28987</v>
      </c>
      <c r="AH99" s="10">
        <f>(Tabella3[[#This Row],[rest of Italy cum. data]]-AG98)</f>
        <v>1738</v>
      </c>
      <c r="AI99" s="72">
        <f>Tabella3[[#This Row],[rest of Italy data]]*NOT(ISBLANK(Tabella3[[#This Row],[rest of Italy data]]))</f>
        <v>1738</v>
      </c>
      <c r="AJ99" s="77">
        <f>Tabella8[[#This Row],[rest of Italy fit]]</f>
        <v>27357.351441299452</v>
      </c>
      <c r="AK99" s="72">
        <f>Tabella3[[#This Row],[rest of Italy cumul. fit]]/Ka</f>
        <v>0.12331790389386242</v>
      </c>
      <c r="AL99" s="72">
        <f>IFERROR(Ka*psi_a*_xlfn.SECH(psi_a*(Tabella3[[#This Row],[Day]]-pa)-phi_a)^2/(1+TANH(phi_a)),0)</f>
        <v>1733.5876483075651</v>
      </c>
      <c r="AM99" s="72">
        <f>Tabella3[[#This Row],[rest of Italy fit]]/y_a_peak</f>
        <v>0.5741405116736894</v>
      </c>
      <c r="AN99" s="72">
        <f>Tabella3[[#This Row],[rest of Italy fit]]*NOT(ISBLANK(Tabella3[[#This Row],[rest of Italy data]]))</f>
        <v>1733.5876483075651</v>
      </c>
      <c r="AO99" s="72">
        <f>Tabella3[[#This Row],[rest of Italy fit]]+CIa</f>
        <v>3367.7215882613664</v>
      </c>
      <c r="AP99" s="72">
        <f>MAX(Tabella3[[#This Row],[rest of Italy fit]]-CIa,0)</f>
        <v>99.453708353763659</v>
      </c>
      <c r="AR99"/>
      <c r="AS99"/>
    </row>
    <row r="100" spans="2:45" x14ac:dyDescent="0.3">
      <c r="B100" s="9">
        <v>43923</v>
      </c>
      <c r="C100" s="4">
        <v>93</v>
      </c>
      <c r="D100" s="72">
        <f>'dpc-covid19-ita-andamento-naz'!J40+'dpc-covid19-ita-andamento-naz'!K40</f>
        <v>32193</v>
      </c>
      <c r="E100" s="72">
        <f>(Tabella3[[#This Row],[Italy cumul. data]]-D99)</f>
        <v>2191</v>
      </c>
      <c r="F100" s="72">
        <f>Tabella3[[#This Row],[Italy remov. rate data]]*NOT(ISBLANK(Tabella3[[#This Row],[Italy remov. rate data]]))</f>
        <v>2191</v>
      </c>
      <c r="G100" s="77">
        <f>Tabella8[[#This Row],[Italy fit]]</f>
        <v>30334.266735034074</v>
      </c>
      <c r="H100" s="77">
        <f>Tabella3[[#This Row],[Italy cumul. fit]]/Kf</f>
        <v>0.12908198526916748</v>
      </c>
      <c r="I100" s="77">
        <f>Tabella3[[#This Row],[region fit]]+Tabella3[[#This Row],[rest of Italy fit]]</f>
        <v>1878.3108574342327</v>
      </c>
      <c r="J100" s="77">
        <f>Tabella3[[#This Row],[Italy (fit of selected region + fitted sum of the other regions)]]/(y_l_peak+y_a_peak)</f>
        <v>0.59314770087332003</v>
      </c>
      <c r="K100" s="72">
        <f>IFERROR(Kf*psi_f*_xlfn.SECH(psi_f*(Tabella3[[#This Row],[Day]]-pf)-phi_f)^2/(1+TANH(phi_f)),0)</f>
        <v>1879.1366452360542</v>
      </c>
      <c r="L100" s="292">
        <f>Tabella3[[#This Row],[Italy remov. rate fit]]-Tabella3[[#This Row],[Italy remov. rate data]]</f>
        <v>-311.86335476394584</v>
      </c>
      <c r="M100" s="293">
        <f>Tabella3[[#This Row],[rem. rate residuals]]*NOT(ISBLANK(Tabella3[[#This Row],[Italy remov. rate data]]))</f>
        <v>-311.86335476394584</v>
      </c>
      <c r="N100" s="72">
        <f>Tabella3[[#This Row],[Italy remov. rate fit]]/y_f_peak</f>
        <v>0.59485374374553246</v>
      </c>
      <c r="O100" s="72">
        <f>Tabella3[[#This Row],[Italy (fit of selected region + fitted sum of the other regions)]]*NOT(ISBLANK(Tabella3[[#This Row],[Italy remov. rate data]]))</f>
        <v>1878.3108574342327</v>
      </c>
      <c r="P100" s="72">
        <f>Tabella3[[#This Row],[Italy remov. rate fit]]*NOT(ISBLANK(Tabella3[[#This Row],[Italy remov. rate data]]))</f>
        <v>1879.1366452360542</v>
      </c>
      <c r="Q100" s="72">
        <f>Tabella3[[#This Row],[Italy remov. rate fit]]+CIf</f>
        <v>3534.3466141598055</v>
      </c>
      <c r="R100" s="72">
        <f>MAX(Tabella3[[#This Row],[Italy remov. rate fit]]-CIf,0)</f>
        <v>223.92667631230279</v>
      </c>
      <c r="S100" s="4">
        <f>Tabella8[[#This Row],[region data]]</f>
        <v>1122</v>
      </c>
      <c r="T100" s="72">
        <f>(Tabella3[[#This Row],[region cumul. data]]-S99)</f>
        <v>107</v>
      </c>
      <c r="U100" s="72">
        <f>Tabella3[[#This Row],[region data]]*NOT(ISBLANK(Tabella3[[#This Row],[region data]]))</f>
        <v>107</v>
      </c>
      <c r="V100">
        <f t="shared" si="1"/>
        <v>80.5</v>
      </c>
      <c r="W100" s="72">
        <f>Tabella3[[#This Row],[6-days moving avg]]*NOT(ISBLANK(Tabella3[[#This Row],[6-days moving avg]]))</f>
        <v>80.5</v>
      </c>
      <c r="X100" s="77">
        <f>Tabella8[[#This Row],[region fit]]</f>
        <v>1147.5410390720715</v>
      </c>
      <c r="Y100" s="72">
        <f>Tabella3[[#This Row],[region cumul. fit]]/Kl</f>
        <v>8.7226441953308184E-2</v>
      </c>
      <c r="Z100" s="72">
        <f>IFERROR(Kl*psi_l*_xlfn.SECH(psi_l*(Tabella3[[#This Row],[Day]]-pl)-phi_l)^2/(1+TANH(phi_l)),0)</f>
        <v>86.374394052735056</v>
      </c>
      <c r="AA100" s="72">
        <f>Tabella3[[#This Row],[region fit]]/y_l_peak</f>
        <v>0.5866438845089611</v>
      </c>
      <c r="AB100" s="72">
        <f>Tabella3[[#This Row],[region fit]]*NOT(ISBLANK(Tabella3[[#This Row],[region data]]))</f>
        <v>86.374394052735056</v>
      </c>
      <c r="AC100" s="166">
        <f>IFERROR(kl_m*psi_l_m*_xlfn.SECH(psi_l_m*(Tabella3[[#This Row],[Day]]-pl_m)-phi_l_m)^2/(1+TANH(phi_l_m)),0)</f>
        <v>86.374394052735056</v>
      </c>
      <c r="AD100" s="72">
        <f>Tabella3[[#This Row],[6-days moving avg fit]]*NOT(ISBLANK(Tabella3[[#This Row],[6-days moving avg]]))</f>
        <v>86.374394052735056</v>
      </c>
      <c r="AE100" s="72">
        <f>Tabella3[[#This Row],[region fit]]+CIl</f>
        <v>155.73938042783544</v>
      </c>
      <c r="AF100" s="72">
        <f>MAX(Tabella3[[#This Row],[region fit]]-CIl,0)</f>
        <v>17.009407677634655</v>
      </c>
      <c r="AG100" s="10">
        <f>Tabella8[[#This Row],[rest of Italy ]]</f>
        <v>31071</v>
      </c>
      <c r="AH100" s="10">
        <f>(Tabella3[[#This Row],[rest of Italy cum. data]]-AG99)</f>
        <v>2084</v>
      </c>
      <c r="AI100" s="72">
        <f>Tabella3[[#This Row],[rest of Italy data]]*NOT(ISBLANK(Tabella3[[#This Row],[rest of Italy data]]))</f>
        <v>2084</v>
      </c>
      <c r="AJ100" s="77">
        <f>Tabella8[[#This Row],[rest of Italy fit]]</f>
        <v>29120.065430100036</v>
      </c>
      <c r="AK100" s="72">
        <f>Tabella3[[#This Row],[rest of Italy cumul. fit]]/Ka</f>
        <v>0.13126363631352653</v>
      </c>
      <c r="AL100" s="72">
        <f>IFERROR(Ka*psi_a*_xlfn.SECH(psi_a*(Tabella3[[#This Row],[Day]]-pa)-phi_a)^2/(1+TANH(phi_a)),0)</f>
        <v>1791.9364633814976</v>
      </c>
      <c r="AM100" s="72">
        <f>Tabella3[[#This Row],[rest of Italy fit]]/y_a_peak</f>
        <v>0.59346484094818919</v>
      </c>
      <c r="AN100" s="72">
        <f>Tabella3[[#This Row],[rest of Italy fit]]*NOT(ISBLANK(Tabella3[[#This Row],[rest of Italy data]]))</f>
        <v>1791.9364633814976</v>
      </c>
      <c r="AO100" s="72">
        <f>Tabella3[[#This Row],[rest of Italy fit]]+CIa</f>
        <v>3426.070403335299</v>
      </c>
      <c r="AP100" s="72">
        <f>MAX(Tabella3[[#This Row],[rest of Italy fit]]-CIa,0)</f>
        <v>157.80252342769609</v>
      </c>
      <c r="AR100"/>
      <c r="AS100"/>
    </row>
    <row r="101" spans="2:45" x14ac:dyDescent="0.3">
      <c r="B101" s="9">
        <v>43924</v>
      </c>
      <c r="C101" s="4">
        <v>94</v>
      </c>
      <c r="D101" s="72">
        <f>'dpc-covid19-ita-andamento-naz'!J41+'dpc-covid19-ita-andamento-naz'!K41</f>
        <v>34439</v>
      </c>
      <c r="E101" s="72">
        <f>(Tabella3[[#This Row],[Italy cumul. data]]-D100)</f>
        <v>2246</v>
      </c>
      <c r="F101" s="72">
        <f>Tabella3[[#This Row],[Italy remov. rate data]]*NOT(ISBLANK(Tabella3[[#This Row],[Italy remov. rate data]]))</f>
        <v>2246</v>
      </c>
      <c r="G101" s="77">
        <f>Tabella8[[#This Row],[Italy fit]]</f>
        <v>32243.696826918273</v>
      </c>
      <c r="H101" s="77">
        <f>Tabella3[[#This Row],[Italy cumul. fit]]/Kf</f>
        <v>0.13720721965000848</v>
      </c>
      <c r="I101" s="77">
        <f>Tabella3[[#This Row],[region fit]]+Tabella3[[#This Row],[rest of Italy fit]]</f>
        <v>1939.4221532476233</v>
      </c>
      <c r="J101" s="77">
        <f>Tabella3[[#This Row],[Italy (fit of selected region + fitted sum of the other regions)]]/(y_l_peak+y_a_peak)</f>
        <v>0.61244590407841493</v>
      </c>
      <c r="K101" s="72">
        <f>IFERROR(Kf*psi_f*_xlfn.SECH(psi_f*(Tabella3[[#This Row],[Day]]-pf)-phi_f)^2/(1+TANH(phi_f)),0)</f>
        <v>1939.7993095132149</v>
      </c>
      <c r="L101" s="292">
        <f>Tabella3[[#This Row],[Italy remov. rate fit]]-Tabella3[[#This Row],[Italy remov. rate data]]</f>
        <v>-306.20069048678511</v>
      </c>
      <c r="M101" s="293">
        <f>Tabella3[[#This Row],[rem. rate residuals]]*NOT(ISBLANK(Tabella3[[#This Row],[Italy remov. rate data]]))</f>
        <v>-306.20069048678511</v>
      </c>
      <c r="N101" s="72">
        <f>Tabella3[[#This Row],[Italy remov. rate fit]]/y_f_peak</f>
        <v>0.61405693104025649</v>
      </c>
      <c r="O101" s="72">
        <f>Tabella3[[#This Row],[Italy (fit of selected region + fitted sum of the other regions)]]*NOT(ISBLANK(Tabella3[[#This Row],[Italy remov. rate data]]))</f>
        <v>1939.4221532476233</v>
      </c>
      <c r="P101" s="72">
        <f>Tabella3[[#This Row],[Italy remov. rate fit]]*NOT(ISBLANK(Tabella3[[#This Row],[Italy remov. rate data]]))</f>
        <v>1939.7993095132149</v>
      </c>
      <c r="Q101" s="72">
        <f>Tabella3[[#This Row],[Italy remov. rate fit]]+CIf</f>
        <v>3595.0092784369663</v>
      </c>
      <c r="R101" s="72">
        <f>MAX(Tabella3[[#This Row],[Italy remov. rate fit]]-CIf,0)</f>
        <v>284.58934058946352</v>
      </c>
      <c r="S101" s="4">
        <f>Tabella8[[#This Row],[region data]]</f>
        <v>1219</v>
      </c>
      <c r="T101" s="72">
        <f>(Tabella3[[#This Row],[region cumul. data]]-S100)</f>
        <v>97</v>
      </c>
      <c r="U101" s="72">
        <f>Tabella3[[#This Row],[region data]]*NOT(ISBLANK(Tabella3[[#This Row],[region data]]))</f>
        <v>97</v>
      </c>
      <c r="V101">
        <f t="shared" si="1"/>
        <v>85.333333333333329</v>
      </c>
      <c r="W101" s="72">
        <f>Tabella3[[#This Row],[6-days moving avg]]*NOT(ISBLANK(Tabella3[[#This Row],[6-days moving avg]]))</f>
        <v>85.333333333333329</v>
      </c>
      <c r="X101" s="77">
        <f>Tabella8[[#This Row],[region fit]]</f>
        <v>1235.0367681893113</v>
      </c>
      <c r="Y101" s="72">
        <f>Tabella3[[#This Row],[region cumul. fit]]/Kl</f>
        <v>9.3877133194101334E-2</v>
      </c>
      <c r="Z101" s="72">
        <f>IFERROR(Kl*psi_l*_xlfn.SECH(psi_l*(Tabella3[[#This Row],[Day]]-pl)-phi_l)^2/(1+TANH(phi_l)),0)</f>
        <v>88.619634280225583</v>
      </c>
      <c r="AA101" s="72">
        <f>Tabella3[[#This Row],[region fit]]/y_l_peak</f>
        <v>0.60189327019966299</v>
      </c>
      <c r="AB101" s="72">
        <f>Tabella3[[#This Row],[region fit]]*NOT(ISBLANK(Tabella3[[#This Row],[region data]]))</f>
        <v>88.619634280225583</v>
      </c>
      <c r="AC101" s="166">
        <f>IFERROR(kl_m*psi_l_m*_xlfn.SECH(psi_l_m*(Tabella3[[#This Row],[Day]]-pl_m)-phi_l_m)^2/(1+TANH(phi_l_m)),0)</f>
        <v>88.619634280225583</v>
      </c>
      <c r="AD101" s="72">
        <f>Tabella3[[#This Row],[6-days moving avg fit]]*NOT(ISBLANK(Tabella3[[#This Row],[6-days moving avg]]))</f>
        <v>88.619634280225583</v>
      </c>
      <c r="AE101" s="72">
        <f>Tabella3[[#This Row],[region fit]]+CIl</f>
        <v>157.98462065532598</v>
      </c>
      <c r="AF101" s="72">
        <f>MAX(Tabella3[[#This Row],[region fit]]-CIl,0)</f>
        <v>19.254647905125182</v>
      </c>
      <c r="AG101" s="10">
        <f>Tabella8[[#This Row],[rest of Italy ]]</f>
        <v>33220</v>
      </c>
      <c r="AH101" s="10">
        <f>(Tabella3[[#This Row],[rest of Italy cum. data]]-AG100)</f>
        <v>2149</v>
      </c>
      <c r="AI101" s="72">
        <f>Tabella3[[#This Row],[rest of Italy data]]*NOT(ISBLANK(Tabella3[[#This Row],[rest of Italy data]]))</f>
        <v>2149</v>
      </c>
      <c r="AJ101" s="77">
        <f>Tabella8[[#This Row],[rest of Italy fit]]</f>
        <v>30941.396893261805</v>
      </c>
      <c r="AK101" s="72">
        <f>Tabella3[[#This Row],[rest of Italy cumul. fit]]/Ka</f>
        <v>0.13947359694567982</v>
      </c>
      <c r="AL101" s="72">
        <f>IFERROR(Ka*psi_a*_xlfn.SECH(psi_a*(Tabella3[[#This Row],[Day]]-pa)-phi_a)^2/(1+TANH(phi_a)),0)</f>
        <v>1850.8025189673976</v>
      </c>
      <c r="AM101" s="72">
        <f>Tabella3[[#This Row],[rest of Italy fit]]/y_a_peak</f>
        <v>0.61296047320381564</v>
      </c>
      <c r="AN101" s="72">
        <f>Tabella3[[#This Row],[rest of Italy fit]]*NOT(ISBLANK(Tabella3[[#This Row],[rest of Italy data]]))</f>
        <v>1850.8025189673976</v>
      </c>
      <c r="AO101" s="72">
        <f>Tabella3[[#This Row],[rest of Italy fit]]+CIa</f>
        <v>3484.9364589211991</v>
      </c>
      <c r="AP101" s="72">
        <f>MAX(Tabella3[[#This Row],[rest of Italy fit]]-CIa,0)</f>
        <v>216.66857901359617</v>
      </c>
      <c r="AR101"/>
      <c r="AS101"/>
    </row>
    <row r="102" spans="2:45" x14ac:dyDescent="0.3">
      <c r="B102" s="9">
        <v>43925</v>
      </c>
      <c r="C102" s="4">
        <v>95</v>
      </c>
      <c r="D102" s="72">
        <f>'dpc-covid19-ita-andamento-naz'!J42+'dpc-covid19-ita-andamento-naz'!K42</f>
        <v>36358</v>
      </c>
      <c r="E102" s="72">
        <f>(Tabella3[[#This Row],[Italy cumul. data]]-D101)</f>
        <v>1919</v>
      </c>
      <c r="F102" s="72">
        <f>Tabella3[[#This Row],[Italy remov. rate data]]*NOT(ISBLANK(Tabella3[[#This Row],[Italy remov. rate data]]))</f>
        <v>1919</v>
      </c>
      <c r="G102" s="77">
        <f>Tabella8[[#This Row],[Italy fit]]</f>
        <v>34213.995416125072</v>
      </c>
      <c r="H102" s="77">
        <f>Tabella3[[#This Row],[Italy cumul. fit]]/Kf</f>
        <v>0.1455914689113931</v>
      </c>
      <c r="I102" s="77">
        <f>Tabella3[[#This Row],[region fit]]+Tabella3[[#This Row],[rest of Italy fit]]</f>
        <v>2000.9391625827902</v>
      </c>
      <c r="J102" s="77">
        <f>Tabella3[[#This Row],[Italy (fit of selected region + fitted sum of the other regions)]]/(y_l_peak+y_a_peak)</f>
        <v>0.63187222667423926</v>
      </c>
      <c r="K102" s="72">
        <f>IFERROR(Kf*psi_f*_xlfn.SECH(psi_f*(Tabella3[[#This Row],[Day]]-pf)-phi_f)^2/(1+TANH(phi_f)),0)</f>
        <v>2000.8518327177192</v>
      </c>
      <c r="L102" s="292">
        <f>Tabella3[[#This Row],[Italy remov. rate fit]]-Tabella3[[#This Row],[Italy remov. rate data]]</f>
        <v>81.851832717719162</v>
      </c>
      <c r="M102" s="293">
        <f>Tabella3[[#This Row],[rem. rate residuals]]*NOT(ISBLANK(Tabella3[[#This Row],[Italy remov. rate data]]))</f>
        <v>81.851832717719162</v>
      </c>
      <c r="N102" s="72">
        <f>Tabella3[[#This Row],[Italy remov. rate fit]]/y_f_peak</f>
        <v>0.63338353088353094</v>
      </c>
      <c r="O102" s="72">
        <f>Tabella3[[#This Row],[Italy (fit of selected region + fitted sum of the other regions)]]*NOT(ISBLANK(Tabella3[[#This Row],[Italy remov. rate data]]))</f>
        <v>2000.9391625827902</v>
      </c>
      <c r="P102" s="72">
        <f>Tabella3[[#This Row],[Italy remov. rate fit]]*NOT(ISBLANK(Tabella3[[#This Row],[Italy remov. rate data]]))</f>
        <v>2000.8518327177192</v>
      </c>
      <c r="Q102" s="72">
        <f>Tabella3[[#This Row],[Italy remov. rate fit]]+CIf</f>
        <v>3656.0618016414705</v>
      </c>
      <c r="R102" s="72">
        <f>MAX(Tabella3[[#This Row],[Italy remov. rate fit]]-CIf,0)</f>
        <v>345.64186379396779</v>
      </c>
      <c r="S102" s="4">
        <f>Tabella8[[#This Row],[region data]]</f>
        <v>1309</v>
      </c>
      <c r="T102" s="72">
        <f>(Tabella3[[#This Row],[region cumul. data]]-S101)</f>
        <v>90</v>
      </c>
      <c r="U102" s="72">
        <f>Tabella3[[#This Row],[region data]]*NOT(ISBLANK(Tabella3[[#This Row],[region data]]))</f>
        <v>90</v>
      </c>
      <c r="V102">
        <f t="shared" si="1"/>
        <v>87</v>
      </c>
      <c r="W102" s="72">
        <f>Tabella3[[#This Row],[6-days moving avg]]*NOT(ISBLANK(Tabella3[[#This Row],[6-days moving avg]]))</f>
        <v>87</v>
      </c>
      <c r="X102" s="77">
        <f>Tabella8[[#This Row],[region fit]]</f>
        <v>1324.7849630542669</v>
      </c>
      <c r="Y102" s="72">
        <f>Tabella3[[#This Row],[region cumul. fit]]/Kl</f>
        <v>0.10069903798291174</v>
      </c>
      <c r="Z102" s="72">
        <f>IFERROR(Kl*psi_l*_xlfn.SECH(psi_l*(Tabella3[[#This Row],[Day]]-pl)-phi_l)^2/(1+TANH(phi_l)),0)</f>
        <v>90.878834571111938</v>
      </c>
      <c r="AA102" s="72">
        <f>Tabella3[[#This Row],[region fit]]/y_l_peak</f>
        <v>0.6172374708631162</v>
      </c>
      <c r="AB102" s="72">
        <f>Tabella3[[#This Row],[region fit]]*NOT(ISBLANK(Tabella3[[#This Row],[region data]]))</f>
        <v>90.878834571111938</v>
      </c>
      <c r="AC102" s="166">
        <f>IFERROR(kl_m*psi_l_m*_xlfn.SECH(psi_l_m*(Tabella3[[#This Row],[Day]]-pl_m)-phi_l_m)^2/(1+TANH(phi_l_m)),0)</f>
        <v>90.878834571111938</v>
      </c>
      <c r="AD102" s="72">
        <f>Tabella3[[#This Row],[6-days moving avg fit]]*NOT(ISBLANK(Tabella3[[#This Row],[6-days moving avg]]))</f>
        <v>90.878834571111938</v>
      </c>
      <c r="AE102" s="72">
        <f>Tabella3[[#This Row],[region fit]]+CIl</f>
        <v>160.24382094621234</v>
      </c>
      <c r="AF102" s="72">
        <f>MAX(Tabella3[[#This Row],[region fit]]-CIl,0)</f>
        <v>21.513848196011537</v>
      </c>
      <c r="AG102" s="10">
        <f>Tabella8[[#This Row],[rest of Italy ]]</f>
        <v>35049</v>
      </c>
      <c r="AH102" s="10">
        <f>(Tabella3[[#This Row],[rest of Italy cum. data]]-AG101)</f>
        <v>1829</v>
      </c>
      <c r="AI102" s="72">
        <f>Tabella3[[#This Row],[rest of Italy data]]*NOT(ISBLANK(Tabella3[[#This Row],[rest of Italy data]]))</f>
        <v>1829</v>
      </c>
      <c r="AJ102" s="77">
        <f>Tabella8[[#This Row],[rest of Italy fit]]</f>
        <v>32821.801163579061</v>
      </c>
      <c r="AK102" s="72">
        <f>Tabella3[[#This Row],[rest of Italy cumul. fit]]/Ka</f>
        <v>0.14794983828015812</v>
      </c>
      <c r="AL102" s="72">
        <f>IFERROR(Ka*psi_a*_xlfn.SECH(psi_a*(Tabella3[[#This Row],[Day]]-pa)-phi_a)^2/(1+TANH(phi_a)),0)</f>
        <v>1910.0603280116784</v>
      </c>
      <c r="AM102" s="72">
        <f>Tabella3[[#This Row],[rest of Italy fit]]/y_a_peak</f>
        <v>0.63258584884522595</v>
      </c>
      <c r="AN102" s="72">
        <f>Tabella3[[#This Row],[rest of Italy fit]]*NOT(ISBLANK(Tabella3[[#This Row],[rest of Italy data]]))</f>
        <v>1910.0603280116784</v>
      </c>
      <c r="AO102" s="72">
        <f>Tabella3[[#This Row],[rest of Italy fit]]+CIa</f>
        <v>3544.1942679654799</v>
      </c>
      <c r="AP102" s="72">
        <f>MAX(Tabella3[[#This Row],[rest of Italy fit]]-CIa,0)</f>
        <v>275.92638805787692</v>
      </c>
      <c r="AR102"/>
      <c r="AS102"/>
    </row>
    <row r="103" spans="2:45" x14ac:dyDescent="0.3">
      <c r="B103" s="9">
        <v>43926</v>
      </c>
      <c r="C103" s="4">
        <v>96</v>
      </c>
      <c r="D103" s="72">
        <f>'dpc-covid19-ita-andamento-naz'!J43+'dpc-covid19-ita-andamento-naz'!K43</f>
        <v>37702</v>
      </c>
      <c r="E103" s="72">
        <f>(Tabella3[[#This Row],[Italy cumul. data]]-D102)</f>
        <v>1344</v>
      </c>
      <c r="F103" s="72">
        <f>Tabella3[[#This Row],[Italy remov. rate data]]*NOT(ISBLANK(Tabella3[[#This Row],[Italy remov. rate data]]))</f>
        <v>1344</v>
      </c>
      <c r="G103" s="77">
        <f>Tabella8[[#This Row],[Italy fit]]</f>
        <v>36245.48531060703</v>
      </c>
      <c r="H103" s="77">
        <f>Tabella3[[#This Row],[Italy cumul. fit]]/Kf</f>
        <v>0.15423610670417437</v>
      </c>
      <c r="I103" s="77">
        <f>Tabella3[[#This Row],[region fit]]+Tabella3[[#This Row],[rest of Italy fit]]</f>
        <v>2062.7233769920931</v>
      </c>
      <c r="J103" s="77">
        <f>Tabella3[[#This Row],[Italy (fit of selected region + fitted sum of the other regions)]]/(y_l_peak+y_a_peak)</f>
        <v>0.6513829293793294</v>
      </c>
      <c r="K103" s="72">
        <f>IFERROR(Kf*psi_f*_xlfn.SECH(psi_f*(Tabella3[[#This Row],[Day]]-pf)-phi_f)^2/(1+TANH(phi_f)),0)</f>
        <v>2062.158488704014</v>
      </c>
      <c r="L103" s="292">
        <f>Tabella3[[#This Row],[Italy remov. rate fit]]-Tabella3[[#This Row],[Italy remov. rate data]]</f>
        <v>718.15848870401396</v>
      </c>
      <c r="M103" s="293">
        <f>Tabella3[[#This Row],[rem. rate residuals]]*NOT(ISBLANK(Tabella3[[#This Row],[Italy remov. rate data]]))</f>
        <v>718.15848870401396</v>
      </c>
      <c r="N103" s="72">
        <f>Tabella3[[#This Row],[Italy remov. rate fit]]/y_f_peak</f>
        <v>0.65279057822222286</v>
      </c>
      <c r="O103" s="72">
        <f>Tabella3[[#This Row],[Italy (fit of selected region + fitted sum of the other regions)]]*NOT(ISBLANK(Tabella3[[#This Row],[Italy remov. rate data]]))</f>
        <v>2062.7233769920931</v>
      </c>
      <c r="P103" s="72">
        <f>Tabella3[[#This Row],[Italy remov. rate fit]]*NOT(ISBLANK(Tabella3[[#This Row],[Italy remov. rate data]]))</f>
        <v>2062.158488704014</v>
      </c>
      <c r="Q103" s="72">
        <f>Tabella3[[#This Row],[Italy remov. rate fit]]+CIf</f>
        <v>3717.3684576277656</v>
      </c>
      <c r="R103" s="72">
        <f>MAX(Tabella3[[#This Row],[Italy remov. rate fit]]-CIf,0)</f>
        <v>406.94851978026259</v>
      </c>
      <c r="S103" s="4">
        <f>Tabella8[[#This Row],[region data]]</f>
        <v>1356</v>
      </c>
      <c r="T103" s="72">
        <f>(Tabella3[[#This Row],[region cumul. data]]-S102)</f>
        <v>47</v>
      </c>
      <c r="U103" s="72">
        <f>Tabella3[[#This Row],[region data]]*NOT(ISBLANK(Tabella3[[#This Row],[region data]]))</f>
        <v>47</v>
      </c>
      <c r="V103">
        <f t="shared" si="1"/>
        <v>87.333333333333329</v>
      </c>
      <c r="W103" s="72">
        <f>Tabella3[[#This Row],[6-days moving avg]]*NOT(ISBLANK(Tabella3[[#This Row],[6-days moving avg]]))</f>
        <v>87.333333333333329</v>
      </c>
      <c r="X103" s="77">
        <f>Tabella8[[#This Row],[region fit]]</f>
        <v>1416.7980798425967</v>
      </c>
      <c r="Y103" s="72">
        <f>Tabella3[[#This Row],[region cumul. fit]]/Kl</f>
        <v>0.10769310313370602</v>
      </c>
      <c r="Z103" s="72">
        <f>IFERROR(Kl*psi_l*_xlfn.SECH(psi_l*(Tabella3[[#This Row],[Day]]-pl)-phi_l)^2/(1+TANH(phi_l)),0)</f>
        <v>93.148956236580162</v>
      </c>
      <c r="AA103" s="72">
        <f>Tabella3[[#This Row],[region fit]]/y_l_peak</f>
        <v>0.63265584811187747</v>
      </c>
      <c r="AB103" s="72">
        <f>Tabella3[[#This Row],[region fit]]*NOT(ISBLANK(Tabella3[[#This Row],[region data]]))</f>
        <v>93.148956236580162</v>
      </c>
      <c r="AC103" s="166">
        <f>IFERROR(kl_m*psi_l_m*_xlfn.SECH(psi_l_m*(Tabella3[[#This Row],[Day]]-pl_m)-phi_l_m)^2/(1+TANH(phi_l_m)),0)</f>
        <v>93.148956236580162</v>
      </c>
      <c r="AD103" s="72">
        <f>Tabella3[[#This Row],[6-days moving avg fit]]*NOT(ISBLANK(Tabella3[[#This Row],[6-days moving avg]]))</f>
        <v>93.148956236580162</v>
      </c>
      <c r="AE103" s="72">
        <f>Tabella3[[#This Row],[region fit]]+CIl</f>
        <v>162.51394261168056</v>
      </c>
      <c r="AF103" s="72">
        <f>MAX(Tabella3[[#This Row],[region fit]]-CIl,0)</f>
        <v>23.783969861479761</v>
      </c>
      <c r="AG103" s="10">
        <f>Tabella8[[#This Row],[rest of Italy ]]</f>
        <v>36346</v>
      </c>
      <c r="AH103" s="10">
        <f>(Tabella3[[#This Row],[rest of Italy cum. data]]-AG102)</f>
        <v>1297</v>
      </c>
      <c r="AI103" s="72">
        <f>Tabella3[[#This Row],[rest of Italy data]]*NOT(ISBLANK(Tabella3[[#This Row],[rest of Italy data]]))</f>
        <v>1297</v>
      </c>
      <c r="AJ103" s="77">
        <f>Tabella8[[#This Row],[rest of Italy fit]]</f>
        <v>34761.60308647831</v>
      </c>
      <c r="AK103" s="72">
        <f>Tabella3[[#This Row],[rest of Italy cumul. fit]]/Ka</f>
        <v>0.15669382461284445</v>
      </c>
      <c r="AL103" s="72">
        <f>IFERROR(Ka*psi_a*_xlfn.SECH(psi_a*(Tabella3[[#This Row],[Day]]-pa)-phi_a)^2/(1+TANH(phi_a)),0)</f>
        <v>1969.5744207555131</v>
      </c>
      <c r="AM103" s="72">
        <f>Tabella3[[#This Row],[rest of Italy fit]]/y_a_peak</f>
        <v>0.65229610214167677</v>
      </c>
      <c r="AN103" s="72">
        <f>Tabella3[[#This Row],[rest of Italy fit]]*NOT(ISBLANK(Tabella3[[#This Row],[rest of Italy data]]))</f>
        <v>1969.5744207555131</v>
      </c>
      <c r="AO103" s="72">
        <f>Tabella3[[#This Row],[rest of Italy fit]]+CIa</f>
        <v>3603.7083607093145</v>
      </c>
      <c r="AP103" s="72">
        <f>MAX(Tabella3[[#This Row],[rest of Italy fit]]-CIa,0)</f>
        <v>335.4404808017116</v>
      </c>
      <c r="AR103"/>
      <c r="AS103"/>
    </row>
    <row r="104" spans="2:45" x14ac:dyDescent="0.3">
      <c r="B104" s="9">
        <v>43927</v>
      </c>
      <c r="C104" s="4">
        <v>97</v>
      </c>
      <c r="D104" s="72">
        <f>'dpc-covid19-ita-andamento-naz'!J44+'dpc-covid19-ita-andamento-naz'!K44</f>
        <v>39360</v>
      </c>
      <c r="E104" s="72">
        <f>(Tabella3[[#This Row],[Italy cumul. data]]-D103)</f>
        <v>1658</v>
      </c>
      <c r="F104" s="72">
        <f>Tabella3[[#This Row],[Italy remov. rate data]]*NOT(ISBLANK(Tabella3[[#This Row],[Italy remov. rate data]]))</f>
        <v>1658</v>
      </c>
      <c r="G104" s="77">
        <f>Tabella8[[#This Row],[Italy fit]]</f>
        <v>38338.348751196274</v>
      </c>
      <c r="H104" s="77">
        <f>Tabella3[[#This Row],[Italy cumul. fit]]/Kf</f>
        <v>0.16314190852124988</v>
      </c>
      <c r="I104" s="77">
        <f>Tabella3[[#This Row],[region fit]]+Tabella3[[#This Row],[rest of Italy fit]]</f>
        <v>2124.6262805613746</v>
      </c>
      <c r="J104" s="77">
        <f>Tabella3[[#This Row],[Italy (fit of selected region + fitted sum of the other regions)]]/(y_l_peak+y_a_peak)</f>
        <v>0.67093111267613381</v>
      </c>
      <c r="K104" s="72">
        <f>IFERROR(Kf*psi_f*_xlfn.SECH(psi_f*(Tabella3[[#This Row],[Day]]-pf)-phi_f)^2/(1+TANH(phi_f)),0)</f>
        <v>2123.5739044915126</v>
      </c>
      <c r="L104" s="292">
        <f>Tabella3[[#This Row],[Italy remov. rate fit]]-Tabella3[[#This Row],[Italy remov. rate data]]</f>
        <v>465.57390449151262</v>
      </c>
      <c r="M104" s="293">
        <f>Tabella3[[#This Row],[rem. rate residuals]]*NOT(ISBLANK(Tabella3[[#This Row],[Italy remov. rate data]]))</f>
        <v>465.57390449151262</v>
      </c>
      <c r="N104" s="72">
        <f>Tabella3[[#This Row],[Italy remov. rate fit]]/y_f_peak</f>
        <v>0.67223205423063359</v>
      </c>
      <c r="O104" s="72">
        <f>Tabella3[[#This Row],[Italy (fit of selected region + fitted sum of the other regions)]]*NOT(ISBLANK(Tabella3[[#This Row],[Italy remov. rate data]]))</f>
        <v>2124.6262805613746</v>
      </c>
      <c r="P104" s="72">
        <f>Tabella3[[#This Row],[Italy remov. rate fit]]*NOT(ISBLANK(Tabella3[[#This Row],[Italy remov. rate data]]))</f>
        <v>2123.5739044915126</v>
      </c>
      <c r="Q104" s="72">
        <f>Tabella3[[#This Row],[Italy remov. rate fit]]+CIf</f>
        <v>3778.7838734152638</v>
      </c>
      <c r="R104" s="72">
        <f>MAX(Tabella3[[#This Row],[Italy remov. rate fit]]-CIf,0)</f>
        <v>468.36393556776125</v>
      </c>
      <c r="S104" s="4">
        <f>Tabella8[[#This Row],[region data]]</f>
        <v>1432</v>
      </c>
      <c r="T104" s="72">
        <f>(Tabella3[[#This Row],[region cumul. data]]-S103)</f>
        <v>76</v>
      </c>
      <c r="U104" s="72">
        <f>Tabella3[[#This Row],[region data]]*NOT(ISBLANK(Tabella3[[#This Row],[region data]]))</f>
        <v>76</v>
      </c>
      <c r="V104">
        <f t="shared" si="1"/>
        <v>88.333333333333329</v>
      </c>
      <c r="W104" s="72">
        <f>Tabella3[[#This Row],[6-days moving avg]]*NOT(ISBLANK(Tabella3[[#This Row],[6-days moving avg]]))</f>
        <v>88.333333333333329</v>
      </c>
      <c r="X104" s="77">
        <f>Tabella8[[#This Row],[region fit]]</f>
        <v>1511.0854435755471</v>
      </c>
      <c r="Y104" s="72">
        <f>Tabella3[[#This Row],[region cumul. fit]]/Kl</f>
        <v>0.11486003745636261</v>
      </c>
      <c r="Z104" s="72">
        <f>IFERROR(Kl*psi_l*_xlfn.SECH(psi_l*(Tabella3[[#This Row],[Day]]-pl)-phi_l)^2/(1+TANH(phi_l)),0)</f>
        <v>95.42677597041974</v>
      </c>
      <c r="AA104" s="72">
        <f>Tabella3[[#This Row],[region fit]]/y_l_peak</f>
        <v>0.64812650966065755</v>
      </c>
      <c r="AB104" s="72">
        <f>Tabella3[[#This Row],[region fit]]*NOT(ISBLANK(Tabella3[[#This Row],[region data]]))</f>
        <v>95.42677597041974</v>
      </c>
      <c r="AC104" s="166">
        <f>IFERROR(kl_m*psi_l_m*_xlfn.SECH(psi_l_m*(Tabella3[[#This Row],[Day]]-pl_m)-phi_l_m)^2/(1+TANH(phi_l_m)),0)</f>
        <v>95.42677597041974</v>
      </c>
      <c r="AD104" s="72">
        <f>Tabella3[[#This Row],[6-days moving avg fit]]*NOT(ISBLANK(Tabella3[[#This Row],[6-days moving avg]]))</f>
        <v>95.42677597041974</v>
      </c>
      <c r="AE104" s="72">
        <f>Tabella3[[#This Row],[region fit]]+CIl</f>
        <v>164.79176234552014</v>
      </c>
      <c r="AF104" s="72">
        <f>MAX(Tabella3[[#This Row],[region fit]]-CIl,0)</f>
        <v>26.06178959531934</v>
      </c>
      <c r="AG104" s="10">
        <f>Tabella8[[#This Row],[rest of Italy ]]</f>
        <v>37928</v>
      </c>
      <c r="AH104" s="10">
        <f>(Tabella3[[#This Row],[rest of Italy cum. data]]-AG103)</f>
        <v>1582</v>
      </c>
      <c r="AI104" s="72">
        <f>Tabella3[[#This Row],[rest of Italy data]]*NOT(ISBLANK(Tabella3[[#This Row],[rest of Italy data]]))</f>
        <v>1582</v>
      </c>
      <c r="AJ104" s="77">
        <f>Tabella8[[#This Row],[rest of Italy fit]]</f>
        <v>36760.987108427616</v>
      </c>
      <c r="AK104" s="72">
        <f>Tabella3[[#This Row],[rest of Italy cumul. fit]]/Ka</f>
        <v>0.16570638736749235</v>
      </c>
      <c r="AL104" s="72">
        <f>IFERROR(Ka*psi_a*_xlfn.SECH(psi_a*(Tabella3[[#This Row],[Day]]-pa)-phi_a)^2/(1+TANH(phi_a)),0)</f>
        <v>2029.199504590955</v>
      </c>
      <c r="AM104" s="72">
        <f>Tabella3[[#This Row],[rest of Italy fit]]/y_a_peak</f>
        <v>0.67204311416918394</v>
      </c>
      <c r="AN104" s="72">
        <f>Tabella3[[#This Row],[rest of Italy fit]]*NOT(ISBLANK(Tabella3[[#This Row],[rest of Italy data]]))</f>
        <v>2029.199504590955</v>
      </c>
      <c r="AO104" s="72">
        <f>Tabella3[[#This Row],[rest of Italy fit]]+CIa</f>
        <v>3663.3334445447563</v>
      </c>
      <c r="AP104" s="72">
        <f>MAX(Tabella3[[#This Row],[rest of Italy fit]]-CIa,0)</f>
        <v>395.06556463715356</v>
      </c>
      <c r="AR104"/>
      <c r="AS104"/>
    </row>
    <row r="105" spans="2:45" x14ac:dyDescent="0.3">
      <c r="B105" s="9">
        <v>43928</v>
      </c>
      <c r="C105" s="4">
        <v>98</v>
      </c>
      <c r="D105" s="72">
        <f>'dpc-covid19-ita-andamento-naz'!J45+'dpc-covid19-ita-andamento-naz'!K45</f>
        <v>41519</v>
      </c>
      <c r="E105" s="72">
        <f>(Tabella3[[#This Row],[Italy cumul. data]]-D104)</f>
        <v>2159</v>
      </c>
      <c r="F105" s="72">
        <f>Tabella3[[#This Row],[Italy remov. rate data]]*NOT(ISBLANK(Tabella3[[#This Row],[Italy remov. rate data]]))</f>
        <v>2159</v>
      </c>
      <c r="G105" s="77">
        <f>Tabella8[[#This Row],[Italy fit]]</f>
        <v>40492.617887984932</v>
      </c>
      <c r="H105" s="77">
        <f>Tabella3[[#This Row],[Italy cumul. fit]]/Kf</f>
        <v>0.17230901117152145</v>
      </c>
      <c r="I105" s="77">
        <f>Tabella3[[#This Row],[region fit]]+Tabella3[[#This Row],[rest of Italy fit]]</f>
        <v>2186.4896220841615</v>
      </c>
      <c r="J105" s="77">
        <f>Tabella3[[#This Row],[Italy (fit of selected region + fitted sum of the other regions)]]/(y_l_peak+y_a_peak)</f>
        <v>0.69046680276031192</v>
      </c>
      <c r="K105" s="72">
        <f>IFERROR(Kf*psi_f*_xlfn.SECH(psi_f*(Tabella3[[#This Row],[Day]]-pf)-phi_f)^2/(1+TANH(phi_f)),0)</f>
        <v>2184.9433248025584</v>
      </c>
      <c r="L105" s="292">
        <f>Tabella3[[#This Row],[Italy remov. rate fit]]-Tabella3[[#This Row],[Italy remov. rate data]]</f>
        <v>25.943324802558436</v>
      </c>
      <c r="M105" s="293">
        <f>Tabella3[[#This Row],[rem. rate residuals]]*NOT(ISBLANK(Tabella3[[#This Row],[Italy remov. rate data]]))</f>
        <v>25.943324802558436</v>
      </c>
      <c r="N105" s="72">
        <f>Tabella3[[#This Row],[Italy remov. rate fit]]/y_f_peak</f>
        <v>0.69165897005182597</v>
      </c>
      <c r="O105" s="72">
        <f>Tabella3[[#This Row],[Italy (fit of selected region + fitted sum of the other regions)]]*NOT(ISBLANK(Tabella3[[#This Row],[Italy remov. rate data]]))</f>
        <v>2186.4896220841615</v>
      </c>
      <c r="P105" s="72">
        <f>Tabella3[[#This Row],[Italy remov. rate fit]]*NOT(ISBLANK(Tabella3[[#This Row],[Italy remov. rate data]]))</f>
        <v>2184.9433248025584</v>
      </c>
      <c r="Q105" s="72">
        <f>Tabella3[[#This Row],[Italy remov. rate fit]]+CIf</f>
        <v>3840.15329372631</v>
      </c>
      <c r="R105" s="72">
        <f>MAX(Tabella3[[#This Row],[Italy remov. rate fit]]-CIf,0)</f>
        <v>529.73335587880706</v>
      </c>
      <c r="S105" s="4">
        <f>Tabella8[[#This Row],[region data]]</f>
        <v>1545</v>
      </c>
      <c r="T105" s="72">
        <f>(Tabella3[[#This Row],[region cumul. data]]-S104)</f>
        <v>113</v>
      </c>
      <c r="U105" s="72">
        <f>Tabella3[[#This Row],[region data]]*NOT(ISBLANK(Tabella3[[#This Row],[region data]]))</f>
        <v>113</v>
      </c>
      <c r="V105">
        <f t="shared" si="1"/>
        <v>89.833333333333329</v>
      </c>
      <c r="W105" s="72">
        <f>Tabella3[[#This Row],[6-days moving avg]]*NOT(ISBLANK(Tabella3[[#This Row],[6-days moving avg]]))</f>
        <v>89.833333333333329</v>
      </c>
      <c r="X105" s="77">
        <f>Tabella8[[#This Row],[region fit]]</f>
        <v>1607.6530646446565</v>
      </c>
      <c r="Y105" s="72">
        <f>Tabella3[[#This Row],[region cumul. fit]]/Kl</f>
        <v>0.1222002978104193</v>
      </c>
      <c r="Z105" s="72">
        <f>IFERROR(Kl*psi_l*_xlfn.SECH(psi_l*(Tabella3[[#This Row],[Day]]-pl)-phi_l)^2/(1+TANH(phi_l)),0)</f>
        <v>97.708888336432466</v>
      </c>
      <c r="AA105" s="72">
        <f>Tabella3[[#This Row],[region fit]]/y_l_peak</f>
        <v>0.6636263262204849</v>
      </c>
      <c r="AB105" s="72">
        <f>Tabella3[[#This Row],[region fit]]*NOT(ISBLANK(Tabella3[[#This Row],[region data]]))</f>
        <v>97.708888336432466</v>
      </c>
      <c r="AC105" s="166">
        <f>IFERROR(kl_m*psi_l_m*_xlfn.SECH(psi_l_m*(Tabella3[[#This Row],[Day]]-pl_m)-phi_l_m)^2/(1+TANH(phi_l_m)),0)</f>
        <v>97.708888336432466</v>
      </c>
      <c r="AD105" s="72">
        <f>Tabella3[[#This Row],[6-days moving avg fit]]*NOT(ISBLANK(Tabella3[[#This Row],[6-days moving avg]]))</f>
        <v>97.708888336432466</v>
      </c>
      <c r="AE105" s="72">
        <f>Tabella3[[#This Row],[region fit]]+CIl</f>
        <v>167.07387471153288</v>
      </c>
      <c r="AF105" s="72">
        <f>MAX(Tabella3[[#This Row],[region fit]]-CIl,0)</f>
        <v>28.343901961332065</v>
      </c>
      <c r="AG105" s="10">
        <f>Tabella8[[#This Row],[rest of Italy ]]</f>
        <v>39974</v>
      </c>
      <c r="AH105" s="10">
        <f>(Tabella3[[#This Row],[rest of Italy cum. data]]-AG104)</f>
        <v>2046</v>
      </c>
      <c r="AI105" s="72">
        <f>Tabella3[[#This Row],[rest of Italy data]]*NOT(ISBLANK(Tabella3[[#This Row],[rest of Italy data]]))</f>
        <v>2046</v>
      </c>
      <c r="AJ105" s="77">
        <f>Tabella8[[#This Row],[rest of Italy fit]]</f>
        <v>38819.987579448985</v>
      </c>
      <c r="AK105" s="72">
        <f>Tabella3[[#This Row],[rest of Italy cumul. fit]]/Ka</f>
        <v>0.17498768138265489</v>
      </c>
      <c r="AL105" s="72">
        <f>IFERROR(Ka*psi_a*_xlfn.SECH(psi_a*(Tabella3[[#This Row],[Day]]-pa)-phi_a)^2/(1+TANH(phi_a)),0)</f>
        <v>2088.7807337477288</v>
      </c>
      <c r="AM105" s="72">
        <f>Tabella3[[#This Row],[rest of Italy fit]]/y_a_peak</f>
        <v>0.69177560212709788</v>
      </c>
      <c r="AN105" s="72">
        <f>Tabella3[[#This Row],[rest of Italy fit]]*NOT(ISBLANK(Tabella3[[#This Row],[rest of Italy data]]))</f>
        <v>2088.7807337477288</v>
      </c>
      <c r="AO105" s="72">
        <f>Tabella3[[#This Row],[rest of Italy fit]]+CIa</f>
        <v>3722.9146737015303</v>
      </c>
      <c r="AP105" s="72">
        <f>MAX(Tabella3[[#This Row],[rest of Italy fit]]-CIa,0)</f>
        <v>454.64679379392737</v>
      </c>
      <c r="AR105"/>
      <c r="AS105"/>
    </row>
    <row r="106" spans="2:45" x14ac:dyDescent="0.3">
      <c r="B106" s="9">
        <v>43929</v>
      </c>
      <c r="C106" s="4">
        <v>99</v>
      </c>
      <c r="D106" s="72">
        <f>'dpc-covid19-ita-andamento-naz'!J46+'dpc-covid19-ita-andamento-naz'!K46</f>
        <v>44160</v>
      </c>
      <c r="E106" s="72">
        <f>(Tabella3[[#This Row],[Italy cumul. data]]-D105)</f>
        <v>2641</v>
      </c>
      <c r="F106" s="72">
        <f>Tabella3[[#This Row],[Italy remov. rate data]]*NOT(ISBLANK(Tabella3[[#This Row],[Italy remov. rate data]]))</f>
        <v>2641</v>
      </c>
      <c r="G106" s="77">
        <f>Tabella8[[#This Row],[Italy fit]]</f>
        <v>42708.165576693667</v>
      </c>
      <c r="H106" s="77">
        <f>Tabella3[[#This Row],[Italy cumul. fit]]/Kf</f>
        <v>0.18173687361550606</v>
      </c>
      <c r="I106" s="77">
        <f>Tabella3[[#This Row],[region fit]]+Tabella3[[#This Row],[rest of Italy fit]]</f>
        <v>2248.145805862101</v>
      </c>
      <c r="J106" s="77">
        <f>Tabella3[[#This Row],[Italy (fit of selected region + fitted sum of the other regions)]]/(y_l_peak+y_a_peak)</f>
        <v>0.70993707495075431</v>
      </c>
      <c r="K106" s="72">
        <f>IFERROR(Kf*psi_f*_xlfn.SECH(psi_f*(Tabella3[[#This Row],[Day]]-pf)-phi_f)^2/(1+TANH(phi_f)),0)</f>
        <v>2246.1029885939342</v>
      </c>
      <c r="L106" s="292">
        <f>Tabella3[[#This Row],[Italy remov. rate fit]]-Tabella3[[#This Row],[Italy remov. rate data]]</f>
        <v>-394.89701140606576</v>
      </c>
      <c r="M106" s="293">
        <f>Tabella3[[#This Row],[rem. rate residuals]]*NOT(ISBLANK(Tabella3[[#This Row],[Italy remov. rate data]]))</f>
        <v>-394.89701140606576</v>
      </c>
      <c r="N106" s="72">
        <f>Tabella3[[#This Row],[Italy remov. rate fit]]/y_f_peak</f>
        <v>0.71101948599128706</v>
      </c>
      <c r="O106" s="72">
        <f>Tabella3[[#This Row],[Italy (fit of selected region + fitted sum of the other regions)]]*NOT(ISBLANK(Tabella3[[#This Row],[Italy remov. rate data]]))</f>
        <v>2248.145805862101</v>
      </c>
      <c r="P106" s="72">
        <f>Tabella3[[#This Row],[Italy remov. rate fit]]*NOT(ISBLANK(Tabella3[[#This Row],[Italy remov. rate data]]))</f>
        <v>2246.1029885939342</v>
      </c>
      <c r="Q106" s="72">
        <f>Tabella3[[#This Row],[Italy remov. rate fit]]+CIf</f>
        <v>3901.3129575176854</v>
      </c>
      <c r="R106" s="72">
        <f>MAX(Tabella3[[#This Row],[Italy remov. rate fit]]-CIf,0)</f>
        <v>590.89301967018287</v>
      </c>
      <c r="S106" s="4">
        <f>Tabella8[[#This Row],[region data]]</f>
        <v>1661</v>
      </c>
      <c r="T106" s="72">
        <f>(Tabella3[[#This Row],[region cumul. data]]-S105)</f>
        <v>116</v>
      </c>
      <c r="U106" s="72">
        <f>Tabella3[[#This Row],[region data]]*NOT(ISBLANK(Tabella3[[#This Row],[region data]]))</f>
        <v>116</v>
      </c>
      <c r="V106">
        <f t="shared" si="1"/>
        <v>91.333333333333329</v>
      </c>
      <c r="W106" s="72">
        <f>Tabella3[[#This Row],[6-days moving avg]]*NOT(ISBLANK(Tabella3[[#This Row],[6-days moving avg]]))</f>
        <v>91.333333333333329</v>
      </c>
      <c r="X106" s="77">
        <f>Tabella8[[#This Row],[region fit]]</f>
        <v>1706.5034584457503</v>
      </c>
      <c r="Y106" s="72">
        <f>Tabella3[[#This Row],[region cumul. fit]]/Kl</f>
        <v>0.12971407539516258</v>
      </c>
      <c r="Z106" s="72">
        <f>IFERROR(Kl*psi_l*_xlfn.SECH(psi_l*(Tabella3[[#This Row],[Day]]-pl)-phi_l)^2/(1+TANH(phi_l)),0)</f>
        <v>99.991709511662421</v>
      </c>
      <c r="AA106" s="72">
        <f>Tabella3[[#This Row],[region fit]]/y_l_peak</f>
        <v>0.6791309569222479</v>
      </c>
      <c r="AB106" s="72">
        <f>Tabella3[[#This Row],[region fit]]*NOT(ISBLANK(Tabella3[[#This Row],[region data]]))</f>
        <v>99.991709511662421</v>
      </c>
      <c r="AC106" s="166">
        <f>IFERROR(kl_m*psi_l_m*_xlfn.SECH(psi_l_m*(Tabella3[[#This Row],[Day]]-pl_m)-phi_l_m)^2/(1+TANH(phi_l_m)),0)</f>
        <v>99.991709511662421</v>
      </c>
      <c r="AD106" s="72">
        <f>Tabella3[[#This Row],[6-days moving avg fit]]*NOT(ISBLANK(Tabella3[[#This Row],[6-days moving avg]]))</f>
        <v>99.991709511662421</v>
      </c>
      <c r="AE106" s="72">
        <f>Tabella3[[#This Row],[region fit]]+CIl</f>
        <v>169.35669588676282</v>
      </c>
      <c r="AF106" s="72">
        <f>MAX(Tabella3[[#This Row],[region fit]]-CIl,0)</f>
        <v>30.62672313656202</v>
      </c>
      <c r="AG106" s="10">
        <f>Tabella8[[#This Row],[rest of Italy ]]</f>
        <v>42499</v>
      </c>
      <c r="AH106" s="10">
        <f>(Tabella3[[#This Row],[rest of Italy cum. data]]-AG105)</f>
        <v>2525</v>
      </c>
      <c r="AI106" s="72">
        <f>Tabella3[[#This Row],[rest of Italy data]]*NOT(ISBLANK(Tabella3[[#This Row],[rest of Italy data]]))</f>
        <v>2525</v>
      </c>
      <c r="AJ106" s="77">
        <f>Tabella8[[#This Row],[rest of Italy fit]]</f>
        <v>40938.47938341774</v>
      </c>
      <c r="AK106" s="72">
        <f>Tabella3[[#This Row],[rest of Italy cumul. fit]]/Ka</f>
        <v>0.18453714267616908</v>
      </c>
      <c r="AL106" s="72">
        <f>IFERROR(Ka*psi_a*_xlfn.SECH(psi_a*(Tabella3[[#This Row],[Day]]-pa)-phi_a)^2/(1+TANH(phi_a)),0)</f>
        <v>2148.1540963504385</v>
      </c>
      <c r="AM106" s="72">
        <f>Tabella3[[#This Row],[rest of Italy fit]]/y_a_peak</f>
        <v>0.71143924752615617</v>
      </c>
      <c r="AN106" s="72">
        <f>Tabella3[[#This Row],[rest of Italy fit]]*NOT(ISBLANK(Tabella3[[#This Row],[rest of Italy data]]))</f>
        <v>2148.1540963504385</v>
      </c>
      <c r="AO106" s="72">
        <f>Tabella3[[#This Row],[rest of Italy fit]]+CIa</f>
        <v>3782.28803630424</v>
      </c>
      <c r="AP106" s="72">
        <f>MAX(Tabella3[[#This Row],[rest of Italy fit]]-CIa,0)</f>
        <v>514.02015639663705</v>
      </c>
      <c r="AR106"/>
      <c r="AS106"/>
    </row>
    <row r="107" spans="2:45" x14ac:dyDescent="0.3">
      <c r="B107" s="9">
        <v>43930</v>
      </c>
      <c r="C107" s="4">
        <v>100</v>
      </c>
      <c r="D107" s="72">
        <f>'dpc-covid19-ita-andamento-naz'!J47+'dpc-covid19-ita-andamento-naz'!K47</f>
        <v>46749</v>
      </c>
      <c r="E107" s="72">
        <f>(Tabella3[[#This Row],[Italy cumul. data]]-D106)</f>
        <v>2589</v>
      </c>
      <c r="F107" s="72">
        <f>Tabella3[[#This Row],[Italy remov. rate data]]*NOT(ISBLANK(Tabella3[[#This Row],[Italy remov. rate data]]))</f>
        <v>2589</v>
      </c>
      <c r="G107" s="77">
        <f>Tabella8[[#This Row],[Italy fit]]</f>
        <v>44984.696610108731</v>
      </c>
      <c r="H107" s="77">
        <f>Tabella3[[#This Row],[Italy cumul. fit]]/Kf</f>
        <v>0.19142423965230226</v>
      </c>
      <c r="I107" s="77">
        <f>Tabella3[[#This Row],[region fit]]+Tabella3[[#This Row],[rest of Italy fit]]</f>
        <v>2309.4184075884236</v>
      </c>
      <c r="J107" s="77">
        <f>Tabella3[[#This Row],[Italy (fit of selected region + fitted sum of the other regions)]]/(y_l_peak+y_a_peak)</f>
        <v>0.72928621659929926</v>
      </c>
      <c r="K107" s="72">
        <f>IFERROR(Kf*psi_f*_xlfn.SECH(psi_f*(Tabella3[[#This Row],[Day]]-pf)-phi_f)^2/(1+TANH(phi_f)),0)</f>
        <v>2306.8806235547668</v>
      </c>
      <c r="L107" s="292">
        <f>Tabella3[[#This Row],[Italy remov. rate fit]]-Tabella3[[#This Row],[Italy remov. rate data]]</f>
        <v>-282.11937644523323</v>
      </c>
      <c r="M107" s="293">
        <f>Tabella3[[#This Row],[rem. rate residuals]]*NOT(ISBLANK(Tabella3[[#This Row],[Italy remov. rate data]]))</f>
        <v>-282.11937644523323</v>
      </c>
      <c r="N107" s="72">
        <f>Tabella3[[#This Row],[Italy remov. rate fit]]/y_f_peak</f>
        <v>0.73025906805367025</v>
      </c>
      <c r="O107" s="72">
        <f>Tabella3[[#This Row],[Italy (fit of selected region + fitted sum of the other regions)]]*NOT(ISBLANK(Tabella3[[#This Row],[Italy remov. rate data]]))</f>
        <v>2309.4184075884236</v>
      </c>
      <c r="P107" s="72">
        <f>Tabella3[[#This Row],[Italy remov. rate fit]]*NOT(ISBLANK(Tabella3[[#This Row],[Italy remov. rate data]]))</f>
        <v>2306.8806235547668</v>
      </c>
      <c r="Q107" s="72">
        <f>Tabella3[[#This Row],[Italy remov. rate fit]]+CIf</f>
        <v>3962.0905924785184</v>
      </c>
      <c r="R107" s="72">
        <f>MAX(Tabella3[[#This Row],[Italy remov. rate fit]]-CIf,0)</f>
        <v>651.6706546310154</v>
      </c>
      <c r="S107" s="4">
        <f>Tabella8[[#This Row],[region data]]</f>
        <v>1767</v>
      </c>
      <c r="T107" s="72">
        <f>(Tabella3[[#This Row],[region cumul. data]]-S106)</f>
        <v>106</v>
      </c>
      <c r="U107" s="72">
        <f>Tabella3[[#This Row],[region data]]*NOT(ISBLANK(Tabella3[[#This Row],[region data]]))</f>
        <v>106</v>
      </c>
      <c r="V107">
        <f t="shared" si="1"/>
        <v>96.833333333333329</v>
      </c>
      <c r="W107" s="72">
        <f>Tabella3[[#This Row],[6-days moving avg]]*NOT(ISBLANK(Tabella3[[#This Row],[6-days moving avg]]))</f>
        <v>96.833333333333329</v>
      </c>
      <c r="X107" s="77">
        <f>Tabella8[[#This Row],[region fit]]</f>
        <v>1807.6354694130687</v>
      </c>
      <c r="Y107" s="72">
        <f>Tabella3[[#This Row],[region cumul. fit]]/Kl</f>
        <v>0.13740128237417862</v>
      </c>
      <c r="Z107" s="72">
        <f>IFERROR(Kl*psi_l*_xlfn.SECH(psi_l*(Tabella3[[#This Row],[Day]]-pl)-phi_l)^2/(1+TANH(phi_l)),0)</f>
        <v>102.27148235427096</v>
      </c>
      <c r="AA107" s="72">
        <f>Tabella3[[#This Row],[region fit]]/y_l_peak</f>
        <v>0.6946148837370556</v>
      </c>
      <c r="AB107" s="72">
        <f>Tabella3[[#This Row],[region fit]]*NOT(ISBLANK(Tabella3[[#This Row],[region data]]))</f>
        <v>102.27148235427096</v>
      </c>
      <c r="AC107" s="166">
        <f>IFERROR(kl_m*psi_l_m*_xlfn.SECH(psi_l_m*(Tabella3[[#This Row],[Day]]-pl_m)-phi_l_m)^2/(1+TANH(phi_l_m)),0)</f>
        <v>102.27148235427096</v>
      </c>
      <c r="AD107" s="72">
        <f>Tabella3[[#This Row],[6-days moving avg fit]]*NOT(ISBLANK(Tabella3[[#This Row],[6-days moving avg]]))</f>
        <v>102.27148235427096</v>
      </c>
      <c r="AE107" s="72">
        <f>Tabella3[[#This Row],[region fit]]+CIl</f>
        <v>171.63646872937136</v>
      </c>
      <c r="AF107" s="72">
        <f>MAX(Tabella3[[#This Row],[region fit]]-CIl,0)</f>
        <v>32.906495979170558</v>
      </c>
      <c r="AG107" s="10">
        <f>Tabella8[[#This Row],[rest of Italy ]]</f>
        <v>44982</v>
      </c>
      <c r="AH107" s="10">
        <f>(Tabella3[[#This Row],[rest of Italy cum. data]]-AG106)</f>
        <v>2483</v>
      </c>
      <c r="AI107" s="72">
        <f>Tabella3[[#This Row],[rest of Italy data]]*NOT(ISBLANK(Tabella3[[#This Row],[rest of Italy data]]))</f>
        <v>2483</v>
      </c>
      <c r="AJ107" s="77">
        <f>Tabella8[[#This Row],[rest of Italy fit]]</f>
        <v>43116.169016821528</v>
      </c>
      <c r="AK107" s="72">
        <f>Tabella3[[#This Row],[rest of Italy cumul. fit]]/Ka</f>
        <v>0.19435344823114839</v>
      </c>
      <c r="AL107" s="72">
        <f>IFERROR(Ka*psi_a*_xlfn.SECH(psi_a*(Tabella3[[#This Row],[Day]]-pa)-phi_a)^2/(1+TANH(phi_a)),0)</f>
        <v>2207.1469252341526</v>
      </c>
      <c r="AM107" s="72">
        <f>Tabella3[[#This Row],[rest of Italy fit]]/y_a_peak</f>
        <v>0.73097686536361595</v>
      </c>
      <c r="AN107" s="72">
        <f>Tabella3[[#This Row],[rest of Italy fit]]*NOT(ISBLANK(Tabella3[[#This Row],[rest of Italy data]]))</f>
        <v>2207.1469252341526</v>
      </c>
      <c r="AO107" s="72">
        <f>Tabella3[[#This Row],[rest of Italy fit]]+CIa</f>
        <v>3841.2808651879541</v>
      </c>
      <c r="AP107" s="72">
        <f>MAX(Tabella3[[#This Row],[rest of Italy fit]]-CIa,0)</f>
        <v>573.01298528035113</v>
      </c>
      <c r="AR107"/>
      <c r="AS107"/>
    </row>
    <row r="108" spans="2:45" x14ac:dyDescent="0.3">
      <c r="B108" s="9">
        <v>43931</v>
      </c>
      <c r="C108" s="4">
        <v>101</v>
      </c>
      <c r="D108" s="72">
        <f>'dpc-covid19-ita-andamento-naz'!J48+'dpc-covid19-ita-andamento-naz'!K48</f>
        <v>49304</v>
      </c>
      <c r="E108" s="72">
        <f>(Tabella3[[#This Row],[Italy cumul. data]]-D107)</f>
        <v>2555</v>
      </c>
      <c r="F108" s="72">
        <f>Tabella3[[#This Row],[Italy remov. rate data]]*NOT(ISBLANK(Tabella3[[#This Row],[Italy remov. rate data]]))</f>
        <v>2555</v>
      </c>
      <c r="G108" s="77">
        <f>Tabella8[[#This Row],[Italy fit]]</f>
        <v>47321.739504998819</v>
      </c>
      <c r="H108" s="77">
        <f>Tabella3[[#This Row],[Italy cumul. fit]]/Kf</f>
        <v>0.2013691029703005</v>
      </c>
      <c r="I108" s="77">
        <f>Tabella3[[#This Row],[region fit]]+Tabella3[[#This Row],[rest of Italy fit]]</f>
        <v>2370.1228203315059</v>
      </c>
      <c r="J108" s="77">
        <f>Tabella3[[#This Row],[Italy (fit of selected region + fitted sum of the other regions)]]/(y_l_peak+y_a_peak)</f>
        <v>0.74845593108447728</v>
      </c>
      <c r="K108" s="72">
        <f>IFERROR(Kf*psi_f*_xlfn.SECH(psi_f*(Tabella3[[#This Row],[Day]]-pf)-phi_f)^2/(1+TANH(phi_f)),0)</f>
        <v>2367.0960632189121</v>
      </c>
      <c r="L108" s="292">
        <f>Tabella3[[#This Row],[Italy remov. rate fit]]-Tabella3[[#This Row],[Italy remov. rate data]]</f>
        <v>-187.90393678108785</v>
      </c>
      <c r="M108" s="293">
        <f>Tabella3[[#This Row],[rem. rate residuals]]*NOT(ISBLANK(Tabella3[[#This Row],[Italy remov. rate data]]))</f>
        <v>-187.90393678108785</v>
      </c>
      <c r="N108" s="72">
        <f>Tabella3[[#This Row],[Italy remov. rate fit]]/y_f_peak</f>
        <v>0.74932068329400348</v>
      </c>
      <c r="O108" s="72">
        <f>Tabella3[[#This Row],[Italy (fit of selected region + fitted sum of the other regions)]]*NOT(ISBLANK(Tabella3[[#This Row],[Italy remov. rate data]]))</f>
        <v>2370.1228203315059</v>
      </c>
      <c r="P108" s="72">
        <f>Tabella3[[#This Row],[Italy remov. rate fit]]*NOT(ISBLANK(Tabella3[[#This Row],[Italy remov. rate data]]))</f>
        <v>2367.0960632189121</v>
      </c>
      <c r="Q108" s="72">
        <f>Tabella3[[#This Row],[Italy remov. rate fit]]+CIf</f>
        <v>4022.3060321426638</v>
      </c>
      <c r="R108" s="72">
        <f>MAX(Tabella3[[#This Row],[Italy remov. rate fit]]-CIf,0)</f>
        <v>711.88609429516077</v>
      </c>
      <c r="S108" s="4">
        <f>Tabella8[[#This Row],[region data]]</f>
        <v>1890</v>
      </c>
      <c r="T108" s="72">
        <f>(Tabella3[[#This Row],[region cumul. data]]-S107)</f>
        <v>123</v>
      </c>
      <c r="U108" s="72">
        <f>Tabella3[[#This Row],[region data]]*NOT(ISBLANK(Tabella3[[#This Row],[region data]]))</f>
        <v>123</v>
      </c>
      <c r="V108">
        <f t="shared" si="1"/>
        <v>114.5</v>
      </c>
      <c r="W108" s="72">
        <f>Tabella3[[#This Row],[6-days moving avg]]*NOT(ISBLANK(Tabella3[[#This Row],[6-days moving avg]]))</f>
        <v>114.5</v>
      </c>
      <c r="X108" s="77">
        <f>Tabella8[[#This Row],[region fit]]</f>
        <v>1911.0441008093981</v>
      </c>
      <c r="Y108" s="72">
        <f>Tabella3[[#This Row],[region cumul. fit]]/Kl</f>
        <v>0.14526153893742685</v>
      </c>
      <c r="Z108" s="72">
        <f>IFERROR(Kl*psi_l*_xlfn.SECH(psi_l*(Tabella3[[#This Row],[Day]]-pl)-phi_l)^2/(1+TANH(phi_l)),0)</f>
        <v>104.54428285718801</v>
      </c>
      <c r="AA108" s="72">
        <f>Tabella3[[#This Row],[region fit]]/y_l_peak</f>
        <v>0.71005145530861569</v>
      </c>
      <c r="AB108" s="72">
        <f>Tabella3[[#This Row],[region fit]]*NOT(ISBLANK(Tabella3[[#This Row],[region data]]))</f>
        <v>104.54428285718801</v>
      </c>
      <c r="AC108" s="166">
        <f>IFERROR(kl_m*psi_l_m*_xlfn.SECH(psi_l_m*(Tabella3[[#This Row],[Day]]-pl_m)-phi_l_m)^2/(1+TANH(phi_l_m)),0)</f>
        <v>104.54428285718801</v>
      </c>
      <c r="AD108" s="72">
        <f>Tabella3[[#This Row],[6-days moving avg fit]]*NOT(ISBLANK(Tabella3[[#This Row],[6-days moving avg]]))</f>
        <v>104.54428285718801</v>
      </c>
      <c r="AE108" s="72">
        <f>Tabella3[[#This Row],[region fit]]+CIl</f>
        <v>173.90926923228841</v>
      </c>
      <c r="AF108" s="72">
        <f>MAX(Tabella3[[#This Row],[region fit]]-CIl,0)</f>
        <v>35.179296482087608</v>
      </c>
      <c r="AG108" s="10">
        <f>Tabella8[[#This Row],[rest of Italy ]]</f>
        <v>47414</v>
      </c>
      <c r="AH108" s="10">
        <f>(Tabella3[[#This Row],[rest of Italy cum. data]]-AG107)</f>
        <v>2432</v>
      </c>
      <c r="AI108" s="72">
        <f>Tabella3[[#This Row],[rest of Italy data]]*NOT(ISBLANK(Tabella3[[#This Row],[rest of Italy data]]))</f>
        <v>2432</v>
      </c>
      <c r="AJ108" s="77">
        <f>Tabella8[[#This Row],[rest of Italy fit]]</f>
        <v>45352.586242345984</v>
      </c>
      <c r="AK108" s="72">
        <f>Tabella3[[#This Row],[rest of Italy cumul. fit]]/Ka</f>
        <v>0.20443447837310366</v>
      </c>
      <c r="AL108" s="72">
        <f>IFERROR(Ka*psi_a*_xlfn.SECH(psi_a*(Tabella3[[#This Row],[Day]]-pa)-phi_a)^2/(1+TANH(phi_a)),0)</f>
        <v>2265.5785374743177</v>
      </c>
      <c r="AM108" s="72">
        <f>Tabella3[[#This Row],[rest of Italy fit]]/y_a_peak</f>
        <v>0.75032861592681288</v>
      </c>
      <c r="AN108" s="72">
        <f>Tabella3[[#This Row],[rest of Italy fit]]*NOT(ISBLANK(Tabella3[[#This Row],[rest of Italy data]]))</f>
        <v>2265.5785374743177</v>
      </c>
      <c r="AO108" s="72">
        <f>Tabella3[[#This Row],[rest of Italy fit]]+CIa</f>
        <v>3899.7124774281192</v>
      </c>
      <c r="AP108" s="72">
        <f>MAX(Tabella3[[#This Row],[rest of Italy fit]]-CIa,0)</f>
        <v>631.44459752051625</v>
      </c>
      <c r="AR108"/>
      <c r="AS108"/>
    </row>
    <row r="109" spans="2:45" x14ac:dyDescent="0.3">
      <c r="B109" s="9">
        <v>43932</v>
      </c>
      <c r="C109" s="4">
        <v>102</v>
      </c>
      <c r="D109" s="72">
        <f>'dpc-covid19-ita-andamento-naz'!J49+'dpc-covid19-ita-andamento-naz'!K49</f>
        <v>52002</v>
      </c>
      <c r="E109" s="72">
        <f>(Tabella3[[#This Row],[Italy cumul. data]]-D108)</f>
        <v>2698</v>
      </c>
      <c r="F109" s="72">
        <f>Tabella3[[#This Row],[Italy remov. rate data]]*NOT(ISBLANK(Tabella3[[#This Row],[Italy remov. rate data]]))</f>
        <v>2698</v>
      </c>
      <c r="G109" s="77">
        <f>Tabella8[[#This Row],[Italy fit]]</f>
        <v>49718.638968802377</v>
      </c>
      <c r="H109" s="77">
        <f>Tabella3[[#This Row],[Italy cumul. fit]]/Kf</f>
        <v>0.21156867509053356</v>
      </c>
      <c r="I109" s="77">
        <f>Tabella3[[#This Row],[region fit]]+Tabella3[[#This Row],[rest of Italy fit]]</f>
        <v>2430.0670339147532</v>
      </c>
      <c r="J109" s="77">
        <f>Tabella3[[#This Row],[Italy (fit of selected region + fitted sum of the other regions)]]/(y_l_peak+y_a_peak)</f>
        <v>0.76738558393018974</v>
      </c>
      <c r="K109" s="72">
        <f>IFERROR(Kf*psi_f*_xlfn.SECH(psi_f*(Tabella3[[#This Row],[Day]]-pf)-phi_f)^2/(1+TANH(phi_f)),0)</f>
        <v>2426.5619897607298</v>
      </c>
      <c r="L109" s="292">
        <f>Tabella3[[#This Row],[Italy remov. rate fit]]-Tabella3[[#This Row],[Italy remov. rate data]]</f>
        <v>-271.43801023927017</v>
      </c>
      <c r="M109" s="293">
        <f>Tabella3[[#This Row],[rem. rate residuals]]*NOT(ISBLANK(Tabella3[[#This Row],[Italy remov. rate data]]))</f>
        <v>-271.43801023927017</v>
      </c>
      <c r="N109" s="72">
        <f>Tabella3[[#This Row],[Italy remov. rate fit]]/y_f_peak</f>
        <v>0.76814503495484476</v>
      </c>
      <c r="O109" s="72">
        <f>Tabella3[[#This Row],[Italy (fit of selected region + fitted sum of the other regions)]]*NOT(ISBLANK(Tabella3[[#This Row],[Italy remov. rate data]]))</f>
        <v>2430.0670339147532</v>
      </c>
      <c r="P109" s="72">
        <f>Tabella3[[#This Row],[Italy remov. rate fit]]*NOT(ISBLANK(Tabella3[[#This Row],[Italy remov. rate data]]))</f>
        <v>2426.5619897607298</v>
      </c>
      <c r="Q109" s="72">
        <f>Tabella3[[#This Row],[Italy remov. rate fit]]+CIf</f>
        <v>4081.7719586844814</v>
      </c>
      <c r="R109" s="72">
        <f>MAX(Tabella3[[#This Row],[Italy remov. rate fit]]-CIf,0)</f>
        <v>771.35202083697845</v>
      </c>
      <c r="S109" s="4">
        <f>Tabella8[[#This Row],[region data]]</f>
        <v>2043</v>
      </c>
      <c r="T109" s="72">
        <f>(Tabella3[[#This Row],[region cumul. data]]-S108)</f>
        <v>153</v>
      </c>
      <c r="U109" s="72">
        <f>Tabella3[[#This Row],[region data]]*NOT(ISBLANK(Tabella3[[#This Row],[region data]]))</f>
        <v>153</v>
      </c>
      <c r="V109">
        <f t="shared" si="1"/>
        <v>121.5</v>
      </c>
      <c r="W109" s="72">
        <f>Tabella3[[#This Row],[6-days moving avg]]*NOT(ISBLANK(Tabella3[[#This Row],[6-days moving avg]]))</f>
        <v>121.5</v>
      </c>
      <c r="X109" s="77">
        <f>Tabella8[[#This Row],[region fit]]</f>
        <v>2016.7203516848165</v>
      </c>
      <c r="Y109" s="72">
        <f>Tabella3[[#This Row],[region cumul. fit]]/Kl</f>
        <v>0.15329416090821199</v>
      </c>
      <c r="Z109" s="72">
        <f>IFERROR(Kl*psi_l*_xlfn.SECH(psi_l*(Tabella3[[#This Row],[Day]]-pl)-phi_l)^2/(1+TANH(phi_l)),0)</f>
        <v>106.80602803943566</v>
      </c>
      <c r="AA109" s="72">
        <f>Tabella3[[#This Row],[region fit]]/y_l_peak</f>
        <v>0.72541294055009942</v>
      </c>
      <c r="AB109" s="72">
        <f>Tabella3[[#This Row],[region fit]]*NOT(ISBLANK(Tabella3[[#This Row],[region data]]))</f>
        <v>106.80602803943566</v>
      </c>
      <c r="AC109" s="166">
        <f>IFERROR(kl_m*psi_l_m*_xlfn.SECH(psi_l_m*(Tabella3[[#This Row],[Day]]-pl_m)-phi_l_m)^2/(1+TANH(phi_l_m)),0)</f>
        <v>106.80602803943566</v>
      </c>
      <c r="AD109" s="72">
        <f>Tabella3[[#This Row],[6-days moving avg fit]]*NOT(ISBLANK(Tabella3[[#This Row],[6-days moving avg]]))</f>
        <v>106.80602803943566</v>
      </c>
      <c r="AE109" s="72">
        <f>Tabella3[[#This Row],[region fit]]+CIl</f>
        <v>176.17101441453605</v>
      </c>
      <c r="AF109" s="72">
        <f>MAX(Tabella3[[#This Row],[region fit]]-CIl,0)</f>
        <v>37.441041664335259</v>
      </c>
      <c r="AG109" s="10">
        <f>Tabella8[[#This Row],[rest of Italy ]]</f>
        <v>49959</v>
      </c>
      <c r="AH109" s="10">
        <f>(Tabella3[[#This Row],[rest of Italy cum. data]]-AG108)</f>
        <v>2545</v>
      </c>
      <c r="AI109" s="72">
        <f>Tabella3[[#This Row],[rest of Italy data]]*NOT(ISBLANK(Tabella3[[#This Row],[rest of Italy data]]))</f>
        <v>2545</v>
      </c>
      <c r="AJ109" s="77">
        <f>Tabella8[[#This Row],[rest of Italy fit]]</f>
        <v>47647.076447778127</v>
      </c>
      <c r="AK109" s="72">
        <f>Tabella3[[#This Row],[rest of Italy cumul. fit]]/Ka</f>
        <v>0.21477728232640367</v>
      </c>
      <c r="AL109" s="72">
        <f>IFERROR(Ka*psi_a*_xlfn.SECH(psi_a*(Tabella3[[#This Row],[Day]]-pa)-phi_a)^2/(1+TANH(phi_a)),0)</f>
        <v>2323.2610058753176</v>
      </c>
      <c r="AM109" s="72">
        <f>Tabella3[[#This Row],[rest of Italy fit]]/y_a_peak</f>
        <v>0.76943226029961576</v>
      </c>
      <c r="AN109" s="72">
        <f>Tabella3[[#This Row],[rest of Italy fit]]*NOT(ISBLANK(Tabella3[[#This Row],[rest of Italy data]]))</f>
        <v>2323.2610058753176</v>
      </c>
      <c r="AO109" s="72">
        <f>Tabella3[[#This Row],[rest of Italy fit]]+CIa</f>
        <v>3957.394945829119</v>
      </c>
      <c r="AP109" s="72">
        <f>MAX(Tabella3[[#This Row],[rest of Italy fit]]-CIa,0)</f>
        <v>689.12706592151608</v>
      </c>
      <c r="AR109"/>
      <c r="AS109"/>
    </row>
    <row r="110" spans="2:45" x14ac:dyDescent="0.3">
      <c r="B110" s="9">
        <v>43933</v>
      </c>
      <c r="C110" s="4">
        <v>103</v>
      </c>
      <c r="D110" s="72">
        <f>'dpc-covid19-ita-andamento-naz'!J50+'dpc-covid19-ita-andamento-naz'!K50</f>
        <v>54110</v>
      </c>
      <c r="E110" s="72">
        <f>(Tabella3[[#This Row],[Italy cumul. data]]-D109)</f>
        <v>2108</v>
      </c>
      <c r="F110" s="72">
        <f>Tabella3[[#This Row],[Italy remov. rate data]]*NOT(ISBLANK(Tabella3[[#This Row],[Italy remov. rate data]]))</f>
        <v>2108</v>
      </c>
      <c r="G110" s="77">
        <f>Tabella8[[#This Row],[Italy fit]]</f>
        <v>52174.549172553001</v>
      </c>
      <c r="H110" s="77">
        <f>Tabella3[[#This Row],[Italy cumul. fit]]/Kf</f>
        <v>0.22201935674082729</v>
      </c>
      <c r="I110" s="77">
        <f>Tabella3[[#This Row],[region fit]]+Tabella3[[#This Row],[rest of Italy fit]]</f>
        <v>2489.0525489958604</v>
      </c>
      <c r="J110" s="77">
        <f>Tabella3[[#This Row],[Italy (fit of selected region + fitted sum of the other regions)]]/(y_l_peak+y_a_peak)</f>
        <v>0.78601249146080987</v>
      </c>
      <c r="K110" s="72">
        <f>IFERROR(Kf*psi_f*_xlfn.SECH(psi_f*(Tabella3[[#This Row],[Day]]-pf)-phi_f)^2/(1+TANH(phi_f)),0)</f>
        <v>2485.0848037176847</v>
      </c>
      <c r="L110" s="292">
        <f>Tabella3[[#This Row],[Italy remov. rate fit]]-Tabella3[[#This Row],[Italy remov. rate data]]</f>
        <v>377.08480371768474</v>
      </c>
      <c r="M110" s="293">
        <f>Tabella3[[#This Row],[rem. rate residuals]]*NOT(ISBLANK(Tabella3[[#This Row],[Italy remov. rate data]]))</f>
        <v>377.08480371768474</v>
      </c>
      <c r="N110" s="72">
        <f>Tabella3[[#This Row],[Italy remov. rate fit]]/y_f_peak</f>
        <v>0.78667083778300728</v>
      </c>
      <c r="O110" s="72">
        <f>Tabella3[[#This Row],[Italy (fit of selected region + fitted sum of the other regions)]]*NOT(ISBLANK(Tabella3[[#This Row],[Italy remov. rate data]]))</f>
        <v>2489.0525489958604</v>
      </c>
      <c r="P110" s="72">
        <f>Tabella3[[#This Row],[Italy remov. rate fit]]*NOT(ISBLANK(Tabella3[[#This Row],[Italy remov. rate data]]))</f>
        <v>2485.0848037176847</v>
      </c>
      <c r="Q110" s="72">
        <f>Tabella3[[#This Row],[Italy remov. rate fit]]+CIf</f>
        <v>4140.2947726414359</v>
      </c>
      <c r="R110" s="72">
        <f>MAX(Tabella3[[#This Row],[Italy remov. rate fit]]-CIf,0)</f>
        <v>829.87483479393336</v>
      </c>
      <c r="S110" s="4">
        <f>Tabella8[[#This Row],[region data]]</f>
        <v>2161</v>
      </c>
      <c r="T110" s="72">
        <f>(Tabella3[[#This Row],[region cumul. data]]-S109)</f>
        <v>118</v>
      </c>
      <c r="U110" s="72">
        <f>Tabella3[[#This Row],[region data]]*NOT(ISBLANK(Tabella3[[#This Row],[region data]]))</f>
        <v>118</v>
      </c>
      <c r="V110">
        <f t="shared" si="1"/>
        <v>114.33333333333333</v>
      </c>
      <c r="W110" s="72">
        <f>Tabella3[[#This Row],[6-days moving avg]]*NOT(ISBLANK(Tabella3[[#This Row],[6-days moving avg]]))</f>
        <v>114.33333333333333</v>
      </c>
      <c r="X110" s="77">
        <f>Tabella8[[#This Row],[region fit]]</f>
        <v>2124.6510624632015</v>
      </c>
      <c r="Y110" s="72">
        <f>Tabella3[[#This Row],[region cumul. fit]]/Kl</f>
        <v>0.16149814800596565</v>
      </c>
      <c r="Z110" s="72">
        <f>IFERROR(Kl*psi_l*_xlfn.SECH(psi_l*(Tabella3[[#This Row],[Day]]-pl)-phi_l)^2/(1+TANH(phi_l)),0)</f>
        <v>109.05248531622441</v>
      </c>
      <c r="AA110" s="72">
        <f>Tabella3[[#This Row],[region fit]]/y_l_peak</f>
        <v>0.74067059228464194</v>
      </c>
      <c r="AB110" s="72">
        <f>Tabella3[[#This Row],[region fit]]*NOT(ISBLANK(Tabella3[[#This Row],[region data]]))</f>
        <v>109.05248531622441</v>
      </c>
      <c r="AC110" s="166">
        <f>IFERROR(kl_m*psi_l_m*_xlfn.SECH(psi_l_m*(Tabella3[[#This Row],[Day]]-pl_m)-phi_l_m)^2/(1+TANH(phi_l_m)),0)</f>
        <v>109.05248531622441</v>
      </c>
      <c r="AD110" s="72">
        <f>Tabella3[[#This Row],[6-days moving avg fit]]*NOT(ISBLANK(Tabella3[[#This Row],[6-days moving avg]]))</f>
        <v>109.05248531622441</v>
      </c>
      <c r="AE110" s="72">
        <f>Tabella3[[#This Row],[region fit]]+CIl</f>
        <v>178.41747169132481</v>
      </c>
      <c r="AF110" s="72">
        <f>MAX(Tabella3[[#This Row],[region fit]]-CIl,0)</f>
        <v>39.687498941124005</v>
      </c>
      <c r="AG110" s="10">
        <f>Tabella8[[#This Row],[rest of Italy ]]</f>
        <v>51949</v>
      </c>
      <c r="AH110" s="10">
        <f>(Tabella3[[#This Row],[rest of Italy cum. data]]-AG109)</f>
        <v>1990</v>
      </c>
      <c r="AI110" s="72">
        <f>Tabella3[[#This Row],[rest of Italy data]]*NOT(ISBLANK(Tabella3[[#This Row],[rest of Italy data]]))</f>
        <v>1990</v>
      </c>
      <c r="AJ110" s="77">
        <f>Tabella8[[#This Row],[rest of Italy fit]]</f>
        <v>49998.793842992643</v>
      </c>
      <c r="AK110" s="72">
        <f>Tabella3[[#This Row],[rest of Italy cumul. fit]]/Ka</f>
        <v>0.22537804754853635</v>
      </c>
      <c r="AL110" s="72">
        <f>IFERROR(Ka*psi_a*_xlfn.SECH(psi_a*(Tabella3[[#This Row],[Day]]-pa)-phi_a)^2/(1+TANH(phi_a)),0)</f>
        <v>2380.0000636796362</v>
      </c>
      <c r="AM110" s="72">
        <f>Tabella3[[#This Row],[rest of Italy fit]]/y_a_peak</f>
        <v>0.78822345998972509</v>
      </c>
      <c r="AN110" s="72">
        <f>Tabella3[[#This Row],[rest of Italy fit]]*NOT(ISBLANK(Tabella3[[#This Row],[rest of Italy data]]))</f>
        <v>2380.0000636796362</v>
      </c>
      <c r="AO110" s="72">
        <f>Tabella3[[#This Row],[rest of Italy fit]]+CIa</f>
        <v>4014.1340036334377</v>
      </c>
      <c r="AP110" s="72">
        <f>MAX(Tabella3[[#This Row],[rest of Italy fit]]-CIa,0)</f>
        <v>745.86612372583477</v>
      </c>
      <c r="AR110"/>
      <c r="AS110"/>
    </row>
    <row r="111" spans="2:45" x14ac:dyDescent="0.3">
      <c r="B111" s="9">
        <v>43934</v>
      </c>
      <c r="C111" s="4">
        <v>104</v>
      </c>
      <c r="D111" s="72">
        <f>'dpc-covid19-ita-andamento-naz'!J51+'dpc-covid19-ita-andamento-naz'!K51</f>
        <v>55900</v>
      </c>
      <c r="E111" s="72">
        <f>(Tabella3[[#This Row],[Italy cumul. data]]-D110)</f>
        <v>1790</v>
      </c>
      <c r="F111" s="72">
        <f>Tabella3[[#This Row],[Italy remov. rate data]]*NOT(ISBLANK(Tabella3[[#This Row],[Italy remov. rate data]]))</f>
        <v>1790</v>
      </c>
      <c r="G111" s="77">
        <f>Tabella8[[#This Row],[Italy fit]]</f>
        <v>54688.427956744141</v>
      </c>
      <c r="H111" s="77">
        <f>Tabella3[[#This Row],[Italy cumul. fit]]/Kf</f>
        <v>0.232716713199906</v>
      </c>
      <c r="I111" s="77">
        <f>Tabella3[[#This Row],[region fit]]+Tabella3[[#This Row],[rest of Italy fit]]</f>
        <v>2546.8754249028661</v>
      </c>
      <c r="J111" s="77">
        <f>Tabella3[[#This Row],[Italy (fit of selected region + fitted sum of the other regions)]]/(y_l_peak+y_a_peak)</f>
        <v>0.80427225169505245</v>
      </c>
      <c r="K111" s="72">
        <f>IFERROR(Kf*psi_f*_xlfn.SECH(psi_f*(Tabella3[[#This Row],[Day]]-pf)-phi_f)^2/(1+TANH(phi_f)),0)</f>
        <v>2542.4656198287225</v>
      </c>
      <c r="L111" s="292">
        <f>Tabella3[[#This Row],[Italy remov. rate fit]]-Tabella3[[#This Row],[Italy remov. rate data]]</f>
        <v>752.46561982872254</v>
      </c>
      <c r="M111" s="293">
        <f>Tabella3[[#This Row],[rem. rate residuals]]*NOT(ISBLANK(Tabella3[[#This Row],[Italy remov. rate data]]))</f>
        <v>752.46561982872254</v>
      </c>
      <c r="N111" s="72">
        <f>Tabella3[[#This Row],[Italy remov. rate fit]]/y_f_peak</f>
        <v>0.80483513326910638</v>
      </c>
      <c r="O111" s="72">
        <f>Tabella3[[#This Row],[Italy (fit of selected region + fitted sum of the other regions)]]*NOT(ISBLANK(Tabella3[[#This Row],[Italy remov. rate data]]))</f>
        <v>2546.8754249028661</v>
      </c>
      <c r="P111" s="72">
        <f>Tabella3[[#This Row],[Italy remov. rate fit]]*NOT(ISBLANK(Tabella3[[#This Row],[Italy remov. rate data]]))</f>
        <v>2542.4656198287225</v>
      </c>
      <c r="Q111" s="72">
        <f>Tabella3[[#This Row],[Italy remov. rate fit]]+CIf</f>
        <v>4197.6755887524741</v>
      </c>
      <c r="R111" s="72">
        <f>MAX(Tabella3[[#This Row],[Italy remov. rate fit]]-CIf,0)</f>
        <v>887.25565090497116</v>
      </c>
      <c r="S111" s="4">
        <f>Tabella8[[#This Row],[region data]]</f>
        <v>2231</v>
      </c>
      <c r="T111" s="72">
        <f>(Tabella3[[#This Row],[region cumul. data]]-S110)</f>
        <v>70</v>
      </c>
      <c r="U111" s="72">
        <f>Tabella3[[#This Row],[region data]]*NOT(ISBLANK(Tabella3[[#This Row],[region data]]))</f>
        <v>70</v>
      </c>
      <c r="V111">
        <f t="shared" si="1"/>
        <v>113.5</v>
      </c>
      <c r="W111" s="72">
        <f>Tabella3[[#This Row],[6-days moving avg]]*NOT(ISBLANK(Tabella3[[#This Row],[6-days moving avg]]))</f>
        <v>113.5</v>
      </c>
      <c r="X111" s="77">
        <f>Tabella8[[#This Row],[region fit]]</f>
        <v>2234.8187706507611</v>
      </c>
      <c r="Y111" s="72">
        <f>Tabella3[[#This Row],[region cumul. fit]]/Kl</f>
        <v>0.16987217287841958</v>
      </c>
      <c r="Z111" s="72">
        <f>IFERROR(Kl*psi_l*_xlfn.SECH(psi_l*(Tabella3[[#This Row],[Day]]-pl)-phi_l)^2/(1+TANH(phi_l)),0)</f>
        <v>111.27928337657913</v>
      </c>
      <c r="AA111" s="72">
        <f>Tabella3[[#This Row],[region fit]]/y_l_peak</f>
        <v>0.75579472112479273</v>
      </c>
      <c r="AB111" s="72">
        <f>Tabella3[[#This Row],[region fit]]*NOT(ISBLANK(Tabella3[[#This Row],[region data]]))</f>
        <v>111.27928337657913</v>
      </c>
      <c r="AC111" s="166">
        <f>IFERROR(kl_m*psi_l_m*_xlfn.SECH(psi_l_m*(Tabella3[[#This Row],[Day]]-pl_m)-phi_l_m)^2/(1+TANH(phi_l_m)),0)</f>
        <v>111.27928337657913</v>
      </c>
      <c r="AD111" s="72">
        <f>Tabella3[[#This Row],[6-days moving avg fit]]*NOT(ISBLANK(Tabella3[[#This Row],[6-days moving avg]]))</f>
        <v>111.27928337657913</v>
      </c>
      <c r="AE111" s="72">
        <f>Tabella3[[#This Row],[region fit]]+CIl</f>
        <v>180.64426975167953</v>
      </c>
      <c r="AF111" s="72">
        <f>MAX(Tabella3[[#This Row],[region fit]]-CIl,0)</f>
        <v>41.914297001478729</v>
      </c>
      <c r="AG111" s="10">
        <f>Tabella8[[#This Row],[rest of Italy ]]</f>
        <v>53669</v>
      </c>
      <c r="AH111" s="10">
        <f>(Tabella3[[#This Row],[rest of Italy cum. data]]-AG110)</f>
        <v>1720</v>
      </c>
      <c r="AI111" s="72">
        <f>Tabella3[[#This Row],[rest of Italy data]]*NOT(ISBLANK(Tabella3[[#This Row],[rest of Italy data]]))</f>
        <v>1720</v>
      </c>
      <c r="AJ111" s="77">
        <f>Tabella8[[#This Row],[rest of Italy fit]]</f>
        <v>52406.695627952147</v>
      </c>
      <c r="AK111" s="72">
        <f>Tabella3[[#This Row],[rest of Italy cumul. fit]]/Ka</f>
        <v>0.23623207344138028</v>
      </c>
      <c r="AL111" s="72">
        <f>IFERROR(Ka*psi_a*_xlfn.SECH(psi_a*(Tabella3[[#This Row],[Day]]-pa)-phi_a)^2/(1+TANH(phi_a)),0)</f>
        <v>2435.5961415262868</v>
      </c>
      <c r="AM111" s="72">
        <f>Tabella3[[#This Row],[rest of Italy fit]]/y_a_peak</f>
        <v>0.80663612035511734</v>
      </c>
      <c r="AN111" s="72">
        <f>Tabella3[[#This Row],[rest of Italy fit]]*NOT(ISBLANK(Tabella3[[#This Row],[rest of Italy data]]))</f>
        <v>2435.5961415262868</v>
      </c>
      <c r="AO111" s="72">
        <f>Tabella3[[#This Row],[rest of Italy fit]]+CIa</f>
        <v>4069.7300814800883</v>
      </c>
      <c r="AP111" s="72">
        <f>MAX(Tabella3[[#This Row],[rest of Italy fit]]-CIa,0)</f>
        <v>801.46220157248536</v>
      </c>
      <c r="AR111"/>
      <c r="AS111"/>
    </row>
    <row r="112" spans="2:45" x14ac:dyDescent="0.3">
      <c r="B112" s="9">
        <v>43935</v>
      </c>
      <c r="C112" s="4">
        <v>105</v>
      </c>
      <c r="D112" s="72">
        <f>'dpc-covid19-ita-andamento-naz'!J52+'dpc-covid19-ita-andamento-naz'!K52</f>
        <v>58197</v>
      </c>
      <c r="E112" s="72">
        <f>(Tabella3[[#This Row],[Italy cumul. data]]-D111)</f>
        <v>2297</v>
      </c>
      <c r="F112" s="72">
        <f>Tabella3[[#This Row],[Italy remov. rate data]]*NOT(ISBLANK(Tabella3[[#This Row],[Italy remov. rate data]]))</f>
        <v>2297</v>
      </c>
      <c r="G112" s="77">
        <f>Tabella8[[#This Row],[Italy fit]]</f>
        <v>57259.032094910166</v>
      </c>
      <c r="H112" s="77">
        <f>Tabella3[[#This Row],[Italy cumul. fit]]/Kf</f>
        <v>0.24365545414241835</v>
      </c>
      <c r="I112" s="77">
        <f>Tabella3[[#This Row],[region fit]]+Tabella3[[#This Row],[rest of Italy fit]]</f>
        <v>2603.3274578161418</v>
      </c>
      <c r="J112" s="77">
        <f>Tabella3[[#This Row],[Italy (fit of selected region + fitted sum of the other regions)]]/(y_l_peak+y_a_peak)</f>
        <v>0.82209911640150157</v>
      </c>
      <c r="K112" s="72">
        <f>IFERROR(Kf*psi_f*_xlfn.SECH(psi_f*(Tabella3[[#This Row],[Day]]-pf)-phi_f)^2/(1+TANH(phi_f)),0)</f>
        <v>2598.5013859204032</v>
      </c>
      <c r="L112" s="292">
        <f>Tabella3[[#This Row],[Italy remov. rate fit]]-Tabella3[[#This Row],[Italy remov. rate data]]</f>
        <v>301.50138592040321</v>
      </c>
      <c r="M112" s="293">
        <f>Tabella3[[#This Row],[rem. rate residuals]]*NOT(ISBLANK(Tabella3[[#This Row],[Italy remov. rate data]]))</f>
        <v>301.50138592040321</v>
      </c>
      <c r="N112" s="72">
        <f>Tabella3[[#This Row],[Italy remov. rate fit]]/y_f_peak</f>
        <v>0.82257364383872922</v>
      </c>
      <c r="O112" s="72">
        <f>Tabella3[[#This Row],[Italy (fit of selected region + fitted sum of the other regions)]]*NOT(ISBLANK(Tabella3[[#This Row],[Italy remov. rate data]]))</f>
        <v>2603.3274578161418</v>
      </c>
      <c r="P112" s="72">
        <f>Tabella3[[#This Row],[Italy remov. rate fit]]*NOT(ISBLANK(Tabella3[[#This Row],[Italy remov. rate data]]))</f>
        <v>2598.5013859204032</v>
      </c>
      <c r="Q112" s="72">
        <f>Tabella3[[#This Row],[Italy remov. rate fit]]+CIf</f>
        <v>4253.7113548441548</v>
      </c>
      <c r="R112" s="72">
        <f>MAX(Tabella3[[#This Row],[Italy remov. rate fit]]-CIf,0)</f>
        <v>943.29141699665183</v>
      </c>
      <c r="S112" s="4">
        <f>Tabella8[[#This Row],[region data]]</f>
        <v>2342</v>
      </c>
      <c r="T112" s="72">
        <f>(Tabella3[[#This Row],[region cumul. data]]-S111)</f>
        <v>111</v>
      </c>
      <c r="U112" s="72">
        <f>Tabella3[[#This Row],[region data]]*NOT(ISBLANK(Tabella3[[#This Row],[region data]]))</f>
        <v>111</v>
      </c>
      <c r="V112">
        <f t="shared" si="1"/>
        <v>117.5</v>
      </c>
      <c r="W112" s="72">
        <f>Tabella3[[#This Row],[6-days moving avg]]*NOT(ISBLANK(Tabella3[[#This Row],[6-days moving avg]]))</f>
        <v>117.5</v>
      </c>
      <c r="X112" s="77">
        <f>Tabella8[[#This Row],[region fit]]</f>
        <v>2347.2015781827786</v>
      </c>
      <c r="Y112" s="72">
        <f>Tabella3[[#This Row],[region cumul. fit]]/Kl</f>
        <v>0.17841457101841818</v>
      </c>
      <c r="Z112" s="72">
        <f>IFERROR(Kl*psi_l*_xlfn.SECH(psi_l*(Tabella3[[#This Row],[Day]]-pl)-phi_l)^2/(1+TANH(phi_l)),0)</f>
        <v>113.48192458341013</v>
      </c>
      <c r="AA112" s="72">
        <f>Tabella3[[#This Row],[region fit]]/y_l_peak</f>
        <v>0.77075477969221862</v>
      </c>
      <c r="AB112" s="72">
        <f>Tabella3[[#This Row],[region fit]]*NOT(ISBLANK(Tabella3[[#This Row],[region data]]))</f>
        <v>113.48192458341013</v>
      </c>
      <c r="AC112" s="166">
        <f>IFERROR(kl_m*psi_l_m*_xlfn.SECH(psi_l_m*(Tabella3[[#This Row],[Day]]-pl_m)-phi_l_m)^2/(1+TANH(phi_l_m)),0)</f>
        <v>113.48192458341013</v>
      </c>
      <c r="AD112" s="72">
        <f>Tabella3[[#This Row],[6-days moving avg fit]]*NOT(ISBLANK(Tabella3[[#This Row],[6-days moving avg]]))</f>
        <v>113.48192458341013</v>
      </c>
      <c r="AE112" s="72">
        <f>Tabella3[[#This Row],[region fit]]+CIl</f>
        <v>182.84691095851053</v>
      </c>
      <c r="AF112" s="72">
        <f>MAX(Tabella3[[#This Row],[region fit]]-CIl,0)</f>
        <v>44.116938208309733</v>
      </c>
      <c r="AG112" s="10">
        <f>Tabella8[[#This Row],[rest of Italy ]]</f>
        <v>55855</v>
      </c>
      <c r="AH112" s="10">
        <f>(Tabella3[[#This Row],[rest of Italy cum. data]]-AG111)</f>
        <v>2186</v>
      </c>
      <c r="AI112" s="72">
        <f>Tabella3[[#This Row],[rest of Italy data]]*NOT(ISBLANK(Tabella3[[#This Row],[rest of Italy data]]))</f>
        <v>2186</v>
      </c>
      <c r="AJ112" s="77">
        <f>Tabella8[[#This Row],[rest of Italy fit]]</f>
        <v>54869.537262470432</v>
      </c>
      <c r="AK112" s="72">
        <f>Tabella3[[#This Row],[rest of Italy cumul. fit]]/Ka</f>
        <v>0.24733375002886002</v>
      </c>
      <c r="AL112" s="72">
        <f>IFERROR(Ka*psi_a*_xlfn.SECH(psi_a*(Tabella3[[#This Row],[Day]]-pa)-phi_a)^2/(1+TANH(phi_a)),0)</f>
        <v>2489.8455332327317</v>
      </c>
      <c r="AM112" s="72">
        <f>Tabella3[[#This Row],[rest of Italy fit]]/y_a_peak</f>
        <v>0.82460277669506765</v>
      </c>
      <c r="AN112" s="72">
        <f>Tabella3[[#This Row],[rest of Italy fit]]*NOT(ISBLANK(Tabella3[[#This Row],[rest of Italy data]]))</f>
        <v>2489.8455332327317</v>
      </c>
      <c r="AO112" s="72">
        <f>Tabella3[[#This Row],[rest of Italy fit]]+CIa</f>
        <v>4123.9794731865331</v>
      </c>
      <c r="AP112" s="72">
        <f>MAX(Tabella3[[#This Row],[rest of Italy fit]]-CIa,0)</f>
        <v>855.7115932789302</v>
      </c>
      <c r="AR112"/>
      <c r="AS112"/>
    </row>
    <row r="113" spans="2:45" x14ac:dyDescent="0.3">
      <c r="B113" s="9">
        <v>43936</v>
      </c>
      <c r="C113" s="4">
        <v>106</v>
      </c>
      <c r="D113" s="72">
        <f>'dpc-covid19-ita-andamento-naz'!J53+'dpc-covid19-ita-andamento-naz'!K53</f>
        <v>59737</v>
      </c>
      <c r="E113" s="72">
        <f>(Tabella3[[#This Row],[Italy cumul. data]]-D112)</f>
        <v>1540</v>
      </c>
      <c r="F113" s="72">
        <f>Tabella3[[#This Row],[Italy remov. rate data]]*NOT(ISBLANK(Tabella3[[#This Row],[Italy remov. rate data]]))</f>
        <v>1540</v>
      </c>
      <c r="G113" s="77">
        <f>Tabella8[[#This Row],[Italy fit]]</f>
        <v>59884.913735434537</v>
      </c>
      <c r="H113" s="77">
        <f>Tabella3[[#This Row],[Italy cumul. fit]]/Kf</f>
        <v>0.25482941849769564</v>
      </c>
      <c r="I113" s="77">
        <f>Tabella3[[#This Row],[region fit]]+Tabella3[[#This Row],[rest of Italy fit]]</f>
        <v>2658.1974832365595</v>
      </c>
      <c r="J113" s="77">
        <f>Tabella3[[#This Row],[Italy (fit of selected region + fitted sum of the other regions)]]/(y_l_peak+y_a_peak)</f>
        <v>0.83942640240220068</v>
      </c>
      <c r="K113" s="72">
        <f>IFERROR(Kf*psi_f*_xlfn.SECH(psi_f*(Tabella3[[#This Row],[Day]]-pf)-phi_f)^2/(1+TANH(phi_f)),0)</f>
        <v>2652.9861193501097</v>
      </c>
      <c r="L113" s="292">
        <f>Tabella3[[#This Row],[Italy remov. rate fit]]-Tabella3[[#This Row],[Italy remov. rate data]]</f>
        <v>1112.9861193501097</v>
      </c>
      <c r="M113" s="293">
        <f>Tabella3[[#This Row],[rem. rate residuals]]*NOT(ISBLANK(Tabella3[[#This Row],[Italy remov. rate data]]))</f>
        <v>1112.9861193501097</v>
      </c>
      <c r="N113" s="72">
        <f>Tabella3[[#This Row],[Italy remov. rate fit]]/y_f_peak</f>
        <v>0.83982116425711095</v>
      </c>
      <c r="O113" s="72">
        <f>Tabella3[[#This Row],[Italy (fit of selected region + fitted sum of the other regions)]]*NOT(ISBLANK(Tabella3[[#This Row],[Italy remov. rate data]]))</f>
        <v>2658.1974832365595</v>
      </c>
      <c r="P113" s="72">
        <f>Tabella3[[#This Row],[Italy remov. rate fit]]*NOT(ISBLANK(Tabella3[[#This Row],[Italy remov. rate data]]))</f>
        <v>2652.9861193501097</v>
      </c>
      <c r="Q113" s="72">
        <f>Tabella3[[#This Row],[Italy remov. rate fit]]+CIf</f>
        <v>4308.1960882738613</v>
      </c>
      <c r="R113" s="72">
        <f>MAX(Tabella3[[#This Row],[Italy remov. rate fit]]-CIf,0)</f>
        <v>997.7761504263583</v>
      </c>
      <c r="S113" s="4">
        <f>Tabella8[[#This Row],[region data]]</f>
        <v>2472</v>
      </c>
      <c r="T113" s="72">
        <f>(Tabella3[[#This Row],[region cumul. data]]-S112)</f>
        <v>130</v>
      </c>
      <c r="U113" s="72">
        <f>Tabella3[[#This Row],[region data]]*NOT(ISBLANK(Tabella3[[#This Row],[region data]]))</f>
        <v>130</v>
      </c>
      <c r="V113">
        <f t="shared" si="1"/>
        <v>118.66666666666667</v>
      </c>
      <c r="W113" s="72">
        <f>Tabella3[[#This Row],[6-days moving avg]]*NOT(ISBLANK(Tabella3[[#This Row],[6-days moving avg]]))</f>
        <v>118.66666666666667</v>
      </c>
      <c r="X113" s="77">
        <f>Tabella8[[#This Row],[region fit]]</f>
        <v>2461.773031932195</v>
      </c>
      <c r="Y113" s="72">
        <f>Tabella3[[#This Row],[region cumul. fit]]/Kl</f>
        <v>0.18712333168118342</v>
      </c>
      <c r="Z113" s="72">
        <f>IFERROR(Kl*psi_l*_xlfn.SECH(psi_l*(Tabella3[[#This Row],[Day]]-pl)-phi_l)^2/(1+TANH(phi_l)),0)</f>
        <v>115.65579889567999</v>
      </c>
      <c r="AA113" s="72">
        <f>Tabella3[[#This Row],[region fit]]/y_l_peak</f>
        <v>0.7855194571752887</v>
      </c>
      <c r="AB113" s="72">
        <f>Tabella3[[#This Row],[region fit]]*NOT(ISBLANK(Tabella3[[#This Row],[region data]]))</f>
        <v>115.65579889567999</v>
      </c>
      <c r="AC113" s="166">
        <f>IFERROR(kl_m*psi_l_m*_xlfn.SECH(psi_l_m*(Tabella3[[#This Row],[Day]]-pl_m)-phi_l_m)^2/(1+TANH(phi_l_m)),0)</f>
        <v>115.65579889567999</v>
      </c>
      <c r="AD113" s="72">
        <f>Tabella3[[#This Row],[6-days moving avg fit]]*NOT(ISBLANK(Tabella3[[#This Row],[6-days moving avg]]))</f>
        <v>115.65579889567999</v>
      </c>
      <c r="AE113" s="72">
        <f>Tabella3[[#This Row],[region fit]]+CIl</f>
        <v>185.02078527078038</v>
      </c>
      <c r="AF113" s="72">
        <f>MAX(Tabella3[[#This Row],[region fit]]-CIl,0)</f>
        <v>46.290812520579593</v>
      </c>
      <c r="AG113" s="10">
        <f>Tabella8[[#This Row],[rest of Italy ]]</f>
        <v>57265</v>
      </c>
      <c r="AH113" s="10">
        <f>(Tabella3[[#This Row],[rest of Italy cum. data]]-AG112)</f>
        <v>1410</v>
      </c>
      <c r="AI113" s="72">
        <f>Tabella3[[#This Row],[rest of Italy data]]*NOT(ISBLANK(Tabella3[[#This Row],[rest of Italy data]]))</f>
        <v>1410</v>
      </c>
      <c r="AJ113" s="77">
        <f>Tabella8[[#This Row],[rest of Italy fit]]</f>
        <v>57385.868963758294</v>
      </c>
      <c r="AK113" s="72">
        <f>Tabella3[[#This Row],[rest of Italy cumul. fit]]/Ka</f>
        <v>0.25867654216903935</v>
      </c>
      <c r="AL113" s="72">
        <f>IFERROR(Ka*psi_a*_xlfn.SECH(psi_a*(Tabella3[[#This Row],[Day]]-pa)-phi_a)^2/(1+TANH(phi_a)),0)</f>
        <v>2542.5416843408793</v>
      </c>
      <c r="AM113" s="72">
        <f>Tabella3[[#This Row],[rest of Italy fit]]/y_a_peak</f>
        <v>0.84205502099895546</v>
      </c>
      <c r="AN113" s="72">
        <f>Tabella3[[#This Row],[rest of Italy fit]]*NOT(ISBLANK(Tabella3[[#This Row],[rest of Italy data]]))</f>
        <v>2542.5416843408793</v>
      </c>
      <c r="AO113" s="72">
        <f>Tabella3[[#This Row],[rest of Italy fit]]+CIa</f>
        <v>4176.6756242946813</v>
      </c>
      <c r="AP113" s="72">
        <f>MAX(Tabella3[[#This Row],[rest of Italy fit]]-CIa,0)</f>
        <v>908.40774438707786</v>
      </c>
      <c r="AR113"/>
      <c r="AS113"/>
    </row>
    <row r="114" spans="2:45" x14ac:dyDescent="0.3">
      <c r="B114" s="9">
        <v>43937</v>
      </c>
      <c r="C114" s="4">
        <v>107</v>
      </c>
      <c r="D114" s="72">
        <f>'dpc-covid19-ita-andamento-naz'!J54+'dpc-covid19-ita-andamento-naz'!K54</f>
        <v>62334</v>
      </c>
      <c r="E114" s="72">
        <f>(Tabella3[[#This Row],[Italy cumul. data]]-D113)</f>
        <v>2597</v>
      </c>
      <c r="F114" s="72">
        <f>Tabella3[[#This Row],[Italy remov. rate data]]*NOT(ISBLANK(Tabella3[[#This Row],[Italy remov. rate data]]))</f>
        <v>2597</v>
      </c>
      <c r="G114" s="77">
        <f>Tabella8[[#This Row],[Italy fit]]</f>
        <v>62564.418135340435</v>
      </c>
      <c r="H114" s="77">
        <f>Tabella3[[#This Row],[Italy cumul. fit]]/Kf</f>
        <v>0.26623156480630772</v>
      </c>
      <c r="I114" s="77">
        <f>Tabella3[[#This Row],[region fit]]+Tabella3[[#This Row],[rest of Italy fit]]</f>
        <v>2711.2727939029837</v>
      </c>
      <c r="J114" s="77">
        <f>Tabella3[[#This Row],[Italy (fit of selected region + fitted sum of the other regions)]]/(y_l_peak+y_a_peak)</f>
        <v>0.85618693933373413</v>
      </c>
      <c r="K114" s="72">
        <f>IFERROR(Kf*psi_f*_xlfn.SECH(psi_f*(Tabella3[[#This Row],[Day]]-pf)-phi_f)^2/(1+TANH(phi_f)),0)</f>
        <v>2705.7122529736084</v>
      </c>
      <c r="L114" s="292">
        <f>Tabella3[[#This Row],[Italy remov. rate fit]]-Tabella3[[#This Row],[Italy remov. rate data]]</f>
        <v>108.71225297360843</v>
      </c>
      <c r="M114" s="293">
        <f>Tabella3[[#This Row],[rem. rate residuals]]*NOT(ISBLANK(Tabella3[[#This Row],[Italy remov. rate data]]))</f>
        <v>108.71225297360843</v>
      </c>
      <c r="N114" s="72">
        <f>Tabella3[[#This Row],[Italy remov. rate fit]]/y_f_peak</f>
        <v>0.85651198770450609</v>
      </c>
      <c r="O114" s="72">
        <f>Tabella3[[#This Row],[Italy (fit of selected region + fitted sum of the other regions)]]*NOT(ISBLANK(Tabella3[[#This Row],[Italy remov. rate data]]))</f>
        <v>2711.2727939029837</v>
      </c>
      <c r="P114" s="72">
        <f>Tabella3[[#This Row],[Italy remov. rate fit]]*NOT(ISBLANK(Tabella3[[#This Row],[Italy remov. rate data]]))</f>
        <v>2705.7122529736084</v>
      </c>
      <c r="Q114" s="72">
        <f>Tabella3[[#This Row],[Italy remov. rate fit]]+CIf</f>
        <v>4360.92222189736</v>
      </c>
      <c r="R114" s="72">
        <f>MAX(Tabella3[[#This Row],[Italy remov. rate fit]]-CIf,0)</f>
        <v>1050.5022840498571</v>
      </c>
      <c r="S114" s="4">
        <f>Tabella8[[#This Row],[region data]]</f>
        <v>2602</v>
      </c>
      <c r="T114" s="72">
        <f>(Tabella3[[#This Row],[region cumul. data]]-S113)</f>
        <v>130</v>
      </c>
      <c r="U114" s="72">
        <f>Tabella3[[#This Row],[region data]]*NOT(ISBLANK(Tabella3[[#This Row],[region data]]))</f>
        <v>130</v>
      </c>
      <c r="V114">
        <f t="shared" si="1"/>
        <v>114.33333333333333</v>
      </c>
      <c r="W114" s="72">
        <f>Tabella3[[#This Row],[6-days moving avg]]*NOT(ISBLANK(Tabella3[[#This Row],[6-days moving avg]]))</f>
        <v>114.33333333333333</v>
      </c>
      <c r="X114" s="77">
        <f>Tabella8[[#This Row],[region fit]]</f>
        <v>2578.5020188950489</v>
      </c>
      <c r="Y114" s="72">
        <f>Tabella3[[#This Row],[region cumul. fit]]/Kl</f>
        <v>0.19599608991719136</v>
      </c>
      <c r="Z114" s="72">
        <f>IFERROR(Kl*psi_l*_xlfn.SECH(psi_l*(Tabella3[[#This Row],[Day]]-pl)-phi_l)^2/(1+TANH(phi_l)),0)</f>
        <v>117.79619929575041</v>
      </c>
      <c r="AA114" s="72">
        <f>Tabella3[[#This Row],[region fit]]/y_l_peak</f>
        <v>0.80005678410964864</v>
      </c>
      <c r="AB114" s="72">
        <f>Tabella3[[#This Row],[region fit]]*NOT(ISBLANK(Tabella3[[#This Row],[region data]]))</f>
        <v>117.79619929575041</v>
      </c>
      <c r="AC114" s="166">
        <f>IFERROR(kl_m*psi_l_m*_xlfn.SECH(psi_l_m*(Tabella3[[#This Row],[Day]]-pl_m)-phi_l_m)^2/(1+TANH(phi_l_m)),0)</f>
        <v>117.79619929575041</v>
      </c>
      <c r="AD114" s="72">
        <f>Tabella3[[#This Row],[6-days moving avg fit]]*NOT(ISBLANK(Tabella3[[#This Row],[6-days moving avg]]))</f>
        <v>117.79619929575041</v>
      </c>
      <c r="AE114" s="72">
        <f>Tabella3[[#This Row],[region fit]]+CIl</f>
        <v>187.16118567085081</v>
      </c>
      <c r="AF114" s="72">
        <f>MAX(Tabella3[[#This Row],[region fit]]-CIl,0)</f>
        <v>48.431212920650012</v>
      </c>
      <c r="AG114" s="10">
        <f>Tabella8[[#This Row],[rest of Italy ]]</f>
        <v>59732</v>
      </c>
      <c r="AH114" s="10">
        <f>(Tabella3[[#This Row],[rest of Italy cum. data]]-AG113)</f>
        <v>2467</v>
      </c>
      <c r="AI114" s="72">
        <f>Tabella3[[#This Row],[rest of Italy data]]*NOT(ISBLANK(Tabella3[[#This Row],[rest of Italy data]]))</f>
        <v>2467</v>
      </c>
      <c r="AJ114" s="77">
        <f>Tabella8[[#This Row],[rest of Italy fit]]</f>
        <v>59954.033550339474</v>
      </c>
      <c r="AK114" s="72">
        <f>Tabella3[[#This Row],[rest of Italy cumul. fit]]/Ka</f>
        <v>0.2702529798352068</v>
      </c>
      <c r="AL114" s="72">
        <f>IFERROR(Ka*psi_a*_xlfn.SECH(psi_a*(Tabella3[[#This Row],[Day]]-pa)-phi_a)^2/(1+TANH(phi_a)),0)</f>
        <v>2593.4765946072334</v>
      </c>
      <c r="AM114" s="72">
        <f>Tabella3[[#This Row],[rest of Italy fit]]/y_a_peak</f>
        <v>0.85892396643181412</v>
      </c>
      <c r="AN114" s="72">
        <f>Tabella3[[#This Row],[rest of Italy fit]]*NOT(ISBLANK(Tabella3[[#This Row],[rest of Italy data]]))</f>
        <v>2593.4765946072334</v>
      </c>
      <c r="AO114" s="72">
        <f>Tabella3[[#This Row],[rest of Italy fit]]+CIa</f>
        <v>4227.6105345610349</v>
      </c>
      <c r="AP114" s="72">
        <f>MAX(Tabella3[[#This Row],[rest of Italy fit]]-CIa,0)</f>
        <v>959.34265465343196</v>
      </c>
    </row>
    <row r="115" spans="2:45" x14ac:dyDescent="0.3">
      <c r="B115" s="9">
        <v>43938</v>
      </c>
      <c r="C115" s="4">
        <v>108</v>
      </c>
      <c r="D115" s="72">
        <f>'dpc-covid19-ita-andamento-naz'!J55+'dpc-covid19-ita-andamento-naz'!K55</f>
        <v>65472</v>
      </c>
      <c r="E115" s="72">
        <f>(Tabella3[[#This Row],[Italy cumul. data]]-D114)</f>
        <v>3138</v>
      </c>
      <c r="F115" s="72">
        <f>Tabella3[[#This Row],[Italy remov. rate data]]*NOT(ISBLANK(Tabella3[[#This Row],[Italy remov. rate data]]))</f>
        <v>3138</v>
      </c>
      <c r="G115" s="77">
        <f>Tabella8[[#This Row],[Italy fit]]</f>
        <v>65295.682790488063</v>
      </c>
      <c r="H115" s="77">
        <f>Tabella3[[#This Row],[Italy cumul. fit]]/Kf</f>
        <v>0.27785396751877489</v>
      </c>
      <c r="I115" s="77">
        <f>Tabella3[[#This Row],[region fit]]+Tabella3[[#This Row],[rest of Italy fit]]</f>
        <v>2762.3406614807932</v>
      </c>
      <c r="J115" s="77">
        <f>Tabella3[[#This Row],[Italy (fit of selected region + fitted sum of the other regions)]]/(y_l_peak+y_a_peak)</f>
        <v>0.87231355017793588</v>
      </c>
      <c r="K115" s="72">
        <f>IFERROR(Kf*psi_f*_xlfn.SECH(psi_f*(Tabella3[[#This Row],[Day]]-pf)-phi_f)^2/(1+TANH(phi_f)),0)</f>
        <v>2756.4720799990091</v>
      </c>
      <c r="L115" s="292">
        <f>Tabella3[[#This Row],[Italy remov. rate fit]]-Tabella3[[#This Row],[Italy remov. rate data]]</f>
        <v>-381.52792000099089</v>
      </c>
      <c r="M115" s="293">
        <f>Tabella3[[#This Row],[rem. rate residuals]]*NOT(ISBLANK(Tabella3[[#This Row],[Italy remov. rate data]]))</f>
        <v>-381.52792000099089</v>
      </c>
      <c r="N115" s="72">
        <f>Tabella3[[#This Row],[Italy remov. rate fit]]/y_f_peak</f>
        <v>0.87258036315473431</v>
      </c>
      <c r="O115" s="72">
        <f>Tabella3[[#This Row],[Italy (fit of selected region + fitted sum of the other regions)]]*NOT(ISBLANK(Tabella3[[#This Row],[Italy remov. rate data]]))</f>
        <v>2762.3406614807932</v>
      </c>
      <c r="P115" s="72">
        <f>Tabella3[[#This Row],[Italy remov. rate fit]]*NOT(ISBLANK(Tabella3[[#This Row],[Italy remov. rate data]]))</f>
        <v>2756.4720799990091</v>
      </c>
      <c r="Q115" s="72">
        <f>Tabella3[[#This Row],[Italy remov. rate fit]]+CIf</f>
        <v>4411.6820489227603</v>
      </c>
      <c r="R115" s="72">
        <f>MAX(Tabella3[[#This Row],[Italy remov. rate fit]]-CIf,0)</f>
        <v>1101.2621110752577</v>
      </c>
      <c r="S115" s="4">
        <f>Tabella8[[#This Row],[region data]]</f>
        <v>2729</v>
      </c>
      <c r="T115" s="72">
        <f>(Tabella3[[#This Row],[region cumul. data]]-S114)</f>
        <v>127</v>
      </c>
      <c r="U115" s="72">
        <f>Tabella3[[#This Row],[region data]]*NOT(ISBLANK(Tabella3[[#This Row],[region data]]))</f>
        <v>127</v>
      </c>
      <c r="V115">
        <f t="shared" si="1"/>
        <v>121.33333333333333</v>
      </c>
      <c r="W115" s="72">
        <f>Tabella3[[#This Row],[6-days moving avg]]*NOT(ISBLANK(Tabella3[[#This Row],[6-days moving avg]]))</f>
        <v>121.33333333333333</v>
      </c>
      <c r="X115" s="77">
        <f>Tabella8[[#This Row],[region fit]]</f>
        <v>2697.3526775422256</v>
      </c>
      <c r="Y115" s="72">
        <f>Tabella3[[#This Row],[region cumul. fit]]/Kl</f>
        <v>0.20503011983387595</v>
      </c>
      <c r="Z115" s="72">
        <f>IFERROR(Kl*psi_l*_xlfn.SECH(psi_l*(Tabella3[[#This Row],[Day]]-pl)-phi_l)^2/(1+TANH(phi_l)),0)</f>
        <v>119.89833868727874</v>
      </c>
      <c r="AA115" s="72">
        <f>Tabella3[[#This Row],[region fit]]/y_l_peak</f>
        <v>0.81433424714658242</v>
      </c>
      <c r="AB115" s="72">
        <f>Tabella3[[#This Row],[region fit]]*NOT(ISBLANK(Tabella3[[#This Row],[region data]]))</f>
        <v>119.89833868727874</v>
      </c>
      <c r="AC115" s="166">
        <f>IFERROR(kl_m*psi_l_m*_xlfn.SECH(psi_l_m*(Tabella3[[#This Row],[Day]]-pl_m)-phi_l_m)^2/(1+TANH(phi_l_m)),0)</f>
        <v>119.89833868727874</v>
      </c>
      <c r="AD115" s="72">
        <f>Tabella3[[#This Row],[6-days moving avg fit]]*NOT(ISBLANK(Tabella3[[#This Row],[6-days moving avg]]))</f>
        <v>119.89833868727874</v>
      </c>
      <c r="AE115" s="72">
        <f>Tabella3[[#This Row],[region fit]]+CIl</f>
        <v>189.26332506237912</v>
      </c>
      <c r="AF115" s="72">
        <f>MAX(Tabella3[[#This Row],[region fit]]-CIl,0)</f>
        <v>50.533352312178337</v>
      </c>
      <c r="AG115" s="10">
        <f>Tabella8[[#This Row],[rest of Italy ]]</f>
        <v>62743</v>
      </c>
      <c r="AH115" s="10">
        <f>(Tabella3[[#This Row],[rest of Italy cum. data]]-AG114)</f>
        <v>3011</v>
      </c>
      <c r="AI115" s="72">
        <f>Tabella3[[#This Row],[rest of Italy data]]*NOT(ISBLANK(Tabella3[[#This Row],[rest of Italy data]]))</f>
        <v>3011</v>
      </c>
      <c r="AJ115" s="77">
        <f>Tabella8[[#This Row],[rest of Italy fit]]</f>
        <v>62572.165740695404</v>
      </c>
      <c r="AK115" s="72">
        <f>Tabella3[[#This Row],[rest of Italy cumul. fit]]/Ka</f>
        <v>0.28205465495439752</v>
      </c>
      <c r="AL115" s="72">
        <f>IFERROR(Ka*psi_a*_xlfn.SECH(psi_a*(Tabella3[[#This Row],[Day]]-pa)-phi_a)^2/(1+TANH(phi_a)),0)</f>
        <v>2642.4423227935144</v>
      </c>
      <c r="AM115" s="72">
        <f>Tabella3[[#This Row],[rest of Italy fit]]/y_a_peak</f>
        <v>0.87514074570039735</v>
      </c>
      <c r="AN115" s="72">
        <f>Tabella3[[#This Row],[rest of Italy fit]]*NOT(ISBLANK(Tabella3[[#This Row],[rest of Italy data]]))</f>
        <v>2642.4423227935144</v>
      </c>
      <c r="AO115" s="72">
        <f>Tabella3[[#This Row],[rest of Italy fit]]+CIa</f>
        <v>4276.5762627473159</v>
      </c>
      <c r="AP115" s="72">
        <f>MAX(Tabella3[[#This Row],[rest of Italy fit]]-CIa,0)</f>
        <v>1008.308382839713</v>
      </c>
    </row>
    <row r="116" spans="2:45" x14ac:dyDescent="0.3">
      <c r="B116" s="9">
        <v>43939</v>
      </c>
      <c r="C116" s="4">
        <v>109</v>
      </c>
      <c r="D116" s="72">
        <f>'dpc-covid19-ita-andamento-naz'!J56+'dpc-covid19-ita-andamento-naz'!K56</f>
        <v>68154</v>
      </c>
      <c r="E116" s="72">
        <f>(Tabella3[[#This Row],[Italy cumul. data]]-D115)</f>
        <v>2682</v>
      </c>
      <c r="F116" s="72">
        <f>Tabella3[[#This Row],[Italy remov. rate data]]*NOT(ISBLANK(Tabella3[[#This Row],[Italy remov. rate data]]))</f>
        <v>2682</v>
      </c>
      <c r="G116" s="77">
        <f>Tabella8[[#This Row],[Italy fit]]</f>
        <v>68076.638054658382</v>
      </c>
      <c r="H116" s="77">
        <f>Tabella3[[#This Row],[Italy cumul. fit]]/Kf</f>
        <v>0.28968781962996698</v>
      </c>
      <c r="I116" s="77">
        <f>Tabella3[[#This Row],[region fit]]+Tabella3[[#This Row],[rest of Italy fit]]</f>
        <v>2811.1899475101072</v>
      </c>
      <c r="J116" s="77">
        <f>Tabella3[[#This Row],[Italy (fit of selected region + fitted sum of the other regions)]]/(y_l_peak+y_a_peak)</f>
        <v>0.88773955997972687</v>
      </c>
      <c r="K116" s="72">
        <f>IFERROR(Kf*psi_f*_xlfn.SECH(psi_f*(Tabella3[[#This Row],[Day]]-pf)-phi_f)^2/(1+TANH(phi_f)),0)</f>
        <v>2805.0592844849198</v>
      </c>
      <c r="L116" s="292">
        <f>Tabella3[[#This Row],[Italy remov. rate fit]]-Tabella3[[#This Row],[Italy remov. rate data]]</f>
        <v>123.05928448491977</v>
      </c>
      <c r="M116" s="293">
        <f>Tabella3[[#This Row],[rem. rate residuals]]*NOT(ISBLANK(Tabella3[[#This Row],[Italy remov. rate data]]))</f>
        <v>123.05928448491977</v>
      </c>
      <c r="N116" s="72">
        <f>Tabella3[[#This Row],[Italy remov. rate fit]]/y_f_peak</f>
        <v>0.88796097986499123</v>
      </c>
      <c r="O116" s="72">
        <f>Tabella3[[#This Row],[Italy (fit of selected region + fitted sum of the other regions)]]*NOT(ISBLANK(Tabella3[[#This Row],[Italy remov. rate data]]))</f>
        <v>2811.1899475101072</v>
      </c>
      <c r="P116" s="72">
        <f>Tabella3[[#This Row],[Italy remov. rate fit]]*NOT(ISBLANK(Tabella3[[#This Row],[Italy remov. rate data]]))</f>
        <v>2805.0592844849198</v>
      </c>
      <c r="Q116" s="72">
        <f>Tabella3[[#This Row],[Italy remov. rate fit]]+CIf</f>
        <v>4460.2692534086709</v>
      </c>
      <c r="R116" s="72">
        <f>MAX(Tabella3[[#This Row],[Italy remov. rate fit]]-CIf,0)</f>
        <v>1149.8493155611684</v>
      </c>
      <c r="S116" s="4">
        <f>Tabella8[[#This Row],[region data]]</f>
        <v>2889</v>
      </c>
      <c r="T116" s="72">
        <f>(Tabella3[[#This Row],[region cumul. data]]-S115)</f>
        <v>160</v>
      </c>
      <c r="U116" s="72">
        <f>Tabella3[[#This Row],[region data]]*NOT(ISBLANK(Tabella3[[#This Row],[region data]]))</f>
        <v>160</v>
      </c>
      <c r="V116">
        <f t="shared" si="1"/>
        <v>134.5</v>
      </c>
      <c r="W116" s="72">
        <f>Tabella3[[#This Row],[6-days moving avg]]*NOT(ISBLANK(Tabella3[[#This Row],[6-days moving avg]]))</f>
        <v>134.5</v>
      </c>
      <c r="X116" s="77">
        <f>Tabella8[[#This Row],[region fit]]</f>
        <v>2818.2843267829389</v>
      </c>
      <c r="Y116" s="72">
        <f>Tabella3[[#This Row],[region cumul. fit]]/Kl</f>
        <v>0.21422232919602882</v>
      </c>
      <c r="Z116" s="72">
        <f>IFERROR(Kl*psi_l*_xlfn.SECH(psi_l*(Tabella3[[#This Row],[Day]]-pl)-phi_l)^2/(1+TANH(phi_l)),0)</f>
        <v>121.95736821036495</v>
      </c>
      <c r="AA116" s="72">
        <f>Tabella3[[#This Row],[region fit]]/y_l_peak</f>
        <v>0.82831891344715813</v>
      </c>
      <c r="AB116" s="72">
        <f>Tabella3[[#This Row],[region fit]]*NOT(ISBLANK(Tabella3[[#This Row],[region data]]))</f>
        <v>121.95736821036495</v>
      </c>
      <c r="AC116" s="166">
        <f>IFERROR(kl_m*psi_l_m*_xlfn.SECH(psi_l_m*(Tabella3[[#This Row],[Day]]-pl_m)-phi_l_m)^2/(1+TANH(phi_l_m)),0)</f>
        <v>121.95736821036495</v>
      </c>
      <c r="AD116" s="72">
        <f>Tabella3[[#This Row],[6-days moving avg fit]]*NOT(ISBLANK(Tabella3[[#This Row],[6-days moving avg]]))</f>
        <v>121.95736821036495</v>
      </c>
      <c r="AE116" s="72">
        <f>Tabella3[[#This Row],[region fit]]+CIl</f>
        <v>191.32235458546535</v>
      </c>
      <c r="AF116" s="72">
        <f>MAX(Tabella3[[#This Row],[region fit]]-CIl,0)</f>
        <v>52.592381835264547</v>
      </c>
      <c r="AG116" s="10">
        <f>Tabella8[[#This Row],[rest of Italy ]]</f>
        <v>65265</v>
      </c>
      <c r="AH116" s="10">
        <f>(Tabella3[[#This Row],[rest of Italy cum. data]]-AG115)</f>
        <v>2522</v>
      </c>
      <c r="AI116" s="72">
        <f>Tabella3[[#This Row],[rest of Italy data]]*NOT(ISBLANK(Tabella3[[#This Row],[rest of Italy data]]))</f>
        <v>2522</v>
      </c>
      <c r="AJ116" s="77">
        <f>Tabella8[[#This Row],[rest of Italy fit]]</f>
        <v>65238.193001942105</v>
      </c>
      <c r="AK116" s="72">
        <f>Tabella3[[#This Row],[rest of Italy cumul. fit]]/Ka</f>
        <v>0.29407222523294863</v>
      </c>
      <c r="AL116" s="72">
        <f>IFERROR(Ka*psi_a*_xlfn.SECH(psi_a*(Tabella3[[#This Row],[Day]]-pa)-phi_a)^2/(1+TANH(phi_a)),0)</f>
        <v>2689.2325792997422</v>
      </c>
      <c r="AM116" s="72">
        <f>Tabella3[[#This Row],[rest of Italy fit]]/y_a_peak</f>
        <v>0.89063703851146769</v>
      </c>
      <c r="AN116" s="72">
        <f>Tabella3[[#This Row],[rest of Italy fit]]*NOT(ISBLANK(Tabella3[[#This Row],[rest of Italy data]]))</f>
        <v>2689.2325792997422</v>
      </c>
      <c r="AO116" s="72">
        <f>Tabella3[[#This Row],[rest of Italy fit]]+CIa</f>
        <v>4323.3665192535436</v>
      </c>
      <c r="AP116" s="72">
        <f>MAX(Tabella3[[#This Row],[rest of Italy fit]]-CIa,0)</f>
        <v>1055.0986393459407</v>
      </c>
    </row>
    <row r="117" spans="2:45" x14ac:dyDescent="0.3">
      <c r="B117" s="9">
        <v>43940</v>
      </c>
      <c r="C117" s="4">
        <v>110</v>
      </c>
      <c r="D117" s="72">
        <f>'dpc-covid19-ita-andamento-naz'!J57+'dpc-covid19-ita-andamento-naz'!K57</f>
        <v>70715</v>
      </c>
      <c r="E117" s="72">
        <f>(Tabella3[[#This Row],[Italy cumul. data]]-D116)</f>
        <v>2561</v>
      </c>
      <c r="F117" s="72">
        <f>Tabella3[[#This Row],[Italy remov. rate data]]*NOT(ISBLANK(Tabella3[[#This Row],[Italy remov. rate data]]))</f>
        <v>2561</v>
      </c>
      <c r="G117" s="77">
        <f>Tabella8[[#This Row],[Italy fit]]</f>
        <v>70905.009325486972</v>
      </c>
      <c r="H117" s="77">
        <f>Tabella3[[#This Row],[Italy cumul. fit]]/Kf</f>
        <v>0.30172344198094919</v>
      </c>
      <c r="I117" s="77">
        <f>Tabella3[[#This Row],[region fit]]+Tabella3[[#This Row],[rest of Italy fit]]</f>
        <v>2857.6127863587612</v>
      </c>
      <c r="J117" s="77">
        <f>Tabella3[[#This Row],[Italy (fit of selected region + fitted sum of the other regions)]]/(y_l_peak+y_a_peak)</f>
        <v>0.90239932730317474</v>
      </c>
      <c r="K117" s="72">
        <f>IFERROR(Kf*psi_f*_xlfn.SECH(psi_f*(Tabella3[[#This Row],[Day]]-pf)-phi_f)^2/(1+TANH(phi_f)),0)</f>
        <v>2851.2705417089642</v>
      </c>
      <c r="L117" s="292">
        <f>Tabella3[[#This Row],[Italy remov. rate fit]]-Tabella3[[#This Row],[Italy remov. rate data]]</f>
        <v>290.27054170896417</v>
      </c>
      <c r="M117" s="293">
        <f>Tabella3[[#This Row],[rem. rate residuals]]*NOT(ISBLANK(Tabella3[[#This Row],[Italy remov. rate data]]))</f>
        <v>290.27054170896417</v>
      </c>
      <c r="N117" s="72">
        <f>Tabella3[[#This Row],[Italy remov. rate fit]]/y_f_peak</f>
        <v>0.90258947398360678</v>
      </c>
      <c r="O117" s="72">
        <f>Tabella3[[#This Row],[Italy (fit of selected region + fitted sum of the other regions)]]*NOT(ISBLANK(Tabella3[[#This Row],[Italy remov. rate data]]))</f>
        <v>2857.6127863587612</v>
      </c>
      <c r="P117" s="72">
        <f>Tabella3[[#This Row],[Italy remov. rate fit]]*NOT(ISBLANK(Tabella3[[#This Row],[Italy remov. rate data]]))</f>
        <v>2851.2705417089642</v>
      </c>
      <c r="Q117" s="72">
        <f>Tabella3[[#This Row],[Italy remov. rate fit]]+CIf</f>
        <v>4506.4805106327158</v>
      </c>
      <c r="R117" s="72">
        <f>MAX(Tabella3[[#This Row],[Italy remov. rate fit]]-CIf,0)</f>
        <v>1196.0605727852128</v>
      </c>
      <c r="S117" s="4">
        <f>Tabella8[[#This Row],[region data]]</f>
        <v>3038</v>
      </c>
      <c r="T117" s="72">
        <f>(Tabella3[[#This Row],[region cumul. data]]-S116)</f>
        <v>149</v>
      </c>
      <c r="U117" s="72">
        <f>Tabella3[[#This Row],[region data]]*NOT(ISBLANK(Tabella3[[#This Row],[region data]]))</f>
        <v>149</v>
      </c>
      <c r="V117">
        <f t="shared" si="1"/>
        <v>138.5</v>
      </c>
      <c r="W117" s="72">
        <f>Tabella3[[#This Row],[6-days moving avg]]*NOT(ISBLANK(Tabella3[[#This Row],[6-days moving avg]]))</f>
        <v>138.5</v>
      </c>
      <c r="X117" s="77">
        <f>Tabella8[[#This Row],[region fit]]</f>
        <v>2941.2514139225377</v>
      </c>
      <c r="Y117" s="72">
        <f>Tabella3[[#This Row],[region cumul. fit]]/Kl</f>
        <v>0.22356925546998838</v>
      </c>
      <c r="Z117" s="72">
        <f>IFERROR(Kl*psi_l*_xlfn.SECH(psi_l*(Tabella3[[#This Row],[Day]]-pl)-phi_l)^2/(1+TANH(phi_l)),0)</f>
        <v>123.96839690126257</v>
      </c>
      <c r="AA117" s="72">
        <f>Tabella3[[#This Row],[region fit]]/y_l_peak</f>
        <v>0.84197756420848058</v>
      </c>
      <c r="AB117" s="72">
        <f>Tabella3[[#This Row],[region fit]]*NOT(ISBLANK(Tabella3[[#This Row],[region data]]))</f>
        <v>123.96839690126257</v>
      </c>
      <c r="AC117" s="166">
        <f>IFERROR(kl_m*psi_l_m*_xlfn.SECH(psi_l_m*(Tabella3[[#This Row],[Day]]-pl_m)-phi_l_m)^2/(1+TANH(phi_l_m)),0)</f>
        <v>123.96839690126257</v>
      </c>
      <c r="AD117" s="72">
        <f>Tabella3[[#This Row],[6-days moving avg fit]]*NOT(ISBLANK(Tabella3[[#This Row],[6-days moving avg]]))</f>
        <v>123.96839690126257</v>
      </c>
      <c r="AE117" s="72">
        <f>Tabella3[[#This Row],[region fit]]+CIl</f>
        <v>193.33338327636295</v>
      </c>
      <c r="AF117" s="72">
        <f>MAX(Tabella3[[#This Row],[region fit]]-CIl,0)</f>
        <v>54.603410526162165</v>
      </c>
      <c r="AG117" s="10">
        <f>Tabella8[[#This Row],[rest of Italy ]]</f>
        <v>67677</v>
      </c>
      <c r="AH117" s="10">
        <f>(Tabella3[[#This Row],[rest of Italy cum. data]]-AG116)</f>
        <v>2412</v>
      </c>
      <c r="AI117" s="72">
        <f>Tabella3[[#This Row],[rest of Italy data]]*NOT(ISBLANK(Tabella3[[#This Row],[rest of Italy data]]))</f>
        <v>2412</v>
      </c>
      <c r="AJ117" s="77">
        <f>Tabella8[[#This Row],[rest of Italy fit]]</f>
        <v>67949.838028011683</v>
      </c>
      <c r="AK117" s="72">
        <f>Tabella3[[#This Row],[rest of Italy cumul. fit]]/Ka</f>
        <v>0.30629542532732279</v>
      </c>
      <c r="AL117" s="72">
        <f>IFERROR(Ka*psi_a*_xlfn.SECH(psi_a*(Tabella3[[#This Row],[Day]]-pa)-phi_a)^2/(1+TANH(phi_a)),0)</f>
        <v>2733.6443894574986</v>
      </c>
      <c r="AM117" s="72">
        <f>Tabella3[[#This Row],[rest of Italy fit]]/y_a_peak</f>
        <v>0.90534562243176864</v>
      </c>
      <c r="AN117" s="72">
        <f>Tabella3[[#This Row],[rest of Italy fit]]*NOT(ISBLANK(Tabella3[[#This Row],[rest of Italy data]]))</f>
        <v>2733.6443894574986</v>
      </c>
      <c r="AO117" s="72">
        <f>Tabella3[[#This Row],[rest of Italy fit]]+CIa</f>
        <v>4367.7783294112996</v>
      </c>
      <c r="AP117" s="72">
        <f>MAX(Tabella3[[#This Row],[rest of Italy fit]]-CIa,0)</f>
        <v>1099.5104495036971</v>
      </c>
    </row>
    <row r="118" spans="2:45" x14ac:dyDescent="0.3">
      <c r="B118" s="9">
        <v>43941</v>
      </c>
      <c r="C118" s="4">
        <v>111</v>
      </c>
      <c r="D118" s="72">
        <f>'dpc-covid19-ita-andamento-naz'!J58+'dpc-covid19-ita-andamento-naz'!K58</f>
        <v>72991</v>
      </c>
      <c r="E118" s="72">
        <f>(Tabella3[[#This Row],[Italy cumul. data]]-D117)</f>
        <v>2276</v>
      </c>
      <c r="F118" s="72">
        <f>Tabella3[[#This Row],[Italy remov. rate data]]*NOT(ISBLANK(Tabella3[[#This Row],[Italy remov. rate data]]))</f>
        <v>2276</v>
      </c>
      <c r="G118" s="77">
        <f>Tabella8[[#This Row],[Italy fit]]</f>
        <v>73778.320858230261</v>
      </c>
      <c r="H118" s="77">
        <f>Tabella3[[#This Row],[Italy cumul. fit]]/Kf</f>
        <v>0.3139502994877747</v>
      </c>
      <c r="I118" s="77">
        <f>Tabella3[[#This Row],[region fit]]+Tabella3[[#This Row],[rest of Italy fit]]</f>
        <v>2901.4063203569017</v>
      </c>
      <c r="J118" s="77">
        <f>Tabella3[[#This Row],[Italy (fit of selected region + fitted sum of the other regions)]]/(y_l_peak+y_a_peak)</f>
        <v>0.91622879216587472</v>
      </c>
      <c r="K118" s="72">
        <f>IFERROR(Kf*psi_f*_xlfn.SECH(psi_f*(Tabella3[[#This Row],[Day]]-pf)-phi_f)^2/(1+TANH(phi_f)),0)</f>
        <v>2894.9071702502101</v>
      </c>
      <c r="L118" s="292">
        <f>Tabella3[[#This Row],[Italy remov. rate fit]]-Tabella3[[#This Row],[Italy remov. rate data]]</f>
        <v>618.90717025021013</v>
      </c>
      <c r="M118" s="293">
        <f>Tabella3[[#This Row],[rem. rate residuals]]*NOT(ISBLANK(Tabella3[[#This Row],[Italy remov. rate data]]))</f>
        <v>618.90717025021013</v>
      </c>
      <c r="N118" s="72">
        <f>Tabella3[[#This Row],[Italy remov. rate fit]]/y_f_peak</f>
        <v>0.9164029515282015</v>
      </c>
      <c r="O118" s="72">
        <f>Tabella3[[#This Row],[Italy (fit of selected region + fitted sum of the other regions)]]*NOT(ISBLANK(Tabella3[[#This Row],[Italy remov. rate data]]))</f>
        <v>2901.4063203569017</v>
      </c>
      <c r="P118" s="72">
        <f>Tabella3[[#This Row],[Italy remov. rate fit]]*NOT(ISBLANK(Tabella3[[#This Row],[Italy remov. rate data]]))</f>
        <v>2894.9071702502101</v>
      </c>
      <c r="Q118" s="72">
        <f>Tabella3[[#This Row],[Italy remov. rate fit]]+CIf</f>
        <v>4550.1171391739617</v>
      </c>
      <c r="R118" s="72">
        <f>MAX(Tabella3[[#This Row],[Italy remov. rate fit]]-CIf,0)</f>
        <v>1239.6972013264588</v>
      </c>
      <c r="S118" s="4">
        <f>Tabella8[[#This Row],[region data]]</f>
        <v>3173</v>
      </c>
      <c r="T118" s="72">
        <f>(Tabella3[[#This Row],[region cumul. data]]-S117)</f>
        <v>135</v>
      </c>
      <c r="U118" s="72">
        <f>Tabella3[[#This Row],[region data]]*NOT(ISBLANK(Tabella3[[#This Row],[region data]]))</f>
        <v>135</v>
      </c>
      <c r="V118">
        <f t="shared" si="1"/>
        <v>138.16666666666666</v>
      </c>
      <c r="W118" s="72">
        <f>Tabella3[[#This Row],[6-days moving avg]]*NOT(ISBLANK(Tabella3[[#This Row],[6-days moving avg]]))</f>
        <v>138.16666666666666</v>
      </c>
      <c r="X118" s="77">
        <f>Tabella8[[#This Row],[region fit]]</f>
        <v>3066.203482914575</v>
      </c>
      <c r="Y118" s="72">
        <f>Tabella3[[#This Row],[region cumul. fit]]/Kl</f>
        <v>0.23306706341042857</v>
      </c>
      <c r="Z118" s="72">
        <f>IFERROR(Kl*psi_l*_xlfn.SECH(psi_l*(Tabella3[[#This Row],[Day]]-pl)-phi_l)^2/(1+TANH(phi_l)),0)</f>
        <v>125.92651260412181</v>
      </c>
      <c r="AA118" s="72">
        <f>Tabella3[[#This Row],[region fit]]/y_l_peak</f>
        <v>0.85527683669358767</v>
      </c>
      <c r="AB118" s="72">
        <f>Tabella3[[#This Row],[region fit]]*NOT(ISBLANK(Tabella3[[#This Row],[region data]]))</f>
        <v>125.92651260412181</v>
      </c>
      <c r="AC118" s="166">
        <f>IFERROR(kl_m*psi_l_m*_xlfn.SECH(psi_l_m*(Tabella3[[#This Row],[Day]]-pl_m)-phi_l_m)^2/(1+TANH(phi_l_m)),0)</f>
        <v>125.92651260412181</v>
      </c>
      <c r="AD118" s="72">
        <f>Tabella3[[#This Row],[6-days moving avg fit]]*NOT(ISBLANK(Tabella3[[#This Row],[6-days moving avg]]))</f>
        <v>125.92651260412181</v>
      </c>
      <c r="AE118" s="72">
        <f>Tabella3[[#This Row],[region fit]]+CIl</f>
        <v>195.29149897922221</v>
      </c>
      <c r="AF118" s="72">
        <f>MAX(Tabella3[[#This Row],[region fit]]-CIl,0)</f>
        <v>56.56152622902141</v>
      </c>
      <c r="AG118" s="10">
        <f>Tabella8[[#This Row],[rest of Italy ]]</f>
        <v>69818</v>
      </c>
      <c r="AH118" s="10">
        <f>(Tabella3[[#This Row],[rest of Italy cum. data]]-AG117)</f>
        <v>2141</v>
      </c>
      <c r="AI118" s="72">
        <f>Tabella3[[#This Row],[rest of Italy data]]*NOT(ISBLANK(Tabella3[[#This Row],[rest of Italy data]]))</f>
        <v>2141</v>
      </c>
      <c r="AJ118" s="77">
        <f>Tabella8[[#This Row],[rest of Italy fit]]</f>
        <v>70704.622908336067</v>
      </c>
      <c r="AK118" s="72">
        <f>Tabella3[[#This Row],[rest of Italy cumul. fit]]/Ka</f>
        <v>0.31871308563515749</v>
      </c>
      <c r="AL118" s="72">
        <f>IFERROR(Ka*psi_a*_xlfn.SECH(psi_a*(Tabella3[[#This Row],[Day]]-pa)-phi_a)^2/(1+TANH(phi_a)),0)</f>
        <v>2775.4798077527798</v>
      </c>
      <c r="AM118" s="72">
        <f>Tabella3[[#This Row],[rest of Italy fit]]/y_a_peak</f>
        <v>0.91920094061518143</v>
      </c>
      <c r="AN118" s="72">
        <f>Tabella3[[#This Row],[rest of Italy fit]]*NOT(ISBLANK(Tabella3[[#This Row],[rest of Italy data]]))</f>
        <v>2775.4798077527798</v>
      </c>
      <c r="AO118" s="72">
        <f>Tabella3[[#This Row],[rest of Italy fit]]+CIa</f>
        <v>4409.6137477065813</v>
      </c>
      <c r="AP118" s="72">
        <f>MAX(Tabella3[[#This Row],[rest of Italy fit]]-CIa,0)</f>
        <v>1141.3458677989784</v>
      </c>
    </row>
    <row r="119" spans="2:45" x14ac:dyDescent="0.3">
      <c r="B119" s="9">
        <v>43942</v>
      </c>
      <c r="C119" s="4">
        <v>112</v>
      </c>
      <c r="D119" s="72">
        <f>'dpc-covid19-ita-andamento-naz'!J59+'dpc-covid19-ita-andamento-naz'!K59</f>
        <v>76248</v>
      </c>
      <c r="E119" s="72">
        <f>(Tabella3[[#This Row],[Italy cumul. data]]-D118)</f>
        <v>3257</v>
      </c>
      <c r="F119" s="72">
        <f>Tabella3[[#This Row],[Italy remov. rate data]]*NOT(ISBLANK(Tabella3[[#This Row],[Italy remov. rate data]]))</f>
        <v>3257</v>
      </c>
      <c r="G119" s="77">
        <f>Tabella8[[#This Row],[Italy fit]]</f>
        <v>76693.901249090486</v>
      </c>
      <c r="H119" s="77">
        <f>Tabella3[[#This Row],[Italy cumul. fit]]/Kf</f>
        <v>0.32635702447478204</v>
      </c>
      <c r="I119" s="77">
        <f>Tabella3[[#This Row],[region fit]]+Tabella3[[#This Row],[rest of Italy fit]]</f>
        <v>2942.3744649861119</v>
      </c>
      <c r="J119" s="77">
        <f>Tabella3[[#This Row],[Italy (fit of selected region + fitted sum of the other regions)]]/(y_l_peak+y_a_peak)</f>
        <v>0.92916603346418447</v>
      </c>
      <c r="K119" s="72">
        <f>IFERROR(Kf*psi_f*_xlfn.SECH(psi_f*(Tabella3[[#This Row],[Day]]-pf)-phi_f)^2/(1+TANH(phi_f)),0)</f>
        <v>2935.776815474384</v>
      </c>
      <c r="L119" s="292">
        <f>Tabella3[[#This Row],[Italy remov. rate fit]]-Tabella3[[#This Row],[Italy remov. rate data]]</f>
        <v>-321.22318452561603</v>
      </c>
      <c r="M119" s="293">
        <f>Tabella3[[#This Row],[rem. rate residuals]]*NOT(ISBLANK(Tabella3[[#This Row],[Italy remov. rate data]]))</f>
        <v>-321.22318452561603</v>
      </c>
      <c r="N119" s="72">
        <f>Tabella3[[#This Row],[Italy remov. rate fit]]/y_f_peak</f>
        <v>0.92934052130461209</v>
      </c>
      <c r="O119" s="72">
        <f>Tabella3[[#This Row],[Italy (fit of selected region + fitted sum of the other regions)]]*NOT(ISBLANK(Tabella3[[#This Row],[Italy remov. rate data]]))</f>
        <v>2942.3744649861119</v>
      </c>
      <c r="P119" s="72">
        <f>Tabella3[[#This Row],[Italy remov. rate fit]]*NOT(ISBLANK(Tabella3[[#This Row],[Italy remov. rate data]]))</f>
        <v>2935.776815474384</v>
      </c>
      <c r="Q119" s="72">
        <f>Tabella3[[#This Row],[Italy remov. rate fit]]+CIf</f>
        <v>4590.9867843981356</v>
      </c>
      <c r="R119" s="72">
        <f>MAX(Tabella3[[#This Row],[Italy remov. rate fit]]-CIf,0)</f>
        <v>1280.5668465506326</v>
      </c>
      <c r="S119" s="4">
        <f>Tabella8[[#This Row],[region data]]</f>
        <v>3301</v>
      </c>
      <c r="T119" s="72">
        <f>(Tabella3[[#This Row],[region cumul. data]]-S118)</f>
        <v>128</v>
      </c>
      <c r="U119" s="72">
        <f>Tabella3[[#This Row],[region data]]*NOT(ISBLANK(Tabella3[[#This Row],[region data]]))</f>
        <v>128</v>
      </c>
      <c r="V119">
        <f t="shared" si="1"/>
        <v>140</v>
      </c>
      <c r="W119" s="72">
        <f>Tabella3[[#This Row],[6-days moving avg]]*NOT(ISBLANK(Tabella3[[#This Row],[6-days moving avg]]))</f>
        <v>140</v>
      </c>
      <c r="X119" s="77">
        <f>Tabella8[[#This Row],[region fit]]</f>
        <v>3193.0851641045883</v>
      </c>
      <c r="Y119" s="72">
        <f>Tabella3[[#This Row],[region cumul. fit]]/Kl</f>
        <v>0.24271154428076697</v>
      </c>
      <c r="Z119" s="72">
        <f>IFERROR(Kl*psi_l*_xlfn.SECH(psi_l*(Tabella3[[#This Row],[Day]]-pl)-phi_l)^2/(1+TANH(phi_l)),0)</f>
        <v>127.82680402224767</v>
      </c>
      <c r="AA119" s="72">
        <f>Tabella3[[#This Row],[region fit]]/y_l_peak</f>
        <v>0.86818337400078749</v>
      </c>
      <c r="AB119" s="72">
        <f>Tabella3[[#This Row],[region fit]]*NOT(ISBLANK(Tabella3[[#This Row],[region data]]))</f>
        <v>127.82680402224767</v>
      </c>
      <c r="AC119" s="166">
        <f>IFERROR(kl_m*psi_l_m*_xlfn.SECH(psi_l_m*(Tabella3[[#This Row],[Day]]-pl_m)-phi_l_m)^2/(1+TANH(phi_l_m)),0)</f>
        <v>127.82680402224767</v>
      </c>
      <c r="AD119" s="72">
        <f>Tabella3[[#This Row],[6-days moving avg fit]]*NOT(ISBLANK(Tabella3[[#This Row],[6-days moving avg]]))</f>
        <v>127.82680402224767</v>
      </c>
      <c r="AE119" s="72">
        <f>Tabella3[[#This Row],[region fit]]+CIl</f>
        <v>197.19179039734809</v>
      </c>
      <c r="AF119" s="72">
        <f>MAX(Tabella3[[#This Row],[region fit]]-CIl,0)</f>
        <v>58.461817647147271</v>
      </c>
      <c r="AG119" s="10">
        <f>Tabella8[[#This Row],[rest of Italy ]]</f>
        <v>72947</v>
      </c>
      <c r="AH119" s="10">
        <f>(Tabella3[[#This Row],[rest of Italy cum. data]]-AG118)</f>
        <v>3129</v>
      </c>
      <c r="AI119" s="72">
        <f>Tabella3[[#This Row],[rest of Italy data]]*NOT(ISBLANK(Tabella3[[#This Row],[rest of Italy data]]))</f>
        <v>3129</v>
      </c>
      <c r="AJ119" s="77">
        <f>Tabella8[[#This Row],[rest of Italy fit]]</f>
        <v>73499.87502713193</v>
      </c>
      <c r="AK119" s="72">
        <f>Tabella3[[#This Row],[rest of Italy cumul. fit]]/Ka</f>
        <v>0.33131315888729279</v>
      </c>
      <c r="AL119" s="72">
        <f>IFERROR(Ka*psi_a*_xlfn.SECH(psi_a*(Tabella3[[#This Row],[Day]]-pa)-phi_a)^2/(1+TANH(phi_a)),0)</f>
        <v>2814.547660963864</v>
      </c>
      <c r="AM119" s="72">
        <f>Tabella3[[#This Row],[rest of Italy fit]]/y_a_peak</f>
        <v>0.93213967910613826</v>
      </c>
      <c r="AN119" s="72">
        <f>Tabella3[[#This Row],[rest of Italy fit]]*NOT(ISBLANK(Tabella3[[#This Row],[rest of Italy data]]))</f>
        <v>2814.547660963864</v>
      </c>
      <c r="AO119" s="72">
        <f>Tabella3[[#This Row],[rest of Italy fit]]+CIa</f>
        <v>4448.6816009176655</v>
      </c>
      <c r="AP119" s="72">
        <f>MAX(Tabella3[[#This Row],[rest of Italy fit]]-CIa,0)</f>
        <v>1180.4137210100625</v>
      </c>
    </row>
    <row r="120" spans="2:45" x14ac:dyDescent="0.3">
      <c r="B120" s="9">
        <v>43943</v>
      </c>
      <c r="C120" s="4">
        <v>113</v>
      </c>
      <c r="D120" s="72">
        <f>'dpc-covid19-ita-andamento-naz'!J60+'dpc-covid19-ita-andamento-naz'!K60</f>
        <v>79628</v>
      </c>
      <c r="E120" s="72">
        <f>(Tabella3[[#This Row],[Italy cumul. data]]-D119)</f>
        <v>3380</v>
      </c>
      <c r="F120" s="72">
        <f>Tabella3[[#This Row],[Italy remov. rate data]]*NOT(ISBLANK(Tabella3[[#This Row],[Italy remov. rate data]]))</f>
        <v>3380</v>
      </c>
      <c r="G120" s="77">
        <f>Tabella8[[#This Row],[Italy fit]]</f>
        <v>79648.890608561604</v>
      </c>
      <c r="H120" s="77">
        <f>Tabella3[[#This Row],[Italy cumul. fit]]/Kf</f>
        <v>0.33893144719947133</v>
      </c>
      <c r="I120" s="77">
        <f>Tabella3[[#This Row],[region fit]]+Tabella3[[#This Row],[rest of Italy fit]]</f>
        <v>2980.3296800442631</v>
      </c>
      <c r="J120" s="77">
        <f>Tabella3[[#This Row],[Italy (fit of selected region + fitted sum of the other regions)]]/(y_l_peak+y_a_peak)</f>
        <v>0.94115182828552069</v>
      </c>
      <c r="K120" s="72">
        <f>IFERROR(Kf*psi_f*_xlfn.SECH(psi_f*(Tabella3[[#This Row],[Day]]-pf)-phi_f)^2/(1+TANH(phi_f)),0)</f>
        <v>2973.6951422629222</v>
      </c>
      <c r="L120" s="292">
        <f>Tabella3[[#This Row],[Italy remov. rate fit]]-Tabella3[[#This Row],[Italy remov. rate data]]</f>
        <v>-406.30485773707778</v>
      </c>
      <c r="M120" s="293">
        <f>Tabella3[[#This Row],[rem. rate residuals]]*NOT(ISBLANK(Tabella3[[#This Row],[Italy remov. rate data]]))</f>
        <v>-406.30485773707778</v>
      </c>
      <c r="N120" s="72">
        <f>Tabella3[[#This Row],[Italy remov. rate fit]]/y_f_peak</f>
        <v>0.941343830752018</v>
      </c>
      <c r="O120" s="72">
        <f>Tabella3[[#This Row],[Italy (fit of selected region + fitted sum of the other regions)]]*NOT(ISBLANK(Tabella3[[#This Row],[Italy remov. rate data]]))</f>
        <v>2980.3296800442631</v>
      </c>
      <c r="P120" s="72">
        <f>Tabella3[[#This Row],[Italy remov. rate fit]]*NOT(ISBLANK(Tabella3[[#This Row],[Italy remov. rate data]]))</f>
        <v>2973.6951422629222</v>
      </c>
      <c r="Q120" s="72">
        <f>Tabella3[[#This Row],[Italy remov. rate fit]]+CIf</f>
        <v>4628.9051111866738</v>
      </c>
      <c r="R120" s="72">
        <f>MAX(Tabella3[[#This Row],[Italy remov. rate fit]]-CIf,0)</f>
        <v>1318.4851733391708</v>
      </c>
      <c r="S120" s="4">
        <f>Tabella8[[#This Row],[region data]]</f>
        <v>3442</v>
      </c>
      <c r="T120" s="72">
        <f>(Tabella3[[#This Row],[region cumul. data]]-S119)</f>
        <v>141</v>
      </c>
      <c r="U120" s="72">
        <f>Tabella3[[#This Row],[region data]]*NOT(ISBLANK(Tabella3[[#This Row],[region data]]))</f>
        <v>141</v>
      </c>
      <c r="V120">
        <f t="shared" si="1"/>
        <v>142.33333333333334</v>
      </c>
      <c r="W120" s="72">
        <f>Tabella3[[#This Row],[6-days moving avg]]*NOT(ISBLANK(Tabella3[[#This Row],[6-days moving avg]]))</f>
        <v>142.33333333333334</v>
      </c>
      <c r="X120" s="77">
        <f>Tabella8[[#This Row],[region fit]]</f>
        <v>3321.8361865405759</v>
      </c>
      <c r="Y120" s="72">
        <f>Tabella3[[#This Row],[region cumul. fit]]/Kl</f>
        <v>0.25249811678890399</v>
      </c>
      <c r="Z120" s="72">
        <f>IFERROR(Kl*psi_l*_xlfn.SECH(psi_l*(Tabella3[[#This Row],[Day]]-pl)-phi_l)^2/(1+TANH(phi_l)),0)</f>
        <v>129.66438377654694</v>
      </c>
      <c r="AA120" s="72">
        <f>Tabella3[[#This Row],[region fit]]/y_l_peak</f>
        <v>0.8806639816736932</v>
      </c>
      <c r="AB120" s="72">
        <f>Tabella3[[#This Row],[region fit]]*NOT(ISBLANK(Tabella3[[#This Row],[region data]]))</f>
        <v>129.66438377654694</v>
      </c>
      <c r="AC120" s="166">
        <f>IFERROR(kl_m*psi_l_m*_xlfn.SECH(psi_l_m*(Tabella3[[#This Row],[Day]]-pl_m)-phi_l_m)^2/(1+TANH(phi_l_m)),0)</f>
        <v>129.66438377654694</v>
      </c>
      <c r="AD120" s="72">
        <f>Tabella3[[#This Row],[6-days moving avg fit]]*NOT(ISBLANK(Tabella3[[#This Row],[6-days moving avg]]))</f>
        <v>129.66438377654694</v>
      </c>
      <c r="AE120" s="72">
        <f>Tabella3[[#This Row],[region fit]]+CIl</f>
        <v>199.02937015164736</v>
      </c>
      <c r="AF120" s="72">
        <f>MAX(Tabella3[[#This Row],[region fit]]-CIl,0)</f>
        <v>60.299397401446541</v>
      </c>
      <c r="AG120" s="10">
        <f>Tabella8[[#This Row],[rest of Italy ]]</f>
        <v>76186</v>
      </c>
      <c r="AH120" s="10">
        <f>(Tabella3[[#This Row],[rest of Italy cum. data]]-AG119)</f>
        <v>3239</v>
      </c>
      <c r="AI120" s="72">
        <f>Tabella3[[#This Row],[rest of Italy data]]*NOT(ISBLANK(Tabella3[[#This Row],[rest of Italy data]]))</f>
        <v>3239</v>
      </c>
      <c r="AJ120" s="77">
        <f>Tabella8[[#This Row],[rest of Italy fit]]</f>
        <v>76332.734710373232</v>
      </c>
      <c r="AK120" s="72">
        <f>Tabella3[[#This Row],[rest of Italy cumul. fit]]/Ka</f>
        <v>0.34408275461779803</v>
      </c>
      <c r="AL120" s="72">
        <f>IFERROR(Ka*psi_a*_xlfn.SECH(psi_a*(Tabella3[[#This Row],[Day]]-pa)-phi_a)^2/(1+TANH(phi_a)),0)</f>
        <v>2850.6652962677163</v>
      </c>
      <c r="AM120" s="72">
        <f>Tabella3[[#This Row],[rest of Italy fit]]/y_a_peak</f>
        <v>0.94410134578854787</v>
      </c>
      <c r="AN120" s="72">
        <f>Tabella3[[#This Row],[rest of Italy fit]]*NOT(ISBLANK(Tabella3[[#This Row],[rest of Italy data]]))</f>
        <v>2850.6652962677163</v>
      </c>
      <c r="AO120" s="72">
        <f>Tabella3[[#This Row],[rest of Italy fit]]+CIa</f>
        <v>4484.7992362215173</v>
      </c>
      <c r="AP120" s="72">
        <f>MAX(Tabella3[[#This Row],[rest of Italy fit]]-CIa,0)</f>
        <v>1216.5313563139148</v>
      </c>
    </row>
    <row r="121" spans="2:45" x14ac:dyDescent="0.3">
      <c r="B121" s="9">
        <v>43944</v>
      </c>
      <c r="C121" s="4">
        <v>114</v>
      </c>
      <c r="D121" s="72">
        <f>'dpc-covid19-ita-andamento-naz'!J61+'dpc-covid19-ita-andamento-naz'!K61</f>
        <v>83125</v>
      </c>
      <c r="E121" s="72">
        <f>(Tabella3[[#This Row],[Italy cumul. data]]-D120)</f>
        <v>3497</v>
      </c>
      <c r="F121" s="72">
        <f>Tabella3[[#This Row],[Italy remov. rate data]]*NOT(ISBLANK(Tabella3[[#This Row],[Italy remov. rate data]]))</f>
        <v>3497</v>
      </c>
      <c r="G121" s="77">
        <f>Tabella8[[#This Row],[Italy fit]]</f>
        <v>82640.249422332548</v>
      </c>
      <c r="H121" s="77">
        <f>Tabella3[[#This Row],[Italy cumul. fit]]/Kf</f>
        <v>0.35166063355847499</v>
      </c>
      <c r="I121" s="77">
        <f>Tabella3[[#This Row],[region fit]]+Tabella3[[#This Row],[rest of Italy fit]]</f>
        <v>3015.0947211909079</v>
      </c>
      <c r="J121" s="77">
        <f>Tabella3[[#This Row],[Italy (fit of selected region + fitted sum of the other regions)]]/(y_l_peak+y_a_peak)</f>
        <v>0.95213020502506984</v>
      </c>
      <c r="K121" s="72">
        <f>IFERROR(Kf*psi_f*_xlfn.SECH(psi_f*(Tabella3[[#This Row],[Day]]-pf)-phi_f)^2/(1+TANH(phi_f)),0)</f>
        <v>3008.4875133611736</v>
      </c>
      <c r="L121" s="292">
        <f>Tabella3[[#This Row],[Italy remov. rate fit]]-Tabella3[[#This Row],[Italy remov. rate data]]</f>
        <v>-488.51248663882643</v>
      </c>
      <c r="M121" s="293">
        <f>Tabella3[[#This Row],[rem. rate residuals]]*NOT(ISBLANK(Tabella3[[#This Row],[Italy remov. rate data]]))</f>
        <v>-488.51248663882643</v>
      </c>
      <c r="N121" s="72">
        <f>Tabella3[[#This Row],[Italy remov. rate fit]]/y_f_peak</f>
        <v>0.95235759723571012</v>
      </c>
      <c r="O121" s="72">
        <f>Tabella3[[#This Row],[Italy (fit of selected region + fitted sum of the other regions)]]*NOT(ISBLANK(Tabella3[[#This Row],[Italy remov. rate data]]))</f>
        <v>3015.0947211909079</v>
      </c>
      <c r="P121" s="72">
        <f>Tabella3[[#This Row],[Italy remov. rate fit]]*NOT(ISBLANK(Tabella3[[#This Row],[Italy remov. rate data]]))</f>
        <v>3008.4875133611736</v>
      </c>
      <c r="Q121" s="72">
        <f>Tabella3[[#This Row],[Italy remov. rate fit]]+CIf</f>
        <v>4663.6974822849252</v>
      </c>
      <c r="R121" s="72">
        <f>MAX(Tabella3[[#This Row],[Italy remov. rate fit]]-CIf,0)</f>
        <v>1353.2775444374222</v>
      </c>
      <c r="S121" s="4">
        <f>Tabella8[[#This Row],[region data]]</f>
        <v>3583</v>
      </c>
      <c r="T121" s="72">
        <f>(Tabella3[[#This Row],[region cumul. data]]-S120)</f>
        <v>141</v>
      </c>
      <c r="U121" s="72">
        <f>Tabella3[[#This Row],[region data]]*NOT(ISBLANK(Tabella3[[#This Row],[region data]]))</f>
        <v>141</v>
      </c>
      <c r="V121">
        <f t="shared" si="1"/>
        <v>141.16666666666666</v>
      </c>
      <c r="W121" s="72">
        <f>Tabella3[[#This Row],[6-days moving avg]]*NOT(ISBLANK(Tabella3[[#This Row],[6-days moving avg]]))</f>
        <v>141.16666666666666</v>
      </c>
      <c r="X121" s="77">
        <f>Tabella8[[#This Row],[region fit]]</f>
        <v>3452.3914137831289</v>
      </c>
      <c r="Y121" s="72">
        <f>Tabella3[[#This Row],[region cumul. fit]]/Kl</f>
        <v>0.2624218298092087</v>
      </c>
      <c r="Z121" s="72">
        <f>IFERROR(Kl*psi_l*_xlfn.SECH(psi_l*(Tabella3[[#This Row],[Day]]-pl)-phi_l)^2/(1+TANH(phi_l)),0)</f>
        <v>131.43441231957556</v>
      </c>
      <c r="AA121" s="72">
        <f>Tabella3[[#This Row],[region fit]]/y_l_peak</f>
        <v>0.89268579012238769</v>
      </c>
      <c r="AB121" s="72">
        <f>Tabella3[[#This Row],[region fit]]*NOT(ISBLANK(Tabella3[[#This Row],[region data]]))</f>
        <v>131.43441231957556</v>
      </c>
      <c r="AC121" s="166">
        <f>IFERROR(kl_m*psi_l_m*_xlfn.SECH(psi_l_m*(Tabella3[[#This Row],[Day]]-pl_m)-phi_l_m)^2/(1+TANH(phi_l_m)),0)</f>
        <v>131.43441231957556</v>
      </c>
      <c r="AD121" s="72">
        <f>Tabella3[[#This Row],[6-days moving avg fit]]*NOT(ISBLANK(Tabella3[[#This Row],[6-days moving avg]]))</f>
        <v>131.43441231957556</v>
      </c>
      <c r="AE121" s="72">
        <f>Tabella3[[#This Row],[region fit]]+CIl</f>
        <v>200.79939869467597</v>
      </c>
      <c r="AF121" s="72">
        <f>MAX(Tabella3[[#This Row],[region fit]]-CIl,0)</f>
        <v>62.069425944475157</v>
      </c>
      <c r="AG121" s="10">
        <f>Tabella8[[#This Row],[rest of Italy ]]</f>
        <v>79542</v>
      </c>
      <c r="AH121" s="10">
        <f>(Tabella3[[#This Row],[rest of Italy cum. data]]-AG120)</f>
        <v>3356</v>
      </c>
      <c r="AI121" s="72">
        <f>Tabella3[[#This Row],[rest of Italy data]]*NOT(ISBLANK(Tabella3[[#This Row],[rest of Italy data]]))</f>
        <v>3356</v>
      </c>
      <c r="AJ121" s="77">
        <f>Tabella8[[#This Row],[rest of Italy fit]]</f>
        <v>79200.164612802182</v>
      </c>
      <c r="AK121" s="72">
        <f>Tabella3[[#This Row],[rest of Italy cumul. fit]]/Ka</f>
        <v>0.35700818147751617</v>
      </c>
      <c r="AL121" s="72">
        <f>IFERROR(Ka*psi_a*_xlfn.SECH(psi_a*(Tabella3[[#This Row],[Day]]-pa)-phi_a)^2/(1+TANH(phi_a)),0)</f>
        <v>2883.6603088713323</v>
      </c>
      <c r="AM121" s="72">
        <f>Tabella3[[#This Row],[rest of Italy fit]]/y_a_peak</f>
        <v>0.95502884255366038</v>
      </c>
      <c r="AN121" s="72">
        <f>Tabella3[[#This Row],[rest of Italy fit]]*NOT(ISBLANK(Tabella3[[#This Row],[rest of Italy data]]))</f>
        <v>2883.6603088713323</v>
      </c>
      <c r="AO121" s="72">
        <f>Tabella3[[#This Row],[rest of Italy fit]]+CIa</f>
        <v>4517.7942488251338</v>
      </c>
      <c r="AP121" s="72">
        <f>MAX(Tabella3[[#This Row],[rest of Italy fit]]-CIa,0)</f>
        <v>1249.5263689175308</v>
      </c>
    </row>
    <row r="122" spans="2:45" x14ac:dyDescent="0.3">
      <c r="B122" s="9">
        <v>43945</v>
      </c>
      <c r="C122" s="4">
        <v>115</v>
      </c>
      <c r="D122" s="72">
        <f>'dpc-covid19-ita-andamento-naz'!J62+'dpc-covid19-ita-andamento-naz'!K62</f>
        <v>86467</v>
      </c>
      <c r="E122" s="72">
        <f>(Tabella3[[#This Row],[Italy cumul. data]]-D121)</f>
        <v>3342</v>
      </c>
      <c r="F122" s="72">
        <f>Tabella3[[#This Row],[Italy remov. rate data]]*NOT(ISBLANK(Tabella3[[#This Row],[Italy remov. rate data]]))</f>
        <v>3342</v>
      </c>
      <c r="G122" s="77">
        <f>Tabella8[[#This Row],[Italy fit]]</f>
        <v>85664.76907311067</v>
      </c>
      <c r="H122" s="77">
        <f>Tabella3[[#This Row],[Italy cumul. fit]]/Kf</f>
        <v>0.36453092986127472</v>
      </c>
      <c r="I122" s="77">
        <f>Tabella3[[#This Row],[region fit]]+Tabella3[[#This Row],[rest of Italy fit]]</f>
        <v>3046.5043452723412</v>
      </c>
      <c r="J122" s="77">
        <f>Tabella3[[#This Row],[Italy (fit of selected region + fitted sum of the other regions)]]/(y_l_peak+y_a_peak)</f>
        <v>0.96204898190668076</v>
      </c>
      <c r="K122" s="72">
        <f>IFERROR(Kf*psi_f*_xlfn.SECH(psi_f*(Tabella3[[#This Row],[Day]]-pf)-phi_f)^2/(1+TANH(phi_f)),0)</f>
        <v>3039.990628705968</v>
      </c>
      <c r="L122" s="292">
        <f>Tabella3[[#This Row],[Italy remov. rate fit]]-Tabella3[[#This Row],[Italy remov. rate data]]</f>
        <v>-302.00937129403201</v>
      </c>
      <c r="M122" s="293">
        <f>Tabella3[[#This Row],[rem. rate residuals]]*NOT(ISBLANK(Tabella3[[#This Row],[Italy remov. rate data]]))</f>
        <v>-302.00937129403201</v>
      </c>
      <c r="N122" s="72">
        <f>Tabella3[[#This Row],[Italy remov. rate fit]]/y_f_peak</f>
        <v>0.96233012698760811</v>
      </c>
      <c r="O122" s="72">
        <f>Tabella3[[#This Row],[Italy (fit of selected region + fitted sum of the other regions)]]*NOT(ISBLANK(Tabella3[[#This Row],[Italy remov. rate data]]))</f>
        <v>3046.5043452723412</v>
      </c>
      <c r="P122" s="72">
        <f>Tabella3[[#This Row],[Italy remov. rate fit]]*NOT(ISBLANK(Tabella3[[#This Row],[Italy remov. rate data]]))</f>
        <v>3039.990628705968</v>
      </c>
      <c r="Q122" s="72">
        <f>Tabella3[[#This Row],[Italy remov. rate fit]]+CIf</f>
        <v>4695.2005976297196</v>
      </c>
      <c r="R122" s="72">
        <f>MAX(Tabella3[[#This Row],[Italy remov. rate fit]]-CIf,0)</f>
        <v>1384.7806597822166</v>
      </c>
      <c r="S122" s="4">
        <f>Tabella8[[#This Row],[region data]]</f>
        <v>3736</v>
      </c>
      <c r="T122" s="72">
        <f>(Tabella3[[#This Row],[region cumul. data]]-S121)</f>
        <v>153</v>
      </c>
      <c r="U122" s="72">
        <f>Tabella3[[#This Row],[region data]]*NOT(ISBLANK(Tabella3[[#This Row],[region data]]))</f>
        <v>153</v>
      </c>
      <c r="V122">
        <f t="shared" si="1"/>
        <v>138.33333333333334</v>
      </c>
      <c r="W122" s="72">
        <f>Tabella3[[#This Row],[6-days moving avg]]*NOT(ISBLANK(Tabella3[[#This Row],[6-days moving avg]]))</f>
        <v>138.33333333333334</v>
      </c>
      <c r="X122" s="77">
        <f>Tabella8[[#This Row],[region fit]]</f>
        <v>3584.6809039873392</v>
      </c>
      <c r="Y122" s="72">
        <f>Tabella3[[#This Row],[region cumul. fit]]/Kl</f>
        <v>0.2724773669494413</v>
      </c>
      <c r="Z122" s="72">
        <f>IFERROR(Kl*psi_l*_xlfn.SECH(psi_l*(Tabella3[[#This Row],[Day]]-pl)-phi_l)^2/(1+TANH(phi_l)),0)</f>
        <v>133.13212253524847</v>
      </c>
      <c r="AA122" s="72">
        <f>Tabella3[[#This Row],[region fit]]/y_l_peak</f>
        <v>0.90421642170152028</v>
      </c>
      <c r="AB122" s="72">
        <f>Tabella3[[#This Row],[region fit]]*NOT(ISBLANK(Tabella3[[#This Row],[region data]]))</f>
        <v>133.13212253524847</v>
      </c>
      <c r="AC122" s="166">
        <f>IFERROR(kl_m*psi_l_m*_xlfn.SECH(psi_l_m*(Tabella3[[#This Row],[Day]]-pl_m)-phi_l_m)^2/(1+TANH(phi_l_m)),0)</f>
        <v>133.13212253524847</v>
      </c>
      <c r="AD122" s="72">
        <f>Tabella3[[#This Row],[6-days moving avg fit]]*NOT(ISBLANK(Tabella3[[#This Row],[6-days moving avg]]))</f>
        <v>133.13212253524847</v>
      </c>
      <c r="AE122" s="72">
        <f>Tabella3[[#This Row],[region fit]]+CIl</f>
        <v>202.49710891034886</v>
      </c>
      <c r="AF122" s="72">
        <f>MAX(Tabella3[[#This Row],[region fit]]-CIl,0)</f>
        <v>63.76713616014807</v>
      </c>
      <c r="AG122" s="10">
        <f>Tabella8[[#This Row],[rest of Italy ]]</f>
        <v>82731</v>
      </c>
      <c r="AH122" s="10">
        <f>(Tabella3[[#This Row],[rest of Italy cum. data]]-AG121)</f>
        <v>3189</v>
      </c>
      <c r="AI122" s="72">
        <f>Tabella3[[#This Row],[rest of Italy data]]*NOT(ISBLANK(Tabella3[[#This Row],[rest of Italy data]]))</f>
        <v>3189</v>
      </c>
      <c r="AJ122" s="77">
        <f>Tabella8[[#This Row],[rest of Italy fit]]</f>
        <v>82098.960811347657</v>
      </c>
      <c r="AK122" s="72">
        <f>Tabella3[[#This Row],[rest of Italy cumul. fit]]/Ka</f>
        <v>0.37007499723953002</v>
      </c>
      <c r="AL122" s="72">
        <f>IFERROR(Ka*psi_a*_xlfn.SECH(psi_a*(Tabella3[[#This Row],[Day]]-pa)-phi_a)^2/(1+TANH(phi_a)),0)</f>
        <v>2913.3722227370927</v>
      </c>
      <c r="AM122" s="72">
        <f>Tabella3[[#This Row],[rest of Italy fit]]/y_a_peak</f>
        <v>0.96486902193331048</v>
      </c>
      <c r="AN122" s="72">
        <f>Tabella3[[#This Row],[rest of Italy fit]]*NOT(ISBLANK(Tabella3[[#This Row],[rest of Italy data]]))</f>
        <v>2913.3722227370927</v>
      </c>
      <c r="AO122" s="72">
        <f>Tabella3[[#This Row],[rest of Italy fit]]+CIa</f>
        <v>4547.5061626908937</v>
      </c>
      <c r="AP122" s="72">
        <f>MAX(Tabella3[[#This Row],[rest of Italy fit]]-CIa,0)</f>
        <v>1279.2382827832912</v>
      </c>
    </row>
    <row r="123" spans="2:45" x14ac:dyDescent="0.3">
      <c r="B123" s="9">
        <v>43946</v>
      </c>
      <c r="C123" s="4">
        <v>116</v>
      </c>
      <c r="D123" s="72">
        <f>'dpc-covid19-ita-andamento-naz'!J63+'dpc-covid19-ita-andamento-naz'!K63</f>
        <v>89504</v>
      </c>
      <c r="E123" s="72">
        <f>(Tabella3[[#This Row],[Italy cumul. data]]-D122)</f>
        <v>3037</v>
      </c>
      <c r="F123" s="72">
        <f>Tabella3[[#This Row],[Italy remov. rate data]]*NOT(ISBLANK(Tabella3[[#This Row],[Italy remov. rate data]]))</f>
        <v>3037</v>
      </c>
      <c r="G123" s="77">
        <f>Tabella8[[#This Row],[Italy fit]]</f>
        <v>88719.08397179193</v>
      </c>
      <c r="H123" s="77">
        <f>Tabella3[[#This Row],[Italy cumul. fit]]/Kf</f>
        <v>0.37752801445220147</v>
      </c>
      <c r="I123" s="77">
        <f>Tabella3[[#This Row],[region fit]]+Tabella3[[#This Row],[rest of Italy fit]]</f>
        <v>3074.4069423931946</v>
      </c>
      <c r="J123" s="77">
        <f>Tabella3[[#This Row],[Italy (fit of selected region + fitted sum of the other regions)]]/(y_l_peak+y_a_peak)</f>
        <v>0.9708602823712037</v>
      </c>
      <c r="K123" s="72">
        <f>IFERROR(Kf*psi_f*_xlfn.SECH(psi_f*(Tabella3[[#This Row],[Day]]-pf)-phi_f)^2/(1+TANH(phi_f)),0)</f>
        <v>3068.0541005868808</v>
      </c>
      <c r="L123" s="292">
        <f>Tabella3[[#This Row],[Italy remov. rate fit]]-Tabella3[[#This Row],[Italy remov. rate data]]</f>
        <v>31.05410058688085</v>
      </c>
      <c r="M123" s="293">
        <f>Tabella3[[#This Row],[rem. rate residuals]]*NOT(ISBLANK(Tabella3[[#This Row],[Italy remov. rate data]]))</f>
        <v>31.05410058688085</v>
      </c>
      <c r="N123" s="72">
        <f>Tabella3[[#This Row],[Italy remov. rate fit]]/y_f_peak</f>
        <v>0.97121381373448723</v>
      </c>
      <c r="O123" s="72">
        <f>Tabella3[[#This Row],[Italy (fit of selected region + fitted sum of the other regions)]]*NOT(ISBLANK(Tabella3[[#This Row],[Italy remov. rate data]]))</f>
        <v>3074.4069423931946</v>
      </c>
      <c r="P123" s="72">
        <f>Tabella3[[#This Row],[Italy remov. rate fit]]*NOT(ISBLANK(Tabella3[[#This Row],[Italy remov. rate data]]))</f>
        <v>3068.0541005868808</v>
      </c>
      <c r="Q123" s="72">
        <f>Tabella3[[#This Row],[Italy remov. rate fit]]+CIf</f>
        <v>4723.264069510632</v>
      </c>
      <c r="R123" s="72">
        <f>MAX(Tabella3[[#This Row],[Italy remov. rate fit]]-CIf,0)</f>
        <v>1412.8441316631295</v>
      </c>
      <c r="S123" s="4">
        <f>Tabella8[[#This Row],[region data]]</f>
        <v>3868</v>
      </c>
      <c r="T123" s="72">
        <f>(Tabella3[[#This Row],[region cumul. data]]-S122)</f>
        <v>132</v>
      </c>
      <c r="U123" s="72">
        <f>Tabella3[[#This Row],[region data]]*NOT(ISBLANK(Tabella3[[#This Row],[region data]]))</f>
        <v>132</v>
      </c>
      <c r="V123">
        <f t="shared" si="1"/>
        <v>139.16666666666666</v>
      </c>
      <c r="W123" s="72">
        <f>Tabella3[[#This Row],[6-days moving avg]]*NOT(ISBLANK(Tabella3[[#This Row],[6-days moving avg]]))</f>
        <v>139.16666666666666</v>
      </c>
      <c r="X123" s="77">
        <f>Tabella8[[#This Row],[region fit]]</f>
        <v>3718.6299948500086</v>
      </c>
      <c r="Y123" s="72">
        <f>Tabella3[[#This Row],[region cumul. fit]]/Kl</f>
        <v>0.2826590530077272</v>
      </c>
      <c r="Z123" s="72">
        <f>IFERROR(Kl*psi_l*_xlfn.SECH(psi_l*(Tabella3[[#This Row],[Day]]-pl)-phi_l)^2/(1+TANH(phi_l)),0)</f>
        <v>134.75284483722771</v>
      </c>
      <c r="AA123" s="72">
        <f>Tabella3[[#This Row],[region fit]]/y_l_peak</f>
        <v>0.91522416117536143</v>
      </c>
      <c r="AB123" s="72">
        <f>Tabella3[[#This Row],[region fit]]*NOT(ISBLANK(Tabella3[[#This Row],[region data]]))</f>
        <v>134.75284483722771</v>
      </c>
      <c r="AC123" s="166">
        <f>IFERROR(kl_m*psi_l_m*_xlfn.SECH(psi_l_m*(Tabella3[[#This Row],[Day]]-pl_m)-phi_l_m)^2/(1+TANH(phi_l_m)),0)</f>
        <v>134.75284483722771</v>
      </c>
      <c r="AD123" s="72">
        <f>Tabella3[[#This Row],[6-days moving avg fit]]*NOT(ISBLANK(Tabella3[[#This Row],[6-days moving avg]]))</f>
        <v>134.75284483722771</v>
      </c>
      <c r="AE123" s="72">
        <f>Tabella3[[#This Row],[region fit]]+CIl</f>
        <v>204.1178312123281</v>
      </c>
      <c r="AF123" s="72">
        <f>MAX(Tabella3[[#This Row],[region fit]]-CIl,0)</f>
        <v>65.387858462127312</v>
      </c>
      <c r="AG123" s="10">
        <f>Tabella8[[#This Row],[rest of Italy ]]</f>
        <v>85636</v>
      </c>
      <c r="AH123" s="10">
        <f>(Tabella3[[#This Row],[rest of Italy cum. data]]-AG122)</f>
        <v>2905</v>
      </c>
      <c r="AI123" s="72">
        <f>Tabella3[[#This Row],[rest of Italy data]]*NOT(ISBLANK(Tabella3[[#This Row],[rest of Italy data]]))</f>
        <v>2905</v>
      </c>
      <c r="AJ123" s="77">
        <f>Tabella8[[#This Row],[rest of Italy fit]]</f>
        <v>85025.765544631198</v>
      </c>
      <c r="AK123" s="72">
        <f>Tabella3[[#This Row],[rest of Italy cumul. fit]]/Ka</f>
        <v>0.38326806622464732</v>
      </c>
      <c r="AL123" s="72">
        <f>IFERROR(Ka*psi_a*_xlfn.SECH(psi_a*(Tabella3[[#This Row],[Day]]-pa)-phi_a)^2/(1+TANH(phi_a)),0)</f>
        <v>2939.6540975559669</v>
      </c>
      <c r="AM123" s="72">
        <f>Tabella3[[#This Row],[rest of Italy fit]]/y_a_peak</f>
        <v>0.97357321930745744</v>
      </c>
      <c r="AN123" s="72">
        <f>Tabella3[[#This Row],[rest of Italy fit]]*NOT(ISBLANK(Tabella3[[#This Row],[rest of Italy data]]))</f>
        <v>2939.6540975559669</v>
      </c>
      <c r="AO123" s="72">
        <f>Tabella3[[#This Row],[rest of Italy fit]]+CIa</f>
        <v>4573.7880375097684</v>
      </c>
      <c r="AP123" s="72">
        <f>MAX(Tabella3[[#This Row],[rest of Italy fit]]-CIa,0)</f>
        <v>1305.5201576021655</v>
      </c>
    </row>
    <row r="124" spans="2:45" x14ac:dyDescent="0.3">
      <c r="B124" s="9">
        <v>43947</v>
      </c>
      <c r="C124" s="4">
        <v>117</v>
      </c>
      <c r="D124" s="72">
        <f>'dpc-covid19-ita-andamento-naz'!J64+'dpc-covid19-ita-andamento-naz'!K64</f>
        <v>91572</v>
      </c>
      <c r="E124" s="72">
        <f>(Tabella3[[#This Row],[Italy cumul. data]]-D123)</f>
        <v>2068</v>
      </c>
      <c r="F124" s="72">
        <f>Tabella3[[#This Row],[Italy remov. rate data]]*NOT(ISBLANK(Tabella3[[#This Row],[Italy remov. rate data]]))</f>
        <v>2068</v>
      </c>
      <c r="G124" s="77">
        <f>Tabella8[[#This Row],[Italy fit]]</f>
        <v>91799.685221234817</v>
      </c>
      <c r="H124" s="77">
        <f>Tabella3[[#This Row],[Italy cumul. fit]]/Kf</f>
        <v>0.3906369558541542</v>
      </c>
      <c r="I124" s="77">
        <f>Tabella3[[#This Row],[region fit]]+Tabella3[[#This Row],[rest of Italy fit]]</f>
        <v>3098.6660678897492</v>
      </c>
      <c r="J124" s="77">
        <f>Tabella3[[#This Row],[Italy (fit of selected region + fitted sum of the other regions)]]/(y_l_peak+y_a_peak)</f>
        <v>0.97852101885501153</v>
      </c>
      <c r="K124" s="72">
        <f>IFERROR(Kf*psi_f*_xlfn.SECH(psi_f*(Tabella3[[#This Row],[Day]]-pf)-phi_f)^2/(1+TANH(phi_f)),0)</f>
        <v>3092.5419395441886</v>
      </c>
      <c r="L124" s="292">
        <f>Tabella3[[#This Row],[Italy remov. rate fit]]-Tabella3[[#This Row],[Italy remov. rate data]]</f>
        <v>1024.5419395441886</v>
      </c>
      <c r="M124" s="293">
        <f>Tabella3[[#This Row],[rem. rate residuals]]*NOT(ISBLANK(Tabella3[[#This Row],[Italy remov. rate data]]))</f>
        <v>1024.5419395441886</v>
      </c>
      <c r="N124" s="72">
        <f>Tabella3[[#This Row],[Italy remov. rate fit]]/y_f_peak</f>
        <v>0.97896560906928709</v>
      </c>
      <c r="O124" s="72">
        <f>Tabella3[[#This Row],[Italy (fit of selected region + fitted sum of the other regions)]]*NOT(ISBLANK(Tabella3[[#This Row],[Italy remov. rate data]]))</f>
        <v>3098.6660678897492</v>
      </c>
      <c r="P124" s="72">
        <f>Tabella3[[#This Row],[Italy remov. rate fit]]*NOT(ISBLANK(Tabella3[[#This Row],[Italy remov. rate data]]))</f>
        <v>3092.5419395441886</v>
      </c>
      <c r="Q124" s="72">
        <f>Tabella3[[#This Row],[Italy remov. rate fit]]+CIf</f>
        <v>4747.7519084679398</v>
      </c>
      <c r="R124" s="72">
        <f>MAX(Tabella3[[#This Row],[Italy remov. rate fit]]-CIf,0)</f>
        <v>1437.3319706204372</v>
      </c>
      <c r="S124" s="4">
        <f>Tabella8[[#This Row],[region data]]</f>
        <v>4008</v>
      </c>
      <c r="T124" s="72">
        <f>(Tabella3[[#This Row],[region cumul. data]]-S123)</f>
        <v>140</v>
      </c>
      <c r="U124" s="72">
        <f>Tabella3[[#This Row],[region data]]*NOT(ISBLANK(Tabella3[[#This Row],[region data]]))</f>
        <v>140</v>
      </c>
      <c r="V124">
        <f t="shared" si="1"/>
        <v>126.83333333333333</v>
      </c>
      <c r="W124" s="72">
        <f>Tabella3[[#This Row],[6-days moving avg]]*NOT(ISBLANK(Tabella3[[#This Row],[6-days moving avg]]))</f>
        <v>126.83333333333333</v>
      </c>
      <c r="X124" s="77">
        <f>Tabella8[[#This Row],[region fit]]</f>
        <v>3854.1594138208616</v>
      </c>
      <c r="Y124" s="72">
        <f>Tabella3[[#This Row],[region cumul. fit]]/Kl</f>
        <v>0.29296086234988894</v>
      </c>
      <c r="Z124" s="72">
        <f>IFERROR(Kl*psi_l*_xlfn.SECH(psi_l*(Tabella3[[#This Row],[Day]]-pl)-phi_l)^2/(1+TANH(phi_l)),0)</f>
        <v>136.29203256364565</v>
      </c>
      <c r="AA124" s="72">
        <f>Tabella3[[#This Row],[region fit]]/y_l_peak</f>
        <v>0.92567812819552997</v>
      </c>
      <c r="AB124" s="72">
        <f>Tabella3[[#This Row],[region fit]]*NOT(ISBLANK(Tabella3[[#This Row],[region data]]))</f>
        <v>136.29203256364565</v>
      </c>
      <c r="AC124" s="166">
        <f>IFERROR(kl_m*psi_l_m*_xlfn.SECH(psi_l_m*(Tabella3[[#This Row],[Day]]-pl_m)-phi_l_m)^2/(1+TANH(phi_l_m)),0)</f>
        <v>136.29203256364565</v>
      </c>
      <c r="AD124" s="72">
        <f>Tabella3[[#This Row],[6-days moving avg fit]]*NOT(ISBLANK(Tabella3[[#This Row],[6-days moving avg]]))</f>
        <v>136.29203256364565</v>
      </c>
      <c r="AE124" s="72">
        <f>Tabella3[[#This Row],[region fit]]+CIl</f>
        <v>205.65701893874603</v>
      </c>
      <c r="AF124" s="72">
        <f>MAX(Tabella3[[#This Row],[region fit]]-CIl,0)</f>
        <v>66.927046188545248</v>
      </c>
      <c r="AG124" s="10">
        <f>Tabella8[[#This Row],[rest of Italy ]]</f>
        <v>87564</v>
      </c>
      <c r="AH124" s="10">
        <f>(Tabella3[[#This Row],[rest of Italy cum. data]]-AG123)</f>
        <v>1928</v>
      </c>
      <c r="AI124" s="72">
        <f>Tabella3[[#This Row],[rest of Italy data]]*NOT(ISBLANK(Tabella3[[#This Row],[rest of Italy data]]))</f>
        <v>1928</v>
      </c>
      <c r="AJ124" s="77">
        <f>Tabella8[[#This Row],[rest of Italy fit]]</f>
        <v>87977.081511443903</v>
      </c>
      <c r="AK124" s="72">
        <f>Tabella3[[#This Row],[rest of Italy cumul. fit]]/Ka</f>
        <v>0.39657162375421146</v>
      </c>
      <c r="AL124" s="72">
        <f>IFERROR(Ka*psi_a*_xlfn.SECH(psi_a*(Tabella3[[#This Row],[Day]]-pa)-phi_a)^2/(1+TANH(phi_a)),0)</f>
        <v>2962.3740353261037</v>
      </c>
      <c r="AM124" s="72">
        <f>Tabella3[[#This Row],[rest of Italy fit]]/y_a_peak</f>
        <v>0.98109775186240245</v>
      </c>
      <c r="AN124" s="72">
        <f>Tabella3[[#This Row],[rest of Italy fit]]*NOT(ISBLANK(Tabella3[[#This Row],[rest of Italy data]]))</f>
        <v>2962.3740353261037</v>
      </c>
      <c r="AO124" s="72">
        <f>Tabella3[[#This Row],[rest of Italy fit]]+CIa</f>
        <v>4596.5079752799047</v>
      </c>
      <c r="AP124" s="72">
        <f>MAX(Tabella3[[#This Row],[rest of Italy fit]]-CIa,0)</f>
        <v>1328.2400953723022</v>
      </c>
    </row>
    <row r="125" spans="2:45" x14ac:dyDescent="0.3">
      <c r="B125" s="9">
        <v>43948</v>
      </c>
      <c r="C125" s="4">
        <v>118</v>
      </c>
      <c r="D125" s="72">
        <f>'dpc-covid19-ita-andamento-naz'!J65+'dpc-covid19-ita-andamento-naz'!K65</f>
        <v>93601</v>
      </c>
      <c r="E125" s="72">
        <f>(Tabella3[[#This Row],[Italy cumul. data]]-D124)</f>
        <v>2029</v>
      </c>
      <c r="F125" s="72">
        <f>Tabella3[[#This Row],[Italy remov. rate data]]*NOT(ISBLANK(Tabella3[[#This Row],[Italy remov. rate data]]))</f>
        <v>2029</v>
      </c>
      <c r="G125" s="77">
        <f>Tabella8[[#This Row],[Italy fit]]</f>
        <v>94902.935711064769</v>
      </c>
      <c r="H125" s="77">
        <f>Tabella3[[#This Row],[Italy cumul. fit]]/Kf</f>
        <v>0.40384227700180964</v>
      </c>
      <c r="I125" s="77">
        <f>Tabella3[[#This Row],[region fit]]+Tabella3[[#This Row],[rest of Italy fit]]</f>
        <v>3119.1618481977152</v>
      </c>
      <c r="J125" s="77">
        <f>Tabella3[[#This Row],[Italy (fit of selected region + fitted sum of the other regions)]]/(y_l_peak+y_a_peak)</f>
        <v>0.98499333674592826</v>
      </c>
      <c r="K125" s="72">
        <f>IFERROR(Kf*psi_f*_xlfn.SECH(psi_f*(Tabella3[[#This Row],[Day]]-pf)-phi_f)^2/(1+TANH(phi_f)),0)</f>
        <v>3113.3339265389827</v>
      </c>
      <c r="L125" s="292">
        <f>Tabella3[[#This Row],[Italy remov. rate fit]]-Tabella3[[#This Row],[Italy remov. rate data]]</f>
        <v>1084.3339265389827</v>
      </c>
      <c r="M125" s="293">
        <f>Tabella3[[#This Row],[rem. rate residuals]]*NOT(ISBLANK(Tabella3[[#This Row],[Italy remov. rate data]]))</f>
        <v>1084.3339265389827</v>
      </c>
      <c r="N125" s="72">
        <f>Tabella3[[#This Row],[Italy remov. rate fit]]/y_f_peak</f>
        <v>0.98554745682108169</v>
      </c>
      <c r="O125" s="72">
        <f>Tabella3[[#This Row],[Italy (fit of selected region + fitted sum of the other regions)]]*NOT(ISBLANK(Tabella3[[#This Row],[Italy remov. rate data]]))</f>
        <v>3119.1618481977152</v>
      </c>
      <c r="P125" s="72">
        <f>Tabella3[[#This Row],[Italy remov. rate fit]]*NOT(ISBLANK(Tabella3[[#This Row],[Italy remov. rate data]]))</f>
        <v>3113.3339265389827</v>
      </c>
      <c r="Q125" s="72">
        <f>Tabella3[[#This Row],[Italy remov. rate fit]]+CIf</f>
        <v>4768.5438954627343</v>
      </c>
      <c r="R125" s="72">
        <f>MAX(Tabella3[[#This Row],[Italy remov. rate fit]]-CIf,0)</f>
        <v>1458.1239576152313</v>
      </c>
      <c r="S125" s="4">
        <f>Tabella8[[#This Row],[region data]]</f>
        <v>4062</v>
      </c>
      <c r="T125" s="72">
        <f>(Tabella3[[#This Row],[region cumul. data]]-S124)</f>
        <v>54</v>
      </c>
      <c r="U125" s="72">
        <f>Tabella3[[#This Row],[region data]]*NOT(ISBLANK(Tabella3[[#This Row],[region data]]))</f>
        <v>54</v>
      </c>
      <c r="V125">
        <f t="shared" si="1"/>
        <v>126.5</v>
      </c>
      <c r="W125" s="72">
        <f>Tabella3[[#This Row],[6-days moving avg]]*NOT(ISBLANK(Tabella3[[#This Row],[6-days moving avg]]))</f>
        <v>126.5</v>
      </c>
      <c r="X125" s="77">
        <f>Tabella8[[#This Row],[region fit]]</f>
        <v>3991.1854137672908</v>
      </c>
      <c r="Y125" s="72">
        <f>Tabella3[[#This Row],[region cumul. fit]]/Kl</f>
        <v>0.30337642922154184</v>
      </c>
      <c r="Z125" s="72">
        <f>IFERROR(Kl*psi_l*_xlfn.SECH(psi_l*(Tabella3[[#This Row],[Day]]-pl)-phi_l)^2/(1+TANH(phi_l)),0)</f>
        <v>137.74528745252306</v>
      </c>
      <c r="AA125" s="72">
        <f>Tabella3[[#This Row],[region fit]]/y_l_peak</f>
        <v>0.93554845032678768</v>
      </c>
      <c r="AB125" s="72">
        <f>Tabella3[[#This Row],[region fit]]*NOT(ISBLANK(Tabella3[[#This Row],[region data]]))</f>
        <v>137.74528745252306</v>
      </c>
      <c r="AC125" s="166">
        <f>IFERROR(kl_m*psi_l_m*_xlfn.SECH(psi_l_m*(Tabella3[[#This Row],[Day]]-pl_m)-phi_l_m)^2/(1+TANH(phi_l_m)),0)</f>
        <v>137.74528745252306</v>
      </c>
      <c r="AD125" s="72">
        <f>Tabella3[[#This Row],[6-days moving avg fit]]*NOT(ISBLANK(Tabella3[[#This Row],[6-days moving avg]]))</f>
        <v>137.74528745252306</v>
      </c>
      <c r="AE125" s="72">
        <f>Tabella3[[#This Row],[region fit]]+CIl</f>
        <v>207.11027382762347</v>
      </c>
      <c r="AF125" s="72">
        <f>MAX(Tabella3[[#This Row],[region fit]]-CIl,0)</f>
        <v>68.380301077422658</v>
      </c>
      <c r="AG125" s="10">
        <f>Tabella8[[#This Row],[rest of Italy ]]</f>
        <v>89539</v>
      </c>
      <c r="AH125" s="10">
        <f>(Tabella3[[#This Row],[rest of Italy cum. data]]-AG124)</f>
        <v>1975</v>
      </c>
      <c r="AI125" s="72">
        <f>Tabella3[[#This Row],[rest of Italy data]]*NOT(ISBLANK(Tabella3[[#This Row],[rest of Italy data]]))</f>
        <v>1975</v>
      </c>
      <c r="AJ125" s="77">
        <f>Tabella8[[#This Row],[rest of Italy fit]]</f>
        <v>90949.287614805173</v>
      </c>
      <c r="AK125" s="72">
        <f>Tabella3[[#This Row],[rest of Italy cumul. fit]]/Ka</f>
        <v>0.40996934711911792</v>
      </c>
      <c r="AL125" s="72">
        <f>IFERROR(Ka*psi_a*_xlfn.SECH(psi_a*(Tabella3[[#This Row],[Day]]-pa)-phi_a)^2/(1+TANH(phi_a)),0)</f>
        <v>2981.4165607451923</v>
      </c>
      <c r="AM125" s="72">
        <f>Tabella3[[#This Row],[rest of Italy fit]]/y_a_peak</f>
        <v>0.98740437575785323</v>
      </c>
      <c r="AN125" s="72">
        <f>Tabella3[[#This Row],[rest of Italy fit]]*NOT(ISBLANK(Tabella3[[#This Row],[rest of Italy data]]))</f>
        <v>2981.4165607451923</v>
      </c>
      <c r="AO125" s="72">
        <f>Tabella3[[#This Row],[rest of Italy fit]]+CIa</f>
        <v>4615.5505006989933</v>
      </c>
      <c r="AP125" s="72">
        <f>MAX(Tabella3[[#This Row],[rest of Italy fit]]-CIa,0)</f>
        <v>1347.2826207913909</v>
      </c>
    </row>
    <row r="126" spans="2:45" x14ac:dyDescent="0.3">
      <c r="B126" s="9">
        <v>43949</v>
      </c>
      <c r="C126" s="4">
        <v>119</v>
      </c>
      <c r="D126" s="72">
        <f>'dpc-covid19-ita-andamento-naz'!J66+'dpc-covid19-ita-andamento-naz'!K66</f>
        <v>96300</v>
      </c>
      <c r="E126" s="72">
        <f>(Tabella3[[#This Row],[Italy cumul. data]]-D125)</f>
        <v>2699</v>
      </c>
      <c r="F126" s="72">
        <f>Tabella3[[#This Row],[Italy remov. rate data]]*NOT(ISBLANK(Tabella3[[#This Row],[Italy remov. rate data]]))</f>
        <v>2699</v>
      </c>
      <c r="G126" s="77">
        <f>Tabella8[[#This Row],[Italy fit]]</f>
        <v>98025.086518036347</v>
      </c>
      <c r="H126" s="77">
        <f>Tabella3[[#This Row],[Italy cumul. fit]]/Kf</f>
        <v>0.41712802503039709</v>
      </c>
      <c r="I126" s="77">
        <f>Tabella3[[#This Row],[region fit]]+Tabella3[[#This Row],[rest of Italy fit]]</f>
        <v>3135.7922361009523</v>
      </c>
      <c r="J126" s="77">
        <f>Tabella3[[#This Row],[Italy (fit of selected region + fitted sum of the other regions)]]/(y_l_peak+y_a_peak)</f>
        <v>0.99024501077549276</v>
      </c>
      <c r="K126" s="72">
        <f>IFERROR(Kf*psi_f*_xlfn.SECH(psi_f*(Tabella3[[#This Row],[Day]]-pf)-phi_f)^2/(1+TANH(phi_f)),0)</f>
        <v>3130.3268481585264</v>
      </c>
      <c r="L126" s="292">
        <f>Tabella3[[#This Row],[Italy remov. rate fit]]-Tabella3[[#This Row],[Italy remov. rate data]]</f>
        <v>431.32684815852645</v>
      </c>
      <c r="M126" s="293">
        <f>Tabella3[[#This Row],[rem. rate residuals]]*NOT(ISBLANK(Tabella3[[#This Row],[Italy remov. rate data]]))</f>
        <v>431.32684815852645</v>
      </c>
      <c r="N126" s="72">
        <f>Tabella3[[#This Row],[Italy remov. rate fit]]/y_f_peak</f>
        <v>0.99092668406790607</v>
      </c>
      <c r="O126" s="72">
        <f>Tabella3[[#This Row],[Italy (fit of selected region + fitted sum of the other regions)]]*NOT(ISBLANK(Tabella3[[#This Row],[Italy remov. rate data]]))</f>
        <v>3135.7922361009523</v>
      </c>
      <c r="P126" s="72">
        <f>Tabella3[[#This Row],[Italy remov. rate fit]]*NOT(ISBLANK(Tabella3[[#This Row],[Italy remov. rate data]]))</f>
        <v>3130.3268481585264</v>
      </c>
      <c r="Q126" s="72">
        <f>Tabella3[[#This Row],[Italy remov. rate fit]]+CIf</f>
        <v>4785.5368170822776</v>
      </c>
      <c r="R126" s="72">
        <f>MAX(Tabella3[[#This Row],[Italy remov. rate fit]]-CIf,0)</f>
        <v>1475.1168792347751</v>
      </c>
      <c r="S126" s="4">
        <f>Tabella8[[#This Row],[region data]]</f>
        <v>4201</v>
      </c>
      <c r="T126" s="72">
        <f>(Tabella3[[#This Row],[region cumul. data]]-S125)</f>
        <v>139</v>
      </c>
      <c r="U126" s="72">
        <f>Tabella3[[#This Row],[region data]]*NOT(ISBLANK(Tabella3[[#This Row],[region data]]))</f>
        <v>139</v>
      </c>
      <c r="V126">
        <f t="shared" si="1"/>
        <v>121.66666666666667</v>
      </c>
      <c r="W126" s="72">
        <f>Tabella3[[#This Row],[6-days moving avg]]*NOT(ISBLANK(Tabella3[[#This Row],[6-days moving avg]]))</f>
        <v>121.66666666666667</v>
      </c>
      <c r="X126" s="77">
        <f>Tabella8[[#This Row],[region fit]]</f>
        <v>4129.6199340608719</v>
      </c>
      <c r="Y126" s="72">
        <f>Tabella3[[#This Row],[region cumul. fit]]/Kl</f>
        <v>0.31389905999253925</v>
      </c>
      <c r="Z126" s="72">
        <f>IFERROR(Kl*psi_l*_xlfn.SECH(psi_l*(Tabella3[[#This Row],[Day]]-pl)-phi_l)^2/(1+TANH(phi_l)),0)</f>
        <v>139.10838497137388</v>
      </c>
      <c r="AA126" s="72">
        <f>Tabella3[[#This Row],[region fit]]/y_l_peak</f>
        <v>0.94480643508248918</v>
      </c>
      <c r="AB126" s="72">
        <f>Tabella3[[#This Row],[region fit]]*NOT(ISBLANK(Tabella3[[#This Row],[region data]]))</f>
        <v>139.10838497137388</v>
      </c>
      <c r="AC126" s="166">
        <f>IFERROR(kl_m*psi_l_m*_xlfn.SECH(psi_l_m*(Tabella3[[#This Row],[Day]]-pl_m)-phi_l_m)^2/(1+TANH(phi_l_m)),0)</f>
        <v>139.10838497137388</v>
      </c>
      <c r="AD126" s="72">
        <f>Tabella3[[#This Row],[6-days moving avg fit]]*NOT(ISBLANK(Tabella3[[#This Row],[6-days moving avg]]))</f>
        <v>139.10838497137388</v>
      </c>
      <c r="AE126" s="72">
        <f>Tabella3[[#This Row],[region fit]]+CIl</f>
        <v>208.47337134647427</v>
      </c>
      <c r="AF126" s="72">
        <f>MAX(Tabella3[[#This Row],[region fit]]-CIl,0)</f>
        <v>69.743398596273479</v>
      </c>
      <c r="AG126" s="10">
        <f>Tabella8[[#This Row],[rest of Italy ]]</f>
        <v>92099</v>
      </c>
      <c r="AH126" s="10">
        <f>(Tabella3[[#This Row],[rest of Italy cum. data]]-AG125)</f>
        <v>2560</v>
      </c>
      <c r="AI126" s="72">
        <f>Tabella3[[#This Row],[rest of Italy data]]*NOT(ISBLANK(Tabella3[[#This Row],[rest of Italy data]]))</f>
        <v>2560</v>
      </c>
      <c r="AJ126" s="77">
        <f>Tabella8[[#This Row],[rest of Italy fit]]</f>
        <v>93938.65601312129</v>
      </c>
      <c r="AK126" s="72">
        <f>Tabella3[[#This Row],[rest of Italy cumul. fit]]/Ka</f>
        <v>0.42344443244080526</v>
      </c>
      <c r="AL126" s="72">
        <f>IFERROR(Ka*psi_a*_xlfn.SECH(psi_a*(Tabella3[[#This Row],[Day]]-pa)-phi_a)^2/(1+TANH(phi_a)),0)</f>
        <v>2996.6838511295782</v>
      </c>
      <c r="AM126" s="72">
        <f>Tabella3[[#This Row],[rest of Italy fit]]/y_a_peak</f>
        <v>0.99246069345930865</v>
      </c>
      <c r="AN126" s="72">
        <f>Tabella3[[#This Row],[rest of Italy fit]]*NOT(ISBLANK(Tabella3[[#This Row],[rest of Italy data]]))</f>
        <v>2996.6838511295782</v>
      </c>
      <c r="AO126" s="72">
        <f>Tabella3[[#This Row],[rest of Italy fit]]+CIa</f>
        <v>4630.8177910833801</v>
      </c>
      <c r="AP126" s="72">
        <f>MAX(Tabella3[[#This Row],[rest of Italy fit]]-CIa,0)</f>
        <v>1362.5499111757767</v>
      </c>
    </row>
    <row r="127" spans="2:45" x14ac:dyDescent="0.3">
      <c r="B127" s="9">
        <v>43950</v>
      </c>
      <c r="C127" s="4">
        <v>120</v>
      </c>
      <c r="D127" s="72">
        <f>'dpc-covid19-ita-andamento-naz'!J67+'dpc-covid19-ita-andamento-naz'!K67</f>
        <v>98934</v>
      </c>
      <c r="E127" s="72">
        <f>(Tabella3[[#This Row],[Italy cumul. data]]-D126)</f>
        <v>2634</v>
      </c>
      <c r="F127" s="72">
        <f>Tabella3[[#This Row],[Italy remov. rate data]]*NOT(ISBLANK(Tabella3[[#This Row],[Italy remov. rate data]]))</f>
        <v>2634</v>
      </c>
      <c r="G127" s="77">
        <f>Tabella8[[#This Row],[Italy fit]]</f>
        <v>101162.29446410119</v>
      </c>
      <c r="H127" s="77">
        <f>Tabella3[[#This Row],[Italy cumul. fit]]/Kf</f>
        <v>0.43047784599088063</v>
      </c>
      <c r="I127" s="77">
        <f>Tabella3[[#This Row],[region fit]]+Tabella3[[#This Row],[rest of Italy fit]]</f>
        <v>3148.4740929824702</v>
      </c>
      <c r="J127" s="77">
        <f>Tabella3[[#This Row],[Italy (fit of selected region + fitted sum of the other regions)]]/(y_l_peak+y_a_peak)</f>
        <v>0.9942497867806489</v>
      </c>
      <c r="K127" s="72">
        <f>IFERROR(Kf*psi_f*_xlfn.SECH(psi_f*(Tabella3[[#This Row],[Day]]-pf)-phi_f)^2/(1+TANH(phi_f)),0)</f>
        <v>3143.4355734339365</v>
      </c>
      <c r="L127" s="292">
        <f>Tabella3[[#This Row],[Italy remov. rate fit]]-Tabella3[[#This Row],[Italy remov. rate data]]</f>
        <v>509.4355734339365</v>
      </c>
      <c r="M127" s="293">
        <f>Tabella3[[#This Row],[rem. rate residuals]]*NOT(ISBLANK(Tabella3[[#This Row],[Italy remov. rate data]]))</f>
        <v>509.4355734339365</v>
      </c>
      <c r="N127" s="72">
        <f>Tabella3[[#This Row],[Italy remov. rate fit]]/y_f_peak</f>
        <v>0.99507634201086514</v>
      </c>
      <c r="O127" s="72">
        <f>Tabella3[[#This Row],[Italy (fit of selected region + fitted sum of the other regions)]]*NOT(ISBLANK(Tabella3[[#This Row],[Italy remov. rate data]]))</f>
        <v>3148.4740929824702</v>
      </c>
      <c r="P127" s="72">
        <f>Tabella3[[#This Row],[Italy remov. rate fit]]*NOT(ISBLANK(Tabella3[[#This Row],[Italy remov. rate data]]))</f>
        <v>3143.4355734339365</v>
      </c>
      <c r="Q127" s="72">
        <f>Tabella3[[#This Row],[Italy remov. rate fit]]+CIf</f>
        <v>4798.6455423576881</v>
      </c>
      <c r="R127" s="72">
        <f>MAX(Tabella3[[#This Row],[Italy remov. rate fit]]-CIf,0)</f>
        <v>1488.2256045101851</v>
      </c>
      <c r="S127" s="4">
        <f>Tabella8[[#This Row],[region data]]</f>
        <v>4313</v>
      </c>
      <c r="T127" s="72">
        <f>(Tabella3[[#This Row],[region cumul. data]]-S126)</f>
        <v>112</v>
      </c>
      <c r="U127" s="72">
        <f>Tabella3[[#This Row],[region data]]*NOT(ISBLANK(Tabella3[[#This Row],[region data]]))</f>
        <v>112</v>
      </c>
      <c r="V127">
        <f t="shared" si="1"/>
        <v>117.66666666666667</v>
      </c>
      <c r="W127" s="72">
        <f>Tabella3[[#This Row],[6-days moving avg]]*NOT(ISBLANK(Tabella3[[#This Row],[6-days moving avg]]))</f>
        <v>117.66666666666667</v>
      </c>
      <c r="X127" s="77">
        <f>Tabella8[[#This Row],[region fit]]</f>
        <v>4269.3707868230831</v>
      </c>
      <c r="Y127" s="72">
        <f>Tabella3[[#This Row],[region cumul. fit]]/Kl</f>
        <v>0.32452174731380967</v>
      </c>
      <c r="Z127" s="72">
        <f>IFERROR(Kl*psi_l*_xlfn.SECH(psi_l*(Tabella3[[#This Row],[Day]]-pl)-phi_l)^2/(1+TANH(phi_l)),0)</f>
        <v>140.37729926636987</v>
      </c>
      <c r="AA127" s="72">
        <f>Tabella3[[#This Row],[region fit]]/y_l_peak</f>
        <v>0.95342473937613104</v>
      </c>
      <c r="AB127" s="72">
        <f>Tabella3[[#This Row],[region fit]]*NOT(ISBLANK(Tabella3[[#This Row],[region data]]))</f>
        <v>140.37729926636987</v>
      </c>
      <c r="AC127" s="166">
        <f>IFERROR(kl_m*psi_l_m*_xlfn.SECH(psi_l_m*(Tabella3[[#This Row],[Day]]-pl_m)-phi_l_m)^2/(1+TANH(phi_l_m)),0)</f>
        <v>140.37729926636987</v>
      </c>
      <c r="AD127" s="72">
        <f>Tabella3[[#This Row],[6-days moving avg fit]]*NOT(ISBLANK(Tabella3[[#This Row],[6-days moving avg]]))</f>
        <v>140.37729926636987</v>
      </c>
      <c r="AE127" s="72">
        <f>Tabella3[[#This Row],[region fit]]+CIl</f>
        <v>209.74228564147029</v>
      </c>
      <c r="AF127" s="72">
        <f>MAX(Tabella3[[#This Row],[region fit]]-CIl,0)</f>
        <v>71.012312891269474</v>
      </c>
      <c r="AG127" s="10">
        <f>Tabella8[[#This Row],[rest of Italy ]]</f>
        <v>94621</v>
      </c>
      <c r="AH127" s="10">
        <f>(Tabella3[[#This Row],[rest of Italy cum. data]]-AG126)</f>
        <v>2522</v>
      </c>
      <c r="AI127" s="72">
        <f>Tabella3[[#This Row],[rest of Italy data]]*NOT(ISBLANK(Tabella3[[#This Row],[rest of Italy data]]))</f>
        <v>2522</v>
      </c>
      <c r="AJ127" s="77">
        <f>Tabella8[[#This Row],[rest of Italy fit]]</f>
        <v>96941.370316694665</v>
      </c>
      <c r="AK127" s="72">
        <f>Tabella3[[#This Row],[rest of Italy cumul. fit]]/Ka</f>
        <v>0.43697967669510795</v>
      </c>
      <c r="AL127" s="72">
        <f>IFERROR(Ka*psi_a*_xlfn.SECH(psi_a*(Tabella3[[#This Row],[Day]]-pa)-phi_a)^2/(1+TANH(phi_a)),0)</f>
        <v>3008.0967937161004</v>
      </c>
      <c r="AM127" s="72">
        <f>Tabella3[[#This Row],[rest of Italy fit]]/y_a_peak</f>
        <v>0.99624050390196228</v>
      </c>
      <c r="AN127" s="72">
        <f>Tabella3[[#This Row],[rest of Italy fit]]*NOT(ISBLANK(Tabella3[[#This Row],[rest of Italy data]]))</f>
        <v>3008.0967937161004</v>
      </c>
      <c r="AO127" s="72">
        <f>Tabella3[[#This Row],[rest of Italy fit]]+CIa</f>
        <v>4642.2307336699014</v>
      </c>
      <c r="AP127" s="72">
        <f>MAX(Tabella3[[#This Row],[rest of Italy fit]]-CIa,0)</f>
        <v>1373.9628537622989</v>
      </c>
    </row>
    <row r="128" spans="2:45" x14ac:dyDescent="0.3">
      <c r="B128" s="9">
        <v>43951</v>
      </c>
      <c r="C128" s="4">
        <v>121</v>
      </c>
      <c r="D128" s="72">
        <f>'dpc-covid19-ita-andamento-naz'!J68+'dpc-covid19-ita-andamento-naz'!K68</f>
        <v>103912</v>
      </c>
      <c r="E128" s="72">
        <f>(Tabella3[[#This Row],[Italy cumul. data]]-D127)</f>
        <v>4978</v>
      </c>
      <c r="F128" s="72">
        <f>Tabella3[[#This Row],[Italy remov. rate data]]*NOT(ISBLANK(Tabella3[[#This Row],[Italy remov. rate data]]))</f>
        <v>4978</v>
      </c>
      <c r="G128" s="77">
        <f>Tabella8[[#This Row],[Italy fit]]</f>
        <v>104310.64066404921</v>
      </c>
      <c r="H128" s="77">
        <f>Tabella3[[#This Row],[Italy cumul. fit]]/Kf</f>
        <v>0.44387506377609148</v>
      </c>
      <c r="I128" s="77">
        <f>Tabella3[[#This Row],[region fit]]+Tabella3[[#This Row],[rest of Italy fit]]</f>
        <v>3157.1440784359847</v>
      </c>
      <c r="J128" s="77">
        <f>Tabella3[[#This Row],[Italy (fit of selected region + fitted sum of the other regions)]]/(y_l_peak+y_a_peak)</f>
        <v>0.99698766263224359</v>
      </c>
      <c r="K128" s="72">
        <f>IFERROR(Kf*psi_f*_xlfn.SECH(psi_f*(Tabella3[[#This Row],[Day]]-pf)-phi_f)^2/(1+TANH(phi_f)),0)</f>
        <v>3152.5939532188831</v>
      </c>
      <c r="L128" s="292">
        <f>Tabella3[[#This Row],[Italy remov. rate fit]]-Tabella3[[#This Row],[Italy remov. rate data]]</f>
        <v>-1825.4060467811169</v>
      </c>
      <c r="M128" s="293">
        <f>Tabella3[[#This Row],[rem. rate residuals]]*NOT(ISBLANK(Tabella3[[#This Row],[Italy remov. rate data]]))</f>
        <v>-1825.4060467811169</v>
      </c>
      <c r="N128" s="72">
        <f>Tabella3[[#This Row],[Italy remov. rate fit]]/y_f_peak</f>
        <v>0.99797549067870173</v>
      </c>
      <c r="O128" s="72">
        <f>Tabella3[[#This Row],[Italy (fit of selected region + fitted sum of the other regions)]]*NOT(ISBLANK(Tabella3[[#This Row],[Italy remov. rate data]]))</f>
        <v>3157.1440784359847</v>
      </c>
      <c r="P128" s="72">
        <f>Tabella3[[#This Row],[Italy remov. rate fit]]*NOT(ISBLANK(Tabella3[[#This Row],[Italy remov. rate data]]))</f>
        <v>3152.5939532188831</v>
      </c>
      <c r="Q128" s="72">
        <f>Tabella3[[#This Row],[Italy remov. rate fit]]+CIf</f>
        <v>4807.8039221426343</v>
      </c>
      <c r="R128" s="72">
        <f>MAX(Tabella3[[#This Row],[Italy remov. rate fit]]-CIf,0)</f>
        <v>1497.3839842951318</v>
      </c>
      <c r="S128" s="4">
        <f>Tabella8[[#This Row],[region data]]</f>
        <v>4442</v>
      </c>
      <c r="T128" s="72">
        <f>(Tabella3[[#This Row],[region cumul. data]]-S127)</f>
        <v>129</v>
      </c>
      <c r="U128" s="72">
        <f>Tabella3[[#This Row],[region data]]*NOT(ISBLANK(Tabella3[[#This Row],[region data]]))</f>
        <v>129</v>
      </c>
      <c r="V128">
        <f t="shared" si="1"/>
        <v>123.33333333333333</v>
      </c>
      <c r="W128" s="72">
        <f>Tabella3[[#This Row],[6-days moving avg]]*NOT(ISBLANK(Tabella3[[#This Row],[6-days moving avg]]))</f>
        <v>123.33333333333333</v>
      </c>
      <c r="X128" s="77">
        <f>Tabella8[[#This Row],[region fit]]</f>
        <v>4410.3418678302087</v>
      </c>
      <c r="Y128" s="72">
        <f>Tabella3[[#This Row],[region cumul. fit]]/Kl</f>
        <v>0.33523718614857789</v>
      </c>
      <c r="Z128" s="72">
        <f>IFERROR(Kl*psi_l*_xlfn.SECH(psi_l*(Tabella3[[#This Row],[Day]]-pl)-phi_l)^2/(1+TANH(phi_l)),0)</f>
        <v>141.54822749136687</v>
      </c>
      <c r="AA128" s="72">
        <f>Tabella3[[#This Row],[region fit]]/y_l_peak</f>
        <v>0.96137753476099974</v>
      </c>
      <c r="AB128" s="72">
        <f>Tabella3[[#This Row],[region fit]]*NOT(ISBLANK(Tabella3[[#This Row],[region data]]))</f>
        <v>141.54822749136687</v>
      </c>
      <c r="AC128" s="166">
        <f>IFERROR(kl_m*psi_l_m*_xlfn.SECH(psi_l_m*(Tabella3[[#This Row],[Day]]-pl_m)-phi_l_m)^2/(1+TANH(phi_l_m)),0)</f>
        <v>141.54822749136687</v>
      </c>
      <c r="AD128" s="72">
        <f>Tabella3[[#This Row],[6-days moving avg fit]]*NOT(ISBLANK(Tabella3[[#This Row],[6-days moving avg]]))</f>
        <v>141.54822749136687</v>
      </c>
      <c r="AE128" s="72">
        <f>Tabella3[[#This Row],[region fit]]+CIl</f>
        <v>210.91321386646729</v>
      </c>
      <c r="AF128" s="72">
        <f>MAX(Tabella3[[#This Row],[region fit]]-CIl,0)</f>
        <v>72.183241116266473</v>
      </c>
      <c r="AG128" s="10">
        <f>Tabella8[[#This Row],[rest of Italy ]]</f>
        <v>99470</v>
      </c>
      <c r="AH128" s="10">
        <f>(Tabella3[[#This Row],[rest of Italy cum. data]]-AG127)</f>
        <v>4849</v>
      </c>
      <c r="AI128" s="72">
        <f>Tabella3[[#This Row],[rest of Italy data]]*NOT(ISBLANK(Tabella3[[#This Row],[rest of Italy data]]))</f>
        <v>4849</v>
      </c>
      <c r="AJ128" s="77">
        <f>Tabella8[[#This Row],[rest of Italy fit]]</f>
        <v>99953.544747012449</v>
      </c>
      <c r="AK128" s="72">
        <f>Tabella3[[#This Row],[rest of Italy cumul. fit]]/Ka</f>
        <v>0.45055756407600112</v>
      </c>
      <c r="AL128" s="72">
        <f>IFERROR(Ka*psi_a*_xlfn.SECH(psi_a*(Tabella3[[#This Row],[Day]]-pa)-phi_a)^2/(1+TANH(phi_a)),0)</f>
        <v>3015.5958509446177</v>
      </c>
      <c r="AM128" s="72">
        <f>Tabella3[[#This Row],[rest of Italy fit]]/y_a_peak</f>
        <v>0.99872408906043675</v>
      </c>
      <c r="AN128" s="72">
        <f>Tabella3[[#This Row],[rest of Italy fit]]*NOT(ISBLANK(Tabella3[[#This Row],[rest of Italy data]]))</f>
        <v>3015.5958509446177</v>
      </c>
      <c r="AO128" s="72">
        <f>Tabella3[[#This Row],[rest of Italy fit]]+CIa</f>
        <v>4649.7297908984192</v>
      </c>
      <c r="AP128" s="72">
        <f>MAX(Tabella3[[#This Row],[rest of Italy fit]]-CIa,0)</f>
        <v>1381.4619109908162</v>
      </c>
    </row>
    <row r="129" spans="2:73" x14ac:dyDescent="0.3">
      <c r="B129" s="9">
        <v>43952</v>
      </c>
      <c r="C129" s="4">
        <v>122</v>
      </c>
      <c r="D129" s="72">
        <f>'dpc-covid19-ita-andamento-naz'!J69+'dpc-covid19-ita-andamento-naz'!K69</f>
        <v>106485</v>
      </c>
      <c r="E129" s="72">
        <f>(Tabella3[[#This Row],[Italy cumul. data]]-D128)</f>
        <v>2573</v>
      </c>
      <c r="F129" s="72">
        <f>Tabella3[[#This Row],[Italy remov. rate data]]*NOT(ISBLANK(Tabella3[[#This Row],[Italy remov. rate data]]))</f>
        <v>2573</v>
      </c>
      <c r="G129" s="77">
        <f>Tabella8[[#This Row],[Italy fit]]</f>
        <v>107466.14987693875</v>
      </c>
      <c r="H129" s="77">
        <f>Tabella3[[#This Row],[Italy cumul. fit]]/Kf</f>
        <v>0.45730276246723883</v>
      </c>
      <c r="I129" s="77">
        <f>Tabella3[[#This Row],[region fit]]+Tabella3[[#This Row],[rest of Italy fit]]</f>
        <v>3161.7593308743458</v>
      </c>
      <c r="J129" s="77">
        <f>Tabella3[[#This Row],[Italy (fit of selected region + fitted sum of the other regions)]]/(y_l_peak+y_a_peak)</f>
        <v>0.99844510316288249</v>
      </c>
      <c r="K129" s="72">
        <f>IFERROR(Kf*psi_f*_xlfn.SECH(psi_f*(Tabella3[[#This Row],[Day]]-pf)-phi_f)^2/(1+TANH(phi_f)),0)</f>
        <v>3157.755525957964</v>
      </c>
      <c r="L129" s="292">
        <f>Tabella3[[#This Row],[Italy remov. rate fit]]-Tabella3[[#This Row],[Italy remov. rate data]]</f>
        <v>584.75552595796398</v>
      </c>
      <c r="M129" s="293">
        <f>Tabella3[[#This Row],[rem. rate residuals]]*NOT(ISBLANK(Tabella3[[#This Row],[Italy remov. rate data]]))</f>
        <v>584.75552595796398</v>
      </c>
      <c r="N129" s="72">
        <f>Tabella3[[#This Row],[Italy remov. rate fit]]/y_f_peak</f>
        <v>0.99960942234367189</v>
      </c>
      <c r="O129" s="72">
        <f>Tabella3[[#This Row],[Italy (fit of selected region + fitted sum of the other regions)]]*NOT(ISBLANK(Tabella3[[#This Row],[Italy remov. rate data]]))</f>
        <v>3161.7593308743458</v>
      </c>
      <c r="P129" s="72">
        <f>Tabella3[[#This Row],[Italy remov. rate fit]]*NOT(ISBLANK(Tabella3[[#This Row],[Italy remov. rate data]]))</f>
        <v>3157.755525957964</v>
      </c>
      <c r="Q129" s="72">
        <f>Tabella3[[#This Row],[Italy remov. rate fit]]+CIf</f>
        <v>4812.9654948817151</v>
      </c>
      <c r="R129" s="72">
        <f>MAX(Tabella3[[#This Row],[Italy remov. rate fit]]-CIf,0)</f>
        <v>1502.5455570342126</v>
      </c>
      <c r="S129" s="4">
        <f>Tabella8[[#This Row],[region data]]</f>
        <v>4608</v>
      </c>
      <c r="T129" s="72">
        <f>(Tabella3[[#This Row],[region cumul. data]]-S128)</f>
        <v>166</v>
      </c>
      <c r="U129" s="72">
        <f>Tabella3[[#This Row],[region data]]*NOT(ISBLANK(Tabella3[[#This Row],[region data]]))</f>
        <v>166</v>
      </c>
      <c r="V129">
        <f t="shared" si="1"/>
        <v>117.66666666666667</v>
      </c>
      <c r="W129" s="72">
        <f>Tabella3[[#This Row],[6-days moving avg]]*NOT(ISBLANK(Tabella3[[#This Row],[6-days moving avg]]))</f>
        <v>117.66666666666667</v>
      </c>
      <c r="X129" s="77">
        <f>Tabella8[[#This Row],[region fit]]</f>
        <v>4552.4333913365735</v>
      </c>
      <c r="Y129" s="72">
        <f>Tabella3[[#This Row],[region cumul. fit]]/Kl</f>
        <v>0.34603779162165726</v>
      </c>
      <c r="Z129" s="72">
        <f>IFERROR(Kl*psi_l*_xlfn.SECH(psi_l*(Tabella3[[#This Row],[Day]]-pl)-phi_l)^2/(1+TANH(phi_l)),0)</f>
        <v>142.61761327531147</v>
      </c>
      <c r="AA129" s="72">
        <f>Tabella3[[#This Row],[region fit]]/y_l_peak</f>
        <v>0.96864066681780925</v>
      </c>
      <c r="AB129" s="72">
        <f>Tabella3[[#This Row],[region fit]]*NOT(ISBLANK(Tabella3[[#This Row],[region data]]))</f>
        <v>142.61761327531147</v>
      </c>
      <c r="AC129" s="166">
        <f>IFERROR(kl_m*psi_l_m*_xlfn.SECH(psi_l_m*(Tabella3[[#This Row],[Day]]-pl_m)-phi_l_m)^2/(1+TANH(phi_l_m)),0)</f>
        <v>142.61761327531147</v>
      </c>
      <c r="AD129" s="72">
        <f>Tabella3[[#This Row],[6-days moving avg fit]]*NOT(ISBLANK(Tabella3[[#This Row],[6-days moving avg]]))</f>
        <v>142.61761327531147</v>
      </c>
      <c r="AE129" s="72">
        <f>Tabella3[[#This Row],[region fit]]+CIl</f>
        <v>211.98259965041188</v>
      </c>
      <c r="AF129" s="72">
        <f>MAX(Tabella3[[#This Row],[region fit]]-CIl,0)</f>
        <v>73.252626900211069</v>
      </c>
      <c r="AG129" s="10">
        <f>Tabella8[[#This Row],[rest of Italy ]]</f>
        <v>101877</v>
      </c>
      <c r="AH129" s="10">
        <f>(Tabella3[[#This Row],[rest of Italy cum. data]]-AG128)</f>
        <v>2407</v>
      </c>
      <c r="AI129" s="72">
        <f>Tabella3[[#This Row],[rest of Italy data]]*NOT(ISBLANK(Tabella3[[#This Row],[rest of Italy data]]))</f>
        <v>2407</v>
      </c>
      <c r="AJ129" s="77">
        <f>Tabella8[[#This Row],[rest of Italy fit]]</f>
        <v>102971.24405844191</v>
      </c>
      <c r="AK129" s="72">
        <f>Tabella3[[#This Row],[rest of Italy cumul. fit]]/Ka</f>
        <v>0.46416035579602283</v>
      </c>
      <c r="AL129" s="72">
        <f>IFERROR(Ka*psi_a*_xlfn.SECH(psi_a*(Tabella3[[#This Row],[Day]]-pa)-phi_a)^2/(1+TANH(phi_a)),0)</f>
        <v>3019.1417175990341</v>
      </c>
      <c r="AM129" s="72">
        <f>Tabella3[[#This Row],[rest of Italy fit]]/y_a_peak</f>
        <v>0.99989843158490077</v>
      </c>
      <c r="AN129" s="72">
        <f>Tabella3[[#This Row],[rest of Italy fit]]*NOT(ISBLANK(Tabella3[[#This Row],[rest of Italy data]]))</f>
        <v>3019.1417175990341</v>
      </c>
      <c r="AO129" s="72">
        <f>Tabella3[[#This Row],[rest of Italy fit]]+CIa</f>
        <v>4653.2756575528356</v>
      </c>
      <c r="AP129" s="72">
        <f>MAX(Tabella3[[#This Row],[rest of Italy fit]]-CIa,0)</f>
        <v>1385.0077776452326</v>
      </c>
    </row>
    <row r="130" spans="2:73" x14ac:dyDescent="0.3">
      <c r="B130" s="9">
        <v>43953</v>
      </c>
      <c r="C130" s="4">
        <v>123</v>
      </c>
      <c r="D130" s="72">
        <f>'dpc-covid19-ita-andamento-naz'!J70+'dpc-covid19-ita-andamento-naz'!K70</f>
        <v>108624</v>
      </c>
      <c r="E130" s="72">
        <f>(Tabella3[[#This Row],[Italy cumul. data]]-D129)</f>
        <v>2139</v>
      </c>
      <c r="F130" s="72">
        <f>Tabella3[[#This Row],[Italy remov. rate data]]*NOT(ISBLANK(Tabella3[[#This Row],[Italy remov. rate data]]))</f>
        <v>2139</v>
      </c>
      <c r="G130" s="77">
        <f>Tabella8[[#This Row],[Italy fit]]</f>
        <v>110624.81046098692</v>
      </c>
      <c r="H130" s="77">
        <f>Tabella3[[#This Row],[Italy cumul. fit]]/Kf</f>
        <v>0.47074387124833583</v>
      </c>
      <c r="I130" s="77">
        <f>Tabella3[[#This Row],[region fit]]+Tabella3[[#This Row],[rest of Italy fit]]</f>
        <v>3162.297926507898</v>
      </c>
      <c r="J130" s="77">
        <f>Tabella3[[#This Row],[Italy (fit of selected region + fitted sum of the other regions)]]/(y_l_peak+y_a_peak)</f>
        <v>0.99861518510670855</v>
      </c>
      <c r="K130" s="72">
        <f>IFERROR(Kf*psi_f*_xlfn.SECH(psi_f*(Tabella3[[#This Row],[Day]]-pf)-phi_f)^2/(1+TANH(phi_f)),0)</f>
        <v>3158.894016993615</v>
      </c>
      <c r="L130" s="292">
        <f>Tabella3[[#This Row],[Italy remov. rate fit]]-Tabella3[[#This Row],[Italy remov. rate data]]</f>
        <v>1019.894016993615</v>
      </c>
      <c r="M130" s="293">
        <f>Tabella3[[#This Row],[rem. rate residuals]]*NOT(ISBLANK(Tabella3[[#This Row],[Italy remov. rate data]]))</f>
        <v>1019.894016993615</v>
      </c>
      <c r="N130" s="72">
        <f>Tabella3[[#This Row],[Italy remov. rate fit]]/y_f_peak</f>
        <v>0.99996981958061293</v>
      </c>
      <c r="O130" s="72">
        <f>Tabella3[[#This Row],[Italy (fit of selected region + fitted sum of the other regions)]]*NOT(ISBLANK(Tabella3[[#This Row],[Italy remov. rate data]]))</f>
        <v>3162.297926507898</v>
      </c>
      <c r="P130" s="72">
        <f>Tabella3[[#This Row],[Italy remov. rate fit]]*NOT(ISBLANK(Tabella3[[#This Row],[Italy remov. rate data]]))</f>
        <v>3158.894016993615</v>
      </c>
      <c r="Q130" s="72">
        <f>Tabella3[[#This Row],[Italy remov. rate fit]]+CIf</f>
        <v>4814.1039859173661</v>
      </c>
      <c r="R130" s="72">
        <f>MAX(Tabella3[[#This Row],[Italy remov. rate fit]]-CIf,0)</f>
        <v>1503.6840480698636</v>
      </c>
      <c r="S130" s="4">
        <f>Tabella8[[#This Row],[region data]]</f>
        <v>4714</v>
      </c>
      <c r="T130" s="72">
        <f>(Tabella3[[#This Row],[region cumul. data]]-S129)</f>
        <v>106</v>
      </c>
      <c r="U130" s="72">
        <f>Tabella3[[#This Row],[region data]]*NOT(ISBLANK(Tabella3[[#This Row],[region data]]))</f>
        <v>106</v>
      </c>
      <c r="V130">
        <f t="shared" si="1"/>
        <v>124.33333333333333</v>
      </c>
      <c r="W130" s="72">
        <f>Tabella3[[#This Row],[6-days moving avg]]*NOT(ISBLANK(Tabella3[[#This Row],[6-days moving avg]]))</f>
        <v>124.33333333333333</v>
      </c>
      <c r="X130" s="77">
        <f>Tabella8[[#This Row],[region fit]]</f>
        <v>4695.5421478342996</v>
      </c>
      <c r="Y130" s="72">
        <f>Tabella3[[#This Row],[region cumul. fit]]/Kl</f>
        <v>0.35691571861218385</v>
      </c>
      <c r="Z130" s="72">
        <f>IFERROR(Kl*psi_l*_xlfn.SECH(psi_l*(Tabella3[[#This Row],[Day]]-pl)-phi_l)^2/(1+TANH(phi_l)),0)</f>
        <v>143.58216908823266</v>
      </c>
      <c r="AA130" s="72">
        <f>Tabella3[[#This Row],[region fit]]/y_l_peak</f>
        <v>0.97519180706166797</v>
      </c>
      <c r="AB130" s="72">
        <f>Tabella3[[#This Row],[region fit]]*NOT(ISBLANK(Tabella3[[#This Row],[region data]]))</f>
        <v>143.58216908823266</v>
      </c>
      <c r="AC130" s="166">
        <f>IFERROR(kl_m*psi_l_m*_xlfn.SECH(psi_l_m*(Tabella3[[#This Row],[Day]]-pl_m)-phi_l_m)^2/(1+TANH(phi_l_m)),0)</f>
        <v>143.58216908823266</v>
      </c>
      <c r="AD130" s="72">
        <f>Tabella3[[#This Row],[6-days moving avg fit]]*NOT(ISBLANK(Tabella3[[#This Row],[6-days moving avg]]))</f>
        <v>143.58216908823266</v>
      </c>
      <c r="AE130" s="72">
        <f>Tabella3[[#This Row],[region fit]]+CIl</f>
        <v>212.94715546333305</v>
      </c>
      <c r="AF130" s="72">
        <f>MAX(Tabella3[[#This Row],[region fit]]-CIl,0)</f>
        <v>74.21718271313226</v>
      </c>
      <c r="AG130" s="10">
        <f>Tabella8[[#This Row],[rest of Italy ]]</f>
        <v>103910</v>
      </c>
      <c r="AH130" s="10">
        <f>(Tabella3[[#This Row],[rest of Italy cum. data]]-AG129)</f>
        <v>2033</v>
      </c>
      <c r="AI130" s="72">
        <f>Tabella3[[#This Row],[rest of Italy data]]*NOT(ISBLANK(Tabella3[[#This Row],[rest of Italy data]]))</f>
        <v>2033</v>
      </c>
      <c r="AJ130" s="77">
        <f>Tabella8[[#This Row],[rest of Italy fit]]</f>
        <v>105990.50400766797</v>
      </c>
      <c r="AK130" s="72">
        <f>Tabella3[[#This Row],[rest of Italy cumul. fit]]/Ka</f>
        <v>0.47777018235573759</v>
      </c>
      <c r="AL130" s="72">
        <f>IFERROR(Ka*psi_a*_xlfn.SECH(psi_a*(Tabella3[[#This Row],[Day]]-pa)-phi_a)^2/(1+TANH(phi_a)),0)</f>
        <v>3018.7157574196654</v>
      </c>
      <c r="AM130" s="72">
        <f>Tabella3[[#This Row],[rest of Italy fit]]/y_a_peak</f>
        <v>0.99975735940111232</v>
      </c>
      <c r="AN130" s="72">
        <f>Tabella3[[#This Row],[rest of Italy fit]]*NOT(ISBLANK(Tabella3[[#This Row],[rest of Italy data]]))</f>
        <v>3018.7157574196654</v>
      </c>
      <c r="AO130" s="72">
        <f>Tabella3[[#This Row],[rest of Italy fit]]+CIa</f>
        <v>4652.8496973734673</v>
      </c>
      <c r="AP130" s="72">
        <f>MAX(Tabella3[[#This Row],[rest of Italy fit]]-CIa,0)</f>
        <v>1384.5818174658639</v>
      </c>
    </row>
    <row r="131" spans="2:73" x14ac:dyDescent="0.3">
      <c r="B131" s="9">
        <v>43954</v>
      </c>
      <c r="C131" s="4">
        <v>124</v>
      </c>
      <c r="D131" s="72">
        <f>'dpc-covid19-ita-andamento-naz'!J71+'dpc-covid19-ita-andamento-naz'!K71</f>
        <v>110538</v>
      </c>
      <c r="E131" s="72">
        <f>(Tabella3[[#This Row],[Italy cumul. data]]-D130)</f>
        <v>1914</v>
      </c>
      <c r="F131" s="72">
        <f>Tabella3[[#This Row],[Italy remov. rate data]]*NOT(ISBLANK(Tabella3[[#This Row],[Italy remov. rate data]]))</f>
        <v>1914</v>
      </c>
      <c r="G131" s="77">
        <f>Tabella8[[#This Row],[Italy fit]]</f>
        <v>113782.59472055198</v>
      </c>
      <c r="H131" s="77">
        <f>Tabella3[[#This Row],[Italy cumul. fit]]/Kf</f>
        <v>0.48418125098910336</v>
      </c>
      <c r="I131" s="77">
        <f>Tabella3[[#This Row],[region fit]]+Tabella3[[#This Row],[rest of Italy fit]]</f>
        <v>3158.7591081610876</v>
      </c>
      <c r="J131" s="77">
        <f>Tabella3[[#This Row],[Italy (fit of selected region + fitted sum of the other regions)]]/(y_l_peak+y_a_peak)</f>
        <v>0.9974976693569001</v>
      </c>
      <c r="K131" s="72">
        <f>IFERROR(Kf*psi_f*_xlfn.SECH(psi_f*(Tabella3[[#This Row],[Day]]-pf)-phi_f)^2/(1+TANH(phi_f)),0)</f>
        <v>3156.0036222360777</v>
      </c>
      <c r="L131" s="292">
        <f>Tabella3[[#This Row],[Italy remov. rate fit]]-Tabella3[[#This Row],[Italy remov. rate data]]</f>
        <v>1242.0036222360777</v>
      </c>
      <c r="M131" s="293">
        <f>Tabella3[[#This Row],[rem. rate residuals]]*NOT(ISBLANK(Tabella3[[#This Row],[Italy remov. rate data]]))</f>
        <v>1242.0036222360777</v>
      </c>
      <c r="N131" s="72">
        <f>Tabella3[[#This Row],[Italy remov. rate fit]]/y_f_peak</f>
        <v>0.99905484506463915</v>
      </c>
      <c r="O131" s="72">
        <f>Tabella3[[#This Row],[Italy (fit of selected region + fitted sum of the other regions)]]*NOT(ISBLANK(Tabella3[[#This Row],[Italy remov. rate data]]))</f>
        <v>3158.7591081610876</v>
      </c>
      <c r="P131" s="72">
        <f>Tabella3[[#This Row],[Italy remov. rate fit]]*NOT(ISBLANK(Tabella3[[#This Row],[Italy remov. rate data]]))</f>
        <v>3156.0036222360777</v>
      </c>
      <c r="Q131" s="72">
        <f>Tabella3[[#This Row],[Italy remov. rate fit]]+CIf</f>
        <v>4811.2135911598289</v>
      </c>
      <c r="R131" s="72">
        <f>MAX(Tabella3[[#This Row],[Italy remov. rate fit]]-CIf,0)</f>
        <v>1500.7936533123263</v>
      </c>
      <c r="S131" s="4">
        <f>Tabella8[[#This Row],[region data]]</f>
        <v>4808</v>
      </c>
      <c r="T131" s="72">
        <f>(Tabella3[[#This Row],[region cumul. data]]-S130)</f>
        <v>94</v>
      </c>
      <c r="U131" s="72">
        <f>Tabella3[[#This Row],[region data]]*NOT(ISBLANK(Tabella3[[#This Row],[region data]]))</f>
        <v>94</v>
      </c>
      <c r="V131">
        <f t="shared" si="1"/>
        <v>117.16666666666667</v>
      </c>
      <c r="W131" s="72">
        <f>Tabella3[[#This Row],[6-days moving avg]]*NOT(ISBLANK(Tabella3[[#This Row],[6-days moving avg]]))</f>
        <v>117.16666666666667</v>
      </c>
      <c r="X131" s="77">
        <f>Tabella8[[#This Row],[region fit]]</f>
        <v>4839.5617835302974</v>
      </c>
      <c r="Y131" s="72">
        <f>Tabella3[[#This Row],[region cumul. fit]]/Kl</f>
        <v>0.36786288299711228</v>
      </c>
      <c r="Z131" s="72">
        <f>IFERROR(Kl*psi_l*_xlfn.SECH(psi_l*(Tabella3[[#This Row],[Day]]-pl)-phi_l)^2/(1+TANH(phi_l)),0)</f>
        <v>144.4388972713013</v>
      </c>
      <c r="AA131" s="72">
        <f>Tabella3[[#This Row],[region fit]]/y_l_peak</f>
        <v>0.98101059577556438</v>
      </c>
      <c r="AB131" s="72">
        <f>Tabella3[[#This Row],[region fit]]*NOT(ISBLANK(Tabella3[[#This Row],[region data]]))</f>
        <v>144.4388972713013</v>
      </c>
      <c r="AC131" s="166">
        <f>IFERROR(kl_m*psi_l_m*_xlfn.SECH(psi_l_m*(Tabella3[[#This Row],[Day]]-pl_m)-phi_l_m)^2/(1+TANH(phi_l_m)),0)</f>
        <v>144.4388972713013</v>
      </c>
      <c r="AD131" s="72">
        <f>Tabella3[[#This Row],[6-days moving avg fit]]*NOT(ISBLANK(Tabella3[[#This Row],[6-days moving avg]]))</f>
        <v>144.4388972713013</v>
      </c>
      <c r="AE131" s="72">
        <f>Tabella3[[#This Row],[region fit]]+CIl</f>
        <v>213.80388364640169</v>
      </c>
      <c r="AF131" s="72">
        <f>MAX(Tabella3[[#This Row],[region fit]]-CIl,0)</f>
        <v>75.0739108962009</v>
      </c>
      <c r="AG131" s="10">
        <f>Tabella8[[#This Row],[rest of Italy ]]</f>
        <v>105730</v>
      </c>
      <c r="AH131" s="10">
        <f>(Tabella3[[#This Row],[rest of Italy cum. data]]-AG130)</f>
        <v>1820</v>
      </c>
      <c r="AI131" s="72">
        <f>Tabella3[[#This Row],[rest of Italy data]]*NOT(ISBLANK(Tabella3[[#This Row],[rest of Italy data]]))</f>
        <v>1820</v>
      </c>
      <c r="AJ131" s="77">
        <f>Tabella8[[#This Row],[rest of Italy fit]]</f>
        <v>109007.35214584492</v>
      </c>
      <c r="AK131" s="72">
        <f>Tabella3[[#This Row],[rest of Italy cumul. fit]]/Ka</f>
        <v>0.49136913726788795</v>
      </c>
      <c r="AL131" s="72">
        <f>IFERROR(Ka*psi_a*_xlfn.SECH(psi_a*(Tabella3[[#This Row],[Day]]-pa)-phi_a)^2/(1+TANH(phi_a)),0)</f>
        <v>3014.3202108897863</v>
      </c>
      <c r="AM131" s="72">
        <f>Tabella3[[#This Row],[rest of Italy fit]]/y_a_peak</f>
        <v>0.9983016145264797</v>
      </c>
      <c r="AN131" s="72">
        <f>Tabella3[[#This Row],[rest of Italy fit]]*NOT(ISBLANK(Tabella3[[#This Row],[rest of Italy data]]))</f>
        <v>3014.3202108897863</v>
      </c>
      <c r="AO131" s="72">
        <f>Tabella3[[#This Row],[rest of Italy fit]]+CIa</f>
        <v>4648.4541508435877</v>
      </c>
      <c r="AP131" s="72">
        <f>MAX(Tabella3[[#This Row],[rest of Italy fit]]-CIa,0)</f>
        <v>1380.1862709359848</v>
      </c>
      <c r="BU131" s="287"/>
    </row>
    <row r="132" spans="2:73" x14ac:dyDescent="0.3">
      <c r="B132" s="9">
        <v>43955</v>
      </c>
      <c r="C132" s="4">
        <v>125</v>
      </c>
      <c r="D132" s="72">
        <f>'dpc-covid19-ita-andamento-naz'!J72+'dpc-covid19-ita-andamento-naz'!K72</f>
        <v>111958</v>
      </c>
      <c r="E132" s="72">
        <f>(Tabella3[[#This Row],[Italy cumul. data]]-D131)</f>
        <v>1420</v>
      </c>
      <c r="F132" s="72">
        <f>Tabella3[[#This Row],[Italy remov. rate data]]*NOT(ISBLANK(Tabella3[[#This Row],[Italy remov. rate data]]))</f>
        <v>1420</v>
      </c>
      <c r="G132" s="77">
        <f>Tabella8[[#This Row],[Italy fit]]</f>
        <v>116935.47942661433</v>
      </c>
      <c r="H132" s="77">
        <f>Tabella3[[#This Row],[Italy cumul. fit]]/Kf</f>
        <v>0.49759778156616485</v>
      </c>
      <c r="I132" s="77">
        <f>Tabella3[[#This Row],[region fit]]+Tabella3[[#This Row],[rest of Italy fit]]</f>
        <v>3151.1632797343714</v>
      </c>
      <c r="J132" s="77">
        <f>Tabella3[[#This Row],[Italy (fit of selected region + fitted sum of the other regions)]]/(y_l_peak+y_a_peak)</f>
        <v>0.99509899921680978</v>
      </c>
      <c r="K132" s="72">
        <f>IFERROR(Kf*psi_f*_xlfn.SECH(psi_f*(Tabella3[[#This Row],[Day]]-pf)-phi_f)^2/(1+TANH(phi_f)),0)</f>
        <v>3149.099070953017</v>
      </c>
      <c r="L132" s="292">
        <f>Tabella3[[#This Row],[Italy remov. rate fit]]-Tabella3[[#This Row],[Italy remov. rate data]]</f>
        <v>1729.099070953017</v>
      </c>
      <c r="M132" s="293">
        <f>Tabella3[[#This Row],[rem. rate residuals]]*NOT(ISBLANK(Tabella3[[#This Row],[Italy remov. rate data]]))</f>
        <v>1729.099070953017</v>
      </c>
      <c r="N132" s="72">
        <f>Tabella3[[#This Row],[Italy remov. rate fit]]/y_f_peak</f>
        <v>0.99686916144763127</v>
      </c>
      <c r="O132" s="72">
        <f>Tabella3[[#This Row],[Italy (fit of selected region + fitted sum of the other regions)]]*NOT(ISBLANK(Tabella3[[#This Row],[Italy remov. rate data]]))</f>
        <v>3151.1632797343714</v>
      </c>
      <c r="P132" s="72">
        <f>Tabella3[[#This Row],[Italy remov. rate fit]]*NOT(ISBLANK(Tabella3[[#This Row],[Italy remov. rate data]]))</f>
        <v>3149.099070953017</v>
      </c>
      <c r="Q132" s="72">
        <f>Tabella3[[#This Row],[Italy remov. rate fit]]+CIf</f>
        <v>4804.3090398767681</v>
      </c>
      <c r="R132" s="72">
        <f>MAX(Tabella3[[#This Row],[Italy remov. rate fit]]-CIf,0)</f>
        <v>1493.8891020292656</v>
      </c>
      <c r="S132" s="4">
        <f>Tabella8[[#This Row],[region data]]</f>
        <v>4904</v>
      </c>
      <c r="T132" s="72">
        <f>(Tabella3[[#This Row],[region cumul. data]]-S131)</f>
        <v>96</v>
      </c>
      <c r="U132" s="72">
        <f>Tabella3[[#This Row],[region data]]*NOT(ISBLANK(Tabella3[[#This Row],[region data]]))</f>
        <v>96</v>
      </c>
      <c r="V132">
        <f t="shared" si="1"/>
        <v>122.5</v>
      </c>
      <c r="W132" s="72">
        <f>Tabella3[[#This Row],[6-days moving avg]]*NOT(ISBLANK(Tabella3[[#This Row],[6-days moving avg]]))</f>
        <v>122.5</v>
      </c>
      <c r="X132" s="77">
        <f>Tabella8[[#This Row],[region fit]]</f>
        <v>4984.3831000909086</v>
      </c>
      <c r="Y132" s="72">
        <f>Tabella3[[#This Row],[region cumul. fit]]/Kl</f>
        <v>0.37887098443528883</v>
      </c>
      <c r="Z132" s="72">
        <f>IFERROR(Kl*psi_l*_xlfn.SECH(psi_l*(Tabella3[[#This Row],[Day]]-pl)-phi_l)^2/(1+TANH(phi_l)),0)</f>
        <v>145.18510950534807</v>
      </c>
      <c r="AA132" s="72">
        <f>Tabella3[[#This Row],[region fit]]/y_l_peak</f>
        <v>0.98607877423806145</v>
      </c>
      <c r="AB132" s="72">
        <f>Tabella3[[#This Row],[region fit]]*NOT(ISBLANK(Tabella3[[#This Row],[region data]]))</f>
        <v>145.18510950534807</v>
      </c>
      <c r="AC132" s="166">
        <f>IFERROR(kl_m*psi_l_m*_xlfn.SECH(psi_l_m*(Tabella3[[#This Row],[Day]]-pl_m)-phi_l_m)^2/(1+TANH(phi_l_m)),0)</f>
        <v>145.18510950534807</v>
      </c>
      <c r="AD132" s="72">
        <f>Tabella3[[#This Row],[6-days moving avg fit]]*NOT(ISBLANK(Tabella3[[#This Row],[6-days moving avg]]))</f>
        <v>145.18510950534807</v>
      </c>
      <c r="AE132" s="72">
        <f>Tabella3[[#This Row],[region fit]]+CIl</f>
        <v>214.55009588044845</v>
      </c>
      <c r="AF132" s="72">
        <f>MAX(Tabella3[[#This Row],[region fit]]-CIl,0)</f>
        <v>75.820123130247666</v>
      </c>
      <c r="AG132" s="10">
        <f>Tabella8[[#This Row],[rest of Italy ]]</f>
        <v>107054</v>
      </c>
      <c r="AH132" s="10">
        <f>(Tabella3[[#This Row],[rest of Italy cum. data]]-AG131)</f>
        <v>1324</v>
      </c>
      <c r="AI132" s="72">
        <f>Tabella3[[#This Row],[rest of Italy data]]*NOT(ISBLANK(Tabella3[[#This Row],[rest of Italy data]]))</f>
        <v>1324</v>
      </c>
      <c r="AJ132" s="77">
        <f>Tabella8[[#This Row],[rest of Italy fit]]</f>
        <v>112017.82870228343</v>
      </c>
      <c r="AK132" s="72">
        <f>Tabella3[[#This Row],[rest of Italy cumul. fit]]/Ka</f>
        <v>0.50493937119415777</v>
      </c>
      <c r="AL132" s="72">
        <f>IFERROR(Ka*psi_a*_xlfn.SECH(psi_a*(Tabella3[[#This Row],[Day]]-pa)-phi_a)^2/(1+TANH(phi_a)),0)</f>
        <v>3005.9781702290234</v>
      </c>
      <c r="AM132" s="72">
        <f>Tabella3[[#This Row],[rest of Italy fit]]/y_a_peak</f>
        <v>0.9955388447882153</v>
      </c>
      <c r="AN132" s="72">
        <f>Tabella3[[#This Row],[rest of Italy fit]]*NOT(ISBLANK(Tabella3[[#This Row],[rest of Italy data]]))</f>
        <v>3005.9781702290234</v>
      </c>
      <c r="AO132" s="72">
        <f>Tabella3[[#This Row],[rest of Italy fit]]+CIa</f>
        <v>4640.1121101828248</v>
      </c>
      <c r="AP132" s="72">
        <f>MAX(Tabella3[[#This Row],[rest of Italy fit]]-CIa,0)</f>
        <v>1371.8442302752219</v>
      </c>
      <c r="BU132" s="287"/>
    </row>
    <row r="133" spans="2:73" x14ac:dyDescent="0.3">
      <c r="B133" s="9">
        <v>43956</v>
      </c>
      <c r="C133" s="4">
        <v>126</v>
      </c>
      <c r="D133" s="72">
        <f>'dpc-covid19-ita-andamento-naz'!J73+'dpc-covid19-ita-andamento-naz'!K73</f>
        <v>114546</v>
      </c>
      <c r="E133" s="72">
        <f>(Tabella3[[#This Row],[Italy cumul. data]]-D132)</f>
        <v>2588</v>
      </c>
      <c r="F133" s="10">
        <f>Tabella3[[#This Row],[Italy remov. rate data]]*NOT(ISBLANK(Tabella3[[#This Row],[Italy remov. rate data]]))</f>
        <v>2588</v>
      </c>
      <c r="G133" s="77">
        <f>Tabella8[[#This Row],[Italy fit]]</f>
        <v>120079.46628895003</v>
      </c>
      <c r="H133" s="77">
        <f>Tabella3[[#This Row],[Italy cumul. fit]]/Kf</f>
        <v>0.51097644897867778</v>
      </c>
      <c r="I133" s="77">
        <f>Tabella3[[#This Row],[region fit]]+Tabella3[[#This Row],[rest of Italy fit]]</f>
        <v>3139.5517665764633</v>
      </c>
      <c r="J133" s="77">
        <f>Tabella3[[#This Row],[Italy (fit of selected region + fitted sum of the other regions)]]/(y_l_peak+y_a_peak)</f>
        <v>0.99143222472843695</v>
      </c>
      <c r="K133" s="72">
        <f>IFERROR(Kf*psi_f*_xlfn.SECH(psi_f*(Tabella3[[#This Row],[Day]]-pf)-phi_f)^2/(1+TANH(phi_f)),0)</f>
        <v>3138.2154665152402</v>
      </c>
      <c r="L133" s="292">
        <f>Tabella3[[#This Row],[Italy remov. rate fit]]-Tabella3[[#This Row],[Italy remov. rate data]]</f>
        <v>550.21546651524022</v>
      </c>
      <c r="M133" s="293">
        <f>Tabella3[[#This Row],[rem. rate residuals]]*NOT(ISBLANK(Tabella3[[#This Row],[Italy remov. rate data]]))</f>
        <v>550.21546651524022</v>
      </c>
      <c r="N133" s="72">
        <f>Tabella3[[#This Row],[Italy remov. rate fit]]/y_f_peak</f>
        <v>0.99342388094518874</v>
      </c>
      <c r="O133" s="72">
        <f>Tabella3[[#This Row],[Italy (fit of selected region + fitted sum of the other regions)]]*NOT(ISBLANK(Tabella3[[#This Row],[Italy remov. rate data]]))</f>
        <v>3139.5517665764633</v>
      </c>
      <c r="P133" s="72">
        <f>Tabella3[[#This Row],[Italy remov. rate fit]]*NOT(ISBLANK(Tabella3[[#This Row],[Italy remov. rate data]]))</f>
        <v>3138.2154665152402</v>
      </c>
      <c r="Q133" s="72">
        <f>Tabella3[[#This Row],[Italy remov. rate fit]]+CIf</f>
        <v>4793.4254354389914</v>
      </c>
      <c r="R133" s="72">
        <f>MAX(Tabella3[[#This Row],[Italy remov. rate fit]]-CIf,0)</f>
        <v>1483.0054975914888</v>
      </c>
      <c r="S133" s="4">
        <f>Tabella8[[#This Row],[region data]]</f>
        <v>5048</v>
      </c>
      <c r="T133" s="72">
        <f>(Tabella3[[#This Row],[region cumul. data]]-S132)</f>
        <v>144</v>
      </c>
      <c r="U133" s="10">
        <f>Tabella3[[#This Row],[region data]]*NOT(ISBLANK(Tabella3[[#This Row],[region data]]))</f>
        <v>144</v>
      </c>
      <c r="V133">
        <f t="shared" si="1"/>
        <v>133.83333333333334</v>
      </c>
      <c r="W133" s="72">
        <f>Tabella3[[#This Row],[6-days moving avg]]*NOT(ISBLANK(Tabella3[[#This Row],[6-days moving avg]]))</f>
        <v>133.83333333333334</v>
      </c>
      <c r="X133" s="77">
        <f>Tabella8[[#This Row],[region fit]]</f>
        <v>5129.8943729848661</v>
      </c>
      <c r="Y133" s="72">
        <f>Tabella3[[#This Row],[region cumul. fit]]/Kl</f>
        <v>0.38993153056521213</v>
      </c>
      <c r="Z133" s="72">
        <f>IFERROR(Kl*psi_l*_xlfn.SECH(psi_l*(Tabella3[[#This Row],[Day]]-pl)-phi_l)^2/(1+TANH(phi_l)),0)</f>
        <v>145.81844450475072</v>
      </c>
      <c r="AA133" s="72">
        <f>Tabella3[[#This Row],[region fit]]/y_l_peak</f>
        <v>0.99038030489792583</v>
      </c>
      <c r="AB133" s="72">
        <f>Tabella3[[#This Row],[region fit]]*NOT(ISBLANK(Tabella3[[#This Row],[region data]]))</f>
        <v>145.81844450475072</v>
      </c>
      <c r="AC133" s="166">
        <f>IFERROR(kl_m*psi_l_m*_xlfn.SECH(psi_l_m*(Tabella3[[#This Row],[Day]]-pl_m)-phi_l_m)^2/(1+TANH(phi_l_m)),0)</f>
        <v>145.81844450475072</v>
      </c>
      <c r="AD133" s="72">
        <f>Tabella3[[#This Row],[6-days moving avg fit]]*NOT(ISBLANK(Tabella3[[#This Row],[6-days moving avg]]))</f>
        <v>145.81844450475072</v>
      </c>
      <c r="AE133" s="72">
        <f>Tabella3[[#This Row],[region fit]]+CIl</f>
        <v>215.18343087985113</v>
      </c>
      <c r="AF133" s="72">
        <f>MAX(Tabella3[[#This Row],[region fit]]-CIl,0)</f>
        <v>76.453458129650315</v>
      </c>
      <c r="AG133" s="10">
        <f>Tabella8[[#This Row],[rest of Italy ]]</f>
        <v>109498</v>
      </c>
      <c r="AH133" s="10">
        <f>(Tabella3[[#This Row],[rest of Italy cum. data]]-AG132)</f>
        <v>2444</v>
      </c>
      <c r="AI133" s="72">
        <f>Tabella3[[#This Row],[rest of Italy data]]*NOT(ISBLANK(Tabella3[[#This Row],[rest of Italy data]]))</f>
        <v>2444</v>
      </c>
      <c r="AJ133" s="77">
        <f>Tabella8[[#This Row],[rest of Italy fit]]</f>
        <v>115018.00732674834</v>
      </c>
      <c r="AK133" s="72">
        <f>Tabella3[[#This Row],[rest of Italy cumul. fit]]/Ka</f>
        <v>0.51846318544459935</v>
      </c>
      <c r="AL133" s="72">
        <f>IFERROR(Ka*psi_a*_xlfn.SECH(psi_a*(Tabella3[[#This Row],[Day]]-pa)-phi_a)^2/(1+TANH(phi_a)),0)</f>
        <v>2993.7333220717123</v>
      </c>
      <c r="AM133" s="72">
        <f>Tabella3[[#This Row],[rest of Italy fit]]/y_a_peak</f>
        <v>0.9914835186019284</v>
      </c>
      <c r="AN133" s="72">
        <f>Tabella3[[#This Row],[rest of Italy fit]]*NOT(ISBLANK(Tabella3[[#This Row],[rest of Italy data]]))</f>
        <v>2993.7333220717123</v>
      </c>
      <c r="AO133" s="72">
        <f>Tabella3[[#This Row],[rest of Italy fit]]+CIa</f>
        <v>4627.8672620255138</v>
      </c>
      <c r="AP133" s="72">
        <f>MAX(Tabella3[[#This Row],[rest of Italy fit]]-CIa,0)</f>
        <v>1359.5993821179109</v>
      </c>
    </row>
    <row r="134" spans="2:73" x14ac:dyDescent="0.3">
      <c r="B134" s="9">
        <v>43957</v>
      </c>
      <c r="C134" s="4">
        <v>127</v>
      </c>
      <c r="D134" s="72">
        <f>'dpc-covid19-ita-andamento-naz'!J74+'dpc-covid19-ita-andamento-naz'!K74</f>
        <v>122929</v>
      </c>
      <c r="E134" s="72">
        <f>(Tabella3[[#This Row],[Italy cumul. data]]-D133)</f>
        <v>8383</v>
      </c>
      <c r="F134" s="10">
        <f>Tabella3[[#This Row],[Italy remov. rate data]]*NOT(ISBLANK(Tabella3[[#This Row],[Italy remov. rate data]]))</f>
        <v>8383</v>
      </c>
      <c r="G134" s="77">
        <f>Tabella8[[#This Row],[Italy fit]]</f>
        <v>123210.60215908688</v>
      </c>
      <c r="H134" s="77">
        <f>Tabella3[[#This Row],[Italy cumul. fit]]/Kf</f>
        <v>0.52430043131835868</v>
      </c>
      <c r="I134" s="77">
        <f>Tabella3[[#This Row],[region fit]]+Tabella3[[#This Row],[rest of Italy fit]]</f>
        <v>3123.9863464793252</v>
      </c>
      <c r="J134" s="77">
        <f>Tabella3[[#This Row],[Italy (fit of selected region + fitted sum of the other regions)]]/(y_l_peak+y_a_peak)</f>
        <v>0.98651685456635607</v>
      </c>
      <c r="K134" s="72">
        <f>IFERROR(Kf*psi_f*_xlfn.SECH(psi_f*(Tabella3[[#This Row],[Day]]-pf)-phi_f)^2/(1+TANH(phi_f)),0)</f>
        <v>3123.4079080476035</v>
      </c>
      <c r="L134" s="292">
        <f>Tabella3[[#This Row],[Italy remov. rate fit]]-Tabella3[[#This Row],[Italy remov. rate data]]</f>
        <v>-5259.592091952396</v>
      </c>
      <c r="M134" s="293">
        <f>Tabella3[[#This Row],[rem. rate residuals]]*NOT(ISBLANK(Tabella3[[#This Row],[Italy remov. rate data]]))</f>
        <v>-5259.592091952396</v>
      </c>
      <c r="N134" s="72">
        <f>Tabella3[[#This Row],[Italy remov. rate fit]]/y_f_peak</f>
        <v>0.9887364455675991</v>
      </c>
      <c r="O134" s="72">
        <f>Tabella3[[#This Row],[Italy (fit of selected region + fitted sum of the other regions)]]*NOT(ISBLANK(Tabella3[[#This Row],[Italy remov. rate data]]))</f>
        <v>3123.9863464793252</v>
      </c>
      <c r="P134" s="72">
        <f>Tabella3[[#This Row],[Italy remov. rate fit]]*NOT(ISBLANK(Tabella3[[#This Row],[Italy remov. rate data]]))</f>
        <v>3123.4079080476035</v>
      </c>
      <c r="Q134" s="72">
        <f>Tabella3[[#This Row],[Italy remov. rate fit]]+CIf</f>
        <v>4778.6178769713551</v>
      </c>
      <c r="R134" s="72">
        <f>MAX(Tabella3[[#This Row],[Italy remov. rate fit]]-CIf,0)</f>
        <v>1468.1979391238522</v>
      </c>
      <c r="S134" s="4">
        <f>Tabella8[[#This Row],[region data]]</f>
        <v>5245</v>
      </c>
      <c r="T134" s="72">
        <f>(Tabella3[[#This Row],[region cumul. data]]-S133)</f>
        <v>197</v>
      </c>
      <c r="U134" s="10">
        <f>Tabella3[[#This Row],[region data]]*NOT(ISBLANK(Tabella3[[#This Row],[region data]]))</f>
        <v>197</v>
      </c>
      <c r="V134">
        <f t="shared" si="1"/>
        <v>131.5</v>
      </c>
      <c r="W134" s="72">
        <f>Tabella3[[#This Row],[6-days moving avg]]*NOT(ISBLANK(Tabella3[[#This Row],[6-days moving avg]]))</f>
        <v>131.5</v>
      </c>
      <c r="X134" s="77">
        <f>Tabella8[[#This Row],[region fit]]</f>
        <v>5275.9816865499697</v>
      </c>
      <c r="Y134" s="72">
        <f>Tabella3[[#This Row],[region cumul. fit]]/Kl</f>
        <v>0.40103586247399098</v>
      </c>
      <c r="Z134" s="72">
        <f>IFERROR(Kl*psi_l*_xlfn.SECH(psi_l*(Tabella3[[#This Row],[Day]]-pl)-phi_l)^2/(1+TANH(phi_l)),0)</f>
        <v>146.33688373960536</v>
      </c>
      <c r="AA134" s="72">
        <f>Tabella3[[#This Row],[region fit]]/y_l_peak</f>
        <v>0.99390147815711294</v>
      </c>
      <c r="AB134" s="72">
        <f>Tabella3[[#This Row],[region fit]]*NOT(ISBLANK(Tabella3[[#This Row],[region data]]))</f>
        <v>146.33688373960536</v>
      </c>
      <c r="AC134" s="166">
        <f>IFERROR(kl_m*psi_l_m*_xlfn.SECH(psi_l_m*(Tabella3[[#This Row],[Day]]-pl_m)-phi_l_m)^2/(1+TANH(phi_l_m)),0)</f>
        <v>146.33688373960536</v>
      </c>
      <c r="AD134" s="72">
        <f>Tabella3[[#This Row],[6-days moving avg fit]]*NOT(ISBLANK(Tabella3[[#This Row],[6-days moving avg]]))</f>
        <v>146.33688373960536</v>
      </c>
      <c r="AE134" s="72">
        <f>Tabella3[[#This Row],[region fit]]+CIl</f>
        <v>215.70187011470574</v>
      </c>
      <c r="AF134" s="72">
        <f>MAX(Tabella3[[#This Row],[region fit]]-CIl,0)</f>
        <v>76.971897364504954</v>
      </c>
      <c r="AG134" s="10">
        <f>Tabella8[[#This Row],[rest of Italy ]]</f>
        <v>117684</v>
      </c>
      <c r="AH134" s="10">
        <f>(Tabella3[[#This Row],[rest of Italy cum. data]]-AG133)</f>
        <v>8186</v>
      </c>
      <c r="AI134" s="72">
        <f>Tabella3[[#This Row],[rest of Italy data]]*NOT(ISBLANK(Tabella3[[#This Row],[rest of Italy data]]))</f>
        <v>8186</v>
      </c>
      <c r="AJ134" s="77">
        <f>Tabella8[[#This Row],[rest of Italy fit]]</f>
        <v>118004.01546014078</v>
      </c>
      <c r="AK134" s="72">
        <f>Tabella3[[#This Row],[rest of Italy cumul. fit]]/Ka</f>
        <v>0.53192312380193951</v>
      </c>
      <c r="AL134" s="72">
        <f>IFERROR(Ka*psi_a*_xlfn.SECH(psi_a*(Tabella3[[#This Row],[Day]]-pa)-phi_a)^2/(1+TANH(phi_a)),0)</f>
        <v>2977.6494627397196</v>
      </c>
      <c r="AM134" s="72">
        <f>Tabella3[[#This Row],[rest of Italy fit]]/y_a_peak</f>
        <v>0.98615676443661515</v>
      </c>
      <c r="AN134" s="72">
        <f>Tabella3[[#This Row],[rest of Italy fit]]*NOT(ISBLANK(Tabella3[[#This Row],[rest of Italy data]]))</f>
        <v>2977.6494627397196</v>
      </c>
      <c r="AO134" s="72">
        <f>Tabella3[[#This Row],[rest of Italy fit]]+CIa</f>
        <v>4611.7834026935216</v>
      </c>
      <c r="AP134" s="72">
        <f>MAX(Tabella3[[#This Row],[rest of Italy fit]]-CIa,0)</f>
        <v>1343.5155227859182</v>
      </c>
    </row>
    <row r="135" spans="2:73" x14ac:dyDescent="0.3">
      <c r="B135" s="9">
        <v>43958</v>
      </c>
      <c r="C135" s="4">
        <v>128</v>
      </c>
      <c r="D135" s="72">
        <f>'dpc-covid19-ita-andamento-naz'!J75+'dpc-covid19-ita-andamento-naz'!K75</f>
        <v>126234</v>
      </c>
      <c r="E135" s="72">
        <f>(Tabella3[[#This Row],[Italy cumul. data]]-D134)</f>
        <v>3305</v>
      </c>
      <c r="F135" s="10">
        <f>Tabella3[[#This Row],[Italy remov. rate data]]*NOT(ISBLANK(Tabella3[[#This Row],[Italy remov. rate data]]))</f>
        <v>3305</v>
      </c>
      <c r="G135" s="77">
        <f>Tabella8[[#This Row],[Italy fit]]</f>
        <v>126324.99874810832</v>
      </c>
      <c r="H135" s="77">
        <f>Tabella3[[#This Row],[Italy cumul. fit]]/Kf</f>
        <v>0.53755318267503194</v>
      </c>
      <c r="I135" s="77">
        <f>Tabella3[[#This Row],[region fit]]+Tabella3[[#This Row],[rest of Italy fit]]</f>
        <v>3104.5485603163743</v>
      </c>
      <c r="J135" s="77">
        <f>Tabella3[[#This Row],[Italy (fit of selected region + fitted sum of the other regions)]]/(y_l_peak+y_a_peak)</f>
        <v>0.98037863834565508</v>
      </c>
      <c r="K135" s="72">
        <f>IFERROR(Kf*psi_f*_xlfn.SECH(psi_f*(Tabella3[[#This Row],[Day]]-pf)-phi_f)^2/(1+TANH(phi_f)),0)</f>
        <v>3104.7508999636379</v>
      </c>
      <c r="L135" s="292">
        <f>Tabella3[[#This Row],[Italy remov. rate fit]]-Tabella3[[#This Row],[Italy remov. rate data]]</f>
        <v>-200.24910003636205</v>
      </c>
      <c r="M135" s="293">
        <f>Tabella3[[#This Row],[rem. rate residuals]]*NOT(ISBLANK(Tabella3[[#This Row],[Italy remov. rate data]]))</f>
        <v>-200.24910003636205</v>
      </c>
      <c r="N135" s="72">
        <f>Tabella3[[#This Row],[Italy remov. rate fit]]/y_f_peak</f>
        <v>0.98283044020392663</v>
      </c>
      <c r="O135" s="72">
        <f>Tabella3[[#This Row],[Italy (fit of selected region + fitted sum of the other regions)]]*NOT(ISBLANK(Tabella3[[#This Row],[Italy remov. rate data]]))</f>
        <v>3104.5485603163743</v>
      </c>
      <c r="P135" s="72">
        <f>Tabella3[[#This Row],[Italy remov. rate fit]]*NOT(ISBLANK(Tabella3[[#This Row],[Italy remov. rate data]]))</f>
        <v>3104.7508999636379</v>
      </c>
      <c r="Q135" s="72">
        <f>Tabella3[[#This Row],[Italy remov. rate fit]]+CIf</f>
        <v>4759.9608688873896</v>
      </c>
      <c r="R135" s="72">
        <f>MAX(Tabella3[[#This Row],[Italy remov. rate fit]]-CIf,0)</f>
        <v>1449.5409310398866</v>
      </c>
      <c r="S135" s="4">
        <f>Tabella8[[#This Row],[region data]]</f>
        <v>5397</v>
      </c>
      <c r="T135" s="72">
        <f>(Tabella3[[#This Row],[region cumul. data]]-S134)</f>
        <v>152</v>
      </c>
      <c r="U135" s="10">
        <f>Tabella3[[#This Row],[region data]]*NOT(ISBLANK(Tabella3[[#This Row],[region data]]))</f>
        <v>152</v>
      </c>
      <c r="V135">
        <f t="shared" si="1"/>
        <v>138.83333333333334</v>
      </c>
      <c r="W135" s="72">
        <f>Tabella3[[#This Row],[6-days moving avg]]*NOT(ISBLANK(Tabella3[[#This Row],[6-days moving avg]]))</f>
        <v>138.83333333333334</v>
      </c>
      <c r="X135" s="77">
        <f>Tabella8[[#This Row],[region fit]]</f>
        <v>5422.5292837210991</v>
      </c>
      <c r="Y135" s="72">
        <f>Tabella3[[#This Row],[region cumul. fit]]/Kl</f>
        <v>0.41217518128073344</v>
      </c>
      <c r="Z135" s="72">
        <f>IFERROR(Kl*psi_l*_xlfn.SECH(psi_l*(Tabella3[[#This Row],[Day]]-pl)-phi_l)^2/(1+TANH(phi_l)),0)</f>
        <v>146.73876500841192</v>
      </c>
      <c r="AA135" s="72">
        <f>Tabella3[[#This Row],[region fit]]/y_l_peak</f>
        <v>0.99663100455471787</v>
      </c>
      <c r="AB135" s="72">
        <f>Tabella3[[#This Row],[region fit]]*NOT(ISBLANK(Tabella3[[#This Row],[region data]]))</f>
        <v>146.73876500841192</v>
      </c>
      <c r="AC135" s="166">
        <f>IFERROR(kl_m*psi_l_m*_xlfn.SECH(psi_l_m*(Tabella3[[#This Row],[Day]]-pl_m)-phi_l_m)^2/(1+TANH(phi_l_m)),0)</f>
        <v>146.73876500841192</v>
      </c>
      <c r="AD135" s="72">
        <f>Tabella3[[#This Row],[6-days moving avg fit]]*NOT(ISBLANK(Tabella3[[#This Row],[6-days moving avg]]))</f>
        <v>146.73876500841192</v>
      </c>
      <c r="AE135" s="72">
        <f>Tabella3[[#This Row],[region fit]]+CIl</f>
        <v>216.1037513835123</v>
      </c>
      <c r="AF135" s="72">
        <f>MAX(Tabella3[[#This Row],[region fit]]-CIl,0)</f>
        <v>77.373778633311517</v>
      </c>
      <c r="AG135" s="10">
        <f>Tabella8[[#This Row],[rest of Italy ]]</f>
        <v>120837</v>
      </c>
      <c r="AH135" s="10">
        <f>(Tabella3[[#This Row],[rest of Italy cum. data]]-AG134)</f>
        <v>3153</v>
      </c>
      <c r="AI135" s="72">
        <f>Tabella3[[#This Row],[rest of Italy data]]*NOT(ISBLANK(Tabella3[[#This Row],[rest of Italy data]]))</f>
        <v>3153</v>
      </c>
      <c r="AJ135" s="77">
        <f>Tabella8[[#This Row],[rest of Italy fit]]</f>
        <v>120972.05411041038</v>
      </c>
      <c r="AK135" s="72">
        <f>Tabella3[[#This Row],[rest of Italy cumul. fit]]/Ka</f>
        <v>0.54530206166485973</v>
      </c>
      <c r="AL135" s="72">
        <f>IFERROR(Ka*psi_a*_xlfn.SECH(psi_a*(Tabella3[[#This Row],[Day]]-pa)-phi_a)^2/(1+TANH(phi_a)),0)</f>
        <v>2957.8097953079623</v>
      </c>
      <c r="AM135" s="72">
        <f>Tabella3[[#This Row],[rest of Italy fit]]/y_a_peak</f>
        <v>0.9795861380123756</v>
      </c>
      <c r="AN135" s="72">
        <f>Tabella3[[#This Row],[rest of Italy fit]]*NOT(ISBLANK(Tabella3[[#This Row],[rest of Italy data]]))</f>
        <v>2957.8097953079623</v>
      </c>
      <c r="AO135" s="72">
        <f>Tabella3[[#This Row],[rest of Italy fit]]+CIa</f>
        <v>4591.9437352617642</v>
      </c>
      <c r="AP135" s="72">
        <f>MAX(Tabella3[[#This Row],[rest of Italy fit]]-CIa,0)</f>
        <v>1323.6758553541608</v>
      </c>
    </row>
    <row r="136" spans="2:73" x14ac:dyDescent="0.3">
      <c r="B136" s="9">
        <v>43959</v>
      </c>
      <c r="C136" s="4">
        <v>129</v>
      </c>
      <c r="D136" s="72">
        <f>'dpc-covid19-ita-andamento-naz'!J76+'dpc-covid19-ita-andamento-naz'!K76</f>
        <v>129224</v>
      </c>
      <c r="E136" s="72">
        <f>(Tabella3[[#This Row],[Italy cumul. data]]-D135)</f>
        <v>2990</v>
      </c>
      <c r="F136" s="10">
        <f>Tabella3[[#This Row],[Italy remov. rate data]]*NOT(ISBLANK(Tabella3[[#This Row],[Italy remov. rate data]]))</f>
        <v>2990</v>
      </c>
      <c r="G136" s="77">
        <f>Tabella8[[#This Row],[Italy fit]]</f>
        <v>129418.85165228606</v>
      </c>
      <c r="H136" s="77">
        <f>Tabella3[[#This Row],[Italy cumul. fit]]/Kf</f>
        <v>0.5507185140967672</v>
      </c>
      <c r="I136" s="77">
        <f>Tabella3[[#This Row],[region fit]]+Tabella3[[#This Row],[rest of Italy fit]]</f>
        <v>3081.3388153897895</v>
      </c>
      <c r="J136" s="77">
        <f>Tabella3[[#This Row],[Italy (fit of selected region + fitted sum of the other regions)]]/(y_l_peak+y_a_peak)</f>
        <v>0.97304928346993158</v>
      </c>
      <c r="K136" s="72">
        <f>IFERROR(Kf*psi_f*_xlfn.SECH(psi_f*(Tabella3[[#This Row],[Day]]-pf)-phi_f)^2/(1+TANH(phi_f)),0)</f>
        <v>3082.3375601958464</v>
      </c>
      <c r="L136" s="292">
        <f>Tabella3[[#This Row],[Italy remov. rate fit]]-Tabella3[[#This Row],[Italy remov. rate data]]</f>
        <v>92.337560195846436</v>
      </c>
      <c r="M136" s="293">
        <f>Tabella3[[#This Row],[rem. rate residuals]]*NOT(ISBLANK(Tabella3[[#This Row],[Italy remov. rate data]]))</f>
        <v>92.337560195846436</v>
      </c>
      <c r="N136" s="72">
        <f>Tabella3[[#This Row],[Italy remov. rate fit]]/y_f_peak</f>
        <v>0.9757353419818191</v>
      </c>
      <c r="O136" s="72">
        <f>Tabella3[[#This Row],[Italy (fit of selected region + fitted sum of the other regions)]]*NOT(ISBLANK(Tabella3[[#This Row],[Italy remov. rate data]]))</f>
        <v>3081.3388153897895</v>
      </c>
      <c r="P136" s="72">
        <f>Tabella3[[#This Row],[Italy remov. rate fit]]*NOT(ISBLANK(Tabella3[[#This Row],[Italy remov. rate data]]))</f>
        <v>3082.3375601958464</v>
      </c>
      <c r="Q136" s="72">
        <f>Tabella3[[#This Row],[Italy remov. rate fit]]+CIf</f>
        <v>4737.547529119598</v>
      </c>
      <c r="R136" s="72">
        <f>MAX(Tabella3[[#This Row],[Italy remov. rate fit]]-CIf,0)</f>
        <v>1427.1275912720951</v>
      </c>
      <c r="S136" s="4">
        <f>Tabella8[[#This Row],[region data]]</f>
        <v>5547</v>
      </c>
      <c r="T136" s="72">
        <f>(Tabella3[[#This Row],[region cumul. data]]-S135)</f>
        <v>150</v>
      </c>
      <c r="U136" s="10">
        <f>Tabella3[[#This Row],[region data]]*NOT(ISBLANK(Tabella3[[#This Row],[region data]]))</f>
        <v>150</v>
      </c>
      <c r="V136">
        <f t="shared" si="1"/>
        <v>158</v>
      </c>
      <c r="W136" s="72">
        <f>Tabella3[[#This Row],[6-days moving avg]]*NOT(ISBLANK(Tabella3[[#This Row],[6-days moving avg]]))</f>
        <v>158</v>
      </c>
      <c r="X136" s="77">
        <f>Tabella8[[#This Row],[region fit]]</f>
        <v>5569.4199281904339</v>
      </c>
      <c r="Y136" s="72">
        <f>Tabella3[[#This Row],[region cumul. fit]]/Kl</f>
        <v>0.42334057566492828</v>
      </c>
      <c r="Z136" s="72">
        <f>IFERROR(Kl*psi_l*_xlfn.SECH(psi_l*(Tabella3[[#This Row],[Day]]-pl)-phi_l)^2/(1+TANH(phi_l)),0)</f>
        <v>147.02279370585268</v>
      </c>
      <c r="AA136" s="72">
        <f>Tabella3[[#This Row],[region fit]]/y_l_peak</f>
        <v>0.99856009129629242</v>
      </c>
      <c r="AB136" s="72">
        <f>Tabella3[[#This Row],[region fit]]*NOT(ISBLANK(Tabella3[[#This Row],[region data]]))</f>
        <v>147.02279370585268</v>
      </c>
      <c r="AC136" s="166">
        <f>IFERROR(kl_m*psi_l_m*_xlfn.SECH(psi_l_m*(Tabella3[[#This Row],[Day]]-pl_m)-phi_l_m)^2/(1+TANH(phi_l_m)),0)</f>
        <v>147.02279370585268</v>
      </c>
      <c r="AD136" s="72">
        <f>Tabella3[[#This Row],[6-days moving avg fit]]*NOT(ISBLANK(Tabella3[[#This Row],[6-days moving avg]]))</f>
        <v>147.02279370585268</v>
      </c>
      <c r="AE136" s="72">
        <f>Tabella3[[#This Row],[region fit]]+CIl</f>
        <v>216.38778008095306</v>
      </c>
      <c r="AF136" s="72">
        <f>MAX(Tabella3[[#This Row],[region fit]]-CIl,0)</f>
        <v>77.657807330752277</v>
      </c>
      <c r="AG136" s="10">
        <f>Tabella8[[#This Row],[rest of Italy ]]</f>
        <v>123677</v>
      </c>
      <c r="AH136" s="10">
        <f>(Tabella3[[#This Row],[rest of Italy cum. data]]-AG135)</f>
        <v>2840</v>
      </c>
      <c r="AI136" s="72">
        <f>Tabella3[[#This Row],[rest of Italy data]]*NOT(ISBLANK(Tabella3[[#This Row],[rest of Italy data]]))</f>
        <v>2840</v>
      </c>
      <c r="AJ136" s="77">
        <f>Tabella8[[#This Row],[rest of Italy fit]]</f>
        <v>123918.4168217799</v>
      </c>
      <c r="AK136" s="72">
        <f>Tabella3[[#This Row],[rest of Italy cumul. fit]]/Ka</f>
        <v>0.5585832915549952</v>
      </c>
      <c r="AL136" s="72">
        <f>IFERROR(Ka*psi_a*_xlfn.SECH(psi_a*(Tabella3[[#This Row],[Day]]-pa)-phi_a)^2/(1+TANH(phi_a)),0)</f>
        <v>2934.3160216839369</v>
      </c>
      <c r="AM136" s="72">
        <f>Tabella3[[#This Row],[rest of Italy fit]]/y_a_peak</f>
        <v>0.97180532160957511</v>
      </c>
      <c r="AN136" s="72">
        <f>Tabella3[[#This Row],[rest of Italy fit]]*NOT(ISBLANK(Tabella3[[#This Row],[rest of Italy data]]))</f>
        <v>2934.3160216839369</v>
      </c>
      <c r="AO136" s="72">
        <f>Tabella3[[#This Row],[rest of Italy fit]]+CIa</f>
        <v>4568.4499616377379</v>
      </c>
      <c r="AP136" s="72">
        <f>MAX(Tabella3[[#This Row],[rest of Italy fit]]-CIa,0)</f>
        <v>1300.1820817301355</v>
      </c>
    </row>
    <row r="137" spans="2:73" x14ac:dyDescent="0.3">
      <c r="B137" s="9">
        <v>43960</v>
      </c>
      <c r="C137" s="4">
        <v>130</v>
      </c>
      <c r="D137" s="72">
        <f>'dpc-covid19-ita-andamento-naz'!J77+'dpc-covid19-ita-andamento-naz'!K77</f>
        <v>133426</v>
      </c>
      <c r="E137" s="72">
        <f>(Tabella3[[#This Row],[Italy cumul. data]]-D136)</f>
        <v>4202</v>
      </c>
      <c r="F137" s="10">
        <f>Tabella3[[#This Row],[Italy remov. rate data]]*NOT(ISBLANK(Tabella3[[#This Row],[Italy remov. rate data]]))</f>
        <v>4202</v>
      </c>
      <c r="G137" s="77">
        <f>Tabella8[[#This Row],[Italy fit]]</f>
        <v>132488.45849213048</v>
      </c>
      <c r="H137" s="77">
        <f>Tabella3[[#This Row],[Italy cumul. fit]]/Kf</f>
        <v>0.56378067077732785</v>
      </c>
      <c r="I137" s="77">
        <f>Tabella3[[#This Row],[region fit]]+Tabella3[[#This Row],[rest of Italy fit]]</f>
        <v>3054.4752982232735</v>
      </c>
      <c r="J137" s="77">
        <f>Tabella3[[#This Row],[Italy (fit of selected region + fitted sum of the other regions)]]/(y_l_peak+y_a_peak)</f>
        <v>0.96456611180448337</v>
      </c>
      <c r="K137" s="72">
        <f>IFERROR(Kf*psi_f*_xlfn.SECH(psi_f*(Tabella3[[#This Row],[Day]]-pf)-phi_f)^2/(1+TANH(phi_f)),0)</f>
        <v>3056.2786414660745</v>
      </c>
      <c r="L137" s="292">
        <f>Tabella3[[#This Row],[Italy remov. rate fit]]-Tabella3[[#This Row],[Italy remov. rate data]]</f>
        <v>-1145.7213585339255</v>
      </c>
      <c r="M137" s="293">
        <f>Tabella3[[#This Row],[rem. rate residuals]]*NOT(ISBLANK(Tabella3[[#This Row],[Italy remov. rate data]]))</f>
        <v>-1145.7213585339255</v>
      </c>
      <c r="N137" s="72">
        <f>Tabella3[[#This Row],[Italy remov. rate fit]]/y_f_peak</f>
        <v>0.96748621044385263</v>
      </c>
      <c r="O137" s="72">
        <f>Tabella3[[#This Row],[Italy (fit of selected region + fitted sum of the other regions)]]*NOT(ISBLANK(Tabella3[[#This Row],[Italy remov. rate data]]))</f>
        <v>3054.4752982232735</v>
      </c>
      <c r="P137" s="72">
        <f>Tabella3[[#This Row],[Italy remov. rate fit]]*NOT(ISBLANK(Tabella3[[#This Row],[Italy remov. rate data]]))</f>
        <v>3056.2786414660745</v>
      </c>
      <c r="Q137" s="72">
        <f>Tabella3[[#This Row],[Italy remov. rate fit]]+CIf</f>
        <v>4711.4886103898261</v>
      </c>
      <c r="R137" s="72">
        <f>MAX(Tabella3[[#This Row],[Italy remov. rate fit]]-CIf,0)</f>
        <v>1401.0686725423232</v>
      </c>
      <c r="S137" s="4">
        <f>Tabella8[[#This Row],[region data]]</f>
        <v>5756</v>
      </c>
      <c r="T137" s="72">
        <f>(Tabella3[[#This Row],[region cumul. data]]-S136)</f>
        <v>209</v>
      </c>
      <c r="U137" s="10">
        <f>Tabella3[[#This Row],[region data]]*NOT(ISBLANK(Tabella3[[#This Row],[region data]]))</f>
        <v>209</v>
      </c>
      <c r="V137" s="287">
        <f t="shared" si="1"/>
        <v>164</v>
      </c>
      <c r="W137" s="72">
        <f>Tabella3[[#This Row],[6-days moving avg]]*NOT(ISBLANK(Tabella3[[#This Row],[6-days moving avg]]))</f>
        <v>164</v>
      </c>
      <c r="X137" s="77">
        <f>Tabella8[[#This Row],[region fit]]</f>
        <v>5716.5352766275328</v>
      </c>
      <c r="Y137" s="72">
        <f>Tabella3[[#This Row],[region cumul. fit]]/Kl</f>
        <v>0.43452305015949266</v>
      </c>
      <c r="Z137" s="72">
        <f>IFERROR(Kl*psi_l*_xlfn.SECH(psi_l*(Tabella3[[#This Row],[Day]]-pl)-phi_l)^2/(1+TANH(phi_l)),0)</f>
        <v>147.18805165528795</v>
      </c>
      <c r="AA137" s="72">
        <f>Tabella3[[#This Row],[region fit]]/y_l_peak</f>
        <v>0.9996825022430309</v>
      </c>
      <c r="AB137" s="72">
        <f>Tabella3[[#This Row],[region fit]]*NOT(ISBLANK(Tabella3[[#This Row],[region data]]))</f>
        <v>147.18805165528795</v>
      </c>
      <c r="AC137" s="166">
        <f>IFERROR(kl_m*psi_l_m*_xlfn.SECH(psi_l_m*(Tabella3[[#This Row],[Day]]-pl_m)-phi_l_m)^2/(1+TANH(phi_l_m)),0)</f>
        <v>147.18805165528795</v>
      </c>
      <c r="AD137" s="72">
        <f>Tabella3[[#This Row],[6-days moving avg fit]]*NOT(ISBLANK(Tabella3[[#This Row],[6-days moving avg]]))</f>
        <v>147.18805165528795</v>
      </c>
      <c r="AE137" s="72">
        <f>Tabella3[[#This Row],[region fit]]+CIl</f>
        <v>216.55303803038834</v>
      </c>
      <c r="AF137" s="72">
        <f>MAX(Tabella3[[#This Row],[region fit]]-CIl,0)</f>
        <v>77.823065280187549</v>
      </c>
      <c r="AG137" s="10">
        <f>Tabella8[[#This Row],[rest of Italy ]]</f>
        <v>127670</v>
      </c>
      <c r="AH137" s="10">
        <f>(Tabella3[[#This Row],[rest of Italy cum. data]]-AG136)</f>
        <v>3993</v>
      </c>
      <c r="AI137" s="72">
        <f>Tabella3[[#This Row],[rest of Italy data]]*NOT(ISBLANK(Tabella3[[#This Row],[rest of Italy data]]))</f>
        <v>3993</v>
      </c>
      <c r="AJ137" s="77">
        <f>Tabella8[[#This Row],[rest of Italy fit]]</f>
        <v>126839.50764044405</v>
      </c>
      <c r="AK137" s="72">
        <f>Tabella3[[#This Row],[rest of Italy cumul. fit]]/Ka</f>
        <v>0.57175060410037071</v>
      </c>
      <c r="AL137" s="72">
        <f>IFERROR(Ka*psi_a*_xlfn.SECH(psi_a*(Tabella3[[#This Row],[Day]]-pa)-phi_a)^2/(1+TANH(phi_a)),0)</f>
        <v>2907.2872465679857</v>
      </c>
      <c r="AM137" s="72">
        <f>Tabella3[[#This Row],[rest of Italy fit]]/y_a_peak</f>
        <v>0.96285376107547971</v>
      </c>
      <c r="AN137" s="72">
        <f>Tabella3[[#This Row],[rest of Italy fit]]*NOT(ISBLANK(Tabella3[[#This Row],[rest of Italy data]]))</f>
        <v>2907.2872465679857</v>
      </c>
      <c r="AO137" s="72">
        <f>Tabella3[[#This Row],[rest of Italy fit]]+CIa</f>
        <v>4541.4211865217876</v>
      </c>
      <c r="AP137" s="72">
        <f>MAX(Tabella3[[#This Row],[rest of Italy fit]]-CIa,0)</f>
        <v>1273.1533066141842</v>
      </c>
    </row>
    <row r="138" spans="2:73" x14ac:dyDescent="0.3">
      <c r="B138" s="9">
        <v>43961</v>
      </c>
      <c r="C138" s="4">
        <v>131</v>
      </c>
      <c r="D138" s="72">
        <f>'dpc-covid19-ita-andamento-naz'!J78+'dpc-covid19-ita-andamento-naz'!K78</f>
        <v>135746</v>
      </c>
      <c r="E138" s="72">
        <f>(Tabella3[[#This Row],[Italy cumul. data]]-D137)</f>
        <v>2320</v>
      </c>
      <c r="F138" s="10">
        <f>Tabella3[[#This Row],[Italy remov. rate data]]*NOT(ISBLANK(Tabella3[[#This Row],[Italy remov. rate data]]))</f>
        <v>2320</v>
      </c>
      <c r="G138" s="77">
        <f>Tabella8[[#This Row],[Italy fit]]</f>
        <v>135530.23598639676</v>
      </c>
      <c r="H138" s="77">
        <f>Tabella3[[#This Row],[Italy cumul. fit]]/Kf</f>
        <v>0.57672440471151565</v>
      </c>
      <c r="I138" s="77">
        <f>Tabella3[[#This Row],[region fit]]+Tabella3[[#This Row],[rest of Italy fit]]</f>
        <v>3024.0927167347008</v>
      </c>
      <c r="J138" s="77">
        <f>Tabella3[[#This Row],[Italy (fit of selected region + fitted sum of the other regions)]]/(y_l_peak+y_a_peak)</f>
        <v>0.95497166246974419</v>
      </c>
      <c r="K138" s="72">
        <f>IFERROR(Kf*psi_f*_xlfn.SECH(psi_f*(Tabella3[[#This Row],[Day]]-pf)-phi_f)^2/(1+TANH(phi_f)),0)</f>
        <v>3026.70138307855</v>
      </c>
      <c r="L138" s="292">
        <f>Tabella3[[#This Row],[Italy remov. rate fit]]-Tabella3[[#This Row],[Italy remov. rate data]]</f>
        <v>706.70138307854995</v>
      </c>
      <c r="M138" s="293">
        <f>Tabella3[[#This Row],[rem. rate residuals]]*NOT(ISBLANK(Tabella3[[#This Row],[Italy remov. rate data]]))</f>
        <v>706.70138307854995</v>
      </c>
      <c r="N138" s="72">
        <f>Tabella3[[#This Row],[Italy remov. rate fit]]/y_f_peak</f>
        <v>0.95812332407465095</v>
      </c>
      <c r="O138" s="72">
        <f>Tabella3[[#This Row],[Italy (fit of selected region + fitted sum of the other regions)]]*NOT(ISBLANK(Tabella3[[#This Row],[Italy remov. rate data]]))</f>
        <v>3024.0927167347008</v>
      </c>
      <c r="P138" s="72">
        <f>Tabella3[[#This Row],[Italy remov. rate fit]]*NOT(ISBLANK(Tabella3[[#This Row],[Italy remov. rate data]]))</f>
        <v>3026.70138307855</v>
      </c>
      <c r="Q138" s="72">
        <f>Tabella3[[#This Row],[Italy remov. rate fit]]+CIf</f>
        <v>4681.9113520023011</v>
      </c>
      <c r="R138" s="72">
        <f>MAX(Tabella3[[#This Row],[Italy remov. rate fit]]-CIf,0)</f>
        <v>1371.4914141547986</v>
      </c>
      <c r="S138" s="4">
        <f>Tabella8[[#This Row],[region data]]</f>
        <v>5888</v>
      </c>
      <c r="T138" s="72">
        <f>(Tabella3[[#This Row],[region cumul. data]]-S137)</f>
        <v>132</v>
      </c>
      <c r="U138" s="10">
        <f>Tabella3[[#This Row],[region data]]*NOT(ISBLANK(Tabella3[[#This Row],[region data]]))</f>
        <v>132</v>
      </c>
      <c r="V138" s="287">
        <f t="shared" si="1"/>
        <v>156.66666666666666</v>
      </c>
      <c r="W138" s="72">
        <f>Tabella3[[#This Row],[6-days moving avg]]*NOT(ISBLANK(Tabella3[[#This Row],[6-days moving avg]]))</f>
        <v>156.66666666666666</v>
      </c>
      <c r="X138" s="77">
        <f>Tabella8[[#This Row],[region fit]]</f>
        <v>5863.7562584701736</v>
      </c>
      <c r="Y138" s="72">
        <f>Tabella3[[#This Row],[region cumul. fit]]/Kl</f>
        <v>0.44571355401928503</v>
      </c>
      <c r="Z138" s="72">
        <f>IFERROR(Kl*psi_l*_xlfn.SECH(psi_l*(Tabella3[[#This Row],[Day]]-pl)-phi_l)^2/(1+TANH(phi_l)),0)</f>
        <v>147.23400340293139</v>
      </c>
      <c r="AA138" s="72">
        <f>Tabella3[[#This Row],[region fit]]/y_l_peak</f>
        <v>0.9999946006610072</v>
      </c>
      <c r="AB138" s="72">
        <f>Tabella3[[#This Row],[region fit]]*NOT(ISBLANK(Tabella3[[#This Row],[region data]]))</f>
        <v>147.23400340293139</v>
      </c>
      <c r="AC138" s="166">
        <f>IFERROR(kl_m*psi_l_m*_xlfn.SECH(psi_l_m*(Tabella3[[#This Row],[Day]]-pl_m)-phi_l_m)^2/(1+TANH(phi_l_m)),0)</f>
        <v>147.23400340293139</v>
      </c>
      <c r="AD138" s="72">
        <f>Tabella3[[#This Row],[6-days moving avg fit]]*NOT(ISBLANK(Tabella3[[#This Row],[6-days moving avg]]))</f>
        <v>147.23400340293139</v>
      </c>
      <c r="AE138" s="72">
        <f>Tabella3[[#This Row],[region fit]]+CIl</f>
        <v>216.59898977803181</v>
      </c>
      <c r="AF138" s="72">
        <f>MAX(Tabella3[[#This Row],[region fit]]-CIl,0)</f>
        <v>77.869017027830992</v>
      </c>
      <c r="AG138" s="10">
        <f>Tabella8[[#This Row],[rest of Italy ]]</f>
        <v>129858</v>
      </c>
      <c r="AH138" s="10">
        <f>(Tabella3[[#This Row],[rest of Italy cum. data]]-AG137)</f>
        <v>2188</v>
      </c>
      <c r="AI138" s="72">
        <f>Tabella3[[#This Row],[rest of Italy data]]*NOT(ISBLANK(Tabella3[[#This Row],[rest of Italy data]]))</f>
        <v>2188</v>
      </c>
      <c r="AJ138" s="77">
        <f>Tabella8[[#This Row],[rest of Italy fit]]</f>
        <v>129731.85789839989</v>
      </c>
      <c r="AK138" s="72">
        <f>Tabella3[[#This Row],[rest of Italy cumul. fit]]/Ka</f>
        <v>0.58478836369136433</v>
      </c>
      <c r="AL138" s="72">
        <f>IFERROR(Ka*psi_a*_xlfn.SECH(psi_a*(Tabella3[[#This Row],[Day]]-pa)-phi_a)^2/(1+TANH(phi_a)),0)</f>
        <v>2876.8587133317696</v>
      </c>
      <c r="AM138" s="72">
        <f>Tabella3[[#This Row],[rest of Italy fit]]/y_a_peak</f>
        <v>0.9527762471645006</v>
      </c>
      <c r="AN138" s="72">
        <f>Tabella3[[#This Row],[rest of Italy fit]]*NOT(ISBLANK(Tabella3[[#This Row],[rest of Italy data]]))</f>
        <v>2876.8587133317696</v>
      </c>
      <c r="AO138" s="72">
        <f>Tabella3[[#This Row],[rest of Italy fit]]+CIa</f>
        <v>4510.9926532855716</v>
      </c>
      <c r="AP138" s="72">
        <f>MAX(Tabella3[[#This Row],[rest of Italy fit]]-CIa,0)</f>
        <v>1242.7247733779682</v>
      </c>
    </row>
    <row r="139" spans="2:73" x14ac:dyDescent="0.3">
      <c r="B139" s="9">
        <v>43962</v>
      </c>
      <c r="C139" s="4">
        <v>132</v>
      </c>
      <c r="D139" s="72">
        <f>'dpc-covid19-ita-andamento-naz'!J79+'dpc-covid19-ita-andamento-naz'!K79</f>
        <v>137326</v>
      </c>
      <c r="E139" s="72">
        <f>(Tabella3[[#This Row],[Italy cumul. data]]-D138)</f>
        <v>1580</v>
      </c>
      <c r="F139" s="10">
        <f>Tabella3[[#This Row],[Italy remov. rate data]]*NOT(ISBLANK(Tabella3[[#This Row],[Italy remov. rate data]]))</f>
        <v>1580</v>
      </c>
      <c r="G139" s="77">
        <f>Tabella8[[#This Row],[Italy fit]]</f>
        <v>138540.73580144349</v>
      </c>
      <c r="H139" s="77">
        <f>Tabella3[[#This Row],[Italy cumul. fit]]/Kf</f>
        <v>0.58953504213924957</v>
      </c>
      <c r="I139" s="77">
        <f>Tabella3[[#This Row],[region fit]]+Tabella3[[#This Row],[rest of Italy fit]]</f>
        <v>2990.3408943703685</v>
      </c>
      <c r="J139" s="77">
        <f>Tabella3[[#This Row],[Italy (fit of selected region + fitted sum of the other regions)]]/(y_l_peak+y_a_peak)</f>
        <v>0.94431324788599669</v>
      </c>
      <c r="K139" s="72">
        <f>IFERROR(Kf*psi_f*_xlfn.SECH(psi_f*(Tabella3[[#This Row],[Day]]-pf)-phi_f)^2/(1+TANH(phi_f)),0)</f>
        <v>2993.7482133843482</v>
      </c>
      <c r="L139" s="292">
        <f>Tabella3[[#This Row],[Italy remov. rate fit]]-Tabella3[[#This Row],[Italy remov. rate data]]</f>
        <v>1413.7482133843482</v>
      </c>
      <c r="M139" s="293">
        <f>Tabella3[[#This Row],[rem. rate residuals]]*NOT(ISBLANK(Tabella3[[#This Row],[Italy remov. rate data]]))</f>
        <v>1413.7482133843482</v>
      </c>
      <c r="N139" s="72">
        <f>Tabella3[[#This Row],[Italy remov. rate fit]]/y_f_peak</f>
        <v>0.94769176955700951</v>
      </c>
      <c r="O139" s="72">
        <f>Tabella3[[#This Row],[Italy (fit of selected region + fitted sum of the other regions)]]*NOT(ISBLANK(Tabella3[[#This Row],[Italy remov. rate data]]))</f>
        <v>2990.3408943703685</v>
      </c>
      <c r="P139" s="72">
        <f>Tabella3[[#This Row],[Italy remov. rate fit]]*NOT(ISBLANK(Tabella3[[#This Row],[Italy remov. rate data]]))</f>
        <v>2993.7482133843482</v>
      </c>
      <c r="Q139" s="72">
        <f>Tabella3[[#This Row],[Italy remov. rate fit]]+CIf</f>
        <v>4648.9581823080998</v>
      </c>
      <c r="R139" s="72">
        <f>MAX(Tabella3[[#This Row],[Italy remov. rate fit]]-CIf,0)</f>
        <v>1338.5382444605968</v>
      </c>
      <c r="S139" s="4">
        <f>Tabella8[[#This Row],[region data]]</f>
        <v>5988</v>
      </c>
      <c r="T139" s="72">
        <f>(Tabella3[[#This Row],[region cumul. data]]-S138)</f>
        <v>100</v>
      </c>
      <c r="U139" s="10">
        <f>Tabella3[[#This Row],[region data]]*NOT(ISBLANK(Tabella3[[#This Row],[region data]]))</f>
        <v>100</v>
      </c>
      <c r="V139" s="287">
        <f t="shared" si="1"/>
        <v>139.83333333333334</v>
      </c>
      <c r="W139" s="72">
        <f>Tabella3[[#This Row],[6-days moving avg]]*NOT(ISBLANK(Tabella3[[#This Row],[6-days moving avg]]))</f>
        <v>139.83333333333334</v>
      </c>
      <c r="X139" s="77">
        <f>Tabella8[[#This Row],[region fit]]</f>
        <v>6010.9634607081543</v>
      </c>
      <c r="Y139" s="72">
        <f>Tabella3[[#This Row],[region cumul. fit]]/Kl</f>
        <v>0.45690301046914161</v>
      </c>
      <c r="Z139" s="72">
        <f>IFERROR(Kl*psi_l*_xlfn.SECH(psi_l*(Tabella3[[#This Row],[Day]]-pl)-phi_l)^2/(1+TANH(phi_l)),0)</f>
        <v>147.16049989983387</v>
      </c>
      <c r="AA139" s="72">
        <f>Tabella3[[#This Row],[region fit]]/y_l_peak</f>
        <v>0.99949537422874046</v>
      </c>
      <c r="AB139" s="72">
        <f>Tabella3[[#This Row],[region fit]]*NOT(ISBLANK(Tabella3[[#This Row],[region data]]))</f>
        <v>147.16049989983387</v>
      </c>
      <c r="AC139" s="166">
        <f>IFERROR(kl_m*psi_l_m*_xlfn.SECH(psi_l_m*(Tabella3[[#This Row],[Day]]-pl_m)-phi_l_m)^2/(1+TANH(phi_l_m)),0)</f>
        <v>147.16049989983387</v>
      </c>
      <c r="AD139" s="72">
        <f>Tabella3[[#This Row],[6-days moving avg fit]]*NOT(ISBLANK(Tabella3[[#This Row],[6-days moving avg]]))</f>
        <v>147.16049989983387</v>
      </c>
      <c r="AE139" s="72">
        <f>Tabella3[[#This Row],[region fit]]+CIl</f>
        <v>216.52548627493428</v>
      </c>
      <c r="AF139" s="72">
        <f>MAX(Tabella3[[#This Row],[region fit]]-CIl,0)</f>
        <v>77.795513524733465</v>
      </c>
      <c r="AG139" s="10">
        <f>Tabella8[[#This Row],[rest of Italy ]]</f>
        <v>131338</v>
      </c>
      <c r="AH139" s="10">
        <f>(Tabella3[[#This Row],[rest of Italy cum. data]]-AG138)</f>
        <v>1480</v>
      </c>
      <c r="AI139" s="72">
        <f>Tabella3[[#This Row],[rest of Italy data]]*NOT(ISBLANK(Tabella3[[#This Row],[rest of Italy data]]))</f>
        <v>1480</v>
      </c>
      <c r="AJ139" s="77">
        <f>Tabella8[[#This Row],[rest of Italy fit]]</f>
        <v>132592.1416584613</v>
      </c>
      <c r="AK139" s="72">
        <f>Tabella3[[#This Row],[rest of Italy cumul. fit]]/Ka</f>
        <v>0.59768157810173106</v>
      </c>
      <c r="AL139" s="72">
        <f>IFERROR(Ka*psi_a*_xlfn.SECH(psi_a*(Tabella3[[#This Row],[Day]]-pa)-phi_a)^2/(1+TANH(phi_a)),0)</f>
        <v>2843.1803944705348</v>
      </c>
      <c r="AM139" s="72">
        <f>Tabella3[[#This Row],[rest of Italy fit]]/y_a_peak</f>
        <v>0.94162244871526957</v>
      </c>
      <c r="AN139" s="72">
        <f>Tabella3[[#This Row],[rest of Italy fit]]*NOT(ISBLANK(Tabella3[[#This Row],[rest of Italy data]]))</f>
        <v>2843.1803944705348</v>
      </c>
      <c r="AO139" s="72">
        <f>Tabella3[[#This Row],[rest of Italy fit]]+CIa</f>
        <v>4477.3143344243363</v>
      </c>
      <c r="AP139" s="72">
        <f>MAX(Tabella3[[#This Row],[rest of Italy fit]]-CIa,0)</f>
        <v>1209.0464545167333</v>
      </c>
    </row>
    <row r="140" spans="2:73" x14ac:dyDescent="0.3">
      <c r="B140" s="9">
        <v>43963</v>
      </c>
      <c r="C140" s="4">
        <v>133</v>
      </c>
      <c r="D140" s="72">
        <f>'dpc-covid19-ita-andamento-naz'!J80+'dpc-covid19-ita-andamento-naz'!K80</f>
        <v>139950</v>
      </c>
      <c r="E140" s="72">
        <f>(Tabella3[[#This Row],[Italy cumul. data]]-D139)</f>
        <v>2624</v>
      </c>
      <c r="F140" s="10">
        <f>Tabella3[[#This Row],[Italy remov. rate data]]*NOT(ISBLANK(Tabella3[[#This Row],[Italy remov. rate data]]))</f>
        <v>2624</v>
      </c>
      <c r="G140" s="77">
        <f>Tabella8[[#This Row],[Italy fit]]</f>
        <v>141516.65903760181</v>
      </c>
      <c r="H140" s="77">
        <f>Tabella3[[#This Row],[Italy cumul. fit]]/Kf</f>
        <v>0.60219854518968952</v>
      </c>
      <c r="I140" s="77">
        <f>Tabella3[[#This Row],[region fit]]+Tabella3[[#This Row],[rest of Italy fit]]</f>
        <v>2953.3832408215812</v>
      </c>
      <c r="J140" s="77">
        <f>Tabella3[[#This Row],[Italy (fit of selected region + fitted sum of the other regions)]]/(y_l_peak+y_a_peak)</f>
        <v>0.93264247084428786</v>
      </c>
      <c r="K140" s="72">
        <f>IFERROR(Kf*psi_f*_xlfn.SECH(psi_f*(Tabella3[[#This Row],[Day]]-pf)-phi_f)^2/(1+TANH(phi_f)),0)</f>
        <v>2957.5753251999417</v>
      </c>
      <c r="L140" s="292">
        <f>Tabella3[[#This Row],[Italy remov. rate fit]]-Tabella3[[#This Row],[Italy remov. rate data]]</f>
        <v>333.57532519994174</v>
      </c>
      <c r="M140" s="293">
        <f>Tabella3[[#This Row],[rem. rate residuals]]*NOT(ISBLANK(Tabella3[[#This Row],[Italy remov. rate data]]))</f>
        <v>333.57532519994174</v>
      </c>
      <c r="N140" s="72">
        <f>Tabella3[[#This Row],[Italy remov. rate fit]]/y_f_peak</f>
        <v>0.93624099081075196</v>
      </c>
      <c r="O140" s="72">
        <f>Tabella3[[#This Row],[Italy (fit of selected region + fitted sum of the other regions)]]*NOT(ISBLANK(Tabella3[[#This Row],[Italy remov. rate data]]))</f>
        <v>2953.3832408215812</v>
      </c>
      <c r="P140" s="72">
        <f>Tabella3[[#This Row],[Italy remov. rate fit]]*NOT(ISBLANK(Tabella3[[#This Row],[Italy remov. rate data]]))</f>
        <v>2957.5753251999417</v>
      </c>
      <c r="Q140" s="72">
        <f>Tabella3[[#This Row],[Italy remov. rate fit]]+CIf</f>
        <v>4612.7852941236933</v>
      </c>
      <c r="R140" s="72">
        <f>MAX(Tabella3[[#This Row],[Italy remov. rate fit]]-CIf,0)</f>
        <v>1302.3653562761904</v>
      </c>
      <c r="S140" s="4">
        <f>Tabella8[[#This Row],[region data]]</f>
        <v>6084</v>
      </c>
      <c r="T140" s="72">
        <f>(Tabella3[[#This Row],[region cumul. data]]-S139)</f>
        <v>96</v>
      </c>
      <c r="U140" s="10">
        <f>Tabella3[[#This Row],[region data]]*NOT(ISBLANK(Tabella3[[#This Row],[region data]]))</f>
        <v>96</v>
      </c>
      <c r="V140" s="302">
        <f t="shared" ref="V140:V148" si="2">AVERAGE(T136:T141)</f>
        <v>135.83333333333334</v>
      </c>
      <c r="W140" s="72">
        <f>Tabella3[[#This Row],[6-days moving avg]]*NOT(ISBLANK(Tabella3[[#This Row],[6-days moving avg]]))</f>
        <v>135.83333333333334</v>
      </c>
      <c r="X140" s="77">
        <f>Tabella8[[#This Row],[region fit]]</f>
        <v>6158.0375150236268</v>
      </c>
      <c r="Y140" s="72">
        <f>Tabella3[[#This Row],[region cumul. fit]]/Kl</f>
        <v>0.46808234613103644</v>
      </c>
      <c r="Z140" s="72">
        <f>IFERROR(Kl*psi_l*_xlfn.SECH(psi_l*(Tabella3[[#This Row],[Day]]-pl)-phi_l)^2/(1+TANH(phi_l)),0)</f>
        <v>146.96777952829211</v>
      </c>
      <c r="AA140" s="72">
        <f>Tabella3[[#This Row],[region fit]]/y_l_peak</f>
        <v>0.99818644200843176</v>
      </c>
      <c r="AB140" s="72">
        <f>Tabella3[[#This Row],[region fit]]*NOT(ISBLANK(Tabella3[[#This Row],[region data]]))</f>
        <v>146.96777952829211</v>
      </c>
      <c r="AC140" s="166">
        <f>IFERROR(kl_m*psi_l_m*_xlfn.SECH(psi_l_m*(Tabella3[[#This Row],[Day]]-pl_m)-phi_l_m)^2/(1+TANH(phi_l_m)),0)</f>
        <v>146.96777952829211</v>
      </c>
      <c r="AD140" s="72">
        <f>Tabella3[[#This Row],[6-days moving avg fit]]*NOT(ISBLANK(Tabella3[[#This Row],[6-days moving avg]]))</f>
        <v>146.96777952829211</v>
      </c>
      <c r="AE140" s="72">
        <f>Tabella3[[#This Row],[region fit]]+CIl</f>
        <v>216.3327659033925</v>
      </c>
      <c r="AF140" s="72">
        <f>MAX(Tabella3[[#This Row],[region fit]]-CIl,0)</f>
        <v>77.602793153191712</v>
      </c>
      <c r="AG140" s="10">
        <f>Tabella8[[#This Row],[rest of Italy ]]</f>
        <v>133866</v>
      </c>
      <c r="AH140" s="10">
        <f>(Tabella3[[#This Row],[rest of Italy cum. data]]-AG139)</f>
        <v>2528</v>
      </c>
      <c r="AI140" s="72">
        <f>Tabella3[[#This Row],[rest of Italy data]]*NOT(ISBLANK(Tabella3[[#This Row],[rest of Italy data]]))</f>
        <v>2528</v>
      </c>
      <c r="AJ140" s="77">
        <f>Tabella8[[#This Row],[rest of Italy fit]]</f>
        <v>135417.18968722245</v>
      </c>
      <c r="AK140" s="72">
        <f>Tabella3[[#This Row],[rest of Italy cumul. fit]]/Ka</f>
        <v>0.61041596147410637</v>
      </c>
      <c r="AL140" s="72">
        <f>IFERROR(Ka*psi_a*_xlfn.SECH(psi_a*(Tabella3[[#This Row],[Day]]-pa)-phi_a)^2/(1+TANH(phi_a)),0)</f>
        <v>2806.4154612932894</v>
      </c>
      <c r="AM140" s="72">
        <f>Tabella3[[#This Row],[rest of Italy fit]]/y_a_peak</f>
        <v>0.92944640583296134</v>
      </c>
      <c r="AN140" s="72">
        <f>Tabella3[[#This Row],[rest of Italy fit]]*NOT(ISBLANK(Tabella3[[#This Row],[rest of Italy data]]))</f>
        <v>2806.4154612932894</v>
      </c>
      <c r="AO140" s="72">
        <f>Tabella3[[#This Row],[rest of Italy fit]]+CIa</f>
        <v>4440.5494012470908</v>
      </c>
      <c r="AP140" s="72">
        <f>MAX(Tabella3[[#This Row],[rest of Italy fit]]-CIa,0)</f>
        <v>1172.2815213394879</v>
      </c>
    </row>
    <row r="141" spans="2:73" x14ac:dyDescent="0.3">
      <c r="B141" s="9">
        <v>43964</v>
      </c>
      <c r="C141" s="4">
        <v>134</v>
      </c>
      <c r="D141" s="72">
        <f>'dpc-covid19-ita-andamento-naz'!J81+'dpc-covid19-ita-andamento-naz'!K81</f>
        <v>143647</v>
      </c>
      <c r="E141" s="72">
        <f>(Tabella3[[#This Row],[Italy cumul. data]]-D140)</f>
        <v>3697</v>
      </c>
      <c r="F141" s="10">
        <f>Tabella3[[#This Row],[Italy remov. rate data]]*NOT(ISBLANK(Tabella3[[#This Row],[Italy remov. rate data]]))</f>
        <v>3697</v>
      </c>
      <c r="G141" s="77">
        <f>Tabella8[[#This Row],[Italy fit]]</f>
        <v>144454.86923732565</v>
      </c>
      <c r="H141" s="77">
        <f>Tabella3[[#This Row],[Italy cumul. fit]]/Kf</f>
        <v>0.6147015672350663</v>
      </c>
      <c r="I141" s="77">
        <f>Tabella3[[#This Row],[region fit]]+Tabella3[[#This Row],[rest of Italy fit]]</f>
        <v>2913.3951253406735</v>
      </c>
      <c r="J141" s="77">
        <f>Tabella3[[#This Row],[Italy (fit of selected region + fitted sum of the other regions)]]/(y_l_peak+y_a_peak)</f>
        <v>0.92001471081943387</v>
      </c>
      <c r="K141" s="72">
        <f>IFERROR(Kf*psi_f*_xlfn.SECH(psi_f*(Tabella3[[#This Row],[Day]]-pf)-phi_f)^2/(1+TANH(phi_f)),0)</f>
        <v>2918.3511480237794</v>
      </c>
      <c r="L141" s="292">
        <f>Tabella3[[#This Row],[Italy remov. rate fit]]-Tabella3[[#This Row],[Italy remov. rate data]]</f>
        <v>-778.64885197622061</v>
      </c>
      <c r="M141" s="293">
        <f>Tabella3[[#This Row],[rem. rate residuals]]*NOT(ISBLANK(Tabella3[[#This Row],[Italy remov. rate data]]))</f>
        <v>-778.64885197622061</v>
      </c>
      <c r="N141" s="72">
        <f>Tabella3[[#This Row],[Italy remov. rate fit]]/y_f_peak</f>
        <v>0.92382430536228788</v>
      </c>
      <c r="O141" s="72">
        <f>Tabella3[[#This Row],[Italy (fit of selected region + fitted sum of the other regions)]]*NOT(ISBLANK(Tabella3[[#This Row],[Italy remov. rate data]]))</f>
        <v>2913.3951253406735</v>
      </c>
      <c r="P141" s="72">
        <f>Tabella3[[#This Row],[Italy remov. rate fit]]*NOT(ISBLANK(Tabella3[[#This Row],[Italy remov. rate data]]))</f>
        <v>2918.3511480237794</v>
      </c>
      <c r="Q141" s="72">
        <f>Tabella3[[#This Row],[Italy remov. rate fit]]+CIf</f>
        <v>4573.5611169475305</v>
      </c>
      <c r="R141" s="72">
        <f>MAX(Tabella3[[#This Row],[Italy remov. rate fit]]-CIf,0)</f>
        <v>1263.141179100028</v>
      </c>
      <c r="S141" s="4">
        <f>Tabella8[[#This Row],[region data]]</f>
        <v>6212</v>
      </c>
      <c r="T141" s="72">
        <f>(Tabella3[[#This Row],[region cumul. data]]-S140)</f>
        <v>128</v>
      </c>
      <c r="U141" s="10">
        <f>Tabella3[[#This Row],[region data]]*NOT(ISBLANK(Tabella3[[#This Row],[region data]]))</f>
        <v>128</v>
      </c>
      <c r="V141" s="302">
        <f t="shared" si="2"/>
        <v>131.33333333333334</v>
      </c>
      <c r="W141" s="72">
        <f>Tabella3[[#This Row],[6-days moving avg]]*NOT(ISBLANK(Tabella3[[#This Row],[6-days moving avg]]))</f>
        <v>131.33333333333334</v>
      </c>
      <c r="X141" s="77">
        <f>Tabella8[[#This Row],[region fit]]</f>
        <v>6304.8594846236765</v>
      </c>
      <c r="Y141" s="72">
        <f>Tabella3[[#This Row],[region cumul. fit]]/Kl</f>
        <v>0.47924252042784848</v>
      </c>
      <c r="Z141" s="72">
        <f>IFERROR(Kl*psi_l*_xlfn.SECH(psi_l*(Tabella3[[#This Row],[Day]]-pl)-phi_l)^2/(1+TANH(phi_l)),0)</f>
        <v>146.6564664605672</v>
      </c>
      <c r="AA141" s="72">
        <f>Tabella3[[#This Row],[region fit]]/y_l_peak</f>
        <v>0.99607204329858923</v>
      </c>
      <c r="AB141" s="72">
        <f>Tabella3[[#This Row],[region fit]]*NOT(ISBLANK(Tabella3[[#This Row],[region data]]))</f>
        <v>146.6564664605672</v>
      </c>
      <c r="AC141" s="166">
        <f>IFERROR(kl_m*psi_l_m*_xlfn.SECH(psi_l_m*(Tabella3[[#This Row],[Day]]-pl_m)-phi_l_m)^2/(1+TANH(phi_l_m)),0)</f>
        <v>146.6564664605672</v>
      </c>
      <c r="AD141" s="72">
        <f>Tabella3[[#This Row],[6-days moving avg fit]]*NOT(ISBLANK(Tabella3[[#This Row],[6-days moving avg]]))</f>
        <v>146.6564664605672</v>
      </c>
      <c r="AE141" s="72">
        <f>Tabella3[[#This Row],[region fit]]+CIl</f>
        <v>216.02145283566762</v>
      </c>
      <c r="AF141" s="72">
        <f>MAX(Tabella3[[#This Row],[region fit]]-CIl,0)</f>
        <v>77.291480085466802</v>
      </c>
      <c r="AG141" s="10">
        <f>Tabella8[[#This Row],[rest of Italy ]]</f>
        <v>137435</v>
      </c>
      <c r="AH141" s="10">
        <f>(Tabella3[[#This Row],[rest of Italy cum. data]]-AG140)</f>
        <v>3569</v>
      </c>
      <c r="AI141" s="72">
        <f>Tabella3[[#This Row],[rest of Italy data]]*NOT(ISBLANK(Tabella3[[#This Row],[rest of Italy data]]))</f>
        <v>3569</v>
      </c>
      <c r="AJ141" s="77">
        <f>Tabella8[[#This Row],[rest of Italy fit]]</f>
        <v>138204.00184813639</v>
      </c>
      <c r="AK141" s="72">
        <f>Tabella3[[#This Row],[rest of Italy cumul. fit]]/Ka</f>
        <v>0.62297799018391153</v>
      </c>
      <c r="AL141" s="72">
        <f>IFERROR(Ka*psi_a*_xlfn.SECH(psi_a*(Tabella3[[#This Row],[Day]]-pa)-phi_a)^2/(1+TANH(phi_a)),0)</f>
        <v>2766.7386588801064</v>
      </c>
      <c r="AM141" s="72">
        <f>Tabella3[[#This Row],[rest of Italy fit]]/y_a_peak</f>
        <v>0.91630599169738536</v>
      </c>
      <c r="AN141" s="72">
        <f>Tabella3[[#This Row],[rest of Italy fit]]*NOT(ISBLANK(Tabella3[[#This Row],[rest of Italy data]]))</f>
        <v>2766.7386588801064</v>
      </c>
      <c r="AO141" s="72">
        <f>Tabella3[[#This Row],[rest of Italy fit]]+CIa</f>
        <v>4400.8725988339083</v>
      </c>
      <c r="AP141" s="72">
        <f>MAX(Tabella3[[#This Row],[rest of Italy fit]]-CIa,0)</f>
        <v>1132.6047189263049</v>
      </c>
    </row>
    <row r="142" spans="2:73" x14ac:dyDescent="0.3">
      <c r="B142" s="9">
        <v>43965</v>
      </c>
      <c r="C142" s="4">
        <v>135</v>
      </c>
      <c r="D142" s="72">
        <f>'dpc-covid19-ita-andamento-naz'!J82+'dpc-covid19-ita-andamento-naz'!K82</f>
        <v>146656</v>
      </c>
      <c r="E142" s="72">
        <f>(Tabella3[[#This Row],[Italy cumul. data]]-D141)</f>
        <v>3009</v>
      </c>
      <c r="F142" s="10">
        <f>Tabella3[[#This Row],[Italy remov. rate data]]*NOT(ISBLANK(Tabella3[[#This Row],[Italy remov. rate data]]))</f>
        <v>3009</v>
      </c>
      <c r="G142" s="77">
        <f>Tabella8[[#This Row],[Italy fit]]</f>
        <v>147352.40382427152</v>
      </c>
      <c r="H142" s="77">
        <f>Tabella3[[#This Row],[Italy cumul. fit]]/Kf</f>
        <v>0.62703150156761711</v>
      </c>
      <c r="I142" s="77">
        <f>Tabella3[[#This Row],[region fit]]+Tabella3[[#This Row],[rest of Italy fit]]</f>
        <v>2870.5621794157541</v>
      </c>
      <c r="J142" s="77">
        <f>Tabella3[[#This Row],[Italy (fit of selected region + fitted sum of the other regions)]]/(y_l_peak+y_a_peak)</f>
        <v>0.90648858797536846</v>
      </c>
      <c r="K142" s="72">
        <f>IFERROR(Kf*psi_f*_xlfn.SECH(psi_f*(Tabella3[[#This Row],[Day]]-pf)-phi_f)^2/(1+TANH(phi_f)),0)</f>
        <v>2876.2547418634704</v>
      </c>
      <c r="L142" s="292">
        <f>Tabella3[[#This Row],[Italy remov. rate fit]]-Tabella3[[#This Row],[Italy remov. rate data]]</f>
        <v>-132.74525813652963</v>
      </c>
      <c r="M142" s="293">
        <f>Tabella3[[#This Row],[rem. rate residuals]]*NOT(ISBLANK(Tabella3[[#This Row],[Italy remov. rate data]]))</f>
        <v>-132.74525813652963</v>
      </c>
      <c r="N142" s="72">
        <f>Tabella3[[#This Row],[Italy remov. rate fit]]/y_f_peak</f>
        <v>0.91049839589946291</v>
      </c>
      <c r="O142" s="72">
        <f>Tabella3[[#This Row],[Italy (fit of selected region + fitted sum of the other regions)]]*NOT(ISBLANK(Tabella3[[#This Row],[Italy remov. rate data]]))</f>
        <v>2870.5621794157541</v>
      </c>
      <c r="P142" s="72">
        <f>Tabella3[[#This Row],[Italy remov. rate fit]]*NOT(ISBLANK(Tabella3[[#This Row],[Italy remov. rate data]]))</f>
        <v>2876.2547418634704</v>
      </c>
      <c r="Q142" s="72">
        <f>Tabella3[[#This Row],[Italy remov. rate fit]]+CIf</f>
        <v>4531.4647107872215</v>
      </c>
      <c r="R142" s="72">
        <f>MAX(Tabella3[[#This Row],[Italy remov. rate fit]]-CIf,0)</f>
        <v>1221.044772939719</v>
      </c>
      <c r="S142" s="4">
        <f>Tabella8[[#This Row],[region data]]</f>
        <v>6335</v>
      </c>
      <c r="T142" s="72">
        <f>(Tabella3[[#This Row],[region cumul. data]]-S141)</f>
        <v>123</v>
      </c>
      <c r="U142" s="10">
        <f>Tabella3[[#This Row],[region data]]*NOT(ISBLANK(Tabella3[[#This Row],[region data]]))</f>
        <v>123</v>
      </c>
      <c r="V142" s="302">
        <f t="shared" si="2"/>
        <v>116.83333333333333</v>
      </c>
      <c r="W142" s="72">
        <f>Tabella3[[#This Row],[6-days moving avg]]*NOT(ISBLANK(Tabella3[[#This Row],[6-days moving avg]]))</f>
        <v>116.83333333333333</v>
      </c>
      <c r="X142" s="77">
        <f>Tabella8[[#This Row],[region fit]]</f>
        <v>6451.31124810454</v>
      </c>
      <c r="Y142" s="72">
        <f>Tabella3[[#This Row],[region cumul. fit]]/Kl</f>
        <v>0.49037455476149888</v>
      </c>
      <c r="Z142" s="72">
        <f>IFERROR(Kl*psi_l*_xlfn.SECH(psi_l*(Tabella3[[#This Row],[Day]]-pl)-phi_l)^2/(1+TANH(phi_l)),0)</f>
        <v>146.22756636928099</v>
      </c>
      <c r="AA142" s="72">
        <f>Tabella3[[#This Row],[region fit]]/y_l_peak</f>
        <v>0.99315900849958649</v>
      </c>
      <c r="AB142" s="72">
        <f>Tabella3[[#This Row],[region fit]]*NOT(ISBLANK(Tabella3[[#This Row],[region data]]))</f>
        <v>146.22756636928099</v>
      </c>
      <c r="AC142" s="166">
        <f>IFERROR(kl_m*psi_l_m*_xlfn.SECH(psi_l_m*(Tabella3[[#This Row],[Day]]-pl_m)-phi_l_m)^2/(1+TANH(phi_l_m)),0)</f>
        <v>146.22756636928099</v>
      </c>
      <c r="AD142" s="72">
        <f>Tabella3[[#This Row],[6-days moving avg fit]]*NOT(ISBLANK(Tabella3[[#This Row],[6-days moving avg]]))</f>
        <v>146.22756636928099</v>
      </c>
      <c r="AE142" s="72">
        <f>Tabella3[[#This Row],[region fit]]+CIl</f>
        <v>215.59255274438141</v>
      </c>
      <c r="AF142" s="72">
        <f>MAX(Tabella3[[#This Row],[region fit]]-CIl,0)</f>
        <v>76.862579994180592</v>
      </c>
      <c r="AG142" s="10">
        <f>Tabella8[[#This Row],[rest of Italy ]]</f>
        <v>140321</v>
      </c>
      <c r="AH142" s="10">
        <f>(Tabella3[[#This Row],[rest of Italy cum. data]]-AG141)</f>
        <v>2886</v>
      </c>
      <c r="AI142" s="72">
        <f>Tabella3[[#This Row],[rest of Italy data]]*NOT(ISBLANK(Tabella3[[#This Row],[rest of Italy data]]))</f>
        <v>2886</v>
      </c>
      <c r="AJ142" s="77">
        <f>Tabella8[[#This Row],[rest of Italy fit]]</f>
        <v>140949.75783331352</v>
      </c>
      <c r="AK142" s="72">
        <f>Tabella3[[#This Row],[rest of Italy cumul. fit]]/Ka</f>
        <v>0.63535495121475571</v>
      </c>
      <c r="AL142" s="72">
        <f>IFERROR(Ka*psi_a*_xlfn.SECH(psi_a*(Tabella3[[#This Row],[Day]]-pa)-phi_a)^2/(1+TANH(phi_a)),0)</f>
        <v>2724.3346130464734</v>
      </c>
      <c r="AM142" s="72">
        <f>Tabella3[[#This Row],[rest of Italy fit]]/y_a_peak</f>
        <v>0.90226235185274029</v>
      </c>
      <c r="AN142" s="72">
        <f>Tabella3[[#This Row],[rest of Italy fit]]*NOT(ISBLANK(Tabella3[[#This Row],[rest of Italy data]]))</f>
        <v>2724.3346130464734</v>
      </c>
      <c r="AO142" s="72">
        <f>Tabella3[[#This Row],[rest of Italy fit]]+CIa</f>
        <v>4358.4685530002753</v>
      </c>
      <c r="AP142" s="72">
        <f>MAX(Tabella3[[#This Row],[rest of Italy fit]]-CIa,0)</f>
        <v>1090.2006730926719</v>
      </c>
    </row>
    <row r="143" spans="2:73" x14ac:dyDescent="0.3">
      <c r="B143" s="9">
        <v>43966</v>
      </c>
      <c r="C143" s="4">
        <v>136</v>
      </c>
      <c r="D143" s="72">
        <f>'dpc-covid19-ita-andamento-naz'!J83+'dpc-covid19-ita-andamento-naz'!K83</f>
        <v>151815</v>
      </c>
      <c r="E143" s="72">
        <f>(Tabella3[[#This Row],[Italy cumul. data]]-D142)</f>
        <v>5159</v>
      </c>
      <c r="F143" s="10">
        <f>Tabella3[[#This Row],[Italy remov. rate data]]*NOT(ISBLANK(Tabella3[[#This Row],[Italy remov. rate data]]))</f>
        <v>5159</v>
      </c>
      <c r="G143" s="77">
        <f>Tabella8[[#This Row],[Italy fit]]</f>
        <v>150206.48390750558</v>
      </c>
      <c r="H143" s="77">
        <f>Tabella3[[#This Row],[Italy cumul. fit]]/Kf</f>
        <v>0.63917652311961504</v>
      </c>
      <c r="I143" s="77">
        <f>Tabella3[[#This Row],[region fit]]+Tabella3[[#This Row],[rest of Italy fit]]</f>
        <v>2825.0785556626561</v>
      </c>
      <c r="J143" s="77">
        <f>Tabella3[[#This Row],[Italy (fit of selected region + fitted sum of the other regions)]]/(y_l_peak+y_a_peak)</f>
        <v>0.89212541334441853</v>
      </c>
      <c r="K143" s="72">
        <f>IFERROR(Kf*psi_f*_xlfn.SECH(psi_f*(Tabella3[[#This Row],[Day]]-pf)-phi_f)^2/(1+TANH(phi_f)),0)</f>
        <v>2831.4741378621507</v>
      </c>
      <c r="L143" s="292">
        <f>Tabella3[[#This Row],[Italy remov. rate fit]]-Tabella3[[#This Row],[Italy remov. rate data]]</f>
        <v>-2327.5258621378493</v>
      </c>
      <c r="M143" s="293">
        <f>Tabella3[[#This Row],[rem. rate residuals]]*NOT(ISBLANK(Tabella3[[#This Row],[Italy remov. rate data]]))</f>
        <v>-2327.5258621378493</v>
      </c>
      <c r="N143" s="72">
        <f>Tabella3[[#This Row],[Italy remov. rate fit]]/y_f_peak</f>
        <v>0.89632278498532147</v>
      </c>
      <c r="O143" s="72">
        <f>Tabella3[[#This Row],[Italy (fit of selected region + fitted sum of the other regions)]]*NOT(ISBLANK(Tabella3[[#This Row],[Italy remov. rate data]]))</f>
        <v>2825.0785556626561</v>
      </c>
      <c r="P143" s="72">
        <f>Tabella3[[#This Row],[Italy remov. rate fit]]*NOT(ISBLANK(Tabella3[[#This Row],[Italy remov. rate data]]))</f>
        <v>2831.4741378621507</v>
      </c>
      <c r="Q143" s="72">
        <f>Tabella3[[#This Row],[Italy remov. rate fit]]+CIf</f>
        <v>4486.6841067859023</v>
      </c>
      <c r="R143" s="72">
        <f>MAX(Tabella3[[#This Row],[Italy remov. rate fit]]-CIf,0)</f>
        <v>1176.2641689383993</v>
      </c>
      <c r="S143" s="4">
        <f>Tabella8[[#This Row],[region data]]</f>
        <v>6457</v>
      </c>
      <c r="T143" s="72">
        <f>(Tabella3[[#This Row],[region cumul. data]]-S142)</f>
        <v>122</v>
      </c>
      <c r="U143" s="10">
        <f>Tabella3[[#This Row],[region data]]*NOT(ISBLANK(Tabella3[[#This Row],[region data]]))</f>
        <v>122</v>
      </c>
      <c r="V143" s="302">
        <f t="shared" si="2"/>
        <v>115</v>
      </c>
      <c r="W143" s="72">
        <f>Tabella3[[#This Row],[6-days moving avg]]*NOT(ISBLANK(Tabella3[[#This Row],[6-days moving avg]]))</f>
        <v>115</v>
      </c>
      <c r="X143" s="77">
        <f>Tabella8[[#This Row],[region fit]]</f>
        <v>6597.2758777218451</v>
      </c>
      <c r="Y143" s="72">
        <f>Tabella3[[#This Row],[region cumul. fit]]/Kl</f>
        <v>0.50146956126588094</v>
      </c>
      <c r="Z143" s="72">
        <f>IFERROR(Kl*psi_l*_xlfn.SECH(psi_l*(Tabella3[[#This Row],[Day]]-pl)-phi_l)^2/(1+TANH(phi_l)),0)</f>
        <v>145.68245953999801</v>
      </c>
      <c r="AA143" s="72">
        <f>Tabella3[[#This Row],[region fit]]/y_l_peak</f>
        <v>0.98945671233519672</v>
      </c>
      <c r="AB143" s="72">
        <f>Tabella3[[#This Row],[region fit]]*NOT(ISBLANK(Tabella3[[#This Row],[region data]]))</f>
        <v>145.68245953999801</v>
      </c>
      <c r="AC143" s="166">
        <f>IFERROR(kl_m*psi_l_m*_xlfn.SECH(psi_l_m*(Tabella3[[#This Row],[Day]]-pl_m)-phi_l_m)^2/(1+TANH(phi_l_m)),0)</f>
        <v>145.68245953999801</v>
      </c>
      <c r="AD143" s="72">
        <f>Tabella3[[#This Row],[6-days moving avg fit]]*NOT(ISBLANK(Tabella3[[#This Row],[6-days moving avg]]))</f>
        <v>145.68245953999801</v>
      </c>
      <c r="AE143" s="72">
        <f>Tabella3[[#This Row],[region fit]]+CIl</f>
        <v>215.04744591509842</v>
      </c>
      <c r="AF143" s="72">
        <f>MAX(Tabella3[[#This Row],[region fit]]-CIl,0)</f>
        <v>76.317473164897606</v>
      </c>
      <c r="AG143" s="10">
        <f>Tabella8[[#This Row],[rest of Italy ]]</f>
        <v>145358</v>
      </c>
      <c r="AH143" s="10">
        <f>(Tabella3[[#This Row],[rest of Italy cum. data]]-AG142)</f>
        <v>5037</v>
      </c>
      <c r="AI143" s="72">
        <f>Tabella3[[#This Row],[rest of Italy data]]*NOT(ISBLANK(Tabella3[[#This Row],[rest of Italy data]]))</f>
        <v>5037</v>
      </c>
      <c r="AJ143" s="77">
        <f>Tabella8[[#This Row],[rest of Italy fit]]</f>
        <v>143651.82617947177</v>
      </c>
      <c r="AK143" s="72">
        <f>Tabella3[[#This Row],[rest of Italy cumul. fit]]/Ka</f>
        <v>0.64753498279936161</v>
      </c>
      <c r="AL143" s="72">
        <f>IFERROR(Ka*psi_a*_xlfn.SECH(psi_a*(Tabella3[[#This Row],[Day]]-pa)-phi_a)^2/(1+TANH(phi_a)),0)</f>
        <v>2679.396096122658</v>
      </c>
      <c r="AM143" s="72">
        <f>Tabella3[[#This Row],[rest of Italy fit]]/y_a_peak</f>
        <v>0.8873793298574667</v>
      </c>
      <c r="AN143" s="72">
        <f>Tabella3[[#This Row],[rest of Italy fit]]*NOT(ISBLANK(Tabella3[[#This Row],[rest of Italy data]]))</f>
        <v>2679.396096122658</v>
      </c>
      <c r="AO143" s="72">
        <f>Tabella3[[#This Row],[rest of Italy fit]]+CIa</f>
        <v>4313.5300360764595</v>
      </c>
      <c r="AP143" s="72">
        <f>MAX(Tabella3[[#This Row],[rest of Italy fit]]-CIa,0)</f>
        <v>1045.2621561688566</v>
      </c>
    </row>
    <row r="144" spans="2:73" x14ac:dyDescent="0.3">
      <c r="B144" s="9">
        <v>43967</v>
      </c>
      <c r="C144" s="4">
        <v>137</v>
      </c>
      <c r="D144" s="72">
        <f>'dpc-covid19-ita-andamento-naz'!J84+'dpc-covid19-ita-andamento-naz'!K84</f>
        <v>154573</v>
      </c>
      <c r="E144" s="72">
        <f>(Tabella3[[#This Row],[Italy cumul. data]]-D143)</f>
        <v>2758</v>
      </c>
      <c r="F144" s="10">
        <f>Tabella3[[#This Row],[Italy remov. rate data]]*NOT(ISBLANK(Tabella3[[#This Row],[Italy remov. rate data]]))</f>
        <v>2758</v>
      </c>
      <c r="G144" s="77">
        <f>Tabella8[[#This Row],[Italy fit]]</f>
        <v>153014.52241017277</v>
      </c>
      <c r="H144" s="77">
        <f>Tabella3[[#This Row],[Italy cumul. fit]]/Kf</f>
        <v>0.65112562305345045</v>
      </c>
      <c r="I144" s="77">
        <f>Tabella3[[#This Row],[region fit]]+Tabella3[[#This Row],[rest of Italy fit]]</f>
        <v>2777.1451692803676</v>
      </c>
      <c r="J144" s="77">
        <f>Tabella3[[#This Row],[Italy (fit of selected region + fitted sum of the other regions)]]/(y_l_peak+y_a_peak)</f>
        <v>0.87698863350033862</v>
      </c>
      <c r="K144" s="72">
        <f>IFERROR(Kf*psi_f*_xlfn.SECH(psi_f*(Tabella3[[#This Row],[Day]]-pf)-phi_f)^2/(1+TANH(phi_f)),0)</f>
        <v>2784.2046507154732</v>
      </c>
      <c r="L144" s="292">
        <f>Tabella3[[#This Row],[Italy remov. rate fit]]-Tabella3[[#This Row],[Italy remov. rate data]]</f>
        <v>26.204650715473235</v>
      </c>
      <c r="M144" s="293">
        <f>Tabella3[[#This Row],[rem. rate residuals]]*NOT(ISBLANK(Tabella3[[#This Row],[Italy remov. rate data]]))</f>
        <v>26.204650715473235</v>
      </c>
      <c r="N144" s="72">
        <f>Tabella3[[#This Row],[Italy remov. rate fit]]/y_f_peak</f>
        <v>0.88135930084199554</v>
      </c>
      <c r="O144" s="72">
        <f>Tabella3[[#This Row],[Italy (fit of selected region + fitted sum of the other regions)]]*NOT(ISBLANK(Tabella3[[#This Row],[Italy remov. rate data]]))</f>
        <v>2777.1451692803676</v>
      </c>
      <c r="P144" s="72">
        <f>Tabella3[[#This Row],[Italy remov. rate fit]]*NOT(ISBLANK(Tabella3[[#This Row],[Italy remov. rate data]]))</f>
        <v>2784.2046507154732</v>
      </c>
      <c r="Q144" s="72">
        <f>Tabella3[[#This Row],[Italy remov. rate fit]]+CIf</f>
        <v>4439.4146196392248</v>
      </c>
      <c r="R144" s="72">
        <f>MAX(Tabella3[[#This Row],[Italy remov. rate fit]]-CIf,0)</f>
        <v>1128.9946817917219</v>
      </c>
      <c r="S144" s="4">
        <f>Tabella8[[#This Row],[region data]]</f>
        <v>6578</v>
      </c>
      <c r="T144" s="72">
        <f>(Tabella3[[#This Row],[region cumul. data]]-S143)</f>
        <v>121</v>
      </c>
      <c r="U144" s="10">
        <f>Tabella3[[#This Row],[region data]]*NOT(ISBLANK(Tabella3[[#This Row],[region data]]))</f>
        <v>121</v>
      </c>
      <c r="V144" s="302">
        <f t="shared" si="2"/>
        <v>119.16666666666667</v>
      </c>
      <c r="W144" s="72">
        <f>Tabella3[[#This Row],[6-days moving avg]]*NOT(ISBLANK(Tabella3[[#This Row],[6-days moving avg]]))</f>
        <v>119.16666666666667</v>
      </c>
      <c r="X144" s="77">
        <f>Tabella8[[#This Row],[region fit]]</f>
        <v>6742.6380095069053</v>
      </c>
      <c r="Y144" s="72">
        <f>Tabella3[[#This Row],[region cumul. fit]]/Kl</f>
        <v>0.51251877093999554</v>
      </c>
      <c r="Z144" s="72">
        <f>IFERROR(Kl*psi_l*_xlfn.SECH(psi_l*(Tabella3[[#This Row],[Day]]-pl)-phi_l)^2/(1+TANH(phi_l)),0)</f>
        <v>145.02289146672842</v>
      </c>
      <c r="AA144" s="72">
        <f>Tabella3[[#This Row],[region fit]]/y_l_peak</f>
        <v>0.98497700997844584</v>
      </c>
      <c r="AB144" s="72">
        <f>Tabella3[[#This Row],[region fit]]*NOT(ISBLANK(Tabella3[[#This Row],[region data]]))</f>
        <v>145.02289146672842</v>
      </c>
      <c r="AC144" s="166">
        <f>IFERROR(kl_m*psi_l_m*_xlfn.SECH(psi_l_m*(Tabella3[[#This Row],[Day]]-pl_m)-phi_l_m)^2/(1+TANH(phi_l_m)),0)</f>
        <v>145.02289146672842</v>
      </c>
      <c r="AD144" s="72">
        <f>Tabella3[[#This Row],[6-days moving avg fit]]*NOT(ISBLANK(Tabella3[[#This Row],[6-days moving avg]]))</f>
        <v>145.02289146672842</v>
      </c>
      <c r="AE144" s="72">
        <f>Tabella3[[#This Row],[region fit]]+CIl</f>
        <v>214.38787784182881</v>
      </c>
      <c r="AF144" s="72">
        <f>MAX(Tabella3[[#This Row],[region fit]]-CIl,0)</f>
        <v>75.657905091628024</v>
      </c>
      <c r="AG144" s="10">
        <f>Tabella8[[#This Row],[rest of Italy ]]</f>
        <v>147995</v>
      </c>
      <c r="AH144" s="10">
        <f>(Tabella3[[#This Row],[rest of Italy cum. data]]-AG143)</f>
        <v>2637</v>
      </c>
      <c r="AI144" s="72">
        <f>Tabella3[[#This Row],[rest of Italy data]]*NOT(ISBLANK(Tabella3[[#This Row],[rest of Italy data]]))</f>
        <v>2637</v>
      </c>
      <c r="AJ144" s="77">
        <f>Tabella8[[#This Row],[rest of Italy fit]]</f>
        <v>146307.77154005514</v>
      </c>
      <c r="AK144" s="72">
        <f>Tabella3[[#This Row],[rest of Italy cumul. fit]]/Ka</f>
        <v>0.65950710719987382</v>
      </c>
      <c r="AL144" s="72">
        <f>IFERROR(Ka*psi_a*_xlfn.SECH(psi_a*(Tabella3[[#This Row],[Day]]-pa)-phi_a)^2/(1+TANH(phi_a)),0)</f>
        <v>2632.1222778136394</v>
      </c>
      <c r="AM144" s="72">
        <f>Tabella3[[#This Row],[rest of Italy fit]]/y_a_peak</f>
        <v>0.87172288799298614</v>
      </c>
      <c r="AN144" s="72">
        <f>Tabella3[[#This Row],[rest of Italy fit]]*NOT(ISBLANK(Tabella3[[#This Row],[rest of Italy data]]))</f>
        <v>2632.1222778136394</v>
      </c>
      <c r="AO144" s="72">
        <f>Tabella3[[#This Row],[rest of Italy fit]]+CIa</f>
        <v>4266.2562177674408</v>
      </c>
      <c r="AP144" s="72">
        <f>MAX(Tabella3[[#This Row],[rest of Italy fit]]-CIa,0)</f>
        <v>997.98833785983788</v>
      </c>
    </row>
    <row r="145" spans="2:42" x14ac:dyDescent="0.3">
      <c r="B145" s="9">
        <v>43968</v>
      </c>
      <c r="C145" s="4">
        <v>138</v>
      </c>
      <c r="D145" s="72">
        <f>'dpc-covid19-ita-andamento-naz'!J85+'dpc-covid19-ita-andamento-naz'!K85</f>
        <v>157084</v>
      </c>
      <c r="E145" s="72">
        <f>(Tabella3[[#This Row],[Italy cumul. data]]-D144)</f>
        <v>2511</v>
      </c>
      <c r="F145" s="10">
        <f>Tabella3[[#This Row],[Italy remov. rate data]]*NOT(ISBLANK(Tabella3[[#This Row],[Italy remov. rate data]]))</f>
        <v>2511</v>
      </c>
      <c r="G145" s="77">
        <f>Tabella8[[#This Row],[Italy fit]]</f>
        <v>155774.13050662907</v>
      </c>
      <c r="H145" s="77">
        <f>Tabella3[[#This Row],[Italy cumul. fit]]/Kf</f>
        <v>0.66286863615368274</v>
      </c>
      <c r="I145" s="77">
        <f>Tabella3[[#This Row],[region fit]]+Tabella3[[#This Row],[rest of Italy fit]]</f>
        <v>2726.9679473426568</v>
      </c>
      <c r="J145" s="77">
        <f>Tabella3[[#This Row],[Italy (fit of selected region + fitted sum of the other regions)]]/(y_l_peak+y_a_peak)</f>
        <v>0.86114327770592081</v>
      </c>
      <c r="K145" s="72">
        <f>IFERROR(Kf*psi_f*_xlfn.SECH(psi_f*(Tabella3[[#This Row],[Day]]-pf)-phi_f)^2/(1+TANH(phi_f)),0)</f>
        <v>2734.6471871368508</v>
      </c>
      <c r="L145" s="292">
        <f>Tabella3[[#This Row],[Italy remov. rate fit]]-Tabella3[[#This Row],[Italy remov. rate data]]</f>
        <v>223.64718713685079</v>
      </c>
      <c r="M145" s="293">
        <f>Tabella3[[#This Row],[rem. rate residuals]]*NOT(ISBLANK(Tabella3[[#This Row],[Italy remov. rate data]]))</f>
        <v>223.64718713685079</v>
      </c>
      <c r="N145" s="72">
        <f>Tabella3[[#This Row],[Italy remov. rate fit]]/y_f_peak</f>
        <v>0.86567154188363982</v>
      </c>
      <c r="O145" s="72">
        <f>Tabella3[[#This Row],[Italy (fit of selected region + fitted sum of the other regions)]]*NOT(ISBLANK(Tabella3[[#This Row],[Italy remov. rate data]]))</f>
        <v>2726.9679473426568</v>
      </c>
      <c r="P145" s="72">
        <f>Tabella3[[#This Row],[Italy remov. rate fit]]*NOT(ISBLANK(Tabella3[[#This Row],[Italy remov. rate data]]))</f>
        <v>2734.6471871368508</v>
      </c>
      <c r="Q145" s="72">
        <f>Tabella3[[#This Row],[Italy remov. rate fit]]+CIf</f>
        <v>4389.8571560606024</v>
      </c>
      <c r="R145" s="72">
        <f>MAX(Tabella3[[#This Row],[Italy remov. rate fit]]-CIf,0)</f>
        <v>1079.4372182130994</v>
      </c>
      <c r="S145" s="4">
        <f>Tabella8[[#This Row],[region data]]</f>
        <v>6703</v>
      </c>
      <c r="T145" s="72">
        <f>(Tabella3[[#This Row],[region cumul. data]]-S144)</f>
        <v>125</v>
      </c>
      <c r="U145" s="10">
        <f>Tabella3[[#This Row],[region data]]*NOT(ISBLANK(Tabella3[[#This Row],[region data]]))</f>
        <v>125</v>
      </c>
      <c r="V145" s="302">
        <f t="shared" si="2"/>
        <v>128</v>
      </c>
      <c r="W145" s="72">
        <f>Tabella3[[#This Row],[6-days moving avg]]*NOT(ISBLANK(Tabella3[[#This Row],[6-days moving avg]]))</f>
        <v>128</v>
      </c>
      <c r="X145" s="77">
        <f>Tabella8[[#This Row],[region fit]]</f>
        <v>6887.2842027644974</v>
      </c>
      <c r="Y145" s="72">
        <f>Tabella3[[#This Row],[region cumul. fit]]/Kl</f>
        <v>0.52351356097395618</v>
      </c>
      <c r="Z145" s="72">
        <f>IFERROR(Kl*psi_l*_xlfn.SECH(psi_l*(Tabella3[[#This Row],[Day]]-pl)-phi_l)^2/(1+TANH(phi_l)),0)</f>
        <v>144.2509610398769</v>
      </c>
      <c r="AA145" s="72">
        <f>Tabella3[[#This Row],[region fit]]/y_l_peak</f>
        <v>0.97973415682566589</v>
      </c>
      <c r="AB145" s="72">
        <f>Tabella3[[#This Row],[region fit]]*NOT(ISBLANK(Tabella3[[#This Row],[region data]]))</f>
        <v>144.2509610398769</v>
      </c>
      <c r="AC145" s="166">
        <f>IFERROR(kl_m*psi_l_m*_xlfn.SECH(psi_l_m*(Tabella3[[#This Row],[Day]]-pl_m)-phi_l_m)^2/(1+TANH(phi_l_m)),0)</f>
        <v>144.2509610398769</v>
      </c>
      <c r="AD145" s="72">
        <f>Tabella3[[#This Row],[6-days moving avg fit]]*NOT(ISBLANK(Tabella3[[#This Row],[6-days moving avg]]))</f>
        <v>144.2509610398769</v>
      </c>
      <c r="AE145" s="72">
        <f>Tabella3[[#This Row],[region fit]]+CIl</f>
        <v>213.61594741497731</v>
      </c>
      <c r="AF145" s="72">
        <f>MAX(Tabella3[[#This Row],[region fit]]-CIl,0)</f>
        <v>74.885974664776498</v>
      </c>
      <c r="AG145" s="10">
        <f>Tabella8[[#This Row],[rest of Italy ]]</f>
        <v>150381</v>
      </c>
      <c r="AH145" s="10">
        <f>(Tabella3[[#This Row],[rest of Italy cum. data]]-AG144)</f>
        <v>2386</v>
      </c>
      <c r="AI145" s="72">
        <f>Tabella3[[#This Row],[rest of Italy data]]*NOT(ISBLANK(Tabella3[[#This Row],[rest of Italy data]]))</f>
        <v>2386</v>
      </c>
      <c r="AJ145" s="77">
        <f>Tabella8[[#This Row],[rest of Italy fit]]</f>
        <v>148915.360211297</v>
      </c>
      <c r="AK145" s="72">
        <f>Tabella3[[#This Row],[rest of Italy cumul. fit]]/Ka</f>
        <v>0.67126125561752681</v>
      </c>
      <c r="AL145" s="72">
        <f>IFERROR(Ka*psi_a*_xlfn.SECH(psi_a*(Tabella3[[#This Row],[Day]]-pa)-phi_a)^2/(1+TANH(phi_a)),0)</f>
        <v>2582.7169863027798</v>
      </c>
      <c r="AM145" s="72">
        <f>Tabella3[[#This Row],[rest of Italy fit]]/y_a_peak</f>
        <v>0.85536053136502743</v>
      </c>
      <c r="AN145" s="72">
        <f>Tabella3[[#This Row],[rest of Italy fit]]*NOT(ISBLANK(Tabella3[[#This Row],[rest of Italy data]]))</f>
        <v>2582.7169863027798</v>
      </c>
      <c r="AO145" s="72">
        <f>Tabella3[[#This Row],[rest of Italy fit]]+CIa</f>
        <v>4216.8509262565813</v>
      </c>
      <c r="AP145" s="72">
        <f>MAX(Tabella3[[#This Row],[rest of Italy fit]]-CIa,0)</f>
        <v>948.58304634897831</v>
      </c>
    </row>
    <row r="146" spans="2:42" x14ac:dyDescent="0.3">
      <c r="B146" s="9">
        <v>43969</v>
      </c>
      <c r="C146" s="4">
        <v>139</v>
      </c>
      <c r="D146" s="72">
        <f>'dpc-covid19-ita-andamento-naz'!J86+'dpc-covid19-ita-andamento-naz'!K86</f>
        <v>159333</v>
      </c>
      <c r="E146" s="72">
        <f>(Tabella3[[#This Row],[Italy cumul. data]]-D145)</f>
        <v>2249</v>
      </c>
      <c r="F146" s="10">
        <f>Tabella3[[#This Row],[Italy remov. rate data]]*NOT(ISBLANK(Tabella3[[#This Row],[Italy remov. rate data]]))</f>
        <v>2249</v>
      </c>
      <c r="G146" s="77">
        <f>Tabella8[[#This Row],[Italy fit]]</f>
        <v>158483.12237572542</v>
      </c>
      <c r="H146" s="77">
        <f>Tabella3[[#This Row],[Italy cumul. fit]]/Kf</f>
        <v>0.67439626105378059</v>
      </c>
      <c r="I146" s="77">
        <f>Tabella3[[#This Row],[region fit]]+Tabella3[[#This Row],[rest of Italy fit]]</f>
        <v>2674.7561096285544</v>
      </c>
      <c r="J146" s="77">
        <f>Tabella3[[#This Row],[Italy (fit of selected region + fitted sum of the other regions)]]/(y_l_peak+y_a_peak)</f>
        <v>0.84465541502019115</v>
      </c>
      <c r="K146" s="72">
        <f>IFERROR(Kf*psi_f*_xlfn.SECH(psi_f*(Tabella3[[#This Row],[Day]]-pf)-phi_f)^2/(1+TANH(phi_f)),0)</f>
        <v>2683.0065734096224</v>
      </c>
      <c r="L146" s="292">
        <f>Tabella3[[#This Row],[Italy remov. rate fit]]-Tabella3[[#This Row],[Italy remov. rate data]]</f>
        <v>434.00657340962243</v>
      </c>
      <c r="M146" s="293">
        <f>Tabella3[[#This Row],[rem. rate residuals]]*NOT(ISBLANK(Tabella3[[#This Row],[Italy remov. rate data]]))</f>
        <v>434.00657340962243</v>
      </c>
      <c r="N146" s="72">
        <f>Tabella3[[#This Row],[Italy remov. rate fit]]/y_f_peak</f>
        <v>0.84932434729146589</v>
      </c>
      <c r="O146" s="72">
        <f>Tabella3[[#This Row],[Italy (fit of selected region + fitted sum of the other regions)]]*NOT(ISBLANK(Tabella3[[#This Row],[Italy remov. rate data]]))</f>
        <v>2674.7561096285544</v>
      </c>
      <c r="P146" s="72">
        <f>Tabella3[[#This Row],[Italy remov. rate fit]]*NOT(ISBLANK(Tabella3[[#This Row],[Italy remov. rate data]]))</f>
        <v>2683.0065734096224</v>
      </c>
      <c r="Q146" s="72">
        <f>Tabella3[[#This Row],[Italy remov. rate fit]]+CIf</f>
        <v>4338.2165423333736</v>
      </c>
      <c r="R146" s="72">
        <f>MAX(Tabella3[[#This Row],[Italy remov. rate fit]]-CIf,0)</f>
        <v>1027.7966044858711</v>
      </c>
      <c r="S146" s="4">
        <f>Tabella8[[#This Row],[region data]]</f>
        <v>6852</v>
      </c>
      <c r="T146" s="72">
        <f>(Tabella3[[#This Row],[region cumul. data]]-S145)</f>
        <v>149</v>
      </c>
      <c r="U146" s="10">
        <f>Tabella3[[#This Row],[region data]]*NOT(ISBLANK(Tabella3[[#This Row],[region data]]))</f>
        <v>149</v>
      </c>
      <c r="V146" s="302">
        <f t="shared" si="2"/>
        <v>130.16666666666666</v>
      </c>
      <c r="W146" s="72">
        <f>Tabella3[[#This Row],[6-days moving avg]]*NOT(ISBLANK(Tabella3[[#This Row],[6-days moving avg]]))</f>
        <v>130.16666666666666</v>
      </c>
      <c r="X146" s="77">
        <f>Tabella8[[#This Row],[region fit]]</f>
        <v>7031.1032866105488</v>
      </c>
      <c r="Y146" s="72">
        <f>Tabella3[[#This Row],[region cumul. fit]]/Kl</f>
        <v>0.534445481089876</v>
      </c>
      <c r="Z146" s="72">
        <f>IFERROR(Kl*psi_l*_xlfn.SECH(psi_l*(Tabella3[[#This Row],[Day]]-pl)-phi_l)^2/(1+TANH(phi_l)),0)</f>
        <v>143.3691064630097</v>
      </c>
      <c r="AA146" s="72">
        <f>Tabella3[[#This Row],[region fit]]/y_l_peak</f>
        <v>0.97374471284497033</v>
      </c>
      <c r="AB146" s="72">
        <f>Tabella3[[#This Row],[region fit]]*NOT(ISBLANK(Tabella3[[#This Row],[region data]]))</f>
        <v>143.3691064630097</v>
      </c>
      <c r="AC146" s="166">
        <f>IFERROR(kl_m*psi_l_m*_xlfn.SECH(psi_l_m*(Tabella3[[#This Row],[Day]]-pl_m)-phi_l_m)^2/(1+TANH(phi_l_m)),0)</f>
        <v>143.3691064630097</v>
      </c>
      <c r="AD146" s="72">
        <f>Tabella3[[#This Row],[6-days moving avg fit]]*NOT(ISBLANK(Tabella3[[#This Row],[6-days moving avg]]))</f>
        <v>143.3691064630097</v>
      </c>
      <c r="AE146" s="72">
        <f>Tabella3[[#This Row],[region fit]]+CIl</f>
        <v>212.73409283811009</v>
      </c>
      <c r="AF146" s="72">
        <f>MAX(Tabella3[[#This Row],[region fit]]-CIl,0)</f>
        <v>74.0041200879093</v>
      </c>
      <c r="AG146" s="10">
        <f>Tabella8[[#This Row],[rest of Italy ]]</f>
        <v>152481</v>
      </c>
      <c r="AH146" s="10">
        <f>(Tabella3[[#This Row],[rest of Italy cum. data]]-AG145)</f>
        <v>2100</v>
      </c>
      <c r="AI146" s="72">
        <f>Tabella3[[#This Row],[rest of Italy data]]*NOT(ISBLANK(Tabella3[[#This Row],[rest of Italy data]]))</f>
        <v>2100</v>
      </c>
      <c r="AJ146" s="77">
        <f>Tabella8[[#This Row],[rest of Italy fit]]</f>
        <v>151472.56393440609</v>
      </c>
      <c r="AK146" s="72">
        <f>Tabella3[[#This Row],[rest of Italy cumul. fit]]/Ka</f>
        <v>0.6827882853316436</v>
      </c>
      <c r="AL146" s="72">
        <f>IFERROR(Ka*psi_a*_xlfn.SECH(psi_a*(Tabella3[[#This Row],[Day]]-pa)-phi_a)^2/(1+TANH(phi_a)),0)</f>
        <v>2531.3870031655447</v>
      </c>
      <c r="AM146" s="72">
        <f>Tabella3[[#This Row],[rest of Italy fit]]/y_a_peak</f>
        <v>0.83836074320237808</v>
      </c>
      <c r="AN146" s="72">
        <f>Tabella3[[#This Row],[rest of Italy fit]]*NOT(ISBLANK(Tabella3[[#This Row],[rest of Italy data]]))</f>
        <v>2531.3870031655447</v>
      </c>
      <c r="AO146" s="72">
        <f>Tabella3[[#This Row],[rest of Italy fit]]+CIa</f>
        <v>4165.5209431193462</v>
      </c>
      <c r="AP146" s="72">
        <f>MAX(Tabella3[[#This Row],[rest of Italy fit]]-CIa,0)</f>
        <v>897.25306321174321</v>
      </c>
    </row>
    <row r="147" spans="2:42" x14ac:dyDescent="0.3">
      <c r="B147" s="9">
        <v>43970</v>
      </c>
      <c r="C147" s="4">
        <v>140</v>
      </c>
      <c r="D147" s="72">
        <f>'dpc-covid19-ita-andamento-naz'!J87+'dpc-covid19-ita-andamento-naz'!K87</f>
        <v>161570</v>
      </c>
      <c r="E147" s="72">
        <f>(Tabella3[[#This Row],[Italy cumul. data]]-D146)</f>
        <v>2237</v>
      </c>
      <c r="F147" s="10">
        <f>Tabella3[[#This Row],[Italy remov. rate data]]*NOT(ISBLANK(Tabella3[[#This Row],[Italy remov. rate data]]))</f>
        <v>2237</v>
      </c>
      <c r="G147" s="77">
        <f>Tabella8[[#This Row],[Italy fit]]</f>
        <v>161139.51830018082</v>
      </c>
      <c r="H147" s="77">
        <f>Tabella3[[#This Row],[Italy cumul. fit]]/Kf</f>
        <v>0.68570007342494332</v>
      </c>
      <c r="I147" s="77">
        <f>Tabella3[[#This Row],[region fit]]+Tabella3[[#This Row],[rest of Italy fit]]</f>
        <v>2620.7205027041687</v>
      </c>
      <c r="J147" s="77">
        <f>Tabella3[[#This Row],[Italy (fit of selected region + fitted sum of the other regions)]]/(y_l_peak+y_a_peak)</f>
        <v>0.82759162822172927</v>
      </c>
      <c r="K147" s="72">
        <f>IFERROR(Kf*psi_f*_xlfn.SECH(psi_f*(Tabella3[[#This Row],[Day]]-pf)-phi_f)^2/(1+TANH(phi_f)),0)</f>
        <v>2629.4899234239533</v>
      </c>
      <c r="L147" s="292">
        <f>Tabella3[[#This Row],[Italy remov. rate fit]]-Tabella3[[#This Row],[Italy remov. rate data]]</f>
        <v>392.48992342395331</v>
      </c>
      <c r="M147" s="293">
        <f>Tabella3[[#This Row],[rem. rate residuals]]*NOT(ISBLANK(Tabella3[[#This Row],[Italy remov. rate data]]))</f>
        <v>392.48992342395331</v>
      </c>
      <c r="N147" s="72">
        <f>Tabella3[[#This Row],[Italy remov. rate fit]]/y_f_peak</f>
        <v>0.83238328040449905</v>
      </c>
      <c r="O147" s="72">
        <f>Tabella3[[#This Row],[Italy (fit of selected region + fitted sum of the other regions)]]*NOT(ISBLANK(Tabella3[[#This Row],[Italy remov. rate data]]))</f>
        <v>2620.7205027041687</v>
      </c>
      <c r="P147" s="72">
        <f>Tabella3[[#This Row],[Italy remov. rate fit]]*NOT(ISBLANK(Tabella3[[#This Row],[Italy remov. rate data]]))</f>
        <v>2629.4899234239533</v>
      </c>
      <c r="Q147" s="72">
        <f>Tabella3[[#This Row],[Italy remov. rate fit]]+CIf</f>
        <v>4284.6998923477049</v>
      </c>
      <c r="R147" s="72">
        <f>MAX(Tabella3[[#This Row],[Italy remov. rate fit]]-CIf,0)</f>
        <v>974.27995450020194</v>
      </c>
      <c r="S147" s="4">
        <f>Tabella8[[#This Row],[region data]]</f>
        <v>6993</v>
      </c>
      <c r="T147" s="72">
        <f>(Tabella3[[#This Row],[region cumul. data]]-S146)</f>
        <v>141</v>
      </c>
      <c r="U147" s="10">
        <f>Tabella3[[#This Row],[region data]]*NOT(ISBLANK(Tabella3[[#This Row],[region data]]))</f>
        <v>141</v>
      </c>
      <c r="V147" s="302">
        <f t="shared" si="2"/>
        <v>129.33333333333334</v>
      </c>
      <c r="W147" s="72">
        <f>Tabella3[[#This Row],[6-days moving avg]]*NOT(ISBLANK(Tabella3[[#This Row],[6-days moving avg]]))</f>
        <v>129.33333333333334</v>
      </c>
      <c r="X147" s="77">
        <f>Tabella8[[#This Row],[region fit]]</f>
        <v>7173.9866913570713</v>
      </c>
      <c r="Y147" s="72">
        <f>Tabella3[[#This Row],[region cumul. fit]]/Kl</f>
        <v>0.54530627873097093</v>
      </c>
      <c r="Z147" s="72">
        <f>IFERROR(Kl*psi_l*_xlfn.SECH(psi_l*(Tabella3[[#This Row],[Day]]-pl)-phi_l)^2/(1+TANH(phi_l)),0)</f>
        <v>142.38008905927174</v>
      </c>
      <c r="AA147" s="72">
        <f>Tabella3[[#This Row],[region fit]]/y_l_peak</f>
        <v>0.96702743259150115</v>
      </c>
      <c r="AB147" s="72">
        <f>Tabella3[[#This Row],[region fit]]*NOT(ISBLANK(Tabella3[[#This Row],[region data]]))</f>
        <v>142.38008905927174</v>
      </c>
      <c r="AC147" s="166">
        <f>IFERROR(kl_m*psi_l_m*_xlfn.SECH(psi_l_m*(Tabella3[[#This Row],[Day]]-pl_m)-phi_l_m)^2/(1+TANH(phi_l_m)),0)</f>
        <v>142.38008905927174</v>
      </c>
      <c r="AD147" s="72">
        <f>Tabella3[[#This Row],[6-days moving avg fit]]*NOT(ISBLANK(Tabella3[[#This Row],[6-days moving avg]]))</f>
        <v>142.38008905927174</v>
      </c>
      <c r="AE147" s="72">
        <f>Tabella3[[#This Row],[region fit]]+CIl</f>
        <v>211.74507543437215</v>
      </c>
      <c r="AF147" s="72">
        <f>MAX(Tabella3[[#This Row],[region fit]]-CIl,0)</f>
        <v>73.015102684171339</v>
      </c>
      <c r="AG147" s="10">
        <f>Tabella8[[#This Row],[rest of Italy ]]</f>
        <v>154577</v>
      </c>
      <c r="AH147" s="10">
        <f>(Tabella3[[#This Row],[rest of Italy cum. data]]-AG146)</f>
        <v>2096</v>
      </c>
      <c r="AI147" s="72">
        <f>Tabella3[[#This Row],[rest of Italy data]]*NOT(ISBLANK(Tabella3[[#This Row],[rest of Italy data]]))</f>
        <v>2096</v>
      </c>
      <c r="AJ147" s="77">
        <f>Tabella8[[#This Row],[rest of Italy fit]]</f>
        <v>153977.56201864473</v>
      </c>
      <c r="AK147" s="72">
        <f>Tabella3[[#This Row],[rest of Italy cumul. fit]]/Ka</f>
        <v>0.69407998926977077</v>
      </c>
      <c r="AL147" s="72">
        <f>IFERROR(Ka*psi_a*_xlfn.SECH(psi_a*(Tabella3[[#This Row],[Day]]-pa)-phi_a)^2/(1+TANH(phi_a)),0)</f>
        <v>2478.3404136448971</v>
      </c>
      <c r="AM147" s="72">
        <f>Tabella3[[#This Row],[rest of Italy fit]]/y_a_peak</f>
        <v>0.8207924384906653</v>
      </c>
      <c r="AN147" s="72">
        <f>Tabella3[[#This Row],[rest of Italy fit]]*NOT(ISBLANK(Tabella3[[#This Row],[rest of Italy data]]))</f>
        <v>2478.3404136448971</v>
      </c>
      <c r="AO147" s="72">
        <f>Tabella3[[#This Row],[rest of Italy fit]]+CIa</f>
        <v>4112.4743535986981</v>
      </c>
      <c r="AP147" s="72">
        <f>MAX(Tabella3[[#This Row],[rest of Italy fit]]-CIa,0)</f>
        <v>844.20647369109565</v>
      </c>
    </row>
    <row r="148" spans="2:42" x14ac:dyDescent="0.3">
      <c r="B148" s="9">
        <v>43971</v>
      </c>
      <c r="C148" s="4">
        <v>141</v>
      </c>
      <c r="D148" s="72">
        <f>'dpc-covid19-ita-andamento-naz'!J88+'dpc-covid19-ita-andamento-naz'!K88</f>
        <v>164612</v>
      </c>
      <c r="E148" s="72">
        <f>(Tabella3[[#This Row],[Italy cumul. data]]-D147)</f>
        <v>3042</v>
      </c>
      <c r="F148" s="10">
        <f>Tabella3[[#This Row],[Italy remov. rate data]]*NOT(ISBLANK(Tabella3[[#This Row],[Italy remov. rate data]]))</f>
        <v>3042</v>
      </c>
      <c r="G148" s="77">
        <f>Tabella8[[#This Row],[Italy fit]]</f>
        <v>163741.54616241201</v>
      </c>
      <c r="H148" s="77">
        <f>Tabella3[[#This Row],[Italy cumul. fit]]/Kf</f>
        <v>0.69677253234133363</v>
      </c>
      <c r="I148" s="77">
        <f>Tabella3[[#This Row],[region fit]]+Tabella3[[#This Row],[rest of Italy fit]]</f>
        <v>2565.0720066419231</v>
      </c>
      <c r="J148" s="77">
        <f>Tabella3[[#This Row],[Italy (fit of selected region + fitted sum of the other regions)]]/(y_l_peak+y_a_peak)</f>
        <v>0.81001851067000119</v>
      </c>
      <c r="K148" s="72">
        <f>IFERROR(Kf*psi_f*_xlfn.SECH(psi_f*(Tabella3[[#This Row],[Day]]-pf)-phi_f)^2/(1+TANH(phi_f)),0)</f>
        <v>2574.3050666054237</v>
      </c>
      <c r="L148" s="292">
        <f>Tabella3[[#This Row],[Italy remov. rate fit]]-Tabella3[[#This Row],[Italy remov. rate data]]</f>
        <v>-467.69493339457631</v>
      </c>
      <c r="M148" s="293">
        <f>Tabella3[[#This Row],[rem. rate residuals]]*NOT(ISBLANK(Tabella3[[#This Row],[Italy remov. rate data]]))</f>
        <v>-467.69493339457631</v>
      </c>
      <c r="N148" s="72">
        <f>Tabella3[[#This Row],[Italy remov. rate fit]]/y_f_peak</f>
        <v>0.81491413106946498</v>
      </c>
      <c r="O148" s="72">
        <f>Tabella3[[#This Row],[Italy (fit of selected region + fitted sum of the other regions)]]*NOT(ISBLANK(Tabella3[[#This Row],[Italy remov. rate data]]))</f>
        <v>2565.0720066419231</v>
      </c>
      <c r="P148" s="72">
        <f>Tabella3[[#This Row],[Italy remov. rate fit]]*NOT(ISBLANK(Tabella3[[#This Row],[Italy remov. rate data]]))</f>
        <v>2574.3050666054237</v>
      </c>
      <c r="Q148" s="72">
        <f>Tabella3[[#This Row],[Italy remov. rate fit]]+CIf</f>
        <v>4229.5150355291753</v>
      </c>
      <c r="R148" s="72">
        <f>MAX(Tabella3[[#This Row],[Italy remov. rate fit]]-CIf,0)</f>
        <v>919.09509768167231</v>
      </c>
      <c r="S148" s="4">
        <f>Tabella8[[#This Row],[region data]]</f>
        <v>7111</v>
      </c>
      <c r="T148" s="72">
        <f>(Tabella3[[#This Row],[region cumul. data]]-S147)</f>
        <v>118</v>
      </c>
      <c r="U148" s="10">
        <f>Tabella3[[#This Row],[region data]]*NOT(ISBLANK(Tabella3[[#This Row],[region data]]))</f>
        <v>118</v>
      </c>
      <c r="V148" s="302">
        <f t="shared" si="2"/>
        <v>135.33333333333334</v>
      </c>
      <c r="W148" s="72">
        <f>Tabella3[[#This Row],[6-days moving avg]]*NOT(ISBLANK(Tabella3[[#This Row],[6-days moving avg]]))</f>
        <v>135.33333333333334</v>
      </c>
      <c r="X148" s="77">
        <f>Tabella8[[#This Row],[region fit]]</f>
        <v>7315.8287627235677</v>
      </c>
      <c r="Y148" s="72">
        <f>Tabella3[[#This Row],[region cumul. fit]]/Kl</f>
        <v>0.55608792294527398</v>
      </c>
      <c r="Z148" s="72">
        <f>IFERROR(Kl*psi_l*_xlfn.SECH(psi_l*(Tabella3[[#This Row],[Day]]-pl)-phi_l)^2/(1+TANH(phi_l)),0)</f>
        <v>141.28697514995775</v>
      </c>
      <c r="AA148" s="72">
        <f>Tabella3[[#This Row],[region fit]]/y_l_peak</f>
        <v>0.959603142128992</v>
      </c>
      <c r="AB148" s="72">
        <f>Tabella3[[#This Row],[region fit]]*NOT(ISBLANK(Tabella3[[#This Row],[region data]]))</f>
        <v>141.28697514995775</v>
      </c>
      <c r="AC148" s="166">
        <f>IFERROR(kl_m*psi_l_m*_xlfn.SECH(psi_l_m*(Tabella3[[#This Row],[Day]]-pl_m)-phi_l_m)^2/(1+TANH(phi_l_m)),0)</f>
        <v>141.28697514995775</v>
      </c>
      <c r="AD148" s="72">
        <f>Tabella3[[#This Row],[6-days moving avg fit]]*NOT(ISBLANK(Tabella3[[#This Row],[6-days moving avg]]))</f>
        <v>141.28697514995775</v>
      </c>
      <c r="AE148" s="72">
        <f>Tabella3[[#This Row],[region fit]]+CIl</f>
        <v>210.65196152505814</v>
      </c>
      <c r="AF148" s="72">
        <f>MAX(Tabella3[[#This Row],[region fit]]-CIl,0)</f>
        <v>71.921988774857354</v>
      </c>
      <c r="AG148" s="10">
        <f>Tabella8[[#This Row],[rest of Italy ]]</f>
        <v>157501</v>
      </c>
      <c r="AH148" s="10">
        <f>(Tabella3[[#This Row],[rest of Italy cum. data]]-AG147)</f>
        <v>2924</v>
      </c>
      <c r="AI148" s="72">
        <f>Tabella3[[#This Row],[rest of Italy data]]*NOT(ISBLANK(Tabella3[[#This Row],[rest of Italy data]]))</f>
        <v>2924</v>
      </c>
      <c r="AJ148" s="77">
        <f>Tabella8[[#This Row],[rest of Italy fit]]</f>
        <v>156428.74185046984</v>
      </c>
      <c r="AK148" s="72">
        <f>Tabella3[[#This Row],[rest of Italy cumul. fit]]/Ka</f>
        <v>0.70512909830271842</v>
      </c>
      <c r="AL148" s="72">
        <f>IFERROR(Ka*psi_a*_xlfn.SECH(psi_a*(Tabella3[[#This Row],[Day]]-pa)-phi_a)^2/(1+TANH(phi_a)),0)</f>
        <v>2423.7850314919651</v>
      </c>
      <c r="AM148" s="72">
        <f>Tabella3[[#This Row],[rest of Italy fit]]/y_a_peak</f>
        <v>0.80272444230113493</v>
      </c>
      <c r="AN148" s="72">
        <f>Tabella3[[#This Row],[rest of Italy fit]]*NOT(ISBLANK(Tabella3[[#This Row],[rest of Italy data]]))</f>
        <v>2423.7850314919651</v>
      </c>
      <c r="AO148" s="72">
        <f>Tabella3[[#This Row],[rest of Italy fit]]+CIa</f>
        <v>4057.9189714457666</v>
      </c>
      <c r="AP148" s="72">
        <f>MAX(Tabella3[[#This Row],[rest of Italy fit]]-CIa,0)</f>
        <v>789.65109153816366</v>
      </c>
    </row>
    <row r="149" spans="2:42" x14ac:dyDescent="0.3">
      <c r="B149" s="9">
        <v>43972</v>
      </c>
      <c r="C149" s="4">
        <v>142</v>
      </c>
      <c r="D149" s="72">
        <f>'dpc-covid19-ita-andamento-naz'!J89+'dpc-covid19-ita-andamento-naz'!K89</f>
        <v>167046</v>
      </c>
      <c r="E149" s="72">
        <f>(Tabella3[[#This Row],[Italy cumul. data]]-D148)</f>
        <v>2434</v>
      </c>
      <c r="F149" s="10">
        <f>Tabella3[[#This Row],[Italy remov. rate data]]*NOT(ISBLANK(Tabella3[[#This Row],[Italy remov. rate data]]))</f>
        <v>2434</v>
      </c>
      <c r="G149" s="77">
        <f>Tabella8[[#This Row],[Italy fit]]</f>
        <v>166287.64140548036</v>
      </c>
      <c r="H149" s="77">
        <f>Tabella3[[#This Row],[Italy cumul. fit]]/Kf</f>
        <v>0.70760698011389422</v>
      </c>
      <c r="I149" s="77">
        <f>Tabella3[[#This Row],[region fit]]+Tabella3[[#This Row],[rest of Italy fit]]</f>
        <v>2508.0200311884446</v>
      </c>
      <c r="J149" s="77">
        <f>Tabella3[[#This Row],[Italy (fit of selected region + fitted sum of the other regions)]]/(y_l_peak+y_a_peak)</f>
        <v>0.79200219141348704</v>
      </c>
      <c r="K149" s="72">
        <f>IFERROR(Kf*psi_f*_xlfn.SECH(psi_f*(Tabella3[[#This Row],[Day]]-pf)-phi_f)^2/(1+TANH(phi_f)),0)</f>
        <v>2517.6590528787588</v>
      </c>
      <c r="L149" s="292">
        <f>Tabella3[[#This Row],[Italy remov. rate fit]]-Tabella3[[#This Row],[Italy remov. rate data]]</f>
        <v>83.659052878758757</v>
      </c>
      <c r="M149" s="293">
        <f>Tabella3[[#This Row],[rem. rate residuals]]*NOT(ISBLANK(Tabella3[[#This Row],[Italy remov. rate data]]))</f>
        <v>83.659052878758757</v>
      </c>
      <c r="N149" s="72">
        <f>Tabella3[[#This Row],[Italy remov. rate fit]]/y_f_peak</f>
        <v>0.79698244237668514</v>
      </c>
      <c r="O149" s="72">
        <f>Tabella3[[#This Row],[Italy (fit of selected region + fitted sum of the other regions)]]*NOT(ISBLANK(Tabella3[[#This Row],[Italy remov. rate data]]))</f>
        <v>2508.0200311884446</v>
      </c>
      <c r="P149" s="72">
        <f>Tabella3[[#This Row],[Italy remov. rate fit]]*NOT(ISBLANK(Tabella3[[#This Row],[Italy remov. rate data]]))</f>
        <v>2517.6590528787588</v>
      </c>
      <c r="Q149" s="72">
        <f>Tabella3[[#This Row],[Italy remov. rate fit]]+CIf</f>
        <v>4172.8690218025104</v>
      </c>
      <c r="R149" s="72">
        <f>MAX(Tabella3[[#This Row],[Italy remov. rate fit]]-CIf,0)</f>
        <v>862.44908395500738</v>
      </c>
      <c r="S149" s="4">
        <f>Tabella8[[#This Row],[region data]]</f>
        <v>7269</v>
      </c>
      <c r="T149" s="72">
        <f>(Tabella3[[#This Row],[region cumul. data]]-S148)</f>
        <v>158</v>
      </c>
      <c r="U149" s="10">
        <f>Tabella3[[#This Row],[region data]]*NOT(ISBLANK(Tabella3[[#This Row],[region data]]))</f>
        <v>158</v>
      </c>
      <c r="V149" s="303">
        <f t="shared" ref="V149:V163" si="3">AVERAGE(T145:T150)</f>
        <v>150.5</v>
      </c>
      <c r="W149" s="72">
        <f>Tabella3[[#This Row],[6-days moving avg]]*NOT(ISBLANK(Tabella3[[#This Row],[6-days moving avg]]))</f>
        <v>150.5</v>
      </c>
      <c r="X149" s="77">
        <f>Tabella8[[#This Row],[region fit]]</f>
        <v>7456.5270570461653</v>
      </c>
      <c r="Y149" s="72">
        <f>Tabella3[[#This Row],[region cumul. fit]]/Kl</f>
        <v>0.56678262682495695</v>
      </c>
      <c r="Z149" s="72">
        <f>IFERROR(Kl*psi_l*_xlfn.SECH(psi_l*(Tabella3[[#This Row],[Day]]-pl)-phi_l)^2/(1+TANH(phi_l)),0)</f>
        <v>140.09311620631743</v>
      </c>
      <c r="AA149" s="72">
        <f>Tabella3[[#This Row],[region fit]]/y_l_peak</f>
        <v>0.95149460422335619</v>
      </c>
      <c r="AB149" s="72">
        <f>Tabella3[[#This Row],[region fit]]*NOT(ISBLANK(Tabella3[[#This Row],[region data]]))</f>
        <v>140.09311620631743</v>
      </c>
      <c r="AC149" s="166">
        <f>IFERROR(kl_m*psi_l_m*_xlfn.SECH(psi_l_m*(Tabella3[[#This Row],[Day]]-pl_m)-phi_l_m)^2/(1+TANH(phi_l_m)),0)</f>
        <v>140.09311620631743</v>
      </c>
      <c r="AD149" s="72">
        <f>Tabella3[[#This Row],[6-days moving avg fit]]*NOT(ISBLANK(Tabella3[[#This Row],[6-days moving avg]]))</f>
        <v>140.09311620631743</v>
      </c>
      <c r="AE149" s="72">
        <f>Tabella3[[#This Row],[region fit]]+CIl</f>
        <v>209.45810258141785</v>
      </c>
      <c r="AF149" s="72">
        <f>MAX(Tabella3[[#This Row],[region fit]]-CIl,0)</f>
        <v>70.728129831217032</v>
      </c>
      <c r="AG149" s="10">
        <f>Tabella8[[#This Row],[rest of Italy ]]</f>
        <v>159777</v>
      </c>
      <c r="AH149" s="10">
        <f>(Tabella3[[#This Row],[rest of Italy cum. data]]-AG148)</f>
        <v>2276</v>
      </c>
      <c r="AI149" s="72">
        <f>Tabella3[[#This Row],[rest of Italy data]]*NOT(ISBLANK(Tabella3[[#This Row],[rest of Italy data]]))</f>
        <v>2276</v>
      </c>
      <c r="AJ149" s="77">
        <f>Tabella8[[#This Row],[rest of Italy fit]]</f>
        <v>158824.69787183052</v>
      </c>
      <c r="AK149" s="72">
        <f>Tabella3[[#This Row],[rest of Italy cumul. fit]]/Ka</f>
        <v>0.71592927663906258</v>
      </c>
      <c r="AL149" s="72">
        <f>IFERROR(Ka*psi_a*_xlfn.SECH(psi_a*(Tabella3[[#This Row],[Day]]-pa)-phi_a)^2/(1+TANH(phi_a)),0)</f>
        <v>2367.9269149821271</v>
      </c>
      <c r="AM149" s="72">
        <f>Tabella3[[#This Row],[rest of Italy fit]]/y_a_peak</f>
        <v>0.7842249983154812</v>
      </c>
      <c r="AN149" s="72">
        <f>Tabella3[[#This Row],[rest of Italy fit]]*NOT(ISBLANK(Tabella3[[#This Row],[rest of Italy data]]))</f>
        <v>2367.9269149821271</v>
      </c>
      <c r="AO149" s="72">
        <f>Tabella3[[#This Row],[rest of Italy fit]]+CIa</f>
        <v>4002.0608549359285</v>
      </c>
      <c r="AP149" s="72">
        <f>MAX(Tabella3[[#This Row],[rest of Italy fit]]-CIa,0)</f>
        <v>733.7929750283256</v>
      </c>
    </row>
    <row r="150" spans="2:42" x14ac:dyDescent="0.3">
      <c r="B150" s="9">
        <v>43973</v>
      </c>
      <c r="C150" s="4">
        <v>143</v>
      </c>
      <c r="D150" s="72">
        <f>'dpc-covid19-ita-andamento-naz'!J90+'dpc-covid19-ita-andamento-naz'!K90</f>
        <v>169336</v>
      </c>
      <c r="E150" s="72">
        <f>(Tabella3[[#This Row],[Italy cumul. data]]-D149)</f>
        <v>2290</v>
      </c>
      <c r="F150" s="10">
        <f>Tabella3[[#This Row],[Italy remov. rate data]]*NOT(ISBLANK(Tabella3[[#This Row],[Italy remov. rate data]]))</f>
        <v>2290</v>
      </c>
      <c r="G150" s="77">
        <f>Tabella8[[#This Row],[Italy fit]]</f>
        <v>168776.44554374577</v>
      </c>
      <c r="H150" s="77">
        <f>Tabella3[[#This Row],[Italy cumul. fit]]/Kf</f>
        <v>0.71819763595270447</v>
      </c>
      <c r="I150" s="77">
        <f>Tabella3[[#This Row],[region fit]]+Tabella3[[#This Row],[rest of Italy fit]]</f>
        <v>2449.7711154568524</v>
      </c>
      <c r="J150" s="77">
        <f>Tabella3[[#This Row],[Italy (fit of selected region + fitted sum of the other regions)]]/(y_l_peak+y_a_peak)</f>
        <v>0.77360789298955468</v>
      </c>
      <c r="K150" s="72">
        <f>IFERROR(Kf*psi_f*_xlfn.SECH(psi_f*(Tabella3[[#This Row],[Day]]-pf)-phi_f)^2/(1+TANH(phi_f)),0)</f>
        <v>2459.7567493529991</v>
      </c>
      <c r="L150" s="292">
        <f>Tabella3[[#This Row],[Italy remov. rate fit]]-Tabella3[[#This Row],[Italy remov. rate data]]</f>
        <v>169.75674935299912</v>
      </c>
      <c r="M150" s="293">
        <f>Tabella3[[#This Row],[rem. rate residuals]]*NOT(ISBLANK(Tabella3[[#This Row],[Italy remov. rate data]]))</f>
        <v>169.75674935299912</v>
      </c>
      <c r="N150" s="72">
        <f>Tabella3[[#This Row],[Italy remov. rate fit]]/y_f_peak</f>
        <v>0.77865306643103038</v>
      </c>
      <c r="O150" s="72">
        <f>Tabella3[[#This Row],[Italy (fit of selected region + fitted sum of the other regions)]]*NOT(ISBLANK(Tabella3[[#This Row],[Italy remov. rate data]]))</f>
        <v>2449.7711154568524</v>
      </c>
      <c r="P150" s="72">
        <f>Tabella3[[#This Row],[Italy remov. rate fit]]*NOT(ISBLANK(Tabella3[[#This Row],[Italy remov. rate data]]))</f>
        <v>2459.7567493529991</v>
      </c>
      <c r="Q150" s="72">
        <f>Tabella3[[#This Row],[Italy remov. rate fit]]+CIf</f>
        <v>4114.9667182767507</v>
      </c>
      <c r="R150" s="72">
        <f>MAX(Tabella3[[#This Row],[Italy remov. rate fit]]-CIf,0)</f>
        <v>804.54678042924775</v>
      </c>
      <c r="S150" s="4">
        <f>Tabella8[[#This Row],[region data]]</f>
        <v>7481</v>
      </c>
      <c r="T150" s="72">
        <f>(Tabella3[[#This Row],[region cumul. data]]-S149)</f>
        <v>212</v>
      </c>
      <c r="U150" s="10">
        <f>Tabella3[[#This Row],[region data]]*NOT(ISBLANK(Tabella3[[#This Row],[region data]]))</f>
        <v>212</v>
      </c>
      <c r="V150" s="303">
        <f t="shared" si="3"/>
        <v>165</v>
      </c>
      <c r="W150" s="72">
        <f>Tabella3[[#This Row],[6-days moving avg]]*NOT(ISBLANK(Tabella3[[#This Row],[6-days moving avg]]))</f>
        <v>165</v>
      </c>
      <c r="X150" s="77">
        <f>Tabella8[[#This Row],[region fit]]</f>
        <v>7595.9826158647757</v>
      </c>
      <c r="Y150" s="72">
        <f>Tabella3[[#This Row],[region cumul. fit]]/Kl</f>
        <v>0.57738286837814268</v>
      </c>
      <c r="Z150" s="72">
        <f>IFERROR(Kl*psi_l*_xlfn.SECH(psi_l*(Tabella3[[#This Row],[Day]]-pl)-phi_l)^2/(1+TANH(phi_l)),0)</f>
        <v>138.80212749088821</v>
      </c>
      <c r="AA150" s="72">
        <f>Tabella3[[#This Row],[region fit]]/y_l_peak</f>
        <v>0.94272637327733955</v>
      </c>
      <c r="AB150" s="72">
        <f>Tabella3[[#This Row],[region fit]]*NOT(ISBLANK(Tabella3[[#This Row],[region data]]))</f>
        <v>138.80212749088821</v>
      </c>
      <c r="AC150" s="166">
        <f>IFERROR(kl_m*psi_l_m*_xlfn.SECH(psi_l_m*(Tabella3[[#This Row],[Day]]-pl_m)-phi_l_m)^2/(1+TANH(phi_l_m)),0)</f>
        <v>138.80212749088821</v>
      </c>
      <c r="AD150" s="72">
        <f>Tabella3[[#This Row],[6-days moving avg fit]]*NOT(ISBLANK(Tabella3[[#This Row],[6-days moving avg]]))</f>
        <v>138.80212749088821</v>
      </c>
      <c r="AE150" s="72">
        <f>Tabella3[[#This Row],[region fit]]+CIl</f>
        <v>208.1671138659886</v>
      </c>
      <c r="AF150" s="72">
        <f>MAX(Tabella3[[#This Row],[region fit]]-CIl,0)</f>
        <v>69.43714111578781</v>
      </c>
      <c r="AG150" s="10">
        <f>Tabella8[[#This Row],[rest of Italy ]]</f>
        <v>161855</v>
      </c>
      <c r="AH150" s="10">
        <f>(Tabella3[[#This Row],[rest of Italy cum. data]]-AG149)</f>
        <v>2078</v>
      </c>
      <c r="AI150" s="10">
        <f>Tabella3[[#This Row],[rest of Italy data]]*NOT(ISBLANK(Tabella3[[#This Row],[rest of Italy data]]))</f>
        <v>2078</v>
      </c>
      <c r="AJ150" s="77">
        <f>Tabella8[[#This Row],[rest of Italy fit]]</f>
        <v>161164.22912596216</v>
      </c>
      <c r="AK150" s="72">
        <f>Tabella3[[#This Row],[rest of Italy cumul. fit]]/Ka</f>
        <v>0.72647511076239646</v>
      </c>
      <c r="AL150" s="72">
        <f>IFERROR(Ka*psi_a*_xlfn.SECH(psi_a*(Tabella3[[#This Row],[Day]]-pa)-phi_a)^2/(1+TANH(phi_a)),0)</f>
        <v>2310.9689879659641</v>
      </c>
      <c r="AM150" s="72">
        <f>Tabella3[[#This Row],[rest of Italy fit]]/y_a_peak</f>
        <v>0.76536131213678815</v>
      </c>
      <c r="AN150" s="72">
        <f>Tabella3[[#This Row],[rest of Italy fit]]*NOT(ISBLANK(Tabella3[[#This Row],[rest of Italy data]]))</f>
        <v>2310.9689879659641</v>
      </c>
      <c r="AO150" s="72">
        <f>Tabella3[[#This Row],[rest of Italy fit]]+CIa</f>
        <v>3945.1029279197655</v>
      </c>
      <c r="AP150" s="72">
        <f>MAX(Tabella3[[#This Row],[rest of Italy fit]]-CIa,0)</f>
        <v>676.83504801216259</v>
      </c>
    </row>
    <row r="151" spans="2:42" x14ac:dyDescent="0.3">
      <c r="B151" s="9">
        <v>43974</v>
      </c>
      <c r="C151" s="4">
        <v>144</v>
      </c>
      <c r="D151" s="72">
        <f>'dpc-covid19-ita-andamento-naz'!J91+'dpc-covid19-ita-andamento-naz'!K91</f>
        <v>171575</v>
      </c>
      <c r="E151" s="72">
        <f>(Tabella3[[#This Row],[Italy cumul. data]]-D150)</f>
        <v>2239</v>
      </c>
      <c r="F151" s="10">
        <f>Tabella3[[#This Row],[Italy remov. rate data]]*NOT(ISBLANK(Tabella3[[#This Row],[Italy remov. rate data]]))</f>
        <v>2239</v>
      </c>
      <c r="G151" s="77">
        <f>Tabella8[[#This Row],[Italy fit]]</f>
        <v>171206.8033212224</v>
      </c>
      <c r="H151" s="77">
        <f>Tabella3[[#This Row],[Italy cumul. fit]]/Kf</f>
        <v>0.72853958387487805</v>
      </c>
      <c r="I151" s="77">
        <f>Tabella3[[#This Row],[region fit]]+Tabella3[[#This Row],[rest of Italy fit]]</f>
        <v>2390.5276424080125</v>
      </c>
      <c r="J151" s="77">
        <f>Tabella3[[#This Row],[Italy (fit of selected region + fitted sum of the other regions)]]/(y_l_peak+y_a_peak)</f>
        <v>0.75489952547328998</v>
      </c>
      <c r="K151" s="72">
        <f>IFERROR(Kf*psi_f*_xlfn.SECH(psi_f*(Tabella3[[#This Row],[Day]]-pf)-phi_f)^2/(1+TANH(phi_f)),0)</f>
        <v>2400.7995408420707</v>
      </c>
      <c r="L151" s="292">
        <f>Tabella3[[#This Row],[Italy remov. rate fit]]-Tabella3[[#This Row],[Italy remov. rate data]]</f>
        <v>161.79954084207066</v>
      </c>
      <c r="M151" s="293">
        <f>Tabella3[[#This Row],[rem. rate residuals]]*NOT(ISBLANK(Tabella3[[#This Row],[Italy remov. rate data]]))</f>
        <v>161.79954084207066</v>
      </c>
      <c r="N151" s="72">
        <f>Tabella3[[#This Row],[Italy remov. rate fit]]/y_f_peak</f>
        <v>0.75998975299269</v>
      </c>
      <c r="O151" s="72">
        <f>Tabella3[[#This Row],[Italy (fit of selected region + fitted sum of the other regions)]]*NOT(ISBLANK(Tabella3[[#This Row],[Italy remov. rate data]]))</f>
        <v>2390.5276424080125</v>
      </c>
      <c r="P151" s="72">
        <f>Tabella3[[#This Row],[Italy remov. rate fit]]*NOT(ISBLANK(Tabella3[[#This Row],[Italy remov. rate data]]))</f>
        <v>2400.7995408420707</v>
      </c>
      <c r="Q151" s="72">
        <f>Tabella3[[#This Row],[Italy remov. rate fit]]+CIf</f>
        <v>4056.0095097658223</v>
      </c>
      <c r="R151" s="72">
        <f>MAX(Tabella3[[#This Row],[Italy remov. rate fit]]-CIf,0)</f>
        <v>745.58957191831928</v>
      </c>
      <c r="S151" s="4">
        <f>Tabella8[[#This Row],[region data]]</f>
        <v>7693</v>
      </c>
      <c r="T151" s="72">
        <f>(Tabella3[[#This Row],[region cumul. data]]-S150)</f>
        <v>212</v>
      </c>
      <c r="U151" s="10">
        <f>Tabella3[[#This Row],[region data]]*NOT(ISBLANK(Tabella3[[#This Row],[region data]]))</f>
        <v>212</v>
      </c>
      <c r="V151" s="303">
        <f t="shared" si="3"/>
        <v>167.33333333333334</v>
      </c>
      <c r="W151" s="72">
        <f>Tabella3[[#This Row],[6-days moving avg]]*NOT(ISBLANK(Tabella3[[#This Row],[6-days moving avg]]))</f>
        <v>167.33333333333334</v>
      </c>
      <c r="X151" s="77">
        <f>Tabella8[[#This Row],[region fit]]</f>
        <v>7734.1002184909194</v>
      </c>
      <c r="Y151" s="72">
        <f>Tabella3[[#This Row],[region cumul. fit]]/Kl</f>
        <v>0.58788140972699177</v>
      </c>
      <c r="Z151" s="72">
        <f>IFERROR(Kl*psi_l*_xlfn.SECH(psi_l*(Tabella3[[#This Row],[Day]]-pl)-phi_l)^2/(1+TANH(phi_l)),0)</f>
        <v>137.41786541634067</v>
      </c>
      <c r="AA151" s="72">
        <f>Tabella3[[#This Row],[region fit]]/y_l_peak</f>
        <v>0.93332464155468109</v>
      </c>
      <c r="AB151" s="72">
        <f>Tabella3[[#This Row],[region fit]]*NOT(ISBLANK(Tabella3[[#This Row],[region data]]))</f>
        <v>137.41786541634067</v>
      </c>
      <c r="AC151" s="166">
        <f>IFERROR(kl_m*psi_l_m*_xlfn.SECH(psi_l_m*(Tabella3[[#This Row],[Day]]-pl_m)-phi_l_m)^2/(1+TANH(phi_l_m)),0)</f>
        <v>137.41786541634067</v>
      </c>
      <c r="AD151" s="72">
        <f>Tabella3[[#This Row],[6-days moving avg fit]]*NOT(ISBLANK(Tabella3[[#This Row],[6-days moving avg]]))</f>
        <v>137.41786541634067</v>
      </c>
      <c r="AE151" s="72">
        <f>Tabella3[[#This Row],[region fit]]+CIl</f>
        <v>206.78285179144109</v>
      </c>
      <c r="AF151" s="72">
        <f>MAX(Tabella3[[#This Row],[region fit]]-CIl,0)</f>
        <v>68.052879041240274</v>
      </c>
      <c r="AG151" s="10">
        <f>Tabella8[[#This Row],[rest of Italy ]]</f>
        <v>163882</v>
      </c>
      <c r="AH151" s="10">
        <f>(Tabella3[[#This Row],[rest of Italy cum. data]]-AG150)</f>
        <v>2027</v>
      </c>
      <c r="AI151" s="10">
        <f>Tabella3[[#This Row],[rest of Italy data]]*NOT(ISBLANK(Tabella3[[#This Row],[rest of Italy data]]))</f>
        <v>2027</v>
      </c>
      <c r="AJ151" s="77">
        <f>Tabella8[[#This Row],[rest of Italy fit]]</f>
        <v>163446.3354814646</v>
      </c>
      <c r="AK151" s="72">
        <f>Tabella3[[#This Row],[rest of Italy cumul. fit]]/Ka</f>
        <v>0.73676209241072133</v>
      </c>
      <c r="AL151" s="72">
        <f>IFERROR(Ka*psi_a*_xlfn.SECH(psi_a*(Tabella3[[#This Row],[Day]]-pa)-phi_a)^2/(1+TANH(phi_a)),0)</f>
        <v>2253.1097769916719</v>
      </c>
      <c r="AM151" s="72">
        <f>Tabella3[[#This Row],[rest of Italy fit]]/y_a_peak</f>
        <v>0.74619913304174967</v>
      </c>
      <c r="AN151" s="72">
        <f>Tabella3[[#This Row],[rest of Italy fit]]*NOT(ISBLANK(Tabella3[[#This Row],[rest of Italy data]]))</f>
        <v>2253.1097769916719</v>
      </c>
      <c r="AO151" s="72">
        <f>Tabella3[[#This Row],[rest of Italy fit]]+CIa</f>
        <v>3887.2437169454734</v>
      </c>
      <c r="AP151" s="72">
        <f>MAX(Tabella3[[#This Row],[rest of Italy fit]]-CIa,0)</f>
        <v>618.97583703787041</v>
      </c>
    </row>
    <row r="152" spans="2:42" x14ac:dyDescent="0.3">
      <c r="B152" s="9">
        <v>43975</v>
      </c>
      <c r="C152" s="4">
        <v>145</v>
      </c>
      <c r="D152" s="72">
        <f>'dpc-covid19-ita-andamento-naz'!J92+'dpc-covid19-ita-andamento-naz'!K92</f>
        <v>173264</v>
      </c>
      <c r="E152" s="72">
        <f>(Tabella3[[#This Row],[Italy cumul. data]]-D151)</f>
        <v>1689</v>
      </c>
      <c r="F152" s="10">
        <f>Tabella3[[#This Row],[Italy remov. rate data]]*NOT(ISBLANK(Tabella3[[#This Row],[Italy remov. rate data]]))</f>
        <v>1689</v>
      </c>
      <c r="G152" s="77">
        <f>Tabella8[[#This Row],[Italy fit]]</f>
        <v>173577.75862644025</v>
      </c>
      <c r="H152" s="77">
        <f>Tabella3[[#This Row],[Italy cumul. fit]]/Kf</f>
        <v>0.73862875532099448</v>
      </c>
      <c r="I152" s="77">
        <f>Tabella3[[#This Row],[region fit]]+Tabella3[[#This Row],[rest of Italy fit]]</f>
        <v>2330.4866765773413</v>
      </c>
      <c r="J152" s="77">
        <f>Tabella3[[#This Row],[Italy (fit of selected region + fitted sum of the other regions)]]/(y_l_peak+y_a_peak)</f>
        <v>0.7359393194457724</v>
      </c>
      <c r="K152" s="72">
        <f>IFERROR(Kf*psi_f*_xlfn.SECH(psi_f*(Tabella3[[#This Row],[Day]]-pf)-phi_f)^2/(1+TANH(phi_f)),0)</f>
        <v>2340.9841437216733</v>
      </c>
      <c r="L152" s="292">
        <f>Tabella3[[#This Row],[Italy remov. rate fit]]-Tabella3[[#This Row],[Italy remov. rate data]]</f>
        <v>651.98414372167326</v>
      </c>
      <c r="M152" s="293">
        <f>Tabella3[[#This Row],[rem. rate residuals]]*NOT(ISBLANK(Tabella3[[#This Row],[Italy remov. rate data]]))</f>
        <v>651.98414372167326</v>
      </c>
      <c r="N152" s="72">
        <f>Tabella3[[#This Row],[Italy remov. rate fit]]/y_f_peak</f>
        <v>0.7410547739953407</v>
      </c>
      <c r="O152" s="72">
        <f>Tabella3[[#This Row],[Italy (fit of selected region + fitted sum of the other regions)]]*NOT(ISBLANK(Tabella3[[#This Row],[Italy remov. rate data]]))</f>
        <v>2330.4866765773413</v>
      </c>
      <c r="P152" s="72">
        <f>Tabella3[[#This Row],[Italy remov. rate fit]]*NOT(ISBLANK(Tabella3[[#This Row],[Italy remov. rate data]]))</f>
        <v>2340.9841437216733</v>
      </c>
      <c r="Q152" s="72">
        <f>Tabella3[[#This Row],[Italy remov. rate fit]]+CIf</f>
        <v>3996.1941126454249</v>
      </c>
      <c r="R152" s="72">
        <f>MAX(Tabella3[[#This Row],[Italy remov. rate fit]]-CIf,0)</f>
        <v>685.77417479792189</v>
      </c>
      <c r="S152" s="4">
        <f>Tabella8[[#This Row],[region data]]</f>
        <v>7856</v>
      </c>
      <c r="T152" s="72">
        <f>(Tabella3[[#This Row],[region cumul. data]]-S151)</f>
        <v>163</v>
      </c>
      <c r="U152" s="10">
        <f>Tabella3[[#This Row],[region data]]*NOT(ISBLANK(Tabella3[[#This Row],[region data]]))</f>
        <v>163</v>
      </c>
      <c r="V152" s="303">
        <f t="shared" si="3"/>
        <v>158</v>
      </c>
      <c r="W152" s="72">
        <f>Tabella3[[#This Row],[6-days moving avg]]*NOT(ISBLANK(Tabella3[[#This Row],[6-days moving avg]]))</f>
        <v>158</v>
      </c>
      <c r="X152" s="77">
        <f>Tabella8[[#This Row],[region fit]]</f>
        <v>7870.78861139131</v>
      </c>
      <c r="Y152" s="72">
        <f>Tabella3[[#This Row],[region cumul. fit]]/Kl</f>
        <v>0.59827131454351845</v>
      </c>
      <c r="Z152" s="72">
        <f>IFERROR(Kl*psi_l*_xlfn.SECH(psi_l*(Tabella3[[#This Row],[Day]]-pl)-phi_l)^2/(1+TANH(phi_l)),0)</f>
        <v>135.94440385789494</v>
      </c>
      <c r="AA152" s="72">
        <f>Tabella3[[#This Row],[region fit]]/y_l_peak</f>
        <v>0.92331707829706233</v>
      </c>
      <c r="AB152" s="72">
        <f>Tabella3[[#This Row],[region fit]]*NOT(ISBLANK(Tabella3[[#This Row],[region data]]))</f>
        <v>135.94440385789494</v>
      </c>
      <c r="AC152" s="166">
        <f>IFERROR(kl_m*psi_l_m*_xlfn.SECH(psi_l_m*(Tabella3[[#This Row],[Day]]-pl_m)-phi_l_m)^2/(1+TANH(phi_l_m)),0)</f>
        <v>135.94440385789494</v>
      </c>
      <c r="AD152" s="72">
        <f>Tabella3[[#This Row],[6-days moving avg fit]]*NOT(ISBLANK(Tabella3[[#This Row],[6-days moving avg]]))</f>
        <v>135.94440385789494</v>
      </c>
      <c r="AE152" s="72">
        <f>Tabella3[[#This Row],[region fit]]+CIl</f>
        <v>205.30939023299533</v>
      </c>
      <c r="AF152" s="72">
        <f>MAX(Tabella3[[#This Row],[region fit]]-CIl,0)</f>
        <v>66.57941748279454</v>
      </c>
      <c r="AG152" s="10">
        <f>Tabella8[[#This Row],[rest of Italy ]]</f>
        <v>165408</v>
      </c>
      <c r="AH152" s="10">
        <f>(Tabella3[[#This Row],[rest of Italy cum. data]]-AG151)</f>
        <v>1526</v>
      </c>
      <c r="AI152" s="10">
        <f>Tabella3[[#This Row],[rest of Italy data]]*NOT(ISBLANK(Tabella3[[#This Row],[rest of Italy data]]))</f>
        <v>1526</v>
      </c>
      <c r="AJ152" s="77">
        <f>Tabella8[[#This Row],[rest of Italy fit]]</f>
        <v>165670.21265508031</v>
      </c>
      <c r="AK152" s="72">
        <f>Tabella3[[#This Row],[rest of Italy cumul. fit]]/Ka</f>
        <v>0.74678659614077503</v>
      </c>
      <c r="AL152" s="72">
        <f>IFERROR(Ka*psi_a*_xlfn.SECH(psi_a*(Tabella3[[#This Row],[Day]]-pa)-phi_a)^2/(1+TANH(phi_a)),0)</f>
        <v>2194.5422727194464</v>
      </c>
      <c r="AM152" s="72">
        <f>Tabella3[[#This Row],[rest of Italy fit]]/y_a_peak</f>
        <v>0.72680237689669158</v>
      </c>
      <c r="AN152" s="72">
        <f>Tabella3[[#This Row],[rest of Italy fit]]*NOT(ISBLANK(Tabella3[[#This Row],[rest of Italy data]]))</f>
        <v>2194.5422727194464</v>
      </c>
      <c r="AO152" s="72">
        <f>Tabella3[[#This Row],[rest of Italy fit]]+CIa</f>
        <v>3828.6762126732478</v>
      </c>
      <c r="AP152" s="72">
        <f>MAX(Tabella3[[#This Row],[rest of Italy fit]]-CIa,0)</f>
        <v>560.4083327656449</v>
      </c>
    </row>
    <row r="153" spans="2:42" x14ac:dyDescent="0.3">
      <c r="B153" s="9">
        <v>43976</v>
      </c>
      <c r="C153" s="4">
        <v>146</v>
      </c>
      <c r="D153" s="72">
        <f>'dpc-covid19-ita-andamento-naz'!J93+'dpc-covid19-ita-andamento-naz'!K93</f>
        <v>174858</v>
      </c>
      <c r="E153" s="72">
        <f>(Tabella3[[#This Row],[Italy cumul. data]]-D152)</f>
        <v>1594</v>
      </c>
      <c r="F153" s="10">
        <f>Tabella3[[#This Row],[Italy remov. rate data]]*NOT(ISBLANK(Tabella3[[#This Row],[Italy remov. rate data]]))</f>
        <v>1594</v>
      </c>
      <c r="G153" s="77">
        <f>Tabella8[[#This Row],[Italy fit]]</f>
        <v>175888.5492808189</v>
      </c>
      <c r="H153" s="77">
        <f>Tabella3[[#This Row],[Italy cumul. fit]]/Kf</f>
        <v>0.74846190697796666</v>
      </c>
      <c r="I153" s="77">
        <f>Tabella3[[#This Row],[region fit]]+Tabella3[[#This Row],[rest of Italy fit]]</f>
        <v>2269.8389307699035</v>
      </c>
      <c r="J153" s="77">
        <f>Tabella3[[#This Row],[Italy (fit of selected region + fitted sum of the other regions)]]/(y_l_peak+y_a_peak)</f>
        <v>0.71678749968896693</v>
      </c>
      <c r="K153" s="72">
        <f>IFERROR(Kf*psi_f*_xlfn.SECH(psi_f*(Tabella3[[#This Row],[Day]]-pf)-phi_f)^2/(1+TANH(phi_f)),0)</f>
        <v>2280.5015400381494</v>
      </c>
      <c r="L153" s="292">
        <f>Tabella3[[#This Row],[Italy remov. rate fit]]-Tabella3[[#This Row],[Italy remov. rate data]]</f>
        <v>686.50154003814941</v>
      </c>
      <c r="M153" s="293">
        <f>Tabella3[[#This Row],[rem. rate residuals]]*NOT(ISBLANK(Tabella3[[#This Row],[Italy remov. rate data]]))</f>
        <v>686.50154003814941</v>
      </c>
      <c r="N153" s="72">
        <f>Tabella3[[#This Row],[Italy remov. rate fit]]/y_f_peak</f>
        <v>0.72190858613091224</v>
      </c>
      <c r="O153" s="72">
        <f>Tabella3[[#This Row],[Italy (fit of selected region + fitted sum of the other regions)]]*NOT(ISBLANK(Tabella3[[#This Row],[Italy remov. rate data]]))</f>
        <v>2269.8389307699035</v>
      </c>
      <c r="P153" s="72">
        <f>Tabella3[[#This Row],[Italy remov. rate fit]]*NOT(ISBLANK(Tabella3[[#This Row],[Italy remov. rate data]]))</f>
        <v>2280.5015400381494</v>
      </c>
      <c r="Q153" s="72">
        <f>Tabella3[[#This Row],[Italy remov. rate fit]]+CIf</f>
        <v>3935.711508961901</v>
      </c>
      <c r="R153" s="72">
        <f>MAX(Tabella3[[#This Row],[Italy remov. rate fit]]-CIf,0)</f>
        <v>625.29157111439804</v>
      </c>
      <c r="S153" s="4">
        <f>Tabella8[[#This Row],[region data]]</f>
        <v>7941</v>
      </c>
      <c r="T153" s="72">
        <f>(Tabella3[[#This Row],[region cumul. data]]-S152)</f>
        <v>85</v>
      </c>
      <c r="U153" s="10">
        <f>Tabella3[[#This Row],[region data]]*NOT(ISBLANK(Tabella3[[#This Row],[region data]]))</f>
        <v>85</v>
      </c>
      <c r="V153" s="303">
        <f t="shared" si="3"/>
        <v>166.83333333333334</v>
      </c>
      <c r="W153" s="72">
        <f>Tabella3[[#This Row],[6-days moving avg]]*NOT(ISBLANK(Tabella3[[#This Row],[6-days moving avg]]))</f>
        <v>166.83333333333334</v>
      </c>
      <c r="X153" s="77">
        <f>Tabella8[[#This Row],[region fit]]</f>
        <v>8005.9607134607213</v>
      </c>
      <c r="Y153" s="72">
        <f>Tabella3[[#This Row],[region cumul. fit]]/Kl</f>
        <v>0.6085459636527113</v>
      </c>
      <c r="Z153" s="72">
        <f>IFERROR(Kl*psi_l*_xlfn.SECH(psi_l*(Tabella3[[#This Row],[Day]]-pl)-phi_l)^2/(1+TANH(phi_l)),0)</f>
        <v>134.38600965980697</v>
      </c>
      <c r="AA153" s="72">
        <f>Tabella3[[#This Row],[region fit]]/y_l_peak</f>
        <v>0.91273266336728132</v>
      </c>
      <c r="AB153" s="72">
        <f>Tabella3[[#This Row],[region fit]]*NOT(ISBLANK(Tabella3[[#This Row],[region data]]))</f>
        <v>134.38600965980697</v>
      </c>
      <c r="AC153" s="166">
        <f>IFERROR(kl_m*psi_l_m*_xlfn.SECH(psi_l_m*(Tabella3[[#This Row],[Day]]-pl_m)-phi_l_m)^2/(1+TANH(phi_l_m)),0)</f>
        <v>134.38600965980697</v>
      </c>
      <c r="AD153" s="72">
        <f>Tabella3[[#This Row],[6-days moving avg fit]]*NOT(ISBLANK(Tabella3[[#This Row],[6-days moving avg]]))</f>
        <v>134.38600965980697</v>
      </c>
      <c r="AE153" s="72">
        <f>Tabella3[[#This Row],[region fit]]+CIl</f>
        <v>203.75099603490736</v>
      </c>
      <c r="AF153" s="72">
        <f>MAX(Tabella3[[#This Row],[region fit]]-CIl,0)</f>
        <v>65.021023284706573</v>
      </c>
      <c r="AG153" s="10">
        <f>Tabella8[[#This Row],[rest of Italy ]]</f>
        <v>166917</v>
      </c>
      <c r="AH153" s="10">
        <f>(Tabella3[[#This Row],[rest of Italy cum. data]]-AG152)</f>
        <v>1509</v>
      </c>
      <c r="AI153" s="10">
        <f>Tabella3[[#This Row],[rest of Italy data]]*NOT(ISBLANK(Tabella3[[#This Row],[rest of Italy data]]))</f>
        <v>1509</v>
      </c>
      <c r="AJ153" s="77">
        <f>Tabella8[[#This Row],[rest of Italy fit]]</f>
        <v>167835.2461604274</v>
      </c>
      <c r="AK153" s="72">
        <f>Tabella3[[#This Row],[rest of Italy cumul. fit]]/Ka</f>
        <v>0.75654585205091895</v>
      </c>
      <c r="AL153" s="72">
        <f>IFERROR(Ka*psi_a*_xlfn.SECH(psi_a*(Tabella3[[#This Row],[Day]]-pa)-phi_a)^2/(1+TANH(phi_a)),0)</f>
        <v>2135.4529211100967</v>
      </c>
      <c r="AM153" s="72">
        <f>Tabella3[[#This Row],[rest of Italy fit]]/y_a_peak</f>
        <v>0.70723279205304157</v>
      </c>
      <c r="AN153" s="72">
        <f>Tabella3[[#This Row],[rest of Italy fit]]*NOT(ISBLANK(Tabella3[[#This Row],[rest of Italy data]]))</f>
        <v>2135.4529211100967</v>
      </c>
      <c r="AO153" s="72">
        <f>Tabella3[[#This Row],[rest of Italy fit]]+CIa</f>
        <v>3769.5868610638981</v>
      </c>
      <c r="AP153" s="72">
        <f>MAX(Tabella3[[#This Row],[rest of Italy fit]]-CIa,0)</f>
        <v>501.31898115629519</v>
      </c>
    </row>
    <row r="154" spans="2:42" x14ac:dyDescent="0.3">
      <c r="B154" s="9">
        <v>43977</v>
      </c>
      <c r="C154" s="4">
        <v>147</v>
      </c>
      <c r="D154" s="72">
        <f>'dpc-covid19-ita-andamento-naz'!J94+'dpc-covid19-ita-andamento-naz'!K94</f>
        <v>177613</v>
      </c>
      <c r="E154" s="72">
        <f>(Tabella3[[#This Row],[Italy cumul. data]]-D153)</f>
        <v>2755</v>
      </c>
      <c r="F154" s="10">
        <f>Tabella3[[#This Row],[Italy remov. rate data]]*NOT(ISBLANK(Tabella3[[#This Row],[Italy remov. rate data]]))</f>
        <v>2755</v>
      </c>
      <c r="G154" s="77">
        <f>Tabella8[[#This Row],[Italy fit]]</f>
        <v>178138.60082321835</v>
      </c>
      <c r="H154" s="77">
        <f>Tabella3[[#This Row],[Italy cumul. fit]]/Kf</f>
        <v>0.758036594330321</v>
      </c>
      <c r="I154" s="77">
        <f>Tabella3[[#This Row],[region fit]]+Tabella3[[#This Row],[rest of Italy fit]]</f>
        <v>2208.7678648481219</v>
      </c>
      <c r="J154" s="77">
        <f>Tabella3[[#This Row],[Italy (fit of selected region + fitted sum of the other regions)]]/(y_l_peak+y_a_peak)</f>
        <v>0.69750200059385448</v>
      </c>
      <c r="K154" s="72">
        <f>IFERROR(Kf*psi_f*_xlfn.SECH(psi_f*(Tabella3[[#This Row],[Day]]-pf)-phi_f)^2/(1+TANH(phi_f)),0)</f>
        <v>2219.5360362885949</v>
      </c>
      <c r="L154" s="292">
        <f>Tabella3[[#This Row],[Italy remov. rate fit]]-Tabella3[[#This Row],[Italy remov. rate data]]</f>
        <v>-535.46396371140509</v>
      </c>
      <c r="M154" s="293">
        <f>Tabella3[[#This Row],[rem. rate residuals]]*NOT(ISBLANK(Tabella3[[#This Row],[Italy remov. rate data]]))</f>
        <v>-535.46396371140509</v>
      </c>
      <c r="N154" s="72">
        <f>Tabella3[[#This Row],[Italy remov. rate fit]]/y_f_peak</f>
        <v>0.7026095328999008</v>
      </c>
      <c r="O154" s="72">
        <f>Tabella3[[#This Row],[Italy (fit of selected region + fitted sum of the other regions)]]*NOT(ISBLANK(Tabella3[[#This Row],[Italy remov. rate data]]))</f>
        <v>2208.7678648481219</v>
      </c>
      <c r="P154" s="72">
        <f>Tabella3[[#This Row],[Italy remov. rate fit]]*NOT(ISBLANK(Tabella3[[#This Row],[Italy remov. rate data]]))</f>
        <v>2219.5360362885949</v>
      </c>
      <c r="Q154" s="72">
        <f>Tabella3[[#This Row],[Italy remov. rate fit]]+CIf</f>
        <v>3874.7460052123461</v>
      </c>
      <c r="R154" s="72">
        <f>MAX(Tabella3[[#This Row],[Italy remov. rate fit]]-CIf,0)</f>
        <v>564.32606736484354</v>
      </c>
      <c r="S154" s="4">
        <f>Tabella8[[#This Row],[region data]]</f>
        <v>8112</v>
      </c>
      <c r="T154" s="72">
        <f>(Tabella3[[#This Row],[region cumul. data]]-S153)</f>
        <v>171</v>
      </c>
      <c r="U154" s="10">
        <f>Tabella3[[#This Row],[region data]]*NOT(ISBLANK(Tabella3[[#This Row],[region data]]))</f>
        <v>171</v>
      </c>
      <c r="V154" s="303">
        <f t="shared" si="3"/>
        <v>175.16666666666666</v>
      </c>
      <c r="W154" s="72">
        <f>Tabella3[[#This Row],[6-days moving avg]]*NOT(ISBLANK(Tabella3[[#This Row],[6-days moving avg]]))</f>
        <v>175.16666666666666</v>
      </c>
      <c r="X154" s="77">
        <f>Tabella8[[#This Row],[region fit]]</f>
        <v>8139.5337964990258</v>
      </c>
      <c r="Y154" s="72">
        <f>Tabella3[[#This Row],[region cumul. fit]]/Kl</f>
        <v>0.6186990687508841</v>
      </c>
      <c r="Z154" s="72">
        <f>IFERROR(Kl*psi_l*_xlfn.SECH(psi_l*(Tabella3[[#This Row],[Day]]-pl)-phi_l)^2/(1+TANH(phi_l)),0)</f>
        <v>132.7471175772973</v>
      </c>
      <c r="AA154" s="72">
        <f>Tabella3[[#This Row],[region fit]]/y_l_peak</f>
        <v>0.90160151705802383</v>
      </c>
      <c r="AB154" s="72">
        <f>Tabella3[[#This Row],[region fit]]*NOT(ISBLANK(Tabella3[[#This Row],[region data]]))</f>
        <v>132.7471175772973</v>
      </c>
      <c r="AC154" s="166">
        <f>IFERROR(kl_m*psi_l_m*_xlfn.SECH(psi_l_m*(Tabella3[[#This Row],[Day]]-pl_m)-phi_l_m)^2/(1+TANH(phi_l_m)),0)</f>
        <v>132.7471175772973</v>
      </c>
      <c r="AD154" s="72">
        <f>Tabella3[[#This Row],[6-days moving avg fit]]*NOT(ISBLANK(Tabella3[[#This Row],[6-days moving avg]]))</f>
        <v>132.7471175772973</v>
      </c>
      <c r="AE154" s="72">
        <f>Tabella3[[#This Row],[region fit]]+CIl</f>
        <v>202.11210395239772</v>
      </c>
      <c r="AF154" s="72">
        <f>MAX(Tabella3[[#This Row],[region fit]]-CIl,0)</f>
        <v>63.382131202196902</v>
      </c>
      <c r="AG154" s="10">
        <f>Tabella8[[#This Row],[rest of Italy ]]</f>
        <v>169501</v>
      </c>
      <c r="AH154" s="10">
        <f>(Tabella3[[#This Row],[rest of Italy cum. data]]-AG153)</f>
        <v>2584</v>
      </c>
      <c r="AI154" s="10">
        <f>Tabella3[[#This Row],[rest of Italy data]]*NOT(ISBLANK(Tabella3[[#This Row],[rest of Italy data]]))</f>
        <v>2584</v>
      </c>
      <c r="AJ154" s="77">
        <f>Tabella8[[#This Row],[rest of Italy fit]]</f>
        <v>169941.00431411355</v>
      </c>
      <c r="AK154" s="72">
        <f>Tabella3[[#This Row],[rest of Italy cumul. fit]]/Ka</f>
        <v>0.76603791425500967</v>
      </c>
      <c r="AL154" s="72">
        <f>IFERROR(Ka*psi_a*_xlfn.SECH(psi_a*(Tabella3[[#This Row],[Day]]-pa)-phi_a)^2/(1+TANH(phi_a)),0)</f>
        <v>2076.0207472708248</v>
      </c>
      <c r="AM154" s="72">
        <f>Tabella3[[#This Row],[rest of Italy fit]]/y_a_peak</f>
        <v>0.68754966917703841</v>
      </c>
      <c r="AN154" s="72">
        <f>Tabella3[[#This Row],[rest of Italy fit]]*NOT(ISBLANK(Tabella3[[#This Row],[rest of Italy data]]))</f>
        <v>2076.0207472708248</v>
      </c>
      <c r="AO154" s="72">
        <f>Tabella3[[#This Row],[rest of Italy fit]]+CIa</f>
        <v>3710.1546872246263</v>
      </c>
      <c r="AP154" s="72">
        <f>MAX(Tabella3[[#This Row],[rest of Italy fit]]-CIa,0)</f>
        <v>441.88680731702334</v>
      </c>
    </row>
    <row r="155" spans="2:42" x14ac:dyDescent="0.3">
      <c r="B155" s="9">
        <v>43978</v>
      </c>
      <c r="C155" s="4">
        <v>148</v>
      </c>
      <c r="D155" s="72">
        <f>'dpc-covid19-ita-andamento-naz'!J95+'dpc-covid19-ita-andamento-naz'!K95</f>
        <v>180173</v>
      </c>
      <c r="E155" s="72">
        <f>(Tabella3[[#This Row],[Italy cumul. data]]-D154)</f>
        <v>2560</v>
      </c>
      <c r="F155" s="10">
        <f>Tabella3[[#This Row],[Italy remov. rate data]]*NOT(ISBLANK(Tabella3[[#This Row],[Italy remov. rate data]]))</f>
        <v>2560</v>
      </c>
      <c r="G155" s="77">
        <f>Tabella8[[#This Row],[Italy fit]]</f>
        <v>180327.51941655891</v>
      </c>
      <c r="H155" s="77">
        <f>Tabella3[[#This Row],[Italy cumul. fit]]/Kf</f>
        <v>0.76735114147560157</v>
      </c>
      <c r="I155" s="77">
        <f>Tabella3[[#This Row],[region fit]]+Tabella3[[#This Row],[rest of Italy fit]]</f>
        <v>2147.4489173237303</v>
      </c>
      <c r="J155" s="77">
        <f>Tabella3[[#This Row],[Italy (fit of selected region + fitted sum of the other regions)]]/(y_l_peak+y_a_peak)</f>
        <v>0.67813822350652631</v>
      </c>
      <c r="K155" s="72">
        <f>IFERROR(Kf*psi_f*_xlfn.SECH(psi_f*(Tabella3[[#This Row],[Day]]-pf)-phi_f)^2/(1+TANH(phi_f)),0)</f>
        <v>2158.2644489357176</v>
      </c>
      <c r="L155" s="292">
        <f>Tabella3[[#This Row],[Italy remov. rate fit]]-Tabella3[[#This Row],[Italy remov. rate data]]</f>
        <v>-401.73555106428239</v>
      </c>
      <c r="M155" s="293">
        <f>Tabella3[[#This Row],[rem. rate residuals]]*NOT(ISBLANK(Tabella3[[#This Row],[Italy remov. rate data]]))</f>
        <v>-401.73555106428239</v>
      </c>
      <c r="N155" s="72">
        <f>Tabella3[[#This Row],[Italy remov. rate fit]]/y_f_peak</f>
        <v>0.68321358678044652</v>
      </c>
      <c r="O155" s="72">
        <f>Tabella3[[#This Row],[Italy (fit of selected region + fitted sum of the other regions)]]*NOT(ISBLANK(Tabella3[[#This Row],[Italy remov. rate data]]))</f>
        <v>2147.4489173237303</v>
      </c>
      <c r="P155" s="72">
        <f>Tabella3[[#This Row],[Italy remov. rate fit]]*NOT(ISBLANK(Tabella3[[#This Row],[Italy remov. rate data]]))</f>
        <v>2158.2644489357176</v>
      </c>
      <c r="Q155" s="72">
        <f>Tabella3[[#This Row],[Italy remov. rate fit]]+CIf</f>
        <v>3813.4744178594692</v>
      </c>
      <c r="R155" s="72">
        <f>MAX(Tabella3[[#This Row],[Italy remov. rate fit]]-CIf,0)</f>
        <v>503.05448001196623</v>
      </c>
      <c r="S155" s="4">
        <f>Tabella8[[#This Row],[region data]]</f>
        <v>8320</v>
      </c>
      <c r="T155" s="72">
        <f>(Tabella3[[#This Row],[region cumul. data]]-S154)</f>
        <v>208</v>
      </c>
      <c r="U155" s="10">
        <f>Tabella3[[#This Row],[region data]]*NOT(ISBLANK(Tabella3[[#This Row],[region data]]))</f>
        <v>208</v>
      </c>
      <c r="V155" s="303">
        <f t="shared" si="3"/>
        <v>163.16666666666666</v>
      </c>
      <c r="W155" s="72">
        <f>Tabella3[[#This Row],[6-days moving avg]]*NOT(ISBLANK(Tabella3[[#This Row],[6-days moving avg]]))</f>
        <v>163.16666666666666</v>
      </c>
      <c r="X155" s="77">
        <f>Tabella8[[#This Row],[region fit]]</f>
        <v>8271.4296404475808</v>
      </c>
      <c r="Y155" s="72">
        <f>Tabella3[[#This Row],[region cumul. fit]]/Kl</f>
        <v>0.6287246842054427</v>
      </c>
      <c r="Z155" s="72">
        <f>IFERROR(Kl*psi_l*_xlfn.SECH(psi_l*(Tabella3[[#This Row],[Day]]-pl)-phi_l)^2/(1+TANH(phi_l)),0)</f>
        <v>131.03230489273449</v>
      </c>
      <c r="AA155" s="72">
        <f>Tabella3[[#This Row],[region fit]]/y_l_peak</f>
        <v>0.88995472768821393</v>
      </c>
      <c r="AB155" s="72">
        <f>Tabella3[[#This Row],[region fit]]*NOT(ISBLANK(Tabella3[[#This Row],[region data]]))</f>
        <v>131.03230489273449</v>
      </c>
      <c r="AC155" s="166">
        <f>IFERROR(kl_m*psi_l_m*_xlfn.SECH(psi_l_m*(Tabella3[[#This Row],[Day]]-pl_m)-phi_l_m)^2/(1+TANH(phi_l_m)),0)</f>
        <v>131.03230489273449</v>
      </c>
      <c r="AD155" s="72">
        <f>Tabella3[[#This Row],[6-days moving avg fit]]*NOT(ISBLANK(Tabella3[[#This Row],[6-days moving avg]]))</f>
        <v>131.03230489273449</v>
      </c>
      <c r="AE155" s="72">
        <f>Tabella3[[#This Row],[region fit]]+CIl</f>
        <v>200.39729126783487</v>
      </c>
      <c r="AF155" s="72">
        <f>MAX(Tabella3[[#This Row],[region fit]]-CIl,0)</f>
        <v>61.667318517634087</v>
      </c>
      <c r="AG155" s="10">
        <f>Tabella8[[#This Row],[rest of Italy ]]</f>
        <v>171853</v>
      </c>
      <c r="AH155" s="10">
        <f>(Tabella3[[#This Row],[rest of Italy cum. data]]-AG154)</f>
        <v>2352</v>
      </c>
      <c r="AI155" s="10">
        <f>Tabella3[[#This Row],[rest of Italy data]]*NOT(ISBLANK(Tabella3[[#This Row],[rest of Italy data]]))</f>
        <v>2352</v>
      </c>
      <c r="AJ155" s="77">
        <f>Tabella8[[#This Row],[rest of Italy fit]]</f>
        <v>171987.23043231582</v>
      </c>
      <c r="AK155" s="72">
        <f>Tabella3[[#This Row],[rest of Italy cumul. fit]]/Ka</f>
        <v>0.77526162570715862</v>
      </c>
      <c r="AL155" s="72">
        <f>IFERROR(Ka*psi_a*_xlfn.SECH(psi_a*(Tabella3[[#This Row],[Day]]-pa)-phi_a)^2/(1+TANH(phi_a)),0)</f>
        <v>2016.4166124309957</v>
      </c>
      <c r="AM155" s="72">
        <f>Tabella3[[#This Row],[rest of Italy fit]]/y_a_peak</f>
        <v>0.66780959517027227</v>
      </c>
      <c r="AN155" s="72">
        <f>Tabella3[[#This Row],[rest of Italy fit]]*NOT(ISBLANK(Tabella3[[#This Row],[rest of Italy data]]))</f>
        <v>2016.4166124309957</v>
      </c>
      <c r="AO155" s="72">
        <f>Tabella3[[#This Row],[rest of Italy fit]]+CIa</f>
        <v>3650.5505523847969</v>
      </c>
      <c r="AP155" s="72">
        <f>MAX(Tabella3[[#This Row],[rest of Italy fit]]-CIa,0)</f>
        <v>382.28267247719418</v>
      </c>
    </row>
    <row r="156" spans="2:42" x14ac:dyDescent="0.3">
      <c r="B156" s="9">
        <v>43979</v>
      </c>
      <c r="C156" s="4">
        <v>149</v>
      </c>
      <c r="D156" s="72">
        <f>'dpc-covid19-ita-andamento-naz'!J96+'dpc-covid19-ita-andamento-naz'!K96</f>
        <v>183746</v>
      </c>
      <c r="E156" s="72">
        <f>(Tabella3[[#This Row],[Italy cumul. data]]-D155)</f>
        <v>3573</v>
      </c>
      <c r="F156" s="10">
        <f>Tabella3[[#This Row],[Italy remov. rate data]]*NOT(ISBLANK(Tabella3[[#This Row],[Italy remov. rate data]]))</f>
        <v>3573</v>
      </c>
      <c r="G156" s="77">
        <f>Tabella8[[#This Row],[Italy fit]]</f>
        <v>182455.08400336269</v>
      </c>
      <c r="H156" s="77">
        <f>Tabella3[[#This Row],[Italy cumul. fit]]/Kf</f>
        <v>0.77640460774369602</v>
      </c>
      <c r="I156" s="77">
        <f>Tabella3[[#This Row],[region fit]]+Tabella3[[#This Row],[rest of Italy fit]]</f>
        <v>2086.0488682780879</v>
      </c>
      <c r="J156" s="77">
        <f>Tabella3[[#This Row],[Italy (fit of selected region + fitted sum of the other regions)]]/(y_l_peak+y_a_peak)</f>
        <v>0.65874883554617536</v>
      </c>
      <c r="K156" s="72">
        <f>IFERROR(Kf*psi_f*_xlfn.SECH(psi_f*(Tabella3[[#This Row],[Day]]-pf)-phi_f)^2/(1+TANH(phi_f)),0)</f>
        <v>2096.8554165481592</v>
      </c>
      <c r="L156" s="292">
        <f>Tabella3[[#This Row],[Italy remov. rate fit]]-Tabella3[[#This Row],[Italy remov. rate data]]</f>
        <v>-1476.1445834518408</v>
      </c>
      <c r="M156" s="293">
        <f>Tabella3[[#This Row],[rem. rate residuals]]*NOT(ISBLANK(Tabella3[[#This Row],[Italy remov. rate data]]))</f>
        <v>-1476.1445834518408</v>
      </c>
      <c r="N156" s="72">
        <f>Tabella3[[#This Row],[Italy remov. rate fit]]/y_f_peak</f>
        <v>0.66377413148157927</v>
      </c>
      <c r="O156" s="72">
        <f>Tabella3[[#This Row],[Italy (fit of selected region + fitted sum of the other regions)]]*NOT(ISBLANK(Tabella3[[#This Row],[Italy remov. rate data]]))</f>
        <v>2086.0488682780879</v>
      </c>
      <c r="P156" s="72">
        <f>Tabella3[[#This Row],[Italy remov. rate fit]]*NOT(ISBLANK(Tabella3[[#This Row],[Italy remov. rate data]]))</f>
        <v>2096.8554165481592</v>
      </c>
      <c r="Q156" s="72">
        <f>Tabella3[[#This Row],[Italy remov. rate fit]]+CIf</f>
        <v>3752.0653854719103</v>
      </c>
      <c r="R156" s="72">
        <f>MAX(Tabella3[[#This Row],[Italy remov. rate fit]]-CIf,0)</f>
        <v>441.64544762440778</v>
      </c>
      <c r="S156" s="4">
        <f>Tabella8[[#This Row],[region data]]</f>
        <v>8460</v>
      </c>
      <c r="T156" s="72">
        <f>(Tabella3[[#This Row],[region cumul. data]]-S155)</f>
        <v>140</v>
      </c>
      <c r="U156" s="10">
        <f>Tabella3[[#This Row],[region data]]*NOT(ISBLANK(Tabella3[[#This Row],[region data]]))</f>
        <v>140</v>
      </c>
      <c r="V156" s="303">
        <f t="shared" si="3"/>
        <v>155.33333333333334</v>
      </c>
      <c r="W156" s="72">
        <f>Tabella3[[#This Row],[6-days moving avg]]*NOT(ISBLANK(Tabella3[[#This Row],[6-days moving avg]]))</f>
        <v>155.33333333333334</v>
      </c>
      <c r="X156" s="77">
        <f>Tabella8[[#This Row],[region fit]]</f>
        <v>8401.5746631763086</v>
      </c>
      <c r="Y156" s="72">
        <f>Tabella3[[#This Row],[region cumul. fit]]/Kl</f>
        <v>0.63861721692021067</v>
      </c>
      <c r="Z156" s="72">
        <f>IFERROR(Kl*psi_l*_xlfn.SECH(psi_l*(Tabella3[[#This Row],[Day]]-pl)-phi_l)^2/(1+TANH(phi_l)),0)</f>
        <v>129.24626593908653</v>
      </c>
      <c r="AA156" s="72">
        <f>Tabella3[[#This Row],[region fit]]/y_l_peak</f>
        <v>0.87782417856954043</v>
      </c>
      <c r="AB156" s="72">
        <f>Tabella3[[#This Row],[region fit]]*NOT(ISBLANK(Tabella3[[#This Row],[region data]]))</f>
        <v>129.24626593908653</v>
      </c>
      <c r="AC156" s="166">
        <f>IFERROR(kl_m*psi_l_m*_xlfn.SECH(psi_l_m*(Tabella3[[#This Row],[Day]]-pl_m)-phi_l_m)^2/(1+TANH(phi_l_m)),0)</f>
        <v>129.24626593908653</v>
      </c>
      <c r="AD156" s="72">
        <f>Tabella3[[#This Row],[6-days moving avg fit]]*NOT(ISBLANK(Tabella3[[#This Row],[6-days moving avg]]))</f>
        <v>129.24626593908653</v>
      </c>
      <c r="AE156" s="72">
        <f>Tabella3[[#This Row],[region fit]]+CIl</f>
        <v>198.61125231418691</v>
      </c>
      <c r="AF156" s="72">
        <f>MAX(Tabella3[[#This Row],[region fit]]-CIl,0)</f>
        <v>59.881279563986126</v>
      </c>
      <c r="AG156" s="10">
        <f>Tabella8[[#This Row],[rest of Italy ]]</f>
        <v>175286</v>
      </c>
      <c r="AH156" s="10">
        <f>(Tabella3[[#This Row],[rest of Italy cum. data]]-AG155)</f>
        <v>3433</v>
      </c>
      <c r="AI156" s="10">
        <f>Tabella3[[#This Row],[rest of Italy data]]*NOT(ISBLANK(Tabella3[[#This Row],[rest of Italy data]]))</f>
        <v>3433</v>
      </c>
      <c r="AJ156" s="77">
        <f>Tabella8[[#This Row],[rest of Italy fit]]</f>
        <v>173973.83435027357</v>
      </c>
      <c r="AK156" s="72">
        <f>Tabella3[[#This Row],[rest of Italy cumul. fit]]/Ka</f>
        <v>0.7842165799744073</v>
      </c>
      <c r="AL156" s="72">
        <f>IFERROR(Ka*psi_a*_xlfn.SECH(psi_a*(Tabella3[[#This Row],[Day]]-pa)-phi_a)^2/(1+TANH(phi_a)),0)</f>
        <v>1956.8026023390014</v>
      </c>
      <c r="AM156" s="72">
        <f>Tabella3[[#This Row],[rest of Italy fit]]/y_a_peak</f>
        <v>0.6480662506150936</v>
      </c>
      <c r="AN156" s="72">
        <f>Tabella3[[#This Row],[rest of Italy fit]]*NOT(ISBLANK(Tabella3[[#This Row],[rest of Italy data]]))</f>
        <v>1956.8026023390014</v>
      </c>
      <c r="AO156" s="72">
        <f>Tabella3[[#This Row],[rest of Italy fit]]+CIa</f>
        <v>3590.9365422928031</v>
      </c>
      <c r="AP156" s="72">
        <f>MAX(Tabella3[[#This Row],[rest of Italy fit]]-CIa,0)</f>
        <v>322.66866238519992</v>
      </c>
    </row>
    <row r="157" spans="2:42" x14ac:dyDescent="0.3">
      <c r="B157" s="9">
        <v>43980</v>
      </c>
      <c r="C157" s="4">
        <v>150</v>
      </c>
      <c r="D157" s="72">
        <f>'dpc-covid19-ita-andamento-naz'!J97+'dpc-covid19-ita-andamento-naz'!K97</f>
        <v>186073</v>
      </c>
      <c r="E157" s="72">
        <f>(Tabella3[[#This Row],[Italy cumul. data]]-D156)</f>
        <v>2327</v>
      </c>
      <c r="F157" s="10">
        <f>Tabella3[[#This Row],[Italy remov. rate data]]*NOT(ISBLANK(Tabella3[[#This Row],[Italy remov. rate data]]))</f>
        <v>2327</v>
      </c>
      <c r="G157" s="77">
        <f>Tabella8[[#This Row],[Italy fit]]</f>
        <v>184521.23783596262</v>
      </c>
      <c r="H157" s="77">
        <f>Tabella3[[#This Row],[Italy cumul. fit]]/Kf</f>
        <v>0.78519675165517122</v>
      </c>
      <c r="I157" s="77">
        <f>Tabella3[[#This Row],[region fit]]+Tabella3[[#This Row],[rest of Italy fit]]</f>
        <v>2024.7253302006814</v>
      </c>
      <c r="J157" s="77">
        <f>Tabella3[[#This Row],[Italy (fit of selected region + fitted sum of the other regions)]]/(y_l_peak+y_a_peak)</f>
        <v>0.63938360881809375</v>
      </c>
      <c r="K157" s="72">
        <f>IFERROR(Kf*psi_f*_xlfn.SECH(psi_f*(Tabella3[[#This Row],[Day]]-pf)-phi_f)^2/(1+TANH(phi_f)),0)</f>
        <v>2035.4688364994017</v>
      </c>
      <c r="L157" s="292">
        <f>Tabella3[[#This Row],[Italy remov. rate fit]]-Tabella3[[#This Row],[Italy remov. rate data]]</f>
        <v>-291.53116350059827</v>
      </c>
      <c r="M157" s="293">
        <f>Tabella3[[#This Row],[rem. rate residuals]]*NOT(ISBLANK(Tabella3[[#This Row],[Italy remov. rate data]]))</f>
        <v>-291.53116350059827</v>
      </c>
      <c r="N157" s="72">
        <f>Tabella3[[#This Row],[Italy remov. rate fit]]/y_f_peak</f>
        <v>0.64434178362634864</v>
      </c>
      <c r="O157" s="72">
        <f>Tabella3[[#This Row],[Italy (fit of selected region + fitted sum of the other regions)]]*NOT(ISBLANK(Tabella3[[#This Row],[Italy remov. rate data]]))</f>
        <v>2024.7253302006814</v>
      </c>
      <c r="P157" s="72">
        <f>Tabella3[[#This Row],[Italy remov. rate fit]]*NOT(ISBLANK(Tabella3[[#This Row],[Italy remov. rate data]]))</f>
        <v>2035.4688364994017</v>
      </c>
      <c r="Q157" s="72">
        <f>Tabella3[[#This Row],[Italy remov. rate fit]]+CIf</f>
        <v>3690.6788054231529</v>
      </c>
      <c r="R157" s="72">
        <f>MAX(Tabella3[[#This Row],[Italy remov. rate fit]]-CIf,0)</f>
        <v>380.25886757565036</v>
      </c>
      <c r="S157" s="4">
        <f>Tabella8[[#This Row],[region data]]</f>
        <v>8625</v>
      </c>
      <c r="T157" s="72">
        <f>(Tabella3[[#This Row],[region cumul. data]]-S156)</f>
        <v>165</v>
      </c>
      <c r="U157" s="10">
        <f>Tabella3[[#This Row],[region data]]*NOT(ISBLANK(Tabella3[[#This Row],[region data]]))</f>
        <v>165</v>
      </c>
      <c r="V157" s="303">
        <f t="shared" si="3"/>
        <v>169</v>
      </c>
      <c r="W157" s="72">
        <f>Tabella3[[#This Row],[6-days moving avg]]*NOT(ISBLANK(Tabella3[[#This Row],[6-days moving avg]]))</f>
        <v>169</v>
      </c>
      <c r="X157" s="77">
        <f>Tabella8[[#This Row],[region fit]]</f>
        <v>8529.9000248417888</v>
      </c>
      <c r="Y157" s="72">
        <f>Tabella3[[#This Row],[region cumul. fit]]/Kl</f>
        <v>0.6483714342678556</v>
      </c>
      <c r="Z157" s="72">
        <f>IFERROR(Kl*psi_l*_xlfn.SECH(psi_l*(Tabella3[[#This Row],[Day]]-pl)-phi_l)^2/(1+TANH(phi_l)),0)</f>
        <v>127.39378675487534</v>
      </c>
      <c r="AA157" s="72">
        <f>Tabella3[[#This Row],[region fit]]/y_l_peak</f>
        <v>0.86524237586613573</v>
      </c>
      <c r="AB157" s="72">
        <f>Tabella3[[#This Row],[region fit]]*NOT(ISBLANK(Tabella3[[#This Row],[region data]]))</f>
        <v>127.39378675487534</v>
      </c>
      <c r="AC157" s="166">
        <f>IFERROR(kl_m*psi_l_m*_xlfn.SECH(psi_l_m*(Tabella3[[#This Row],[Day]]-pl_m)-phi_l_m)^2/(1+TANH(phi_l_m)),0)</f>
        <v>127.39378675487534</v>
      </c>
      <c r="AD157" s="72">
        <f>Tabella3[[#This Row],[6-days moving avg fit]]*NOT(ISBLANK(Tabella3[[#This Row],[6-days moving avg]]))</f>
        <v>127.39378675487534</v>
      </c>
      <c r="AE157" s="72">
        <f>Tabella3[[#This Row],[region fit]]+CIl</f>
        <v>196.75877312997574</v>
      </c>
      <c r="AF157" s="72">
        <f>MAX(Tabella3[[#This Row],[region fit]]-CIl,0)</f>
        <v>58.028800379774935</v>
      </c>
      <c r="AG157" s="10">
        <f>Tabella8[[#This Row],[rest of Italy ]]</f>
        <v>177448</v>
      </c>
      <c r="AH157" s="10">
        <f>(Tabella3[[#This Row],[rest of Italy cum. data]]-AG156)</f>
        <v>2162</v>
      </c>
      <c r="AI157" s="10">
        <f>Tabella3[[#This Row],[rest of Italy data]]*NOT(ISBLANK(Tabella3[[#This Row],[rest of Italy data]]))</f>
        <v>2162</v>
      </c>
      <c r="AJ157" s="77">
        <f>Tabella8[[#This Row],[rest of Italy fit]]</f>
        <v>175900.88339444774</v>
      </c>
      <c r="AK157" s="72">
        <f>Tabella3[[#This Row],[rest of Italy cumul. fit]]/Ka</f>
        <v>0.79290308054220282</v>
      </c>
      <c r="AL157" s="72">
        <f>IFERROR(Ka*psi_a*_xlfn.SECH(psi_a*(Tabella3[[#This Row],[Day]]-pa)-phi_a)^2/(1+TANH(phi_a)),0)</f>
        <v>1897.3315434458061</v>
      </c>
      <c r="AM157" s="72">
        <f>Tabella3[[#This Row],[rest of Italy fit]]/y_a_peak</f>
        <v>0.62837024954122267</v>
      </c>
      <c r="AN157" s="72">
        <f>Tabella3[[#This Row],[rest of Italy fit]]*NOT(ISBLANK(Tabella3[[#This Row],[rest of Italy data]]))</f>
        <v>1897.3315434458061</v>
      </c>
      <c r="AO157" s="72">
        <f>Tabella3[[#This Row],[rest of Italy fit]]+CIa</f>
        <v>3531.4654833996074</v>
      </c>
      <c r="AP157" s="72">
        <f>MAX(Tabella3[[#This Row],[rest of Italy fit]]-CIa,0)</f>
        <v>263.19760349200465</v>
      </c>
    </row>
    <row r="158" spans="2:42" x14ac:dyDescent="0.3">
      <c r="B158" s="9">
        <v>43981</v>
      </c>
      <c r="C158" s="4">
        <v>151</v>
      </c>
      <c r="D158" s="72">
        <f>'dpc-covid19-ita-andamento-naz'!J98+'dpc-covid19-ita-andamento-naz'!K98</f>
        <v>188973</v>
      </c>
      <c r="E158" s="72">
        <f>(Tabella3[[#This Row],[Italy cumul. data]]-D157)</f>
        <v>2900</v>
      </c>
      <c r="F158" s="10">
        <f>Tabella3[[#This Row],[Italy remov. rate data]]*NOT(ISBLANK(Tabella3[[#This Row],[Italy remov. rate data]]))</f>
        <v>2900</v>
      </c>
      <c r="G158" s="77">
        <f>Tabella8[[#This Row],[Italy fit]]</f>
        <v>186526.07950417674</v>
      </c>
      <c r="H158" s="77">
        <f>Tabella3[[#This Row],[Italy cumul. fit]]/Kf</f>
        <v>0.79372799274116546</v>
      </c>
      <c r="I158" s="77">
        <f>Tabella3[[#This Row],[region fit]]+Tabella3[[#This Row],[rest of Italy fit]]</f>
        <v>1963.6263616719016</v>
      </c>
      <c r="J158" s="77">
        <f>Tabella3[[#This Row],[Italy (fit of selected region + fitted sum of the other regions)]]/(y_l_peak+y_a_peak)</f>
        <v>0.62008929841939775</v>
      </c>
      <c r="K158" s="72">
        <f>IFERROR(Kf*psi_f*_xlfn.SECH(psi_f*(Tabella3[[#This Row],[Day]]-pf)-phi_f)^2/(1+TANH(phi_f)),0)</f>
        <v>1974.2554224385283</v>
      </c>
      <c r="L158" s="292">
        <f>Tabella3[[#This Row],[Italy remov. rate fit]]-Tabella3[[#This Row],[Italy remov. rate data]]</f>
        <v>-925.74457756147171</v>
      </c>
      <c r="M158" s="293">
        <f>Tabella3[[#This Row],[rem. rate residuals]]*NOT(ISBLANK(Tabella3[[#This Row],[Italy remov. rate data]]))</f>
        <v>-925.74457756147171</v>
      </c>
      <c r="N158" s="72">
        <f>Tabella3[[#This Row],[Italy remov. rate fit]]/y_f_peak</f>
        <v>0.6249642526661231</v>
      </c>
      <c r="O158" s="72">
        <f>Tabella3[[#This Row],[Italy (fit of selected region + fitted sum of the other regions)]]*NOT(ISBLANK(Tabella3[[#This Row],[Italy remov. rate data]]))</f>
        <v>1963.6263616719016</v>
      </c>
      <c r="P158" s="72">
        <f>Tabella3[[#This Row],[Italy remov. rate fit]]*NOT(ISBLANK(Tabella3[[#This Row],[Italy remov. rate data]]))</f>
        <v>1974.2554224385283</v>
      </c>
      <c r="Q158" s="72">
        <f>Tabella3[[#This Row],[Italy remov. rate fit]]+CIf</f>
        <v>3629.4653913622797</v>
      </c>
      <c r="R158" s="72">
        <f>MAX(Tabella3[[#This Row],[Italy remov. rate fit]]-CIf,0)</f>
        <v>319.04545351477691</v>
      </c>
      <c r="S158" s="4">
        <f>Tabella8[[#This Row],[region data]]</f>
        <v>8870</v>
      </c>
      <c r="T158" s="72">
        <f>(Tabella3[[#This Row],[region cumul. data]]-S157)</f>
        <v>245</v>
      </c>
      <c r="U158" s="10">
        <f>Tabella3[[#This Row],[region data]]*NOT(ISBLANK(Tabella3[[#This Row],[region data]]))</f>
        <v>245</v>
      </c>
      <c r="V158" s="303">
        <f t="shared" si="3"/>
        <v>175.5</v>
      </c>
      <c r="W158" s="72">
        <f>Tabella3[[#This Row],[6-days moving avg]]*NOT(ISBLANK(Tabella3[[#This Row],[6-days moving avg]]))</f>
        <v>175.5</v>
      </c>
      <c r="X158" s="77">
        <f>Tabella8[[#This Row],[region fit]]</f>
        <v>8656.3417070551914</v>
      </c>
      <c r="Y158" s="72">
        <f>Tabella3[[#This Row],[region cumul. fit]]/Kl</f>
        <v>0.65798247010757105</v>
      </c>
      <c r="Z158" s="72">
        <f>IFERROR(Kl*psi_l*_xlfn.SECH(psi_l*(Tabella3[[#This Row],[Day]]-pl)-phi_l)^2/(1+TANH(phi_l)),0)</f>
        <v>125.47972008340824</v>
      </c>
      <c r="AA158" s="72">
        <f>Tabella3[[#This Row],[region fit]]/y_l_peak</f>
        <v>0.85224227879253966</v>
      </c>
      <c r="AB158" s="72">
        <f>Tabella3[[#This Row],[region fit]]*NOT(ISBLANK(Tabella3[[#This Row],[region data]]))</f>
        <v>125.47972008340824</v>
      </c>
      <c r="AC158" s="166">
        <f>IFERROR(kl_m*psi_l_m*_xlfn.SECH(psi_l_m*(Tabella3[[#This Row],[Day]]-pl_m)-phi_l_m)^2/(1+TANH(phi_l_m)),0)</f>
        <v>125.47972008340824</v>
      </c>
      <c r="AD158" s="72">
        <f>Tabella3[[#This Row],[6-days moving avg fit]]*NOT(ISBLANK(Tabella3[[#This Row],[6-days moving avg]]))</f>
        <v>125.47972008340824</v>
      </c>
      <c r="AE158" s="72">
        <f>Tabella3[[#This Row],[region fit]]+CIl</f>
        <v>194.84470645850865</v>
      </c>
      <c r="AF158" s="72">
        <f>MAX(Tabella3[[#This Row],[region fit]]-CIl,0)</f>
        <v>56.114733708307838</v>
      </c>
      <c r="AG158" s="10">
        <f>Tabella8[[#This Row],[rest of Italy ]]</f>
        <v>180103</v>
      </c>
      <c r="AH158" s="10">
        <f>(Tabella3[[#This Row],[rest of Italy cum. data]]-AG157)</f>
        <v>2655</v>
      </c>
      <c r="AI158" s="10">
        <f>Tabella3[[#This Row],[rest of Italy data]]*NOT(ISBLANK(Tabella3[[#This Row],[rest of Italy data]]))</f>
        <v>2655</v>
      </c>
      <c r="AJ158" s="77">
        <f>Tabella8[[#This Row],[rest of Italy fit]]</f>
        <v>177768.59293261523</v>
      </c>
      <c r="AK158" s="72">
        <f>Tabella3[[#This Row],[rest of Italy cumul. fit]]/Ka</f>
        <v>0.80132209821734546</v>
      </c>
      <c r="AL158" s="72">
        <f>IFERROR(Ka*psi_a*_xlfn.SECH(psi_a*(Tabella3[[#This Row],[Day]]-pa)-phi_a)^2/(1+TANH(phi_a)),0)</f>
        <v>1838.1466415884934</v>
      </c>
      <c r="AM158" s="72">
        <f>Tabella3[[#This Row],[rest of Italy fit]]/y_a_peak</f>
        <v>0.60876901976268305</v>
      </c>
      <c r="AN158" s="72">
        <f>Tabella3[[#This Row],[rest of Italy fit]]*NOT(ISBLANK(Tabella3[[#This Row],[rest of Italy data]]))</f>
        <v>1838.1466415884934</v>
      </c>
      <c r="AO158" s="72">
        <f>Tabella3[[#This Row],[rest of Italy fit]]+CIa</f>
        <v>3472.2805815422948</v>
      </c>
      <c r="AP158" s="72">
        <f>MAX(Tabella3[[#This Row],[rest of Italy fit]]-CIa,0)</f>
        <v>204.01270163469189</v>
      </c>
    </row>
    <row r="159" spans="2:42" x14ac:dyDescent="0.3">
      <c r="B159" s="9">
        <v>43982</v>
      </c>
      <c r="C159" s="4">
        <v>152</v>
      </c>
      <c r="D159" s="72">
        <f>'dpc-covid19-ita-andamento-naz'!J99+'dpc-covid19-ita-andamento-naz'!K99</f>
        <v>190922</v>
      </c>
      <c r="E159" s="72">
        <f>(Tabella3[[#This Row],[Italy cumul. data]]-D158)</f>
        <v>1949</v>
      </c>
      <c r="F159" s="10">
        <f>Tabella3[[#This Row],[Italy remov. rate data]]*NOT(ISBLANK(Tabella3[[#This Row],[Italy remov. rate data]]))</f>
        <v>1949</v>
      </c>
      <c r="G159" s="77">
        <f>Tabella8[[#This Row],[Italy fit]]</f>
        <v>188469.85357870406</v>
      </c>
      <c r="H159" s="77">
        <f>Tabella3[[#This Row],[Italy cumul. fit]]/Kf</f>
        <v>0.80199937172805047</v>
      </c>
      <c r="I159" s="77">
        <f>Tabella3[[#This Row],[region fit]]+Tabella3[[#This Row],[rest of Italy fit]]</f>
        <v>1902.8901974308519</v>
      </c>
      <c r="J159" s="77">
        <f>Tabella3[[#This Row],[Italy (fit of selected region + fitted sum of the other regions)]]/(y_l_peak+y_a_peak)</f>
        <v>0.6009095571977271</v>
      </c>
      <c r="K159" s="72">
        <f>IFERROR(Kf*psi_f*_xlfn.SECH(psi_f*(Tabella3[[#This Row],[Day]]-pf)-phi_f)^2/(1+TANH(phi_f)),0)</f>
        <v>1913.3563772769921</v>
      </c>
      <c r="L159" s="292">
        <f>Tabella3[[#This Row],[Italy remov. rate fit]]-Tabella3[[#This Row],[Italy remov. rate data]]</f>
        <v>-35.643622723007866</v>
      </c>
      <c r="M159" s="293">
        <f>Tabella3[[#This Row],[rem. rate residuals]]*NOT(ISBLANK(Tabella3[[#This Row],[Italy remov. rate data]]))</f>
        <v>-35.643622723007866</v>
      </c>
      <c r="N159" s="72">
        <f>Tabella3[[#This Row],[Italy remov. rate fit]]/y_f_peak</f>
        <v>0.60568623736228266</v>
      </c>
      <c r="O159" s="72">
        <f>Tabella3[[#This Row],[Italy (fit of selected region + fitted sum of the other regions)]]*NOT(ISBLANK(Tabella3[[#This Row],[Italy remov. rate data]]))</f>
        <v>1902.8901974308519</v>
      </c>
      <c r="P159" s="72">
        <f>Tabella3[[#This Row],[Italy remov. rate fit]]*NOT(ISBLANK(Tabella3[[#This Row],[Italy remov. rate data]]))</f>
        <v>1913.3563772769921</v>
      </c>
      <c r="Q159" s="72">
        <f>Tabella3[[#This Row],[Italy remov. rate fit]]+CIf</f>
        <v>3568.5663462007433</v>
      </c>
      <c r="R159" s="72">
        <f>MAX(Tabella3[[#This Row],[Italy remov. rate fit]]-CIf,0)</f>
        <v>258.14640835324076</v>
      </c>
      <c r="S159" s="4">
        <f>Tabella8[[#This Row],[region data]]</f>
        <v>8994</v>
      </c>
      <c r="T159" s="72">
        <f>(Tabella3[[#This Row],[region cumul. data]]-S158)</f>
        <v>124</v>
      </c>
      <c r="U159" s="10">
        <f>Tabella3[[#This Row],[region data]]*NOT(ISBLANK(Tabella3[[#This Row],[region data]]))</f>
        <v>124</v>
      </c>
      <c r="V159" s="304">
        <f t="shared" si="3"/>
        <v>166</v>
      </c>
      <c r="W159" s="72">
        <f>Tabella3[[#This Row],[6-days moving avg]]*NOT(ISBLANK(Tabella3[[#This Row],[6-days moving avg]]))</f>
        <v>166</v>
      </c>
      <c r="X159" s="77">
        <f>Tabella8[[#This Row],[region fit]]</f>
        <v>8780.8405673051584</v>
      </c>
      <c r="Y159" s="72">
        <f>Tabella3[[#This Row],[region cumul. fit]]/Kl</f>
        <v>0.66744582892184767</v>
      </c>
      <c r="Z159" s="72">
        <f>IFERROR(Kl*psi_l*_xlfn.SECH(psi_l*(Tabella3[[#This Row],[Day]]-pl)-phi_l)^2/(1+TANH(phi_l)),0)</f>
        <v>123.50896091525638</v>
      </c>
      <c r="AA159" s="72">
        <f>Tabella3[[#This Row],[region fit]]/y_l_peak</f>
        <v>0.83885713350132773</v>
      </c>
      <c r="AB159" s="72">
        <f>Tabella3[[#This Row],[region fit]]*NOT(ISBLANK(Tabella3[[#This Row],[region data]]))</f>
        <v>123.50896091525638</v>
      </c>
      <c r="AC159" s="166">
        <f>IFERROR(kl_m*psi_l_m*_xlfn.SECH(psi_l_m*(Tabella3[[#This Row],[Day]]-pl_m)-phi_l_m)^2/(1+TANH(phi_l_m)),0)</f>
        <v>123.50896091525638</v>
      </c>
      <c r="AD159" s="72">
        <f>Tabella3[[#This Row],[6-days moving avg fit]]*NOT(ISBLANK(Tabella3[[#This Row],[6-days moving avg]]))</f>
        <v>123.50896091525638</v>
      </c>
      <c r="AE159" s="72">
        <f>Tabella3[[#This Row],[region fit]]+CIl</f>
        <v>192.8739472903568</v>
      </c>
      <c r="AF159" s="72">
        <f>MAX(Tabella3[[#This Row],[region fit]]-CIl,0)</f>
        <v>54.14397454015598</v>
      </c>
      <c r="AG159" s="10">
        <f>Tabella8[[#This Row],[rest of Italy ]]</f>
        <v>181928</v>
      </c>
      <c r="AH159" s="10">
        <f>(Tabella3[[#This Row],[rest of Italy cum. data]]-AG158)</f>
        <v>1825</v>
      </c>
      <c r="AI159" s="10">
        <f>Tabella3[[#This Row],[rest of Italy data]]*NOT(ISBLANK(Tabella3[[#This Row],[rest of Italy data]]))</f>
        <v>1825</v>
      </c>
      <c r="AJ159" s="77">
        <f>Tabella8[[#This Row],[rest of Italy fit]]</f>
        <v>179577.31662117253</v>
      </c>
      <c r="AK159" s="72">
        <f>Tabella3[[#This Row],[rest of Italy cumul. fit]]/Ka</f>
        <v>0.80947522716605436</v>
      </c>
      <c r="AL159" s="72">
        <f>IFERROR(Ka*psi_a*_xlfn.SECH(psi_a*(Tabella3[[#This Row],[Day]]-pa)-phi_a)^2/(1+TANH(phi_a)),0)</f>
        <v>1779.3812365155954</v>
      </c>
      <c r="AM159" s="72">
        <f>Tabella3[[#This Row],[rest of Italy fit]]/y_a_peak</f>
        <v>0.58930672157994979</v>
      </c>
      <c r="AN159" s="72">
        <f>Tabella3[[#This Row],[rest of Italy fit]]*NOT(ISBLANK(Tabella3[[#This Row],[rest of Italy data]]))</f>
        <v>1779.3812365155954</v>
      </c>
      <c r="AO159" s="72">
        <f>Tabella3[[#This Row],[rest of Italy fit]]+CIa</f>
        <v>3413.5151764693969</v>
      </c>
      <c r="AP159" s="72">
        <f>MAX(Tabella3[[#This Row],[rest of Italy fit]]-CIa,0)</f>
        <v>145.24729656179397</v>
      </c>
    </row>
    <row r="160" spans="2:42" x14ac:dyDescent="0.3">
      <c r="B160" s="9">
        <v>43983</v>
      </c>
      <c r="C160" s="4">
        <v>153</v>
      </c>
      <c r="D160" s="72">
        <f>'dpc-covid19-ita-andamento-naz'!J100+'dpc-covid19-ita-andamento-naz'!K100</f>
        <v>191830</v>
      </c>
      <c r="E160" s="72">
        <f>(Tabella3[[#This Row],[Italy cumul. data]]-D159)</f>
        <v>908</v>
      </c>
      <c r="F160" s="10">
        <f>Tabella3[[#This Row],[Italy remov. rate data]]*NOT(ISBLANK(Tabella3[[#This Row],[Italy remov. rate data]]))</f>
        <v>908</v>
      </c>
      <c r="G160" s="77">
        <f>Tabella8[[#This Row],[Italy fit]]</f>
        <v>190352.94098261287</v>
      </c>
      <c r="H160" s="77">
        <f>Tabella3[[#This Row],[Italy cumul. fit]]/Kf</f>
        <v>0.81001250956504245</v>
      </c>
      <c r="I160" s="77">
        <f>Tabella3[[#This Row],[region fit]]+Tabella3[[#This Row],[rest of Italy fit]]</f>
        <v>1842.6450872604992</v>
      </c>
      <c r="J160" s="77">
        <f>Tabella3[[#This Row],[Italy (fit of selected region + fitted sum of the other regions)]]/(y_l_peak+y_a_peak)</f>
        <v>0.58188488487313772</v>
      </c>
      <c r="K160" s="72">
        <f>IFERROR(Kf*psi_f*_xlfn.SECH(psi_f*(Tabella3[[#This Row],[Day]]-pf)-phi_f)^2/(1+TANH(phi_f)),0)</f>
        <v>1852.9031752220915</v>
      </c>
      <c r="L160" s="292">
        <f>Tabella3[[#This Row],[Italy remov. rate fit]]-Tabella3[[#This Row],[Italy remov. rate data]]</f>
        <v>944.90317522209148</v>
      </c>
      <c r="M160" s="293">
        <f>Tabella3[[#This Row],[rem. rate residuals]]*NOT(ISBLANK(Tabella3[[#This Row],[Italy remov. rate data]]))</f>
        <v>944.90317522209148</v>
      </c>
      <c r="N160" s="72">
        <f>Tabella3[[#This Row],[Italy remov. rate fit]]/y_f_peak</f>
        <v>0.58654935678740272</v>
      </c>
      <c r="O160" s="72">
        <f>Tabella3[[#This Row],[Italy (fit of selected region + fitted sum of the other regions)]]*NOT(ISBLANK(Tabella3[[#This Row],[Italy remov. rate data]]))</f>
        <v>1842.6450872604992</v>
      </c>
      <c r="P160" s="72">
        <f>Tabella3[[#This Row],[Italy remov. rate fit]]*NOT(ISBLANK(Tabella3[[#This Row],[Italy remov. rate data]]))</f>
        <v>1852.9031752220915</v>
      </c>
      <c r="Q160" s="72">
        <f>Tabella3[[#This Row],[Italy remov. rate fit]]+CIf</f>
        <v>3508.1131441458429</v>
      </c>
      <c r="R160" s="72">
        <f>MAX(Tabella3[[#This Row],[Italy remov. rate fit]]-CIf,0)</f>
        <v>197.6932062983401</v>
      </c>
      <c r="S160" s="4">
        <f>Tabella8[[#This Row],[region data]]</f>
        <v>9108</v>
      </c>
      <c r="T160" s="72">
        <f>(Tabella3[[#This Row],[region cumul. data]]-S159)</f>
        <v>114</v>
      </c>
      <c r="U160" s="10">
        <f>Tabella3[[#This Row],[region data]]*NOT(ISBLANK(Tabella3[[#This Row],[region data]]))</f>
        <v>114</v>
      </c>
      <c r="V160" s="304">
        <f t="shared" si="3"/>
        <v>144.66666666666666</v>
      </c>
      <c r="W160" s="72">
        <f>Tabella3[[#This Row],[6-days moving avg]]*NOT(ISBLANK(Tabella3[[#This Row],[6-days moving avg]]))</f>
        <v>144.66666666666666</v>
      </c>
      <c r="X160" s="77">
        <f>Tabella8[[#This Row],[region fit]]</f>
        <v>8903.3423692717988</v>
      </c>
      <c r="Y160" s="72">
        <f>Tabella3[[#This Row],[region cumul. fit]]/Kl</f>
        <v>0.67675738812068842</v>
      </c>
      <c r="Z160" s="72">
        <f>IFERROR(Kl*psi_l*_xlfn.SECH(psi_l*(Tabella3[[#This Row],[Day]]-pl)-phi_l)^2/(1+TANH(phi_l)),0)</f>
        <v>121.48642275716749</v>
      </c>
      <c r="AA160" s="72">
        <f>Tabella3[[#This Row],[region fit]]/y_l_peak</f>
        <v>0.82512031190458857</v>
      </c>
      <c r="AB160" s="72">
        <f>Tabella3[[#This Row],[region fit]]*NOT(ISBLANK(Tabella3[[#This Row],[region data]]))</f>
        <v>121.48642275716749</v>
      </c>
      <c r="AC160" s="166">
        <f>IFERROR(kl_m*psi_l_m*_xlfn.SECH(psi_l_m*(Tabella3[[#This Row],[Day]]-pl_m)-phi_l_m)^2/(1+TANH(phi_l_m)),0)</f>
        <v>121.48642275716749</v>
      </c>
      <c r="AD160" s="72">
        <f>Tabella3[[#This Row],[6-days moving avg fit]]*NOT(ISBLANK(Tabella3[[#This Row],[6-days moving avg]]))</f>
        <v>121.48642275716749</v>
      </c>
      <c r="AE160" s="72">
        <f>Tabella3[[#This Row],[region fit]]+CIl</f>
        <v>190.85140913226789</v>
      </c>
      <c r="AF160" s="72">
        <f>MAX(Tabella3[[#This Row],[region fit]]-CIl,0)</f>
        <v>52.121436382067088</v>
      </c>
      <c r="AG160" s="10">
        <f>Tabella8[[#This Row],[rest of Italy ]]</f>
        <v>182722</v>
      </c>
      <c r="AH160" s="10">
        <f>(Tabella3[[#This Row],[rest of Italy cum. data]]-AG159)</f>
        <v>794</v>
      </c>
      <c r="AI160" s="10">
        <f>Tabella3[[#This Row],[rest of Italy data]]*NOT(ISBLANK(Tabella3[[#This Row],[rest of Italy data]]))</f>
        <v>794</v>
      </c>
      <c r="AJ160" s="77">
        <f>Tabella8[[#This Row],[rest of Italy fit]]</f>
        <v>181327.53646169472</v>
      </c>
      <c r="AK160" s="72">
        <f>Tabella3[[#This Row],[rest of Italy cumul. fit]]/Ka</f>
        <v>0.8173646400922201</v>
      </c>
      <c r="AL160" s="72">
        <f>IFERROR(Ka*psi_a*_xlfn.SECH(psi_a*(Tabella3[[#This Row],[Day]]-pa)-phi_a)^2/(1+TANH(phi_a)),0)</f>
        <v>1721.1586645033317</v>
      </c>
      <c r="AM160" s="72">
        <f>Tabella3[[#This Row],[rest of Italy fit]]/y_a_peak</f>
        <v>0.57002420228032635</v>
      </c>
      <c r="AN160" s="72">
        <f>Tabella3[[#This Row],[rest of Italy fit]]*NOT(ISBLANK(Tabella3[[#This Row],[rest of Italy data]]))</f>
        <v>1721.1586645033317</v>
      </c>
      <c r="AO160" s="72">
        <f>Tabella3[[#This Row],[rest of Italy fit]]+CIa</f>
        <v>3355.2926044571332</v>
      </c>
      <c r="AP160" s="72">
        <f>MAX(Tabella3[[#This Row],[rest of Italy fit]]-CIa,0)</f>
        <v>87.02472454953022</v>
      </c>
    </row>
    <row r="161" spans="2:42" x14ac:dyDescent="0.3">
      <c r="B161" s="9">
        <v>43984</v>
      </c>
      <c r="C161" s="4">
        <v>154</v>
      </c>
      <c r="D161" s="72">
        <f>'dpc-covid19-ita-andamento-naz'!J101+'dpc-covid19-ita-andamento-naz'!K101</f>
        <v>193622</v>
      </c>
      <c r="E161" s="72">
        <f>(Tabella3[[#This Row],[Italy cumul. data]]-D160)</f>
        <v>1792</v>
      </c>
      <c r="F161" s="10">
        <f>Tabella3[[#This Row],[Italy remov. rate data]]*NOT(ISBLANK(Tabella3[[#This Row],[Italy remov. rate data]]))</f>
        <v>1792</v>
      </c>
      <c r="G161" s="77">
        <f>Tabella8[[#This Row],[Italy fit]]</f>
        <v>192175.84919632412</v>
      </c>
      <c r="H161" s="77">
        <f>Tabella3[[#This Row],[Italy cumul. fit]]/Kf</f>
        <v>0.81776956574328064</v>
      </c>
      <c r="I161" s="77">
        <f>Tabella3[[#This Row],[region fit]]+Tabella3[[#This Row],[rest of Italy fit]]</f>
        <v>1783.0092352825993</v>
      </c>
      <c r="J161" s="77">
        <f>Tabella3[[#This Row],[Italy (fit of selected region + fitted sum of the other regions)]]/(y_l_peak+y_a_peak)</f>
        <v>0.56305260886817865</v>
      </c>
      <c r="K161" s="72">
        <f>IFERROR(Kf*psi_f*_xlfn.SECH(psi_f*(Tabella3[[#This Row],[Day]]-pf)-phi_f)^2/(1+TANH(phi_f)),0)</f>
        <v>1793.0174454268817</v>
      </c>
      <c r="L161" s="292">
        <f>Tabella3[[#This Row],[Italy remov. rate fit]]-Tabella3[[#This Row],[Italy remov. rate data]]</f>
        <v>1.0174454268817499</v>
      </c>
      <c r="M161" s="293">
        <f>Tabella3[[#This Row],[rem. rate residuals]]*NOT(ISBLANK(Tabella3[[#This Row],[Italy remov. rate data]]))</f>
        <v>1.0174454268817499</v>
      </c>
      <c r="N161" s="72">
        <f>Tabella3[[#This Row],[Italy remov. rate fit]]/y_f_peak</f>
        <v>0.56759211349382688</v>
      </c>
      <c r="O161" s="72">
        <f>Tabella3[[#This Row],[Italy (fit of selected region + fitted sum of the other regions)]]*NOT(ISBLANK(Tabella3[[#This Row],[Italy remov. rate data]]))</f>
        <v>1783.0092352825993</v>
      </c>
      <c r="P161" s="72">
        <f>Tabella3[[#This Row],[Italy remov. rate fit]]*NOT(ISBLANK(Tabella3[[#This Row],[Italy remov. rate data]]))</f>
        <v>1793.0174454268817</v>
      </c>
      <c r="Q161" s="72">
        <f>Tabella3[[#This Row],[Italy remov. rate fit]]+CIf</f>
        <v>3448.2274143506329</v>
      </c>
      <c r="R161" s="72">
        <f>MAX(Tabella3[[#This Row],[Italy remov. rate fit]]-CIf,0)</f>
        <v>137.80747650313037</v>
      </c>
      <c r="S161" s="4">
        <f>Tabella8[[#This Row],[region data]]</f>
        <v>9188</v>
      </c>
      <c r="T161" s="72">
        <f>(Tabella3[[#This Row],[region cumul. data]]-S160)</f>
        <v>80</v>
      </c>
      <c r="U161" s="10">
        <f>Tabella3[[#This Row],[region data]]*NOT(ISBLANK(Tabella3[[#This Row],[region data]]))</f>
        <v>80</v>
      </c>
      <c r="V161" s="304">
        <f t="shared" si="3"/>
        <v>129.5</v>
      </c>
      <c r="W161" s="72">
        <f>Tabella3[[#This Row],[6-days moving avg]]*NOT(ISBLANK(Tabella3[[#This Row],[6-days moving avg]]))</f>
        <v>129.5</v>
      </c>
      <c r="X161" s="77">
        <f>Tabella8[[#This Row],[region fit]]</f>
        <v>9023.797789842667</v>
      </c>
      <c r="Y161" s="72">
        <f>Tabella3[[#This Row],[region cumul. fit]]/Kl</f>
        <v>0.68591339857490474</v>
      </c>
      <c r="Z161" s="72">
        <f>IFERROR(Kl*psi_l*_xlfn.SECH(psi_l*(Tabella3[[#This Row],[Day]]-pl)-phi_l)^2/(1+TANH(phi_l)),0)</f>
        <v>119.41701479321905</v>
      </c>
      <c r="AA161" s="72">
        <f>Tabella3[[#This Row],[region fit]]/y_l_peak</f>
        <v>0.81106515655538536</v>
      </c>
      <c r="AB161" s="72">
        <f>Tabella3[[#This Row],[region fit]]*NOT(ISBLANK(Tabella3[[#This Row],[region data]]))</f>
        <v>119.41701479321905</v>
      </c>
      <c r="AC161" s="166">
        <f>IFERROR(kl_m*psi_l_m*_xlfn.SECH(psi_l_m*(Tabella3[[#This Row],[Day]]-pl_m)-phi_l_m)^2/(1+TANH(phi_l_m)),0)</f>
        <v>119.41701479321905</v>
      </c>
      <c r="AD161" s="72">
        <f>Tabella3[[#This Row],[6-days moving avg fit]]*NOT(ISBLANK(Tabella3[[#This Row],[6-days moving avg]]))</f>
        <v>119.41701479321905</v>
      </c>
      <c r="AE161" s="72">
        <f>Tabella3[[#This Row],[region fit]]+CIl</f>
        <v>188.78200116831945</v>
      </c>
      <c r="AF161" s="72">
        <f>MAX(Tabella3[[#This Row],[region fit]]-CIl,0)</f>
        <v>50.052028418118653</v>
      </c>
      <c r="AG161" s="10">
        <f>Tabella8[[#This Row],[rest of Italy ]]</f>
        <v>184434</v>
      </c>
      <c r="AH161" s="10">
        <f>(Tabella3[[#This Row],[rest of Italy cum. data]]-AG160)</f>
        <v>1712</v>
      </c>
      <c r="AI161" s="10">
        <f>Tabella3[[#This Row],[rest of Italy data]]*NOT(ISBLANK(Tabella3[[#This Row],[rest of Italy data]]))</f>
        <v>1712</v>
      </c>
      <c r="AJ161" s="77">
        <f>Tabella8[[#This Row],[rest of Italy fit]]</f>
        <v>183019.85277061054</v>
      </c>
      <c r="AK161" s="72">
        <f>Tabella3[[#This Row],[rest of Italy cumul. fit]]/Ka</f>
        <v>0.82499304302401288</v>
      </c>
      <c r="AL161" s="72">
        <f>IFERROR(Ka*psi_a*_xlfn.SECH(psi_a*(Tabella3[[#This Row],[Day]]-pa)-phi_a)^2/(1+TANH(phi_a)),0)</f>
        <v>1663.5922204893802</v>
      </c>
      <c r="AM161" s="72">
        <f>Tabella3[[#This Row],[rest of Italy fit]]/y_a_peak</f>
        <v>0.55095898359716866</v>
      </c>
      <c r="AN161" s="72">
        <f>Tabella3[[#This Row],[rest of Italy fit]]*NOT(ISBLANK(Tabella3[[#This Row],[rest of Italy data]]))</f>
        <v>1663.5922204893802</v>
      </c>
      <c r="AO161" s="72">
        <f>Tabella3[[#This Row],[rest of Italy fit]]+CIa</f>
        <v>3297.7261604431815</v>
      </c>
      <c r="AP161" s="72">
        <f>MAX(Tabella3[[#This Row],[rest of Italy fit]]-CIa,0)</f>
        <v>29.458280535578751</v>
      </c>
    </row>
    <row r="162" spans="2:42" x14ac:dyDescent="0.3">
      <c r="B162" s="9">
        <v>43985</v>
      </c>
      <c r="C162" s="4">
        <v>155</v>
      </c>
      <c r="D162" s="72">
        <f>'dpc-covid19-ita-andamento-naz'!J102+'dpc-covid19-ita-andamento-naz'!K102</f>
        <v>194539</v>
      </c>
      <c r="E162" s="72">
        <f>(Tabella3[[#This Row],[Italy cumul. data]]-D161)</f>
        <v>917</v>
      </c>
      <c r="F162" s="10">
        <f>Tabella3[[#This Row],[Italy remov. rate data]]*NOT(ISBLANK(Tabella3[[#This Row],[Italy remov. rate data]]))</f>
        <v>917</v>
      </c>
      <c r="G162" s="77">
        <f>Tabella8[[#This Row],[Italy fit]]</f>
        <v>193939.20239368151</v>
      </c>
      <c r="H162" s="77">
        <f>Tabella3[[#This Row],[Italy cumul. fit]]/Kf</f>
        <v>0.82527319632165697</v>
      </c>
      <c r="I162" s="77">
        <f>Tabella3[[#This Row],[region fit]]+Tabella3[[#This Row],[rest of Italy fit]]</f>
        <v>1724.0908306684553</v>
      </c>
      <c r="J162" s="77">
        <f>Tabella3[[#This Row],[Italy (fit of selected region + fitted sum of the other regions)]]/(y_l_peak+y_a_peak)</f>
        <v>0.54444689400597446</v>
      </c>
      <c r="K162" s="72">
        <f>IFERROR(Kf*psi_f*_xlfn.SECH(psi_f*(Tabella3[[#This Row],[Day]]-pf)-phi_f)^2/(1+TANH(phi_f)),0)</f>
        <v>1733.8109491088458</v>
      </c>
      <c r="L162" s="292">
        <f>Tabella3[[#This Row],[Italy remov. rate fit]]-Tabella3[[#This Row],[Italy remov. rate data]]</f>
        <v>816.81094910884576</v>
      </c>
      <c r="M162" s="293">
        <f>Tabella3[[#This Row],[rem. rate residuals]]*NOT(ISBLANK(Tabella3[[#This Row],[Italy remov. rate data]]))</f>
        <v>816.81094910884576</v>
      </c>
      <c r="N162" s="72">
        <f>Tabella3[[#This Row],[Italy remov. rate fit]]/y_f_peak</f>
        <v>0.54884988627042253</v>
      </c>
      <c r="O162" s="72">
        <f>Tabella3[[#This Row],[Italy (fit of selected region + fitted sum of the other regions)]]*NOT(ISBLANK(Tabella3[[#This Row],[Italy remov. rate data]]))</f>
        <v>1724.0908306684553</v>
      </c>
      <c r="P162" s="72">
        <f>Tabella3[[#This Row],[Italy remov. rate fit]]*NOT(ISBLANK(Tabella3[[#This Row],[Italy remov. rate data]]))</f>
        <v>1733.8109491088458</v>
      </c>
      <c r="Q162" s="72">
        <f>Tabella3[[#This Row],[Italy remov. rate fit]]+CIf</f>
        <v>3389.0209180325974</v>
      </c>
      <c r="R162" s="72">
        <f>MAX(Tabella3[[#This Row],[Italy remov. rate fit]]-CIf,0)</f>
        <v>78.600980185094386</v>
      </c>
      <c r="S162" s="4">
        <f>Tabella8[[#This Row],[region data]]</f>
        <v>9237</v>
      </c>
      <c r="T162" s="72">
        <f>(Tabella3[[#This Row],[region cumul. data]]-S161)</f>
        <v>49</v>
      </c>
      <c r="U162" s="10">
        <f>Tabella3[[#This Row],[region data]]*NOT(ISBLANK(Tabella3[[#This Row],[region data]]))</f>
        <v>49</v>
      </c>
      <c r="V162" s="305">
        <f t="shared" si="3"/>
        <v>125.5</v>
      </c>
      <c r="W162" s="72">
        <f>Tabella3[[#This Row],[6-days moving avg]]*NOT(ISBLANK(Tabella3[[#This Row],[6-days moving avg]]))</f>
        <v>125.5</v>
      </c>
      <c r="X162" s="77">
        <f>Tabella8[[#This Row],[region fit]]</f>
        <v>9142.1624037981383</v>
      </c>
      <c r="Y162" s="72">
        <f>Tabella3[[#This Row],[region cumul. fit]]/Kl</f>
        <v>0.69491048345202711</v>
      </c>
      <c r="Z162" s="72">
        <f>IFERROR(Kl*psi_l*_xlfn.SECH(psi_l*(Tabella3[[#This Row],[Day]]-pl)-phi_l)^2/(1+TANH(phi_l)),0)</f>
        <v>117.30562008542275</v>
      </c>
      <c r="AA162" s="72">
        <f>Tabella3[[#This Row],[region fit]]/y_l_peak</f>
        <v>0.79672483258903659</v>
      </c>
      <c r="AB162" s="72">
        <f>Tabella3[[#This Row],[region fit]]*NOT(ISBLANK(Tabella3[[#This Row],[region data]]))</f>
        <v>117.30562008542275</v>
      </c>
      <c r="AC162" s="166">
        <f>IFERROR(kl_m*psi_l_m*_xlfn.SECH(psi_l_m*(Tabella3[[#This Row],[Day]]-pl_m)-phi_l_m)^2/(1+TANH(phi_l_m)),0)</f>
        <v>117.30562008542275</v>
      </c>
      <c r="AD162" s="72">
        <f>Tabella3[[#This Row],[6-days moving avg fit]]*NOT(ISBLANK(Tabella3[[#This Row],[6-days moving avg]]))</f>
        <v>117.30562008542275</v>
      </c>
      <c r="AE162" s="72">
        <f>Tabella3[[#This Row],[region fit]]+CIl</f>
        <v>186.67060646052315</v>
      </c>
      <c r="AF162" s="72">
        <f>MAX(Tabella3[[#This Row],[region fit]]-CIl,0)</f>
        <v>47.940633710322345</v>
      </c>
      <c r="AG162" s="10">
        <f>Tabella8[[#This Row],[rest of Italy ]]</f>
        <v>185302</v>
      </c>
      <c r="AH162" s="10">
        <f>(Tabella3[[#This Row],[rest of Italy cum. data]]-AG161)</f>
        <v>868</v>
      </c>
      <c r="AI162" s="10">
        <f>Tabella3[[#This Row],[rest of Italy data]]*NOT(ISBLANK(Tabella3[[#This Row],[rest of Italy data]]))</f>
        <v>868</v>
      </c>
      <c r="AJ162" s="77">
        <f>Tabella8[[#This Row],[rest of Italy fit]]</f>
        <v>184654.97415697938</v>
      </c>
      <c r="AK162" s="72">
        <f>Tabella3[[#This Row],[rest of Italy cumul. fit]]/Ka</f>
        <v>0.8323636301370122</v>
      </c>
      <c r="AL162" s="72">
        <f>IFERROR(Ka*psi_a*_xlfn.SECH(psi_a*(Tabella3[[#This Row],[Day]]-pa)-phi_a)^2/(1+TANH(phi_a)),0)</f>
        <v>1606.7852105830325</v>
      </c>
      <c r="AM162" s="72">
        <f>Tabella3[[#This Row],[rest of Italy fit]]/y_a_peak</f>
        <v>0.53214527910052911</v>
      </c>
      <c r="AN162" s="72">
        <f>Tabella3[[#This Row],[rest of Italy fit]]*NOT(ISBLANK(Tabella3[[#This Row],[rest of Italy data]]))</f>
        <v>1606.7852105830325</v>
      </c>
      <c r="AO162" s="72">
        <f>Tabella3[[#This Row],[rest of Italy fit]]+CIa</f>
        <v>3240.919150536834</v>
      </c>
      <c r="AP162" s="72">
        <f>MAX(Tabella3[[#This Row],[rest of Italy fit]]-CIa,0)</f>
        <v>0</v>
      </c>
    </row>
    <row r="163" spans="2:42" x14ac:dyDescent="0.3">
      <c r="B163" s="9">
        <v>43986</v>
      </c>
      <c r="C163" s="4">
        <v>156</v>
      </c>
      <c r="D163" s="72">
        <f>'dpc-covid19-ita-andamento-naz'!J103+'dpc-covid19-ita-andamento-naz'!K103</f>
        <v>195584</v>
      </c>
      <c r="E163" s="72">
        <f>(Tabella3[[#This Row],[Italy cumul. data]]-D162)</f>
        <v>1045</v>
      </c>
      <c r="F163" s="10">
        <f>Tabella3[[#This Row],[Italy remov. rate data]]*NOT(ISBLANK(Tabella3[[#This Row],[Italy remov. rate data]]))</f>
        <v>1045</v>
      </c>
      <c r="G163" s="77">
        <f>Tabella8[[#This Row],[Italy fit]]</f>
        <v>195643.73159829059</v>
      </c>
      <c r="H163" s="77">
        <f>Tabella3[[#This Row],[Italy cumul. fit]]/Kf</f>
        <v>0.83252651203889838</v>
      </c>
      <c r="I163" s="77">
        <f>Tabella3[[#This Row],[region fit]]+Tabella3[[#This Row],[rest of Italy fit]]</f>
        <v>1665.9881604193074</v>
      </c>
      <c r="J163" s="77">
        <f>Tabella3[[#This Row],[Italy (fit of selected region + fitted sum of the other regions)]]/(y_l_peak+y_a_peak)</f>
        <v>0.52609877812490047</v>
      </c>
      <c r="K163" s="72">
        <f>IFERROR(Kf*psi_f*_xlfn.SECH(psi_f*(Tabella3[[#This Row],[Day]]-pf)-phi_f)^2/(1+TANH(phi_f)),0)</f>
        <v>1675.3856415010785</v>
      </c>
      <c r="L163" s="292">
        <f>Tabella3[[#This Row],[Italy remov. rate fit]]-Tabella3[[#This Row],[Italy remov. rate data]]</f>
        <v>630.38564150107845</v>
      </c>
      <c r="M163" s="293">
        <f>Tabella3[[#This Row],[rem. rate residuals]]*NOT(ISBLANK(Tabella3[[#This Row],[Italy remov. rate data]]))</f>
        <v>630.38564150107845</v>
      </c>
      <c r="N163" s="72">
        <f>Tabella3[[#This Row],[Italy remov. rate fit]]/y_f_peak</f>
        <v>0.53035494975365904</v>
      </c>
      <c r="O163" s="72">
        <f>Tabella3[[#This Row],[Italy (fit of selected region + fitted sum of the other regions)]]*NOT(ISBLANK(Tabella3[[#This Row],[Italy remov. rate data]]))</f>
        <v>1665.9881604193074</v>
      </c>
      <c r="P163" s="72">
        <f>Tabella3[[#This Row],[Italy remov. rate fit]]*NOT(ISBLANK(Tabella3[[#This Row],[Italy remov. rate data]]))</f>
        <v>1675.3856415010785</v>
      </c>
      <c r="Q163" s="72">
        <f>Tabella3[[#This Row],[Italy remov. rate fit]]+CIf</f>
        <v>3330.5956104248298</v>
      </c>
      <c r="R163" s="72">
        <f>MAX(Tabella3[[#This Row],[Italy remov. rate fit]]-CIf,0)</f>
        <v>20.175672577327077</v>
      </c>
      <c r="S163" s="4">
        <f>Tabella8[[#This Row],[region data]]</f>
        <v>9378</v>
      </c>
      <c r="T163" s="72">
        <f>(Tabella3[[#This Row],[region cumul. data]]-S162)</f>
        <v>141</v>
      </c>
      <c r="U163" s="10">
        <f>Tabella3[[#This Row],[region data]]*NOT(ISBLANK(Tabella3[[#This Row],[region data]]))</f>
        <v>141</v>
      </c>
      <c r="V163" s="305">
        <f t="shared" si="3"/>
        <v>101.6</v>
      </c>
      <c r="W163" s="72">
        <f>Tabella3[[#This Row],[6-days moving avg]]*NOT(ISBLANK(Tabella3[[#This Row],[6-days moving avg]]))</f>
        <v>101.6</v>
      </c>
      <c r="X163" s="77">
        <f>Tabella8[[#This Row],[region fit]]</f>
        <v>9258.3966472712036</v>
      </c>
      <c r="Y163" s="72">
        <f>Tabella3[[#This Row],[region cumul. fit]]/Kl</f>
        <v>0.70374563543882529</v>
      </c>
      <c r="Z163" s="72">
        <f>IFERROR(Kl*psi_l*_xlfn.SECH(psi_l*(Tabella3[[#This Row],[Day]]-pl)-phi_l)^2/(1+TANH(phi_l)),0)</f>
        <v>115.15707494157297</v>
      </c>
      <c r="AA163" s="72">
        <f>Tabella3[[#This Row],[region fit]]/y_l_peak</f>
        <v>0.78213218759217151</v>
      </c>
      <c r="AB163" s="72">
        <f>Tabella3[[#This Row],[region fit]]*NOT(ISBLANK(Tabella3[[#This Row],[region data]]))</f>
        <v>115.15707494157297</v>
      </c>
      <c r="AC163" s="166">
        <f>IFERROR(kl_m*psi_l_m*_xlfn.SECH(psi_l_m*(Tabella3[[#This Row],[Day]]-pl_m)-phi_l_m)^2/(1+TANH(phi_l_m)),0)</f>
        <v>115.15707494157297</v>
      </c>
      <c r="AD163" s="72">
        <f>Tabella3[[#This Row],[6-days moving avg fit]]*NOT(ISBLANK(Tabella3[[#This Row],[6-days moving avg]]))</f>
        <v>115.15707494157297</v>
      </c>
      <c r="AE163" s="72">
        <f>Tabella3[[#This Row],[region fit]]+CIl</f>
        <v>184.52206131667339</v>
      </c>
      <c r="AF163" s="72">
        <f>MAX(Tabella3[[#This Row],[region fit]]-CIl,0)</f>
        <v>45.792088566472572</v>
      </c>
      <c r="AG163" s="10">
        <f>Tabella8[[#This Row],[rest of Italy ]]</f>
        <v>186206</v>
      </c>
      <c r="AH163" s="10">
        <f>(Tabella3[[#This Row],[rest of Italy cum. data]]-AG162)</f>
        <v>904</v>
      </c>
      <c r="AI163" s="10">
        <f>Tabella3[[#This Row],[rest of Italy data]]*NOT(ISBLANK(Tabella3[[#This Row],[rest of Italy data]]))</f>
        <v>904</v>
      </c>
      <c r="AJ163" s="77">
        <f>Tabella8[[#This Row],[rest of Italy fit]]</f>
        <v>186233.70759402623</v>
      </c>
      <c r="AK163" s="72">
        <f>Tabella3[[#This Row],[rest of Italy cumul. fit]]/Ka</f>
        <v>0.83948003899996471</v>
      </c>
      <c r="AL163" s="72">
        <f>IFERROR(Ka*psi_a*_xlfn.SECH(psi_a*(Tabella3[[#This Row],[Day]]-pa)-phi_a)^2/(1+TANH(phi_a)),0)</f>
        <v>1550.8310854777344</v>
      </c>
      <c r="AM163" s="72">
        <f>Tabella3[[#This Row],[rest of Italy fit]]/y_a_peak</f>
        <v>0.5136140383815655</v>
      </c>
      <c r="AN163" s="72">
        <f>Tabella3[[#This Row],[rest of Italy fit]]*NOT(ISBLANK(Tabella3[[#This Row],[rest of Italy data]]))</f>
        <v>1550.8310854777344</v>
      </c>
      <c r="AO163" s="72">
        <f>Tabella3[[#This Row],[rest of Italy fit]]+CIa</f>
        <v>3184.9650254315357</v>
      </c>
      <c r="AP163" s="72">
        <f>MAX(Tabella3[[#This Row],[rest of Italy fit]]-CIa,0)</f>
        <v>0</v>
      </c>
    </row>
    <row r="164" spans="2:42" x14ac:dyDescent="0.3">
      <c r="B164" s="9">
        <v>43987</v>
      </c>
      <c r="C164" s="4">
        <v>157</v>
      </c>
      <c r="E164" s="10"/>
      <c r="F164" s="10">
        <f>Tabella3[[#This Row],[Italy remov. rate data]]*NOT(ISBLANK(Tabella3[[#This Row],[Italy remov. rate data]]))</f>
        <v>0</v>
      </c>
      <c r="G164" s="77">
        <f>Tabella8[[#This Row],[Italy fit]]</f>
        <v>197290.26494051793</v>
      </c>
      <c r="H164" s="77">
        <f>Tabella3[[#This Row],[Italy cumul. fit]]/Kf</f>
        <v>0.83953303685398861</v>
      </c>
      <c r="I164" s="77">
        <f>Tabella3[[#This Row],[region fit]]+Tabella3[[#This Row],[rest of Italy fit]]</f>
        <v>1608.7897947288898</v>
      </c>
      <c r="J164" s="77">
        <f>Tabella3[[#This Row],[Italy (fit of selected region + fitted sum of the other regions)]]/(y_l_peak+y_a_peak)</f>
        <v>0.50803623061382086</v>
      </c>
      <c r="K164" s="72">
        <f>IFERROR(Kf*psi_f*_xlfn.SECH(psi_f*(Tabella3[[#This Row],[Day]]-pf)-phi_f)^2/(1+TANH(phi_f)),0)</f>
        <v>1617.8338097218311</v>
      </c>
      <c r="L164" s="292">
        <f>Tabella3[[#This Row],[Italy remov. rate fit]]-Tabella3[[#This Row],[Italy remov. rate data]]</f>
        <v>1617.8338097218311</v>
      </c>
      <c r="M164" s="293">
        <f>Tabella3[[#This Row],[rem. rate residuals]]*NOT(ISBLANK(Tabella3[[#This Row],[Italy remov. rate data]]))</f>
        <v>0</v>
      </c>
      <c r="N164" s="72">
        <f>Tabella3[[#This Row],[Italy remov. rate fit]]/y_f_peak</f>
        <v>0.51213651807116811</v>
      </c>
      <c r="O164" s="72">
        <f>Tabella3[[#This Row],[Italy (fit of selected region + fitted sum of the other regions)]]*NOT(ISBLANK(Tabella3[[#This Row],[Italy remov. rate data]]))</f>
        <v>0</v>
      </c>
      <c r="P164" s="10">
        <f>Tabella3[[#This Row],[Italy remov. rate fit]]*NOT(ISBLANK(Tabella3[[#This Row],[Italy remov. rate data]]))</f>
        <v>0</v>
      </c>
      <c r="Q164" s="72"/>
      <c r="R164" s="72"/>
      <c r="T164" s="10"/>
      <c r="U164" s="10">
        <f>Tabella3[[#This Row],[region data]]*NOT(ISBLANK(Tabella3[[#This Row],[region data]]))</f>
        <v>0</v>
      </c>
      <c r="V164"/>
      <c r="W164" s="72">
        <f>Tabella3[[#This Row],[6-days moving avg]]*NOT(ISBLANK(Tabella3[[#This Row],[6-days moving avg]]))</f>
        <v>0</v>
      </c>
      <c r="X164" s="77">
        <f>Tabella8[[#This Row],[region fit]]</f>
        <v>9372.4657612045248</v>
      </c>
      <c r="Y164" s="72">
        <f>Tabella3[[#This Row],[region cumul. fit]]/Kl</f>
        <v>0.71241621244338782</v>
      </c>
      <c r="Z164" s="72">
        <f>IFERROR(Kl*psi_l*_xlfn.SECH(psi_l*(Tabella3[[#This Row],[Day]]-pl)-phi_l)^2/(1+TANH(phi_l)),0)</f>
        <v>112.97614955824814</v>
      </c>
      <c r="AA164" s="72">
        <f>Tabella3[[#This Row],[region fit]]/y_l_peak</f>
        <v>0.76731962013245958</v>
      </c>
      <c r="AB164" s="10">
        <f>Tabella3[[#This Row],[region fit]]*NOT(ISBLANK(Tabella3[[#This Row],[region data]]))</f>
        <v>0</v>
      </c>
      <c r="AC164" s="166">
        <f>IFERROR(kl_m*psi_l_m*_xlfn.SECH(psi_l_m*(Tabella3[[#This Row],[Day]]-pl_m)-phi_l_m)^2/(1+TANH(phi_l_m)),0)</f>
        <v>112.97614955824814</v>
      </c>
      <c r="AD164" s="72">
        <f>Tabella3[[#This Row],[6-days moving avg fit]]*NOT(ISBLANK(Tabella3[[#This Row],[6-days moving avg]]))</f>
        <v>0</v>
      </c>
      <c r="AH164" s="10"/>
      <c r="AI164" s="10">
        <f>Tabella3[[#This Row],[rest of Italy data]]*NOT(ISBLANK(Tabella3[[#This Row],[rest of Italy data]]))</f>
        <v>0</v>
      </c>
      <c r="AJ164" s="77">
        <f>Tabella8[[#This Row],[rest of Italy fit]]</f>
        <v>187756.94866054328</v>
      </c>
      <c r="AK164" s="72">
        <f>Tabella3[[#This Row],[rest of Italy cumul. fit]]/Ka</f>
        <v>0.84634630658624721</v>
      </c>
      <c r="AL164" s="72">
        <f>IFERROR(Ka*psi_a*_xlfn.SECH(psi_a*(Tabella3[[#This Row],[Day]]-pa)-phi_a)^2/(1+TANH(phi_a)),0)</f>
        <v>1495.8136451706416</v>
      </c>
      <c r="AM164" s="72">
        <f>Tabella3[[#This Row],[rest of Italy fit]]/y_a_peak</f>
        <v>0.49539301485285681</v>
      </c>
      <c r="AN164" s="10">
        <f>Tabella3[[#This Row],[rest of Italy fit]]*NOT(ISBLANK(Tabella3[[#This Row],[rest of Italy data]]))</f>
        <v>0</v>
      </c>
    </row>
    <row r="165" spans="2:42" x14ac:dyDescent="0.3">
      <c r="B165" s="9">
        <v>43988</v>
      </c>
      <c r="C165" s="4">
        <v>158</v>
      </c>
      <c r="E165" s="10"/>
      <c r="F165" s="10">
        <f>Tabella3[[#This Row],[Italy remov. rate data]]*NOT(ISBLANK(Tabella3[[#This Row],[Italy remov. rate data]]))</f>
        <v>0</v>
      </c>
      <c r="G165" s="77">
        <f>Tabella8[[#This Row],[Italy fit]]</f>
        <v>198879.71808656678</v>
      </c>
      <c r="H165" s="77">
        <f>Tabella3[[#This Row],[Italy cumul. fit]]/Kf</f>
        <v>0.84629666721883112</v>
      </c>
      <c r="I165" s="77">
        <f>Tabella3[[#This Row],[region fit]]+Tabella3[[#This Row],[rest of Italy fit]]</f>
        <v>1552.5748354852867</v>
      </c>
      <c r="J165" s="77">
        <f>Tabella3[[#This Row],[Italy (fit of selected region + fitted sum of the other regions)]]/(y_l_peak+y_a_peak)</f>
        <v>0.49028423088594936</v>
      </c>
      <c r="K165" s="72">
        <f>IFERROR(Kf*psi_f*_xlfn.SECH(psi_f*(Tabella3[[#This Row],[Day]]-pf)-phi_f)^2/(1+TANH(phi_f)),0)</f>
        <v>1561.2382775595224</v>
      </c>
      <c r="L165" s="292">
        <f>Tabella3[[#This Row],[Italy remov. rate fit]]-Tabella3[[#This Row],[Italy remov. rate data]]</f>
        <v>1561.2382775595224</v>
      </c>
      <c r="M165" s="293">
        <f>Tabella3[[#This Row],[rem. rate residuals]]*NOT(ISBLANK(Tabella3[[#This Row],[Italy remov. rate data]]))</f>
        <v>0</v>
      </c>
      <c r="N165" s="72">
        <f>Tabella3[[#This Row],[Italy remov. rate fit]]/y_f_peak</f>
        <v>0.49422080966785986</v>
      </c>
      <c r="O165" s="10">
        <f>Tabella3[[#This Row],[Italy (fit of selected region + fitted sum of the other regions)]]*NOT(ISBLANK(Tabella3[[#This Row],[Italy remov. rate data]]))</f>
        <v>0</v>
      </c>
      <c r="P165" s="10">
        <f>Tabella3[[#This Row],[Italy remov. rate fit]]*NOT(ISBLANK(Tabella3[[#This Row],[Italy remov. rate data]]))</f>
        <v>0</v>
      </c>
      <c r="Q165" s="72"/>
      <c r="R165" s="72"/>
      <c r="T165" s="10"/>
      <c r="U165" s="10">
        <f>Tabella3[[#This Row],[region data]]*NOT(ISBLANK(Tabella3[[#This Row],[region data]]))</f>
        <v>0</v>
      </c>
      <c r="V165"/>
      <c r="W165" s="72">
        <f>Tabella3[[#This Row],[6-days moving avg]]*NOT(ISBLANK(Tabella3[[#This Row],[6-days moving avg]]))</f>
        <v>0</v>
      </c>
      <c r="X165" s="77">
        <f>Tabella8[[#This Row],[region fit]]</f>
        <v>9484.339716125518</v>
      </c>
      <c r="Y165" s="72">
        <f>Tabella3[[#This Row],[region cumul. fit]]/Kl</f>
        <v>0.72091993187715542</v>
      </c>
      <c r="Z165" s="72">
        <f>IFERROR(Kl*psi_l*_xlfn.SECH(psi_l*(Tabella3[[#This Row],[Day]]-pl)-phi_l)^2/(1+TANH(phi_l)),0)</f>
        <v>110.76753002689402</v>
      </c>
      <c r="AA165" s="72">
        <f>Tabella3[[#This Row],[region fit]]/y_l_peak</f>
        <v>0.75231895754622047</v>
      </c>
      <c r="AB165" s="10">
        <f>Tabella3[[#This Row],[region fit]]*NOT(ISBLANK(Tabella3[[#This Row],[region data]]))</f>
        <v>0</v>
      </c>
      <c r="AC165" s="166">
        <f>IFERROR(kl_m*psi_l_m*_xlfn.SECH(psi_l_m*(Tabella3[[#This Row],[Day]]-pl_m)-phi_l_m)^2/(1+TANH(phi_l_m)),0)</f>
        <v>110.76753002689402</v>
      </c>
      <c r="AD165" s="72">
        <f>Tabella3[[#This Row],[6-days moving avg fit]]*NOT(ISBLANK(Tabella3[[#This Row],[6-days moving avg]]))</f>
        <v>0</v>
      </c>
      <c r="AH165" s="10"/>
      <c r="AI165" s="10">
        <f>Tabella3[[#This Row],[rest of Italy data]]*NOT(ISBLANK(Tabella3[[#This Row],[rest of Italy data]]))</f>
        <v>0</v>
      </c>
      <c r="AJ165" s="77">
        <f>Tabella8[[#This Row],[rest of Italy fit]]</f>
        <v>189225.67201868544</v>
      </c>
      <c r="AK165" s="72">
        <f>Tabella3[[#This Row],[rest of Italy cumul. fit]]/Ka</f>
        <v>0.85296682635091348</v>
      </c>
      <c r="AL165" s="72">
        <f>IFERROR(Ka*psi_a*_xlfn.SECH(psi_a*(Tabella3[[#This Row],[Day]]-pa)-phi_a)^2/(1+TANH(phi_a)),0)</f>
        <v>1441.8073054583926</v>
      </c>
      <c r="AM165" s="72">
        <f>Tabella3[[#This Row],[rest of Italy fit]]/y_a_peak</f>
        <v>0.47750685400815712</v>
      </c>
      <c r="AN165" s="10">
        <f>Tabella3[[#This Row],[rest of Italy fit]]*NOT(ISBLANK(Tabella3[[#This Row],[rest of Italy data]]))</f>
        <v>0</v>
      </c>
    </row>
    <row r="166" spans="2:42" x14ac:dyDescent="0.3">
      <c r="B166" s="9">
        <v>43989</v>
      </c>
      <c r="C166" s="4">
        <v>159</v>
      </c>
      <c r="E166" s="10"/>
      <c r="F166" s="10">
        <f>Tabella3[[#This Row],[Italy remov. rate data]]*NOT(ISBLANK(Tabella3[[#This Row],[Italy remov. rate data]]))</f>
        <v>0</v>
      </c>
      <c r="G166" s="77">
        <f>Tabella8[[#This Row],[Italy fit]]</f>
        <v>200413.08490206895</v>
      </c>
      <c r="H166" s="77">
        <f>Tabella3[[#This Row],[Italy cumul. fit]]/Kf</f>
        <v>0.85282163234885311</v>
      </c>
      <c r="I166" s="77">
        <f>Tabella3[[#This Row],[region fit]]+Tabella3[[#This Row],[rest of Italy fit]]</f>
        <v>1497.4132186733427</v>
      </c>
      <c r="J166" s="77">
        <f>Tabella3[[#This Row],[Italy (fit of selected region + fitted sum of the other regions)]]/(y_l_peak+y_a_peak)</f>
        <v>0.47286486387384907</v>
      </c>
      <c r="K166" s="72">
        <f>IFERROR(Kf*psi_f*_xlfn.SECH(psi_f*(Tabella3[[#This Row],[Day]]-pf)-phi_f)^2/(1+TANH(phi_f)),0)</f>
        <v>1505.6726682478288</v>
      </c>
      <c r="L166" s="292">
        <f>Tabella3[[#This Row],[Italy remov. rate fit]]-Tabella3[[#This Row],[Italy remov. rate data]]</f>
        <v>1505.6726682478288</v>
      </c>
      <c r="M166" s="293">
        <f>Tabella3[[#This Row],[rem. rate residuals]]*NOT(ISBLANK(Tabella3[[#This Row],[Italy remov. rate data]]))</f>
        <v>0</v>
      </c>
      <c r="N166" s="72">
        <f>Tabella3[[#This Row],[Italy remov. rate fit]]/y_f_peak</f>
        <v>0.47663113048920147</v>
      </c>
      <c r="O166" s="10">
        <f>Tabella3[[#This Row],[Italy (fit of selected region + fitted sum of the other regions)]]*NOT(ISBLANK(Tabella3[[#This Row],[Italy remov. rate data]]))</f>
        <v>0</v>
      </c>
      <c r="P166" s="10">
        <f>Tabella3[[#This Row],[Italy remov. rate fit]]*NOT(ISBLANK(Tabella3[[#This Row],[Italy remov. rate data]]))</f>
        <v>0</v>
      </c>
      <c r="Q166" s="72"/>
      <c r="R166" s="72"/>
      <c r="T166" s="10"/>
      <c r="U166" s="10">
        <f>Tabella3[[#This Row],[region data]]*NOT(ISBLANK(Tabella3[[#This Row],[region data]]))</f>
        <v>0</v>
      </c>
      <c r="V166"/>
      <c r="W166" s="72">
        <f>Tabella3[[#This Row],[6-days moving avg]]*NOT(ISBLANK(Tabella3[[#This Row],[6-days moving avg]]))</f>
        <v>0</v>
      </c>
      <c r="X166" s="77">
        <f>Tabella8[[#This Row],[region fit]]</f>
        <v>9593.9931196382986</v>
      </c>
      <c r="Y166" s="72">
        <f>Tabella3[[#This Row],[region cumul. fit]]/Kl</f>
        <v>0.72925486362323433</v>
      </c>
      <c r="Z166" s="72">
        <f>IFERROR(Kl*psi_l*_xlfn.SECH(psi_l*(Tabella3[[#This Row],[Day]]-pl)-phi_l)^2/(1+TANH(phi_l)),0)</f>
        <v>108.53580177115225</v>
      </c>
      <c r="AA166" s="72">
        <f>Tabella3[[#This Row],[region fit]]/y_l_peak</f>
        <v>0.73716134344686801</v>
      </c>
      <c r="AB166" s="10">
        <f>Tabella3[[#This Row],[region fit]]*NOT(ISBLANK(Tabella3[[#This Row],[region data]]))</f>
        <v>0</v>
      </c>
      <c r="AC166" s="166">
        <f>IFERROR(kl_m*psi_l_m*_xlfn.SECH(psi_l_m*(Tabella3[[#This Row],[Day]]-pl_m)-phi_l_m)^2/(1+TANH(phi_l_m)),0)</f>
        <v>108.53580177115225</v>
      </c>
      <c r="AD166" s="72">
        <f>Tabella3[[#This Row],[6-days moving avg fit]]*NOT(ISBLANK(Tabella3[[#This Row],[6-days moving avg]]))</f>
        <v>0</v>
      </c>
      <c r="AH166" s="10"/>
      <c r="AI166" s="10">
        <f>Tabella3[[#This Row],[rest of Italy data]]*NOT(ISBLANK(Tabella3[[#This Row],[rest of Italy data]]))</f>
        <v>0</v>
      </c>
      <c r="AJ166" s="77">
        <f>Tabella8[[#This Row],[rest of Italy fit]]</f>
        <v>190640.92218525932</v>
      </c>
      <c r="AK166" s="72">
        <f>Tabella3[[#This Row],[rest of Italy cumul. fit]]/Ka</f>
        <v>0.85934630663071365</v>
      </c>
      <c r="AL166" s="72">
        <f>IFERROR(Ka*psi_a*_xlfn.SECH(psi_a*(Tabella3[[#This Row],[Day]]-pa)-phi_a)^2/(1+TANH(phi_a)),0)</f>
        <v>1388.8774169021904</v>
      </c>
      <c r="AM166" s="72">
        <f>Tabella3[[#This Row],[rest of Italy fit]]/y_a_peak</f>
        <v>0.45997719905926709</v>
      </c>
      <c r="AN166" s="10">
        <f>Tabella3[[#This Row],[rest of Italy fit]]*NOT(ISBLANK(Tabella3[[#This Row],[rest of Italy data]]))</f>
        <v>0</v>
      </c>
    </row>
    <row r="167" spans="2:42" x14ac:dyDescent="0.3">
      <c r="B167" s="9">
        <v>43990</v>
      </c>
      <c r="C167" s="4">
        <v>160</v>
      </c>
      <c r="E167" s="10"/>
      <c r="F167" s="10">
        <f>Tabella3[[#This Row],[Italy remov. rate data]]*NOT(ISBLANK(Tabella3[[#This Row],[Italy remov. rate data]]))</f>
        <v>0</v>
      </c>
      <c r="G167" s="77">
        <f>Tabella8[[#This Row],[Italy fit]]</f>
        <v>201891.42840380807</v>
      </c>
      <c r="H167" s="77">
        <f>Tabella3[[#This Row],[Italy cumul. fit]]/Kf</f>
        <v>0.85911245571970007</v>
      </c>
      <c r="I167" s="77">
        <f>Tabella3[[#This Row],[region fit]]+Tabella3[[#This Row],[rest of Italy fit]]</f>
        <v>1443.3660617761254</v>
      </c>
      <c r="J167" s="77">
        <f>Tabella3[[#This Row],[Italy (fit of selected region + fitted sum of the other regions)]]/(y_l_peak+y_a_peak)</f>
        <v>0.45579742973458465</v>
      </c>
      <c r="K167" s="72">
        <f>IFERROR(Kf*psi_f*_xlfn.SECH(psi_f*(Tabella3[[#This Row],[Day]]-pf)-phi_f)^2/(1+TANH(phi_f)),0)</f>
        <v>1451.2017165252951</v>
      </c>
      <c r="L167" s="292">
        <f>Tabella3[[#This Row],[Italy remov. rate fit]]-Tabella3[[#This Row],[Italy remov. rate data]]</f>
        <v>1451.2017165252951</v>
      </c>
      <c r="M167" s="293">
        <f>Tabella3[[#This Row],[rem. rate residuals]]*NOT(ISBLANK(Tabella3[[#This Row],[Italy remov. rate data]]))</f>
        <v>0</v>
      </c>
      <c r="N167" s="72">
        <f>Tabella3[[#This Row],[Italy remov. rate fit]]/y_f_peak</f>
        <v>0.45938797276585186</v>
      </c>
      <c r="O167" s="10">
        <f>Tabella3[[#This Row],[Italy (fit of selected region + fitted sum of the other regions)]]*NOT(ISBLANK(Tabella3[[#This Row],[Italy remov. rate data]]))</f>
        <v>0</v>
      </c>
      <c r="P167" s="10">
        <f>Tabella3[[#This Row],[Italy remov. rate fit]]*NOT(ISBLANK(Tabella3[[#This Row],[Italy remov. rate data]]))</f>
        <v>0</v>
      </c>
      <c r="Q167" s="72"/>
      <c r="R167" s="72"/>
      <c r="T167" s="10"/>
      <c r="U167" s="10">
        <f>Tabella3[[#This Row],[region data]]*NOT(ISBLANK(Tabella3[[#This Row],[region data]]))</f>
        <v>0</v>
      </c>
      <c r="V167"/>
      <c r="W167" s="72">
        <f>Tabella3[[#This Row],[6-days moving avg]]*NOT(ISBLANK(Tabella3[[#This Row],[6-days moving avg]]))</f>
        <v>0</v>
      </c>
      <c r="X167" s="77">
        <f>Tabella8[[#This Row],[region fit]]</f>
        <v>9701.4051080897352</v>
      </c>
      <c r="Y167" s="72">
        <f>Tabella3[[#This Row],[region cumul. fit]]/Kl</f>
        <v>0.73741942180175912</v>
      </c>
      <c r="Z167" s="72">
        <f>IFERROR(Kl*psi_l*_xlfn.SECH(psi_l*(Tabella3[[#This Row],[Day]]-pl)-phi_l)^2/(1+TANH(phi_l)),0)</f>
        <v>106.28543446435329</v>
      </c>
      <c r="AA167" s="72">
        <f>Tabella3[[#This Row],[region fit]]/y_l_peak</f>
        <v>0.72187713528644371</v>
      </c>
      <c r="AB167" s="10">
        <f>Tabella3[[#This Row],[region fit]]*NOT(ISBLANK(Tabella3[[#This Row],[region data]]))</f>
        <v>0</v>
      </c>
      <c r="AC167" s="166">
        <f>IFERROR(kl_m*psi_l_m*_xlfn.SECH(psi_l_m*(Tabella3[[#This Row],[Day]]-pl_m)-phi_l_m)^2/(1+TANH(phi_l_m)),0)</f>
        <v>106.28543446435329</v>
      </c>
      <c r="AD167" s="72">
        <f>Tabella3[[#This Row],[6-days moving avg fit]]*NOT(ISBLANK(Tabella3[[#This Row],[6-days moving avg]]))</f>
        <v>0</v>
      </c>
      <c r="AH167" s="10"/>
      <c r="AI167" s="10">
        <f>Tabella3[[#This Row],[rest of Italy data]]*NOT(ISBLANK(Tabella3[[#This Row],[rest of Italy data]]))</f>
        <v>0</v>
      </c>
      <c r="AJ167" s="77">
        <f>Tabella8[[#This Row],[rest of Italy fit]]</f>
        <v>192003.80464446481</v>
      </c>
      <c r="AK167" s="72">
        <f>Tabella3[[#This Row],[rest of Italy cumul. fit]]/Ka</f>
        <v>0.86548973058326817</v>
      </c>
      <c r="AL167" s="72">
        <f>IFERROR(Ka*psi_a*_xlfn.SECH(psi_a*(Tabella3[[#This Row],[Day]]-pa)-phi_a)^2/(1+TANH(phi_a)),0)</f>
        <v>1337.0806273117721</v>
      </c>
      <c r="AM167" s="72">
        <f>Tabella3[[#This Row],[rest of Italy fit]]/y_a_peak</f>
        <v>0.44282281098576542</v>
      </c>
      <c r="AN167" s="10">
        <f>Tabella3[[#This Row],[rest of Italy fit]]*NOT(ISBLANK(Tabella3[[#This Row],[rest of Italy data]]))</f>
        <v>0</v>
      </c>
    </row>
    <row r="168" spans="2:42" x14ac:dyDescent="0.3">
      <c r="B168" s="9">
        <v>43991</v>
      </c>
      <c r="C168" s="4">
        <v>161</v>
      </c>
      <c r="E168" s="10"/>
      <c r="F168" s="10">
        <f>Tabella3[[#This Row],[Italy remov. rate data]]*NOT(ISBLANK(Tabella3[[#This Row],[Italy remov. rate data]]))</f>
        <v>0</v>
      </c>
      <c r="G168" s="77">
        <f>Tabella8[[#This Row],[Italy fit]]</f>
        <v>203315.8720446403</v>
      </c>
      <c r="H168" s="77">
        <f>Tabella3[[#This Row],[Italy cumul. fit]]/Kf</f>
        <v>0.86517391798179288</v>
      </c>
      <c r="I168" s="77">
        <f>Tabella3[[#This Row],[region fit]]+Tabella3[[#This Row],[rest of Italy fit]]</f>
        <v>1390.4860477185418</v>
      </c>
      <c r="J168" s="77">
        <f>Tabella3[[#This Row],[Italy (fit of selected region + fitted sum of the other regions)]]/(y_l_peak+y_a_peak)</f>
        <v>0.43909856509444201</v>
      </c>
      <c r="K168" s="72">
        <f>IFERROR(Kf*psi_f*_xlfn.SECH(psi_f*(Tabella3[[#This Row],[Day]]-pf)-phi_f)^2/(1+TANH(phi_f)),0)</f>
        <v>1397.8816216120954</v>
      </c>
      <c r="L168" s="292">
        <f>Tabella3[[#This Row],[Italy remov. rate fit]]-Tabella3[[#This Row],[Italy remov. rate data]]</f>
        <v>1397.8816216120954</v>
      </c>
      <c r="M168" s="293">
        <f>Tabella3[[#This Row],[rem. rate residuals]]*NOT(ISBLANK(Tabella3[[#This Row],[Italy remov. rate data]]))</f>
        <v>0</v>
      </c>
      <c r="N168" s="72">
        <f>Tabella3[[#This Row],[Italy remov. rate fit]]/y_f_peak</f>
        <v>0.44250912675090459</v>
      </c>
      <c r="O168" s="10">
        <f>Tabella3[[#This Row],[Italy (fit of selected region + fitted sum of the other regions)]]*NOT(ISBLANK(Tabella3[[#This Row],[Italy remov. rate data]]))</f>
        <v>0</v>
      </c>
      <c r="P168" s="10">
        <f>Tabella3[[#This Row],[Italy remov. rate fit]]*NOT(ISBLANK(Tabella3[[#This Row],[Italy remov. rate data]]))</f>
        <v>0</v>
      </c>
      <c r="Q168" s="72"/>
      <c r="R168" s="72"/>
      <c r="T168" s="10"/>
      <c r="U168" s="10">
        <f>Tabella3[[#This Row],[region data]]*NOT(ISBLANK(Tabella3[[#This Row],[region data]]))</f>
        <v>0</v>
      </c>
      <c r="V168"/>
      <c r="W168" s="72">
        <f>Tabella3[[#This Row],[6-days moving avg]]*NOT(ISBLANK(Tabella3[[#This Row],[6-days moving avg]]))</f>
        <v>0</v>
      </c>
      <c r="X168" s="77">
        <f>Tabella8[[#This Row],[region fit]]</f>
        <v>9806.5592239064936</v>
      </c>
      <c r="Y168" s="72">
        <f>Tabella3[[#This Row],[region cumul. fit]]/Kl</f>
        <v>0.74541235544608331</v>
      </c>
      <c r="Z168" s="72">
        <f>IFERROR(Kl*psi_l*_xlfn.SECH(psi_l*(Tabella3[[#This Row],[Day]]-pl)-phi_l)^2/(1+TANH(phi_l)),0)</f>
        <v>104.02076845762504</v>
      </c>
      <c r="AA168" s="72">
        <f>Tabella3[[#This Row],[region fit]]/y_l_peak</f>
        <v>0.70649581217705881</v>
      </c>
      <c r="AB168" s="10">
        <f>Tabella3[[#This Row],[region fit]]*NOT(ISBLANK(Tabella3[[#This Row],[region data]]))</f>
        <v>0</v>
      </c>
      <c r="AC168" s="166">
        <f>IFERROR(kl_m*psi_l_m*_xlfn.SECH(psi_l_m*(Tabella3[[#This Row],[Day]]-pl_m)-phi_l_m)^2/(1+TANH(phi_l_m)),0)</f>
        <v>104.02076845762504</v>
      </c>
      <c r="AD168" s="72">
        <f>Tabella3[[#This Row],[6-days moving avg fit]]*NOT(ISBLANK(Tabella3[[#This Row],[6-days moving avg]]))</f>
        <v>0</v>
      </c>
      <c r="AH168" s="10"/>
      <c r="AI168" s="10">
        <f>Tabella3[[#This Row],[rest of Italy data]]*NOT(ISBLANK(Tabella3[[#This Row],[rest of Italy data]]))</f>
        <v>0</v>
      </c>
      <c r="AJ168" s="77">
        <f>Tabella8[[#This Row],[rest of Italy fit]]</f>
        <v>193315.4773413215</v>
      </c>
      <c r="AK168" s="72">
        <f>Tabella3[[#This Row],[rest of Italy cumul. fit]]/Ka</f>
        <v>0.87140231784224498</v>
      </c>
      <c r="AL168" s="72">
        <f>IFERROR(Ka*psi_a*_xlfn.SECH(psi_a*(Tabella3[[#This Row],[Day]]-pa)-phi_a)^2/(1+TANH(phi_a)),0)</f>
        <v>1286.4652792609168</v>
      </c>
      <c r="AM168" s="72">
        <f>Tabella3[[#This Row],[rest of Italy fit]]/y_a_peak</f>
        <v>0.42605970018670636</v>
      </c>
      <c r="AN168" s="10">
        <f>Tabella3[[#This Row],[rest of Italy fit]]*NOT(ISBLANK(Tabella3[[#This Row],[rest of Italy data]]))</f>
        <v>0</v>
      </c>
    </row>
    <row r="169" spans="2:42" x14ac:dyDescent="0.3">
      <c r="B169" s="9">
        <v>43992</v>
      </c>
      <c r="C169" s="4">
        <v>162</v>
      </c>
      <c r="E169" s="10"/>
      <c r="F169" s="10">
        <f>Tabella3[[#This Row],[Italy remov. rate data]]*NOT(ISBLANK(Tabella3[[#This Row],[Italy remov. rate data]]))</f>
        <v>0</v>
      </c>
      <c r="G169" s="77">
        <f>Tabella8[[#This Row],[Italy fit]]</f>
        <v>204687.59136852549</v>
      </c>
      <c r="H169" s="77">
        <f>Tabella3[[#This Row],[Italy cumul. fit]]/Kf</f>
        <v>0.87101102144982168</v>
      </c>
      <c r="I169" s="77">
        <f>Tabella3[[#This Row],[region fit]]+Tabella3[[#This Row],[rest of Italy fit]]</f>
        <v>1338.8178374236929</v>
      </c>
      <c r="J169" s="77">
        <f>Tabella3[[#This Row],[Italy (fit of selected region + fitted sum of the other regions)]]/(y_l_peak+y_a_peak)</f>
        <v>0.42278237332920227</v>
      </c>
      <c r="K169" s="72">
        <f>IFERROR(Kf*psi_f*_xlfn.SECH(psi_f*(Tabella3[[#This Row],[Day]]-pf)-phi_f)^2/(1+TANH(phi_f)),0)</f>
        <v>1345.7604331700186</v>
      </c>
      <c r="L169" s="292">
        <f>Tabella3[[#This Row],[Italy remov. rate fit]]-Tabella3[[#This Row],[Italy remov. rate data]]</f>
        <v>1345.7604331700186</v>
      </c>
      <c r="M169" s="293">
        <f>Tabella3[[#This Row],[rem. rate residuals]]*NOT(ISBLANK(Tabella3[[#This Row],[Italy remov. rate data]]))</f>
        <v>0</v>
      </c>
      <c r="N169" s="72">
        <f>Tabella3[[#This Row],[Italy remov. rate fit]]/y_f_peak</f>
        <v>0.42600980289819934</v>
      </c>
      <c r="O169" s="10">
        <f>Tabella3[[#This Row],[Italy (fit of selected region + fitted sum of the other regions)]]*NOT(ISBLANK(Tabella3[[#This Row],[Italy remov. rate data]]))</f>
        <v>0</v>
      </c>
      <c r="P169" s="10">
        <f>Tabella3[[#This Row],[Italy remov. rate fit]]*NOT(ISBLANK(Tabella3[[#This Row],[Italy remov. rate data]]))</f>
        <v>0</v>
      </c>
      <c r="Q169" s="72"/>
      <c r="R169" s="72"/>
      <c r="T169" s="10"/>
      <c r="U169" s="10">
        <f>Tabella3[[#This Row],[region data]]*NOT(ISBLANK(Tabella3[[#This Row],[region data]]))</f>
        <v>0</v>
      </c>
      <c r="V169"/>
      <c r="W169" s="72">
        <f>Tabella3[[#This Row],[6-days moving avg]]*NOT(ISBLANK(Tabella3[[#This Row],[6-days moving avg]]))</f>
        <v>0</v>
      </c>
      <c r="X169" s="77">
        <f>Tabella8[[#This Row],[region fit]]</f>
        <v>9909.4432801216371</v>
      </c>
      <c r="Y169" s="72">
        <f>Tabella3[[#This Row],[region cumul. fit]]/Kl</f>
        <v>0.75323273820522874</v>
      </c>
      <c r="Z169" s="72">
        <f>IFERROR(Kl*psi_l*_xlfn.SECH(psi_l*(Tabella3[[#This Row],[Day]]-pl)-phi_l)^2/(1+TANH(phi_l)),0)</f>
        <v>101.7460027316028</v>
      </c>
      <c r="AA169" s="72">
        <f>Tabella3[[#This Row],[region fit]]/y_l_peak</f>
        <v>0.69104589306044206</v>
      </c>
      <c r="AB169" s="10">
        <f>Tabella3[[#This Row],[region fit]]*NOT(ISBLANK(Tabella3[[#This Row],[region data]]))</f>
        <v>0</v>
      </c>
      <c r="AC169" s="166">
        <f>IFERROR(kl_m*psi_l_m*_xlfn.SECH(psi_l_m*(Tabella3[[#This Row],[Day]]-pl_m)-phi_l_m)^2/(1+TANH(phi_l_m)),0)</f>
        <v>101.7460027316028</v>
      </c>
      <c r="AD169" s="72">
        <f>Tabella3[[#This Row],[6-days moving avg fit]]*NOT(ISBLANK(Tabella3[[#This Row],[6-days moving avg]]))</f>
        <v>0</v>
      </c>
      <c r="AH169" s="10"/>
      <c r="AI169" s="10">
        <f>Tabella3[[#This Row],[rest of Italy data]]*NOT(ISBLANK(Tabella3[[#This Row],[rest of Italy data]]))</f>
        <v>0</v>
      </c>
      <c r="AJ169" s="77">
        <f>Tabella8[[#This Row],[rest of Italy fit]]</f>
        <v>194577.1425867932</v>
      </c>
      <c r="AK169" s="72">
        <f>Tabella3[[#This Row],[rest of Italy cumul. fit]]/Ka</f>
        <v>0.87708948802833353</v>
      </c>
      <c r="AL169" s="72">
        <f>IFERROR(Ka*psi_a*_xlfn.SECH(psi_a*(Tabella3[[#This Row],[Day]]-pa)-phi_a)^2/(1+TANH(phi_a)),0)</f>
        <v>1237.0718346920901</v>
      </c>
      <c r="AM169" s="72">
        <f>Tabella3[[#This Row],[rest of Italy fit]]/y_a_peak</f>
        <v>0.40970126710386928</v>
      </c>
      <c r="AN169" s="10">
        <f>Tabella3[[#This Row],[rest of Italy fit]]*NOT(ISBLANK(Tabella3[[#This Row],[rest of Italy data]]))</f>
        <v>0</v>
      </c>
    </row>
    <row r="170" spans="2:42" x14ac:dyDescent="0.3">
      <c r="B170" s="9">
        <v>43993</v>
      </c>
      <c r="C170" s="4">
        <v>163</v>
      </c>
      <c r="E170" s="10"/>
      <c r="F170" s="10">
        <f>Tabella3[[#This Row],[Italy remov. rate data]]*NOT(ISBLANK(Tabella3[[#This Row],[Italy remov. rate data]]))</f>
        <v>0</v>
      </c>
      <c r="G170" s="77">
        <f>Tabella8[[#This Row],[Italy fit]]</f>
        <v>206007.80606489163</v>
      </c>
      <c r="H170" s="77">
        <f>Tabella3[[#This Row],[Italy cumul. fit]]/Kf</f>
        <v>0.8766289562915317</v>
      </c>
      <c r="I170" s="77">
        <f>Tabella3[[#This Row],[region fit]]+Tabella3[[#This Row],[rest of Italy fit]]</f>
        <v>1288.398503640391</v>
      </c>
      <c r="J170" s="77">
        <f>Tabella3[[#This Row],[Italy (fit of selected region + fitted sum of the other regions)]]/(y_l_peak+y_a_peak)</f>
        <v>0.40686056156159012</v>
      </c>
      <c r="K170" s="72">
        <f>IFERROR(Kf*psi_f*_xlfn.SECH(psi_f*(Tabella3[[#This Row],[Day]]-pf)-phi_f)^2/(1+TANH(phi_f)),0)</f>
        <v>1294.8784628183791</v>
      </c>
      <c r="L170" s="292">
        <f>Tabella3[[#This Row],[Italy remov. rate fit]]-Tabella3[[#This Row],[Italy remov. rate data]]</f>
        <v>1294.8784628183791</v>
      </c>
      <c r="M170" s="293">
        <f>Tabella3[[#This Row],[rem. rate residuals]]*NOT(ISBLANK(Tabella3[[#This Row],[Italy remov. rate data]]))</f>
        <v>0</v>
      </c>
      <c r="N170" s="72">
        <f>Tabella3[[#This Row],[Italy remov. rate fit]]/y_f_peak</f>
        <v>0.40990276213053883</v>
      </c>
      <c r="O170" s="10">
        <f>Tabella3[[#This Row],[Italy (fit of selected region + fitted sum of the other regions)]]*NOT(ISBLANK(Tabella3[[#This Row],[Italy remov. rate data]]))</f>
        <v>0</v>
      </c>
      <c r="P170" s="10">
        <f>Tabella3[[#This Row],[Italy remov. rate fit]]*NOT(ISBLANK(Tabella3[[#This Row],[Italy remov. rate data]]))</f>
        <v>0</v>
      </c>
      <c r="Q170" s="72"/>
      <c r="R170" s="72"/>
      <c r="T170" s="10"/>
      <c r="U170" s="10">
        <f>Tabella3[[#This Row],[region data]]*NOT(ISBLANK(Tabella3[[#This Row],[region data]]))</f>
        <v>0</v>
      </c>
      <c r="V170"/>
      <c r="W170" s="72">
        <f>Tabella3[[#This Row],[6-days moving avg]]*NOT(ISBLANK(Tabella3[[#This Row],[6-days moving avg]]))</f>
        <v>0</v>
      </c>
      <c r="X170" s="77">
        <f>Tabella8[[#This Row],[region fit]]</f>
        <v>10010.049213613984</v>
      </c>
      <c r="Y170" s="72">
        <f>Tabella3[[#This Row],[region cumul. fit]]/Kl</f>
        <v>0.76087995718837265</v>
      </c>
      <c r="Z170" s="72">
        <f>IFERROR(Kl*psi_l*_xlfn.SECH(psi_l*(Tabella3[[#This Row],[Day]]-pl)-phi_l)^2/(1+TANH(phi_l)),0)</f>
        <v>99.465184368447396</v>
      </c>
      <c r="AA170" s="72">
        <f>Tabella3[[#This Row],[region fit]]/y_l_peak</f>
        <v>0.6755548652032286</v>
      </c>
      <c r="AB170" s="10">
        <f>Tabella3[[#This Row],[region fit]]*NOT(ISBLANK(Tabella3[[#This Row],[region data]]))</f>
        <v>0</v>
      </c>
      <c r="AC170" s="166">
        <f>IFERROR(kl_m*psi_l_m*_xlfn.SECH(psi_l_m*(Tabella3[[#This Row],[Day]]-pl_m)-phi_l_m)^2/(1+TANH(phi_l_m)),0)</f>
        <v>99.465184368447396</v>
      </c>
      <c r="AD170" s="72">
        <f>Tabella3[[#This Row],[6-days moving avg fit]]*NOT(ISBLANK(Tabella3[[#This Row],[6-days moving avg]]))</f>
        <v>0</v>
      </c>
      <c r="AH170" s="10"/>
      <c r="AI170" s="10">
        <f>Tabella3[[#This Row],[rest of Italy data]]*NOT(ISBLANK(Tabella3[[#This Row],[rest of Italy data]]))</f>
        <v>0</v>
      </c>
      <c r="AJ170" s="77">
        <f>Tabella8[[#This Row],[rest of Italy fit]]</f>
        <v>195790.03939797729</v>
      </c>
      <c r="AK170" s="72">
        <f>Tabella3[[#This Row],[rest of Italy cumul. fit]]/Ka</f>
        <v>0.88255682622134934</v>
      </c>
      <c r="AL170" s="72">
        <f>IFERROR(Ka*psi_a*_xlfn.SECH(psi_a*(Tabella3[[#This Row],[Day]]-pa)-phi_a)^2/(1+TANH(phi_a)),0)</f>
        <v>1188.9333192719437</v>
      </c>
      <c r="AM170" s="72">
        <f>Tabella3[[#This Row],[rest of Italy fit]]/y_a_peak</f>
        <v>0.39375844938622068</v>
      </c>
      <c r="AN170" s="10">
        <f>Tabella3[[#This Row],[rest of Italy fit]]*NOT(ISBLANK(Tabella3[[#This Row],[rest of Italy data]]))</f>
        <v>0</v>
      </c>
    </row>
    <row r="171" spans="2:42" x14ac:dyDescent="0.3">
      <c r="B171" s="9">
        <v>43994</v>
      </c>
      <c r="C171" s="4">
        <v>164</v>
      </c>
      <c r="E171" s="10"/>
      <c r="F171" s="10">
        <f>Tabella3[[#This Row],[Italy remov. rate data]]*NOT(ISBLANK(Tabella3[[#This Row],[Italy remov. rate data]]))</f>
        <v>0</v>
      </c>
      <c r="G171" s="77">
        <f>Tabella8[[#This Row],[Italy fit]]</f>
        <v>207277.77244440839</v>
      </c>
      <c r="H171" s="77">
        <f>Tabella3[[#This Row],[Italy cumul. fit]]/Kf</f>
        <v>0.88203306850973784</v>
      </c>
      <c r="I171" s="77">
        <f>Tabella3[[#This Row],[region fit]]+Tabella3[[#This Row],[rest of Italy fit]]</f>
        <v>1239.2579793277569</v>
      </c>
      <c r="J171" s="77">
        <f>Tabella3[[#This Row],[Italy (fit of selected region + fitted sum of the other regions)]]/(y_l_peak+y_a_peak)</f>
        <v>0.39134258225567053</v>
      </c>
      <c r="K171" s="72">
        <f>IFERROR(Kf*psi_f*_xlfn.SECH(psi_f*(Tabella3[[#This Row],[Day]]-pf)-phi_f)^2/(1+TANH(phi_f)),0)</f>
        <v>1245.2687143380722</v>
      </c>
      <c r="L171" s="292">
        <f>Tabella3[[#This Row],[Italy remov. rate fit]]-Tabella3[[#This Row],[Italy remov. rate data]]</f>
        <v>1245.2687143380722</v>
      </c>
      <c r="M171" s="293">
        <f>Tabella3[[#This Row],[rem. rate residuals]]*NOT(ISBLANK(Tabella3[[#This Row],[Italy remov. rate data]]))</f>
        <v>0</v>
      </c>
      <c r="N171" s="72">
        <f>Tabella3[[#This Row],[Italy remov. rate fit]]/y_f_peak</f>
        <v>0.39419845202376758</v>
      </c>
      <c r="O171" s="10">
        <f>Tabella3[[#This Row],[Italy (fit of selected region + fitted sum of the other regions)]]*NOT(ISBLANK(Tabella3[[#This Row],[Italy remov. rate data]]))</f>
        <v>0</v>
      </c>
      <c r="P171" s="10">
        <f>Tabella3[[#This Row],[Italy remov. rate fit]]*NOT(ISBLANK(Tabella3[[#This Row],[Italy remov. rate data]]))</f>
        <v>0</v>
      </c>
      <c r="Q171" s="72"/>
      <c r="R171" s="72"/>
      <c r="T171" s="10"/>
      <c r="U171" s="10">
        <f>Tabella3[[#This Row],[region data]]*NOT(ISBLANK(Tabella3[[#This Row],[region data]]))</f>
        <v>0</v>
      </c>
      <c r="V171"/>
      <c r="W171" s="72">
        <f>Tabella3[[#This Row],[6-days moving avg]]*NOT(ISBLANK(Tabella3[[#This Row],[6-days moving avg]]))</f>
        <v>0</v>
      </c>
      <c r="X171" s="77">
        <f>Tabella8[[#This Row],[region fit]]</f>
        <v>10108.372928572635</v>
      </c>
      <c r="Y171" s="72">
        <f>Tabella3[[#This Row],[region cumul. fit]]/Kl</f>
        <v>0.76835370106633405</v>
      </c>
      <c r="Z171" s="72">
        <f>IFERROR(Kl*psi_l*_xlfn.SECH(psi_l*(Tabella3[[#This Row],[Day]]-pl)-phi_l)^2/(1+TANH(phi_l)),0)</f>
        <v>97.182199525933825</v>
      </c>
      <c r="AA171" s="72">
        <f>Tabella3[[#This Row],[region fit]]/y_l_peak</f>
        <v>0.66004912289411855</v>
      </c>
      <c r="AB171" s="10">
        <f>Tabella3[[#This Row],[region fit]]*NOT(ISBLANK(Tabella3[[#This Row],[region data]]))</f>
        <v>0</v>
      </c>
      <c r="AC171" s="166">
        <f>IFERROR(kl_m*psi_l_m*_xlfn.SECH(psi_l_m*(Tabella3[[#This Row],[Day]]-pl_m)-phi_l_m)^2/(1+TANH(phi_l_m)),0)</f>
        <v>97.182199525933825</v>
      </c>
      <c r="AD171" s="72">
        <f>Tabella3[[#This Row],[6-days moving avg fit]]*NOT(ISBLANK(Tabella3[[#This Row],[6-days moving avg]]))</f>
        <v>0</v>
      </c>
      <c r="AH171" s="10"/>
      <c r="AI171" s="10">
        <f>Tabella3[[#This Row],[rest of Italy data]]*NOT(ISBLANK(Tabella3[[#This Row],[rest of Italy data]]))</f>
        <v>0</v>
      </c>
      <c r="AJ171" s="77">
        <f>Tabella8[[#This Row],[rest of Italy fit]]</f>
        <v>196955.43628970825</v>
      </c>
      <c r="AK171" s="72">
        <f>Tabella3[[#This Row],[rest of Italy cumul. fit]]/Ka</f>
        <v>0.88781005046716321</v>
      </c>
      <c r="AL171" s="72">
        <f>IFERROR(Ka*psi_a*_xlfn.SECH(psi_a*(Tabella3[[#This Row],[Day]]-pa)-phi_a)^2/(1+TANH(phi_a)),0)</f>
        <v>1142.075779801823</v>
      </c>
      <c r="AM171" s="72">
        <f>Tabella3[[#This Row],[rest of Italy fit]]/y_a_peak</f>
        <v>0.37823987337801634</v>
      </c>
      <c r="AN171" s="10">
        <f>Tabella3[[#This Row],[rest of Italy fit]]*NOT(ISBLANK(Tabella3[[#This Row],[rest of Italy data]]))</f>
        <v>0</v>
      </c>
    </row>
    <row r="172" spans="2:42" x14ac:dyDescent="0.3">
      <c r="B172" s="9">
        <v>43995</v>
      </c>
      <c r="C172" s="4">
        <v>165</v>
      </c>
      <c r="E172" s="10"/>
      <c r="F172" s="10">
        <f>Tabella3[[#This Row],[Italy remov. rate data]]*NOT(ISBLANK(Tabella3[[#This Row],[Italy remov. rate data]]))</f>
        <v>0</v>
      </c>
      <c r="G172" s="77">
        <f>Tabella8[[#This Row],[Italy fit]]</f>
        <v>208498.77635166788</v>
      </c>
      <c r="H172" s="77">
        <f>Tabella3[[#This Row],[Italy cumul. fit]]/Kf</f>
        <v>0.88722882978351991</v>
      </c>
      <c r="I172" s="77">
        <f>Tabella3[[#This Row],[region fit]]+Tabella3[[#This Row],[rest of Italy fit]]</f>
        <v>1191.4195145320066</v>
      </c>
      <c r="J172" s="77">
        <f>Tabella3[[#This Row],[Italy (fit of selected region + fitted sum of the other regions)]]/(y_l_peak+y_a_peak)</f>
        <v>0.37623577749297593</v>
      </c>
      <c r="K172" s="72">
        <f>IFERROR(Kf*psi_f*_xlfn.SECH(psi_f*(Tabella3[[#This Row],[Day]]-pf)-phi_f)^2/(1+TANH(phi_f)),0)</f>
        <v>1196.9573262899376</v>
      </c>
      <c r="L172" s="292">
        <f>Tabella3[[#This Row],[Italy remov. rate fit]]-Tabella3[[#This Row],[Italy remov. rate data]]</f>
        <v>1196.9573262899376</v>
      </c>
      <c r="M172" s="293">
        <f>Tabella3[[#This Row],[rem. rate residuals]]*NOT(ISBLANK(Tabella3[[#This Row],[Italy remov. rate data]]))</f>
        <v>0</v>
      </c>
      <c r="N172" s="72">
        <f>Tabella3[[#This Row],[Italy remov. rate fit]]/y_f_peak</f>
        <v>0.37890514692068605</v>
      </c>
      <c r="O172" s="10">
        <f>Tabella3[[#This Row],[Italy (fit of selected region + fitted sum of the other regions)]]*NOT(ISBLANK(Tabella3[[#This Row],[Italy remov. rate data]]))</f>
        <v>0</v>
      </c>
      <c r="P172" s="10">
        <f>Tabella3[[#This Row],[Italy remov. rate fit]]*NOT(ISBLANK(Tabella3[[#This Row],[Italy remov. rate data]]))</f>
        <v>0</v>
      </c>
      <c r="Q172" s="72"/>
      <c r="R172" s="72"/>
      <c r="T172" s="10"/>
      <c r="U172" s="10">
        <f>Tabella3[[#This Row],[region data]]*NOT(ISBLANK(Tabella3[[#This Row],[region data]]))</f>
        <v>0</v>
      </c>
      <c r="V172"/>
      <c r="W172" s="72">
        <f>Tabella3[[#This Row],[6-days moving avg]]*NOT(ISBLANK(Tabella3[[#This Row],[6-days moving avg]]))</f>
        <v>0</v>
      </c>
      <c r="X172" s="77">
        <f>Tabella8[[#This Row],[region fit]]</f>
        <v>10204.414131673919</v>
      </c>
      <c r="Y172" s="72">
        <f>Tabella3[[#This Row],[region cumul. fit]]/Kl</f>
        <v>0.77565394754310857</v>
      </c>
      <c r="Z172" s="72">
        <f>IFERROR(Kl*psi_l*_xlfn.SECH(psi_l*(Tabella3[[#This Row],[Day]]-pl)-phi_l)^2/(1+TANH(phi_l)),0)</f>
        <v>94.900765881869717</v>
      </c>
      <c r="AA172" s="72">
        <f>Tabella3[[#This Row],[region fit]]/y_l_peak</f>
        <v>0.64455391612732993</v>
      </c>
      <c r="AB172" s="10">
        <f>Tabella3[[#This Row],[region fit]]*NOT(ISBLANK(Tabella3[[#This Row],[region data]]))</f>
        <v>0</v>
      </c>
      <c r="AC172" s="166">
        <f>IFERROR(kl_m*psi_l_m*_xlfn.SECH(psi_l_m*(Tabella3[[#This Row],[Day]]-pl_m)-phi_l_m)^2/(1+TANH(phi_l_m)),0)</f>
        <v>94.900765881869717</v>
      </c>
      <c r="AD172" s="72">
        <f>Tabella3[[#This Row],[6-days moving avg fit]]*NOT(ISBLANK(Tabella3[[#This Row],[6-days moving avg]]))</f>
        <v>0</v>
      </c>
      <c r="AH172" s="10"/>
      <c r="AI172" s="10">
        <f>Tabella3[[#This Row],[rest of Italy data]]*NOT(ISBLANK(Tabella3[[#This Row],[rest of Italy data]]))</f>
        <v>0</v>
      </c>
      <c r="AJ172" s="77">
        <f>Tabella8[[#This Row],[rest of Italy fit]]</f>
        <v>198074.62452755644</v>
      </c>
      <c r="AK172" s="72">
        <f>Tabella3[[#This Row],[rest of Italy cumul. fit]]/Ka</f>
        <v>0.89285498136444852</v>
      </c>
      <c r="AL172" s="72">
        <f>IFERROR(Ka*psi_a*_xlfn.SECH(psi_a*(Tabella3[[#This Row],[Day]]-pa)-phi_a)^2/(1+TANH(phi_a)),0)</f>
        <v>1096.5187486501368</v>
      </c>
      <c r="AM172" s="72">
        <f>Tabella3[[#This Row],[rest of Italy fit]]/y_a_peak</f>
        <v>0.36315200793244823</v>
      </c>
      <c r="AN172" s="10">
        <f>Tabella3[[#This Row],[rest of Italy fit]]*NOT(ISBLANK(Tabella3[[#This Row],[rest of Italy data]]))</f>
        <v>0</v>
      </c>
    </row>
    <row r="173" spans="2:42" x14ac:dyDescent="0.3">
      <c r="B173" s="9">
        <v>43996</v>
      </c>
      <c r="C173" s="4">
        <v>166</v>
      </c>
      <c r="E173" s="10"/>
      <c r="F173" s="10">
        <f>Tabella3[[#This Row],[Italy remov. rate data]]*NOT(ISBLANK(Tabella3[[#This Row],[Italy remov. rate data]]))</f>
        <v>0</v>
      </c>
      <c r="G173" s="77">
        <f>Tabella8[[#This Row],[Italy fit]]</f>
        <v>209672.12652430768</v>
      </c>
      <c r="H173" s="77">
        <f>Tabella3[[#This Row],[Italy cumul. fit]]/Kf</f>
        <v>0.89222180920917193</v>
      </c>
      <c r="I173" s="77">
        <f>Tabella3[[#This Row],[region fit]]+Tabella3[[#This Row],[rest of Italy fit]]</f>
        <v>1144.9001363454724</v>
      </c>
      <c r="J173" s="77">
        <f>Tabella3[[#This Row],[Italy (fit of selected region + fitted sum of the other regions)]]/(y_l_peak+y_a_peak)</f>
        <v>0.36154552422196468</v>
      </c>
      <c r="K173" s="72">
        <f>IFERROR(Kf*psi_f*_xlfn.SECH(psi_f*(Tabella3[[#This Row],[Day]]-pf)-phi_f)^2/(1+TANH(phi_f)),0)</f>
        <v>1149.9640213856699</v>
      </c>
      <c r="L173" s="292">
        <f>Tabella3[[#This Row],[Italy remov. rate fit]]-Tabella3[[#This Row],[Italy remov. rate data]]</f>
        <v>1149.9640213856699</v>
      </c>
      <c r="M173" s="293">
        <f>Tabella3[[#This Row],[rem. rate residuals]]*NOT(ISBLANK(Tabella3[[#This Row],[Italy remov. rate data]]))</f>
        <v>0</v>
      </c>
      <c r="N173" s="72">
        <f>Tabella3[[#This Row],[Italy remov. rate fit]]/y_f_peak</f>
        <v>0.36402909018253043</v>
      </c>
      <c r="O173" s="10">
        <f>Tabella3[[#This Row],[Italy (fit of selected region + fitted sum of the other regions)]]*NOT(ISBLANK(Tabella3[[#This Row],[Italy remov. rate data]]))</f>
        <v>0</v>
      </c>
      <c r="P173" s="10">
        <f>Tabella3[[#This Row],[Italy remov. rate fit]]*NOT(ISBLANK(Tabella3[[#This Row],[Italy remov. rate data]]))</f>
        <v>0</v>
      </c>
      <c r="Q173" s="72"/>
      <c r="R173" s="72"/>
      <c r="T173" s="10"/>
      <c r="U173" s="10">
        <f>Tabella3[[#This Row],[region data]]*NOT(ISBLANK(Tabella3[[#This Row],[region data]]))</f>
        <v>0</v>
      </c>
      <c r="V173"/>
      <c r="W173" s="72">
        <f>Tabella3[[#This Row],[6-days moving avg]]*NOT(ISBLANK(Tabella3[[#This Row],[6-days moving avg]]))</f>
        <v>0</v>
      </c>
      <c r="X173" s="77">
        <f>Tabella8[[#This Row],[region fit]]</f>
        <v>10298.17616042016</v>
      </c>
      <c r="Y173" s="72">
        <f>Tabella3[[#This Row],[region cumul. fit]]/Kl</f>
        <v>0.78278095030762129</v>
      </c>
      <c r="Z173" s="72">
        <f>IFERROR(Kl*psi_l*_xlfn.SECH(psi_l*(Tabella3[[#This Row],[Day]]-pl)-phi_l)^2/(1+TANH(phi_l)),0)</f>
        <v>92.624426505114982</v>
      </c>
      <c r="AA173" s="72">
        <f>Tabella3[[#This Row],[region fit]]/y_l_peak</f>
        <v>0.62909330897534466</v>
      </c>
      <c r="AB173" s="10">
        <f>Tabella3[[#This Row],[region fit]]*NOT(ISBLANK(Tabella3[[#This Row],[region data]]))</f>
        <v>0</v>
      </c>
      <c r="AC173" s="166">
        <f>IFERROR(kl_m*psi_l_m*_xlfn.SECH(psi_l_m*(Tabella3[[#This Row],[Day]]-pl_m)-phi_l_m)^2/(1+TANH(phi_l_m)),0)</f>
        <v>92.624426505114982</v>
      </c>
      <c r="AD173" s="72">
        <f>Tabella3[[#This Row],[6-days moving avg fit]]*NOT(ISBLANK(Tabella3[[#This Row],[6-days moving avg]]))</f>
        <v>0</v>
      </c>
      <c r="AH173" s="10"/>
      <c r="AI173" s="10">
        <f>Tabella3[[#This Row],[rest of Italy data]]*NOT(ISBLANK(Tabella3[[#This Row],[rest of Italy data]]))</f>
        <v>0</v>
      </c>
      <c r="AJ173" s="77">
        <f>Tabella8[[#This Row],[rest of Italy fit]]</f>
        <v>199148.91184650816</v>
      </c>
      <c r="AK173" s="72">
        <f>Tabella3[[#This Row],[rest of Italy cumul. fit]]/Ka</f>
        <v>0.89769751375056572</v>
      </c>
      <c r="AL173" s="72">
        <f>IFERROR(Ka*psi_a*_xlfn.SECH(psi_a*(Tabella3[[#This Row],[Day]]-pa)-phi_a)^2/(1+TANH(phi_a)),0)</f>
        <v>1052.2757098403574</v>
      </c>
      <c r="AM173" s="72">
        <f>Tabella3[[#This Row],[rest of Italy fit]]/y_a_peak</f>
        <v>0.34849931877361379</v>
      </c>
      <c r="AN173" s="10">
        <f>Tabella3[[#This Row],[rest of Italy fit]]*NOT(ISBLANK(Tabella3[[#This Row],[rest of Italy data]]))</f>
        <v>0</v>
      </c>
    </row>
    <row r="174" spans="2:42" x14ac:dyDescent="0.3">
      <c r="B174" s="9">
        <v>43997</v>
      </c>
      <c r="C174" s="4">
        <v>167</v>
      </c>
      <c r="E174" s="10"/>
      <c r="F174" s="10">
        <f>Tabella3[[#This Row],[Italy remov. rate data]]*NOT(ISBLANK(Tabella3[[#This Row],[Italy remov. rate data]]))</f>
        <v>0</v>
      </c>
      <c r="G174" s="77">
        <f>Tabella8[[#This Row],[Italy fit]]</f>
        <v>210799.14840275203</v>
      </c>
      <c r="H174" s="77">
        <f>Tabella3[[#This Row],[Italy cumul. fit]]/Kf</f>
        <v>0.89701764695867536</v>
      </c>
      <c r="I174" s="77">
        <f>Tabella3[[#This Row],[region fit]]+Tabella3[[#This Row],[rest of Italy fit]]</f>
        <v>1099.7111071854904</v>
      </c>
      <c r="J174" s="77">
        <f>Tabella3[[#This Row],[Italy (fit of selected region + fitted sum of the other regions)]]/(y_l_peak+y_a_peak)</f>
        <v>0.34727537897691474</v>
      </c>
      <c r="K174" s="72">
        <f>IFERROR(Kf*psi_f*_xlfn.SECH(psi_f*(Tabella3[[#This Row],[Day]]-pf)-phi_f)^2/(1+TANH(phi_f)),0)</f>
        <v>1104.3025575655711</v>
      </c>
      <c r="L174" s="292">
        <f>Tabella3[[#This Row],[Italy remov. rate fit]]-Tabella3[[#This Row],[Italy remov. rate data]]</f>
        <v>1104.3025575655711</v>
      </c>
      <c r="M174" s="293">
        <f>Tabella3[[#This Row],[rem. rate residuals]]*NOT(ISBLANK(Tabella3[[#This Row],[Italy remov. rate data]]))</f>
        <v>0</v>
      </c>
      <c r="N174" s="72">
        <f>Tabella3[[#This Row],[Italy remov. rate fit]]/y_f_peak</f>
        <v>0.34957463698076502</v>
      </c>
      <c r="O174" s="10">
        <f>Tabella3[[#This Row],[Italy (fit of selected region + fitted sum of the other regions)]]*NOT(ISBLANK(Tabella3[[#This Row],[Italy remov. rate data]]))</f>
        <v>0</v>
      </c>
      <c r="P174" s="10">
        <f>Tabella3[[#This Row],[Italy remov. rate fit]]*NOT(ISBLANK(Tabella3[[#This Row],[Italy remov. rate data]]))</f>
        <v>0</v>
      </c>
      <c r="Q174" s="72"/>
      <c r="R174" s="72"/>
      <c r="T174" s="10"/>
      <c r="U174" s="10">
        <f>Tabella3[[#This Row],[region data]]*NOT(ISBLANK(Tabella3[[#This Row],[region data]]))</f>
        <v>0</v>
      </c>
      <c r="V174"/>
      <c r="W174" s="72">
        <f>Tabella3[[#This Row],[6-days moving avg]]*NOT(ISBLANK(Tabella3[[#This Row],[6-days moving avg]]))</f>
        <v>0</v>
      </c>
      <c r="X174" s="77">
        <f>Tabella8[[#This Row],[region fit]]</f>
        <v>10389.665806040599</v>
      </c>
      <c r="Y174" s="72">
        <f>Tabella3[[#This Row],[region cumul. fit]]/Kl</f>
        <v>0.78973522557214082</v>
      </c>
      <c r="Z174" s="72">
        <f>IFERROR(Kl*psi_l*_xlfn.SECH(psi_l*(Tabella3[[#This Row],[Day]]-pl)-phi_l)^2/(1+TANH(phi_l)),0)</f>
        <v>90.356545099037348</v>
      </c>
      <c r="AA174" s="72">
        <f>Tabella3[[#This Row],[region fit]]/y_l_peak</f>
        <v>0.61369014728306426</v>
      </c>
      <c r="AB174" s="10">
        <f>Tabella3[[#This Row],[region fit]]*NOT(ISBLANK(Tabella3[[#This Row],[region data]]))</f>
        <v>0</v>
      </c>
      <c r="AC174" s="166">
        <f>IFERROR(kl_m*psi_l_m*_xlfn.SECH(psi_l_m*(Tabella3[[#This Row],[Day]]-pl_m)-phi_l_m)^2/(1+TANH(phi_l_m)),0)</f>
        <v>90.356545099037348</v>
      </c>
      <c r="AD174" s="72">
        <f>Tabella3[[#This Row],[6-days moving avg fit]]*NOT(ISBLANK(Tabella3[[#This Row],[6-days moving avg]]))</f>
        <v>0</v>
      </c>
      <c r="AH174" s="10"/>
      <c r="AI174" s="10">
        <f>Tabella3[[#This Row],[rest of Italy data]]*NOT(ISBLANK(Tabella3[[#This Row],[rest of Italy data]]))</f>
        <v>0</v>
      </c>
      <c r="AJ174" s="77">
        <f>Tabella8[[#This Row],[rest of Italy fit]]</f>
        <v>200179.61663457111</v>
      </c>
      <c r="AK174" s="72">
        <f>Tabella3[[#This Row],[rest of Italy cumul. fit]]/Ka</f>
        <v>0.90234359048317703</v>
      </c>
      <c r="AL174" s="72">
        <f>IFERROR(Ka*psi_a*_xlfn.SECH(psi_a*(Tabella3[[#This Row],[Day]]-pa)-phi_a)^2/(1+TANH(phi_a)),0)</f>
        <v>1009.3545620864531</v>
      </c>
      <c r="AM174" s="72">
        <f>Tabella3[[#This Row],[rest of Italy fit]]/y_a_peak</f>
        <v>0.33428442184751578</v>
      </c>
      <c r="AN174" s="10">
        <f>Tabella3[[#This Row],[rest of Italy fit]]*NOT(ISBLANK(Tabella3[[#This Row],[rest of Italy data]]))</f>
        <v>0</v>
      </c>
    </row>
    <row r="175" spans="2:42" x14ac:dyDescent="0.3">
      <c r="B175" s="9">
        <v>43998</v>
      </c>
      <c r="C175" s="4">
        <v>168</v>
      </c>
      <c r="E175" s="10"/>
      <c r="F175" s="10">
        <f>Tabella3[[#This Row],[Italy remov. rate data]]*NOT(ISBLANK(Tabella3[[#This Row],[Italy remov. rate data]]))</f>
        <v>0</v>
      </c>
      <c r="G175" s="77">
        <f>Tabella8[[#This Row],[Italy fit]]</f>
        <v>211881.17839001075</v>
      </c>
      <c r="H175" s="77">
        <f>Tabella3[[#This Row],[Italy cumul. fit]]/Kf</f>
        <v>0.90162202985331175</v>
      </c>
      <c r="I175" s="77">
        <f>Tabella3[[#This Row],[region fit]]+Tabella3[[#This Row],[rest of Italy fit]]</f>
        <v>1055.8583772598843</v>
      </c>
      <c r="J175" s="77">
        <f>Tabella3[[#This Row],[Italy (fit of selected region + fitted sum of the other regions)]]/(y_l_peak+y_a_peak)</f>
        <v>0.33342722076101478</v>
      </c>
      <c r="K175" s="72">
        <f>IFERROR(Kf*psi_f*_xlfn.SECH(psi_f*(Tabella3[[#This Row],[Day]]-pf)-phi_f)^2/(1+TANH(phi_f)),0)</f>
        <v>1059.9811763455248</v>
      </c>
      <c r="L175" s="292">
        <f>Tabella3[[#This Row],[Italy remov. rate fit]]-Tabella3[[#This Row],[Italy remov. rate data]]</f>
        <v>1059.9811763455248</v>
      </c>
      <c r="M175" s="293">
        <f>Tabella3[[#This Row],[rem. rate residuals]]*NOT(ISBLANK(Tabella3[[#This Row],[Italy remov. rate data]]))</f>
        <v>0</v>
      </c>
      <c r="N175" s="72">
        <f>Tabella3[[#This Row],[Italy remov. rate fit]]/y_f_peak</f>
        <v>0.33554439622442794</v>
      </c>
      <c r="O175" s="10">
        <f>Tabella3[[#This Row],[Italy (fit of selected region + fitted sum of the other regions)]]*NOT(ISBLANK(Tabella3[[#This Row],[Italy remov. rate data]]))</f>
        <v>0</v>
      </c>
      <c r="P175" s="10">
        <f>Tabella3[[#This Row],[Italy remov. rate fit]]*NOT(ISBLANK(Tabella3[[#This Row],[Italy remov. rate data]]))</f>
        <v>0</v>
      </c>
      <c r="Q175" s="72"/>
      <c r="R175" s="72"/>
      <c r="T175" s="10"/>
      <c r="U175" s="10">
        <f>Tabella3[[#This Row],[region data]]*NOT(ISBLANK(Tabella3[[#This Row],[region data]]))</f>
        <v>0</v>
      </c>
      <c r="V175"/>
      <c r="W175" s="72">
        <f>Tabella3[[#This Row],[6-days moving avg]]*NOT(ISBLANK(Tabella3[[#This Row],[6-days moving avg]]))</f>
        <v>0</v>
      </c>
      <c r="X175" s="77">
        <f>Tabella8[[#This Row],[region fit]]</f>
        <v>10478.893132296029</v>
      </c>
      <c r="Y175" s="72">
        <f>Tabella3[[#This Row],[region cumul. fit]]/Kl</f>
        <v>0.79651753829932803</v>
      </c>
      <c r="Z175" s="72">
        <f>IFERROR(Kl*psi_l*_xlfn.SECH(psi_l*(Tabella3[[#This Row],[Day]]-pl)-phi_l)^2/(1+TANH(phi_l)),0)</f>
        <v>88.100302554361463</v>
      </c>
      <c r="AA175" s="72">
        <f>Tabella3[[#This Row],[region fit]]/y_l_peak</f>
        <v>0.59836603525519949</v>
      </c>
      <c r="AB175" s="10">
        <f>Tabella3[[#This Row],[region fit]]*NOT(ISBLANK(Tabella3[[#This Row],[region data]]))</f>
        <v>0</v>
      </c>
      <c r="AC175" s="166">
        <f>IFERROR(kl_m*psi_l_m*_xlfn.SECH(psi_l_m*(Tabella3[[#This Row],[Day]]-pl_m)-phi_l_m)^2/(1+TANH(phi_l_m)),0)</f>
        <v>88.100302554361463</v>
      </c>
      <c r="AD175" s="72">
        <f>Tabella3[[#This Row],[6-days moving avg fit]]*NOT(ISBLANK(Tabella3[[#This Row],[6-days moving avg]]))</f>
        <v>0</v>
      </c>
      <c r="AH175" s="10"/>
      <c r="AI175" s="10">
        <f>Tabella3[[#This Row],[rest of Italy data]]*NOT(ISBLANK(Tabella3[[#This Row],[rest of Italy data]]))</f>
        <v>0</v>
      </c>
      <c r="AJ175" s="77">
        <f>Tabella8[[#This Row],[rest of Italy fit]]</f>
        <v>201168.06257616865</v>
      </c>
      <c r="AK175" s="72">
        <f>Tabella3[[#This Row],[rest of Italy cumul. fit]]/Ka</f>
        <v>0.90679917829443679</v>
      </c>
      <c r="AL175" s="72">
        <f>IFERROR(Ka*psi_a*_xlfn.SECH(psi_a*(Tabella3[[#This Row],[Day]]-pa)-phi_a)^2/(1+TANH(phi_a)),0)</f>
        <v>967.75807470552274</v>
      </c>
      <c r="AM175" s="72">
        <f>Tabella3[[#This Row],[rest of Italy fit]]/y_a_peak</f>
        <v>0.32050823431409003</v>
      </c>
      <c r="AN175" s="10">
        <f>Tabella3[[#This Row],[rest of Italy fit]]*NOT(ISBLANK(Tabella3[[#This Row],[rest of Italy data]]))</f>
        <v>0</v>
      </c>
    </row>
    <row r="176" spans="2:42" x14ac:dyDescent="0.3">
      <c r="B176" s="9">
        <v>43999</v>
      </c>
      <c r="C176" s="4">
        <v>169</v>
      </c>
      <c r="E176" s="10"/>
      <c r="F176" s="10">
        <f>Tabella3[[#This Row],[Italy remov. rate data]]*NOT(ISBLANK(Tabella3[[#This Row],[Italy remov. rate data]]))</f>
        <v>0</v>
      </c>
      <c r="G176" s="77">
        <f>Tabella8[[#This Row],[Italy fit]]</f>
        <v>212919.55855683246</v>
      </c>
      <c r="H176" s="77">
        <f>Tabella3[[#This Row],[Italy cumul. fit]]/Kf</f>
        <v>0.90604066883239975</v>
      </c>
      <c r="I176" s="77">
        <f>Tabella3[[#This Row],[region fit]]+Tabella3[[#This Row],[rest of Italy fit]]</f>
        <v>1013.3430276878006</v>
      </c>
      <c r="J176" s="77">
        <f>Tabella3[[#This Row],[Italy (fit of selected region + fitted sum of the other regions)]]/(y_l_peak+y_a_peak)</f>
        <v>0.32000139097852903</v>
      </c>
      <c r="K176" s="72">
        <f>IFERROR(Kf*psi_f*_xlfn.SECH(psi_f*(Tabella3[[#This Row],[Day]]-pf)-phi_f)^2/(1+TANH(phi_f)),0)</f>
        <v>1017.0030445857434</v>
      </c>
      <c r="L176" s="292">
        <f>Tabella3[[#This Row],[Italy remov. rate fit]]-Tabella3[[#This Row],[Italy remov. rate data]]</f>
        <v>1017.0030445857434</v>
      </c>
      <c r="M176" s="293">
        <f>Tabella3[[#This Row],[rem. rate residuals]]*NOT(ISBLANK(Tabella3[[#This Row],[Italy remov. rate data]]))</f>
        <v>0</v>
      </c>
      <c r="N176" s="72">
        <f>Tabella3[[#This Row],[Italy remov. rate fit]]/y_f_peak</f>
        <v>0.32193937040509313</v>
      </c>
      <c r="O176" s="10">
        <f>Tabella3[[#This Row],[Italy (fit of selected region + fitted sum of the other regions)]]*NOT(ISBLANK(Tabella3[[#This Row],[Italy remov. rate data]]))</f>
        <v>0</v>
      </c>
      <c r="P176" s="10">
        <f>Tabella3[[#This Row],[Italy remov. rate fit]]*NOT(ISBLANK(Tabella3[[#This Row],[Italy remov. rate data]]))</f>
        <v>0</v>
      </c>
      <c r="Q176" s="72"/>
      <c r="R176" s="72"/>
      <c r="T176" s="10"/>
      <c r="U176" s="10">
        <f>Tabella3[[#This Row],[region data]]*NOT(ISBLANK(Tabella3[[#This Row],[region data]]))</f>
        <v>0</v>
      </c>
      <c r="V176"/>
      <c r="W176" s="72">
        <f>Tabella3[[#This Row],[6-days moving avg]]*NOT(ISBLANK(Tabella3[[#This Row],[6-days moving avg]]))</f>
        <v>0</v>
      </c>
      <c r="X176" s="77">
        <f>Tabella8[[#This Row],[region fit]]</f>
        <v>10565.871291461937</v>
      </c>
      <c r="Y176" s="72">
        <f>Tabella3[[#This Row],[region cumul. fit]]/Kl</f>
        <v>0.8031288882148182</v>
      </c>
      <c r="Z176" s="72">
        <f>IFERROR(Kl*psi_l*_xlfn.SECH(psi_l*(Tabella3[[#This Row],[Day]]-pl)-phi_l)^2/(1+TANH(phi_l)),0)</f>
        <v>85.858694741030646</v>
      </c>
      <c r="AA176" s="72">
        <f>Tabella3[[#This Row],[region fit]]/y_l_peak</f>
        <v>0.58314132045887745</v>
      </c>
      <c r="AB176" s="10">
        <f>Tabella3[[#This Row],[region fit]]*NOT(ISBLANK(Tabella3[[#This Row],[region data]]))</f>
        <v>0</v>
      </c>
      <c r="AC176" s="166">
        <f>IFERROR(kl_m*psi_l_m*_xlfn.SECH(psi_l_m*(Tabella3[[#This Row],[Day]]-pl_m)-phi_l_m)^2/(1+TANH(phi_l_m)),0)</f>
        <v>85.858694741030646</v>
      </c>
      <c r="AD176" s="72">
        <f>Tabella3[[#This Row],[6-days moving avg fit]]*NOT(ISBLANK(Tabella3[[#This Row],[6-days moving avg]]))</f>
        <v>0</v>
      </c>
      <c r="AH176" s="10"/>
      <c r="AI176" s="10">
        <f>Tabella3[[#This Row],[rest of Italy data]]*NOT(ISBLANK(Tabella3[[#This Row],[rest of Italy data]]))</f>
        <v>0</v>
      </c>
      <c r="AJ176" s="77">
        <f>Tabella8[[#This Row],[rest of Italy fit]]</f>
        <v>202115.57374641788</v>
      </c>
      <c r="AK176" s="72">
        <f>Tabella3[[#This Row],[rest of Italy cumul. fit]]/Ka</f>
        <v>0.91107024567761785</v>
      </c>
      <c r="AL176" s="72">
        <f>IFERROR(Ka*psi_a*_xlfn.SECH(psi_a*(Tabella3[[#This Row],[Day]]-pa)-phi_a)^2/(1+TANH(phi_a)),0)</f>
        <v>927.48433294677</v>
      </c>
      <c r="AM176" s="72">
        <f>Tabella3[[#This Row],[rest of Italy fit]]/y_a_peak</f>
        <v>0.30717012203406874</v>
      </c>
      <c r="AN176" s="10">
        <f>Tabella3[[#This Row],[rest of Italy fit]]*NOT(ISBLANK(Tabella3[[#This Row],[rest of Italy data]]))</f>
        <v>0</v>
      </c>
    </row>
    <row r="177" spans="2:42" x14ac:dyDescent="0.3">
      <c r="B177" s="9">
        <v>44000</v>
      </c>
      <c r="C177" s="4">
        <v>170</v>
      </c>
      <c r="E177" s="10"/>
      <c r="F177" s="10">
        <f>Tabella3[[#This Row],[Italy remov. rate data]]*NOT(ISBLANK(Tabella3[[#This Row],[Italy remov. rate data]]))</f>
        <v>0</v>
      </c>
      <c r="G177" s="77">
        <f>Tabella8[[#This Row],[Italy fit]]</f>
        <v>213915.6317839472</v>
      </c>
      <c r="H177" s="77">
        <f>Tabella3[[#This Row],[Italy cumul. fit]]/Kf</f>
        <v>0.91027927828198774</v>
      </c>
      <c r="I177" s="77">
        <f>Tabella3[[#This Row],[region fit]]+Tabella3[[#This Row],[rest of Italy fit]]</f>
        <v>972.16170131289334</v>
      </c>
      <c r="J177" s="77">
        <f>Tabella3[[#This Row],[Italy (fit of selected region + fitted sum of the other regions)]]/(y_l_peak+y_a_peak)</f>
        <v>0.30699682948035573</v>
      </c>
      <c r="K177" s="72">
        <f>IFERROR(Kf*psi_f*_xlfn.SECH(psi_f*(Tabella3[[#This Row],[Day]]-pf)-phi_f)^2/(1+TANH(phi_f)),0)</f>
        <v>975.36668639838911</v>
      </c>
      <c r="L177" s="292">
        <f>Tabella3[[#This Row],[Italy remov. rate fit]]-Tabella3[[#This Row],[Italy remov. rate data]]</f>
        <v>975.36668639838911</v>
      </c>
      <c r="M177" s="293">
        <f>Tabella3[[#This Row],[rem. rate residuals]]*NOT(ISBLANK(Tabella3[[#This Row],[Italy remov. rate data]]))</f>
        <v>0</v>
      </c>
      <c r="N177" s="72">
        <f>Tabella3[[#This Row],[Italy remov. rate fit]]/y_f_peak</f>
        <v>0.30875909232022486</v>
      </c>
      <c r="O177" s="10">
        <f>Tabella3[[#This Row],[Italy (fit of selected region + fitted sum of the other regions)]]*NOT(ISBLANK(Tabella3[[#This Row],[Italy remov. rate data]]))</f>
        <v>0</v>
      </c>
      <c r="P177" s="10">
        <f>Tabella3[[#This Row],[Italy remov. rate fit]]*NOT(ISBLANK(Tabella3[[#This Row],[Italy remov. rate data]]))</f>
        <v>0</v>
      </c>
      <c r="Q177" s="72"/>
      <c r="R177" s="72"/>
      <c r="T177" s="10"/>
      <c r="U177" s="10">
        <f>Tabella3[[#This Row],[region data]]*NOT(ISBLANK(Tabella3[[#This Row],[region data]]))</f>
        <v>0</v>
      </c>
      <c r="V177"/>
      <c r="W177" s="72">
        <f>Tabella3[[#This Row],[6-days moving avg]]*NOT(ISBLANK(Tabella3[[#This Row],[6-days moving avg]]))</f>
        <v>0</v>
      </c>
      <c r="X177" s="77">
        <f>Tabella8[[#This Row],[region fit]]</f>
        <v>10650.616338691454</v>
      </c>
      <c r="Y177" s="72">
        <f>Tabella3[[#This Row],[region cumul. fit]]/Kl</f>
        <v>0.80957049569665007</v>
      </c>
      <c r="Z177" s="72">
        <f>IFERROR(Kl*psi_l*_xlfn.SECH(psi_l*(Tabella3[[#This Row],[Day]]-pl)-phi_l)^2/(1+TANH(phi_l)),0)</f>
        <v>83.634531462853502</v>
      </c>
      <c r="AA177" s="72">
        <f>Tabella3[[#This Row],[region fit]]/y_l_peak</f>
        <v>0.56803508672373371</v>
      </c>
      <c r="AB177" s="10">
        <f>Tabella3[[#This Row],[region fit]]*NOT(ISBLANK(Tabella3[[#This Row],[region data]]))</f>
        <v>0</v>
      </c>
      <c r="AC177" s="166">
        <f>IFERROR(kl_m*psi_l_m*_xlfn.SECH(psi_l_m*(Tabella3[[#This Row],[Day]]-pl_m)-phi_l_m)^2/(1+TANH(phi_l_m)),0)</f>
        <v>83.634531462853502</v>
      </c>
      <c r="AD177" s="72">
        <f>Tabella3[[#This Row],[6-days moving avg fit]]*NOT(ISBLANK(Tabella3[[#This Row],[6-days moving avg]]))</f>
        <v>0</v>
      </c>
      <c r="AH177" s="10"/>
      <c r="AI177" s="10">
        <f>Tabella3[[#This Row],[rest of Italy data]]*NOT(ISBLANK(Tabella3[[#This Row],[rest of Italy data]]))</f>
        <v>0</v>
      </c>
      <c r="AJ177" s="77">
        <f>Tabella8[[#This Row],[rest of Italy fit]]</f>
        <v>203023.47014421938</v>
      </c>
      <c r="AK177" s="72">
        <f>Tabella3[[#This Row],[rest of Italy cumul. fit]]/Ka</f>
        <v>0.91516274275175535</v>
      </c>
      <c r="AL177" s="72">
        <f>IFERROR(Ka*psi_a*_xlfn.SECH(psi_a*(Tabella3[[#This Row],[Day]]-pa)-phi_a)^2/(1+TANH(phi_a)),0)</f>
        <v>888.52716985003985</v>
      </c>
      <c r="AM177" s="72">
        <f>Tabella3[[#This Row],[rest of Italy fit]]/y_a_peak</f>
        <v>0.29426804259461964</v>
      </c>
      <c r="AN177" s="10">
        <f>Tabella3[[#This Row],[rest of Italy fit]]*NOT(ISBLANK(Tabella3[[#This Row],[rest of Italy data]]))</f>
        <v>0</v>
      </c>
    </row>
    <row r="178" spans="2:42" x14ac:dyDescent="0.3">
      <c r="B178" s="9">
        <v>44001</v>
      </c>
      <c r="C178" s="4">
        <v>171</v>
      </c>
      <c r="E178" s="10"/>
      <c r="F178" s="10">
        <f>Tabella3[[#This Row],[Italy remov. rate data]]*NOT(ISBLANK(Tabella3[[#This Row],[Italy remov. rate data]]))</f>
        <v>0</v>
      </c>
      <c r="G178" s="77">
        <f>Tabella8[[#This Row],[Italy fit]]</f>
        <v>214870.73733011831</v>
      </c>
      <c r="H178" s="77">
        <f>Tabella3[[#This Row],[Italy cumul. fit]]/Kf</f>
        <v>0.91434355717549964</v>
      </c>
      <c r="I178" s="77">
        <f>Tabella3[[#This Row],[region fit]]+Tabella3[[#This Row],[rest of Italy fit]]</f>
        <v>932.30701877541867</v>
      </c>
      <c r="J178" s="77">
        <f>Tabella3[[#This Row],[Italy (fit of selected region + fitted sum of the other regions)]]/(y_l_peak+y_a_peak)</f>
        <v>0.29441120595452946</v>
      </c>
      <c r="K178" s="72">
        <f>IFERROR(Kf*psi_f*_xlfn.SECH(psi_f*(Tabella3[[#This Row],[Day]]-pf)-phi_f)^2/(1+TANH(phi_f)),0)</f>
        <v>935.06640244388211</v>
      </c>
      <c r="L178" s="292">
        <f>Tabella3[[#This Row],[Italy remov. rate fit]]-Tabella3[[#This Row],[Italy remov. rate data]]</f>
        <v>935.06640244388211</v>
      </c>
      <c r="M178" s="293">
        <f>Tabella3[[#This Row],[rem. rate residuals]]*NOT(ISBLANK(Tabella3[[#This Row],[Italy remov. rate data]]))</f>
        <v>0</v>
      </c>
      <c r="N178" s="72">
        <f>Tabella3[[#This Row],[Italy remov. rate fit]]/y_f_peak</f>
        <v>0.29600175780433335</v>
      </c>
      <c r="O178" s="10">
        <f>Tabella3[[#This Row],[Italy (fit of selected region + fitted sum of the other regions)]]*NOT(ISBLANK(Tabella3[[#This Row],[Italy remov. rate data]]))</f>
        <v>0</v>
      </c>
      <c r="P178" s="10">
        <f>Tabella3[[#This Row],[Italy remov. rate fit]]*NOT(ISBLANK(Tabella3[[#This Row],[Italy remov. rate data]]))</f>
        <v>0</v>
      </c>
      <c r="Q178" s="72"/>
      <c r="R178" s="72"/>
      <c r="T178" s="10"/>
      <c r="U178" s="10">
        <f>Tabella3[[#This Row],[region data]]*NOT(ISBLANK(Tabella3[[#This Row],[region data]]))</f>
        <v>0</v>
      </c>
      <c r="V178"/>
      <c r="W178" s="72">
        <f>Tabella3[[#This Row],[6-days moving avg]]*NOT(ISBLANK(Tabella3[[#This Row],[6-days moving avg]]))</f>
        <v>0</v>
      </c>
      <c r="X178" s="77">
        <f>Tabella8[[#This Row],[region fit]]</f>
        <v>10733.147045880878</v>
      </c>
      <c r="Y178" s="72">
        <f>Tabella3[[#This Row],[region cumul. fit]]/Kl</f>
        <v>0.8158437876268847</v>
      </c>
      <c r="Z178" s="72">
        <f>IFERROR(Kl*psi_l*_xlfn.SECH(psi_l*(Tabella3[[#This Row],[Day]]-pl)-phi_l)^2/(1+TANH(phi_l)),0)</f>
        <v>81.430436494287321</v>
      </c>
      <c r="AA178" s="72">
        <f>Tabella3[[#This Row],[region fit]]/y_l_peak</f>
        <v>0.55306515439174098</v>
      </c>
      <c r="AB178" s="10">
        <f>Tabella3[[#This Row],[region fit]]*NOT(ISBLANK(Tabella3[[#This Row],[region data]]))</f>
        <v>0</v>
      </c>
      <c r="AC178" s="166">
        <f>IFERROR(kl_m*psi_l_m*_xlfn.SECH(psi_l_m*(Tabella3[[#This Row],[Day]]-pl_m)-phi_l_m)^2/(1+TANH(phi_l_m)),0)</f>
        <v>81.430436494287321</v>
      </c>
      <c r="AD178" s="72">
        <f>Tabella3[[#This Row],[6-days moving avg fit]]*NOT(ISBLANK(Tabella3[[#This Row],[6-days moving avg]]))</f>
        <v>0</v>
      </c>
      <c r="AH178" s="10"/>
      <c r="AI178" s="10">
        <f>Tabella3[[#This Row],[rest of Italy data]]*NOT(ISBLANK(Tabella3[[#This Row],[rest of Italy data]]))</f>
        <v>0</v>
      </c>
      <c r="AJ178" s="77">
        <f>Tabella8[[#This Row],[rest of Italy fit]]</f>
        <v>203893.06364946897</v>
      </c>
      <c r="AK178" s="72">
        <f>Tabella3[[#This Row],[rest of Italy cumul. fit]]/Ka</f>
        <v>0.91908258303809265</v>
      </c>
      <c r="AL178" s="72">
        <f>IFERROR(Ka*psi_a*_xlfn.SECH(psi_a*(Tabella3[[#This Row],[Day]]-pa)-phi_a)^2/(1+TANH(phi_a)),0)</f>
        <v>850.87658228113139</v>
      </c>
      <c r="AM178" s="72">
        <f>Tabella3[[#This Row],[rest of Italy fit]]/y_a_peak</f>
        <v>0.28179868309454947</v>
      </c>
      <c r="AN178" s="10">
        <f>Tabella3[[#This Row],[rest of Italy fit]]*NOT(ISBLANK(Tabella3[[#This Row],[rest of Italy data]]))</f>
        <v>0</v>
      </c>
    </row>
    <row r="179" spans="2:42" x14ac:dyDescent="0.3">
      <c r="B179" s="9">
        <v>44002</v>
      </c>
      <c r="C179" s="4">
        <v>172</v>
      </c>
      <c r="E179" s="10"/>
      <c r="F179" s="10">
        <f>Tabella3[[#This Row],[Italy remov. rate data]]*NOT(ISBLANK(Tabella3[[#This Row],[Italy remov. rate data]]))</f>
        <v>0</v>
      </c>
      <c r="G179" s="77">
        <f>Tabella8[[#This Row],[Italy fit]]</f>
        <v>215786.206812227</v>
      </c>
      <c r="H179" s="77">
        <f>Tabella3[[#This Row],[Italy cumul. fit]]/Kf</f>
        <v>0.91823917196771232</v>
      </c>
      <c r="I179" s="77">
        <f>Tabella3[[#This Row],[region fit]]+Tabella3[[#This Row],[rest of Italy fit]]</f>
        <v>893.76797789764544</v>
      </c>
      <c r="J179" s="77">
        <f>Tabella3[[#This Row],[Italy (fit of selected region + fitted sum of the other regions)]]/(y_l_peak+y_a_peak)</f>
        <v>0.28224104604727118</v>
      </c>
      <c r="K179" s="72">
        <f>IFERROR(Kf*psi_f*_xlfn.SECH(psi_f*(Tabella3[[#This Row],[Day]]-pf)-phi_f)^2/(1+TANH(phi_f)),0)</f>
        <v>896.09267436234177</v>
      </c>
      <c r="L179" s="292">
        <f>Tabella3[[#This Row],[Italy remov. rate fit]]-Tabella3[[#This Row],[Italy remov. rate data]]</f>
        <v>896.09267436234177</v>
      </c>
      <c r="M179" s="293">
        <f>Tabella3[[#This Row],[rem. rate residuals]]*NOT(ISBLANK(Tabella3[[#This Row],[Italy remov. rate data]]))</f>
        <v>0</v>
      </c>
      <c r="N179" s="72">
        <f>Tabella3[[#This Row],[Italy remov. rate fit]]/y_f_peak</f>
        <v>0.28366435375455368</v>
      </c>
      <c r="O179" s="10">
        <f>Tabella3[[#This Row],[Italy (fit of selected region + fitted sum of the other regions)]]*NOT(ISBLANK(Tabella3[[#This Row],[Italy remov. rate data]]))</f>
        <v>0</v>
      </c>
      <c r="P179" s="10">
        <f>Tabella3[[#This Row],[Italy remov. rate fit]]*NOT(ISBLANK(Tabella3[[#This Row],[Italy remov. rate data]]))</f>
        <v>0</v>
      </c>
      <c r="Q179" s="72"/>
      <c r="R179" s="72"/>
      <c r="T179" s="10"/>
      <c r="U179" s="10">
        <f>Tabella3[[#This Row],[region data]]*NOT(ISBLANK(Tabella3[[#This Row],[region data]]))</f>
        <v>0</v>
      </c>
      <c r="V179"/>
      <c r="W179" s="72">
        <f>Tabella3[[#This Row],[6-days moving avg]]*NOT(ISBLANK(Tabella3[[#This Row],[6-days moving avg]]))</f>
        <v>0</v>
      </c>
      <c r="X179" s="77">
        <f>Tabella8[[#This Row],[region fit]]</f>
        <v>10813.484716078272</v>
      </c>
      <c r="Y179" s="72">
        <f>Tabella3[[#This Row],[region cumul. fit]]/Kl</f>
        <v>0.82195038328450354</v>
      </c>
      <c r="Z179" s="72">
        <f>IFERROR(Kl*psi_l*_xlfn.SECH(psi_l*(Tabella3[[#This Row],[Day]]-pl)-phi_l)^2/(1+TANH(phi_l)),0)</f>
        <v>79.248848615635367</v>
      </c>
      <c r="AA179" s="72">
        <f>Tabella3[[#This Row],[region fit]]/y_l_peak</f>
        <v>0.53824808734813689</v>
      </c>
      <c r="AB179" s="10">
        <f>Tabella3[[#This Row],[region fit]]*NOT(ISBLANK(Tabella3[[#This Row],[region data]]))</f>
        <v>0</v>
      </c>
      <c r="AC179" s="166">
        <f>IFERROR(kl_m*psi_l_m*_xlfn.SECH(psi_l_m*(Tabella3[[#This Row],[Day]]-pl_m)-phi_l_m)^2/(1+TANH(phi_l_m)),0)</f>
        <v>79.248848615635367</v>
      </c>
      <c r="AD179" s="72">
        <f>Tabella3[[#This Row],[6-days moving avg fit]]*NOT(ISBLANK(Tabella3[[#This Row],[6-days moving avg]]))</f>
        <v>0</v>
      </c>
      <c r="AH179" s="10"/>
      <c r="AI179" s="10">
        <f>Tabella3[[#This Row],[rest of Italy data]]*NOT(ISBLANK(Tabella3[[#This Row],[rest of Italy data]]))</f>
        <v>0</v>
      </c>
      <c r="AJ179" s="77">
        <f>Tabella8[[#This Row],[rest of Italy fit]]</f>
        <v>204725.65438759796</v>
      </c>
      <c r="AK179" s="72">
        <f>Tabella3[[#This Row],[rest of Italy cumul. fit]]/Ka</f>
        <v>0.92283562707263</v>
      </c>
      <c r="AL179" s="72">
        <f>IFERROR(Ka*psi_a*_xlfn.SECH(psi_a*(Tabella3[[#This Row],[Day]]-pa)-phi_a)^2/(1+TANH(phi_a)),0)</f>
        <v>814.51912928201011</v>
      </c>
      <c r="AM179" s="72">
        <f>Tabella3[[#This Row],[rest of Italy fit]]/y_a_peak</f>
        <v>0.26975759207244493</v>
      </c>
      <c r="AN179" s="10">
        <f>Tabella3[[#This Row],[rest of Italy fit]]*NOT(ISBLANK(Tabella3[[#This Row],[rest of Italy data]]))</f>
        <v>0</v>
      </c>
    </row>
    <row r="180" spans="2:42" x14ac:dyDescent="0.3">
      <c r="B180" s="9">
        <v>44003</v>
      </c>
      <c r="C180" s="4">
        <v>173</v>
      </c>
      <c r="E180" s="10"/>
      <c r="F180" s="10">
        <f>Tabella3[[#This Row],[Italy remov. rate data]]*NOT(ISBLANK(Tabella3[[#This Row],[Italy remov. rate data]]))</f>
        <v>0</v>
      </c>
      <c r="G180" s="77">
        <f>Tabella8[[#This Row],[Italy fit]]</f>
        <v>216663.36058158908</v>
      </c>
      <c r="H180" s="77">
        <f>Tabella3[[#This Row],[Italy cumul. fit]]/Kf</f>
        <v>0.92197174117482705</v>
      </c>
      <c r="I180" s="77">
        <f>Tabella3[[#This Row],[region fit]]+Tabella3[[#This Row],[rest of Italy fit]]</f>
        <v>856.53033488118399</v>
      </c>
      <c r="J180" s="77">
        <f>Tabella3[[#This Row],[Italy (fit of selected region + fitted sum of the other regions)]]/(y_l_peak+y_a_peak)</f>
        <v>0.27048185174046357</v>
      </c>
      <c r="K180" s="72">
        <f>IFERROR(Kf*psi_f*_xlfn.SECH(psi_f*(Tabella3[[#This Row],[Day]]-pf)-phi_f)^2/(1+TANH(phi_f)),0)</f>
        <v>858.43255254419751</v>
      </c>
      <c r="L180" s="292">
        <f>Tabella3[[#This Row],[Italy remov. rate fit]]-Tabella3[[#This Row],[Italy remov. rate data]]</f>
        <v>858.43255254419751</v>
      </c>
      <c r="M180" s="293">
        <f>Tabella3[[#This Row],[rem. rate residuals]]*NOT(ISBLANK(Tabella3[[#This Row],[Italy remov. rate data]]))</f>
        <v>0</v>
      </c>
      <c r="N180" s="72">
        <f>Tabella3[[#This Row],[Italy remov. rate fit]]/y_f_peak</f>
        <v>0.27174278088212334</v>
      </c>
      <c r="O180" s="10">
        <f>Tabella3[[#This Row],[Italy (fit of selected region + fitted sum of the other regions)]]*NOT(ISBLANK(Tabella3[[#This Row],[Italy remov. rate data]]))</f>
        <v>0</v>
      </c>
      <c r="P180" s="10">
        <f>Tabella3[[#This Row],[Italy remov. rate fit]]*NOT(ISBLANK(Tabella3[[#This Row],[Italy remov. rate data]]))</f>
        <v>0</v>
      </c>
      <c r="Q180" s="72"/>
      <c r="R180" s="72"/>
      <c r="T180" s="10"/>
      <c r="U180" s="10">
        <f>Tabella3[[#This Row],[region data]]*NOT(ISBLANK(Tabella3[[#This Row],[region data]]))</f>
        <v>0</v>
      </c>
      <c r="V180"/>
      <c r="W180" s="72">
        <f>Tabella3[[#This Row],[6-days moving avg]]*NOT(ISBLANK(Tabella3[[#This Row],[6-days moving avg]]))</f>
        <v>0</v>
      </c>
      <c r="X180" s="77">
        <f>Tabella8[[#This Row],[region fit]]</f>
        <v>10891.652999390853</v>
      </c>
      <c r="Y180" s="72">
        <f>Tabella3[[#This Row],[region cumul. fit]]/Kl</f>
        <v>0.82789208035223383</v>
      </c>
      <c r="Z180" s="72">
        <f>IFERROR(Kl*psi_l*_xlfn.SECH(psi_l*(Tabella3[[#This Row],[Day]]-pl)-phi_l)^2/(1+TANH(phi_l)),0)</f>
        <v>77.092023561105037</v>
      </c>
      <c r="AA180" s="72">
        <f>Tabella3[[#This Row],[region fit]]/y_l_peak</f>
        <v>0.52359920625238743</v>
      </c>
      <c r="AB180" s="10">
        <f>Tabella3[[#This Row],[region fit]]*NOT(ISBLANK(Tabella3[[#This Row],[region data]]))</f>
        <v>0</v>
      </c>
      <c r="AC180" s="166">
        <f>IFERROR(kl_m*psi_l_m*_xlfn.SECH(psi_l_m*(Tabella3[[#This Row],[Day]]-pl_m)-phi_l_m)^2/(1+TANH(phi_l_m)),0)</f>
        <v>77.092023561105037</v>
      </c>
      <c r="AD180" s="72">
        <f>Tabella3[[#This Row],[6-days moving avg fit]]*NOT(ISBLANK(Tabella3[[#This Row],[6-days moving avg]]))</f>
        <v>0</v>
      </c>
      <c r="AH180" s="10"/>
      <c r="AI180" s="10">
        <f>Tabella3[[#This Row],[rest of Italy data]]*NOT(ISBLANK(Tabella3[[#This Row],[rest of Italy data]]))</f>
        <v>0</v>
      </c>
      <c r="AJ180" s="77">
        <f>Tabella8[[#This Row],[rest of Italy fit]]</f>
        <v>205522.52748301378</v>
      </c>
      <c r="AK180" s="72">
        <f>Tabella3[[#This Row],[rest of Italy cumul. fit]]/Ka</f>
        <v>0.92642766777170682</v>
      </c>
      <c r="AL180" s="72">
        <f>IFERROR(Ka*psi_a*_xlfn.SECH(psi_a*(Tabella3[[#This Row],[Day]]-pa)-phi_a)^2/(1+TANH(phi_a)),0)</f>
        <v>779.43831132007892</v>
      </c>
      <c r="AM180" s="72">
        <f>Tabella3[[#This Row],[rest of Italy fit]]/y_a_peak</f>
        <v>0.25813930510884209</v>
      </c>
      <c r="AN180" s="10">
        <f>Tabella3[[#This Row],[rest of Italy fit]]*NOT(ISBLANK(Tabella3[[#This Row],[rest of Italy data]]))</f>
        <v>0</v>
      </c>
    </row>
    <row r="181" spans="2:42" x14ac:dyDescent="0.3">
      <c r="B181" s="9">
        <v>44004</v>
      </c>
      <c r="C181" s="4">
        <v>174</v>
      </c>
      <c r="E181" s="10"/>
      <c r="F181" s="10">
        <f>Tabella3[[#This Row],[Italy remov. rate data]]*NOT(ISBLANK(Tabella3[[#This Row],[Italy remov. rate data]]))</f>
        <v>0</v>
      </c>
      <c r="G181" s="77">
        <f>Tabella8[[#This Row],[Italy fit]]</f>
        <v>217503.50447912127</v>
      </c>
      <c r="H181" s="77">
        <f>Tabella3[[#This Row],[Italy cumul. fit]]/Kf</f>
        <v>0.9255468215666659</v>
      </c>
      <c r="I181" s="77">
        <f>Tabella3[[#This Row],[region fit]]+Tabella3[[#This Row],[rest of Italy fit]]</f>
        <v>820.57696621488776</v>
      </c>
      <c r="J181" s="77">
        <f>Tabella3[[#This Row],[Italy (fit of selected region + fitted sum of the other regions)]]/(y_l_peak+y_a_peak)</f>
        <v>0.25912821563776051</v>
      </c>
      <c r="K181" s="72">
        <f>IFERROR(Kf*psi_f*_xlfn.SECH(psi_f*(Tabella3[[#This Row],[Day]]-pf)-phi_f)^2/(1+TANH(phi_f)),0)</f>
        <v>822.07002586096257</v>
      </c>
      <c r="L181" s="292">
        <f>Tabella3[[#This Row],[Italy remov. rate fit]]-Tabella3[[#This Row],[Italy remov. rate data]]</f>
        <v>822.07002586096257</v>
      </c>
      <c r="M181" s="293">
        <f>Tabella3[[#This Row],[rem. rate residuals]]*NOT(ISBLANK(Tabella3[[#This Row],[Italy remov. rate data]]))</f>
        <v>0</v>
      </c>
      <c r="N181" s="72">
        <f>Tabella3[[#This Row],[Italy remov. rate fit]]/y_f_peak</f>
        <v>0.26023197075322396</v>
      </c>
      <c r="O181" s="10">
        <f>Tabella3[[#This Row],[Italy (fit of selected region + fitted sum of the other regions)]]*NOT(ISBLANK(Tabella3[[#This Row],[Italy remov. rate data]]))</f>
        <v>0</v>
      </c>
      <c r="P181" s="10">
        <f>Tabella3[[#This Row],[Italy remov. rate fit]]*NOT(ISBLANK(Tabella3[[#This Row],[Italy remov. rate data]]))</f>
        <v>0</v>
      </c>
      <c r="Q181" s="72"/>
      <c r="R181" s="72"/>
      <c r="T181" s="10"/>
      <c r="U181" s="10">
        <f>Tabella3[[#This Row],[region data]]*NOT(ISBLANK(Tabella3[[#This Row],[region data]]))</f>
        <v>0</v>
      </c>
      <c r="V181"/>
      <c r="W181" s="72">
        <f>Tabella3[[#This Row],[6-days moving avg]]*NOT(ISBLANK(Tabella3[[#This Row],[6-days moving avg]]))</f>
        <v>0</v>
      </c>
      <c r="X181" s="77">
        <f>Tabella8[[#This Row],[region fit]]</f>
        <v>10967.677711260945</v>
      </c>
      <c r="Y181" s="72">
        <f>Tabella3[[#This Row],[region cumul. fit]]/Kl</f>
        <v>0.83367084110340994</v>
      </c>
      <c r="Z181" s="72">
        <f>IFERROR(Kl*psi_l*_xlfn.SECH(psi_l*(Tabella3[[#This Row],[Day]]-pl)-phi_l)^2/(1+TANH(phi_l)),0)</f>
        <v>74.96203679348811</v>
      </c>
      <c r="AA181" s="72">
        <f>Tabella3[[#This Row],[region fit]]/y_l_peak</f>
        <v>0.50913260738346133</v>
      </c>
      <c r="AB181" s="10">
        <f>Tabella3[[#This Row],[region fit]]*NOT(ISBLANK(Tabella3[[#This Row],[region data]]))</f>
        <v>0</v>
      </c>
      <c r="AC181" s="166">
        <f>IFERROR(kl_m*psi_l_m*_xlfn.SECH(psi_l_m*(Tabella3[[#This Row],[Day]]-pl_m)-phi_l_m)^2/(1+TANH(phi_l_m)),0)</f>
        <v>74.96203679348811</v>
      </c>
      <c r="AD181" s="72">
        <f>Tabella3[[#This Row],[6-days moving avg fit]]*NOT(ISBLANK(Tabella3[[#This Row],[6-days moving avg]]))</f>
        <v>0</v>
      </c>
      <c r="AH181" s="10"/>
      <c r="AI181" s="10">
        <f>Tabella3[[#This Row],[rest of Italy data]]*NOT(ISBLANK(Tabella3[[#This Row],[rest of Italy data]]))</f>
        <v>0</v>
      </c>
      <c r="AJ181" s="77">
        <f>Tabella8[[#This Row],[rest of Italy fit]]</f>
        <v>206284.95018180084</v>
      </c>
      <c r="AK181" s="72">
        <f>Tabella3[[#This Row],[rest of Italy cumul. fit]]/Ka</f>
        <v>0.92986441746208748</v>
      </c>
      <c r="AL181" s="72">
        <f>IFERROR(Ka*psi_a*_xlfn.SECH(psi_a*(Tabella3[[#This Row],[Day]]-pa)-phi_a)^2/(1+TANH(phi_a)),0)</f>
        <v>745.61492942139967</v>
      </c>
      <c r="AM181" s="72">
        <f>Tabella3[[#This Row],[rest of Italy fit]]/y_a_peak</f>
        <v>0.24693746376623635</v>
      </c>
      <c r="AN181" s="10">
        <f>Tabella3[[#This Row],[rest of Italy fit]]*NOT(ISBLANK(Tabella3[[#This Row],[rest of Italy data]]))</f>
        <v>0</v>
      </c>
    </row>
    <row r="182" spans="2:42" x14ac:dyDescent="0.3">
      <c r="B182" s="9">
        <v>44005</v>
      </c>
      <c r="C182" s="4">
        <v>175</v>
      </c>
      <c r="E182" s="10"/>
      <c r="F182" s="10">
        <f>Tabella3[[#This Row],[Italy remov. rate data]]*NOT(ISBLANK(Tabella3[[#This Row],[Italy remov. rate data]]))</f>
        <v>0</v>
      </c>
      <c r="G182" s="77">
        <f>Tabella8[[#This Row],[Italy fit]]</f>
        <v>218307.92695078562</v>
      </c>
      <c r="H182" s="77">
        <f>Tabella3[[#This Row],[Italy cumul. fit]]/Kf</f>
        <v>0.92896989589196821</v>
      </c>
      <c r="I182" s="77">
        <f>Tabella3[[#This Row],[region fit]]+Tabella3[[#This Row],[rest of Italy fit]]</f>
        <v>785.88821054828293</v>
      </c>
      <c r="J182" s="77">
        <f>Tabella3[[#This Row],[Italy (fit of selected region + fitted sum of the other regions)]]/(y_l_peak+y_a_peak)</f>
        <v>0.24817392892405371</v>
      </c>
      <c r="K182" s="72">
        <f>IFERROR(Kf*psi_f*_xlfn.SECH(psi_f*(Tabella3[[#This Row],[Day]]-pf)-phi_f)^2/(1+TANH(phi_f)),0)</f>
        <v>786.98637235287879</v>
      </c>
      <c r="L182" s="292">
        <f>Tabella3[[#This Row],[Italy remov. rate fit]]-Tabella3[[#This Row],[Italy remov. rate data]]</f>
        <v>786.98637235287879</v>
      </c>
      <c r="M182" s="293">
        <f>Tabella3[[#This Row],[rem. rate residuals]]*NOT(ISBLANK(Tabella3[[#This Row],[Italy remov. rate data]]))</f>
        <v>0</v>
      </c>
      <c r="N182" s="72">
        <f>Tabella3[[#This Row],[Italy remov. rate fit]]/y_f_peak</f>
        <v>0.24912599680158878</v>
      </c>
      <c r="O182" s="10">
        <f>Tabella3[[#This Row],[Italy (fit of selected region + fitted sum of the other regions)]]*NOT(ISBLANK(Tabella3[[#This Row],[Italy remov. rate data]]))</f>
        <v>0</v>
      </c>
      <c r="P182" s="10">
        <f>Tabella3[[#This Row],[Italy remov. rate fit]]*NOT(ISBLANK(Tabella3[[#This Row],[Italy remov. rate data]]))</f>
        <v>0</v>
      </c>
      <c r="Q182" s="72"/>
      <c r="R182" s="72"/>
      <c r="T182" s="10"/>
      <c r="U182" s="10">
        <f>Tabella3[[#This Row],[region data]]*NOT(ISBLANK(Tabella3[[#This Row],[region data]]))</f>
        <v>0</v>
      </c>
      <c r="V182"/>
      <c r="W182" s="72">
        <f>Tabella3[[#This Row],[6-days moving avg]]*NOT(ISBLANK(Tabella3[[#This Row],[6-days moving avg]]))</f>
        <v>0</v>
      </c>
      <c r="X182" s="77">
        <f>Tabella8[[#This Row],[region fit]]</f>
        <v>11041.586653894092</v>
      </c>
      <c r="Y182" s="72">
        <f>Tabella3[[#This Row],[region cumul. fit]]/Kl</f>
        <v>0.83928877882843766</v>
      </c>
      <c r="Z182" s="72">
        <f>IFERROR(Kl*psi_l*_xlfn.SECH(psi_l*(Tabella3[[#This Row],[Day]]-pl)-phi_l)^2/(1+TANH(phi_l)),0)</f>
        <v>72.860787019566402</v>
      </c>
      <c r="AA182" s="72">
        <f>Tabella3[[#This Row],[region fit]]/y_l_peak</f>
        <v>0.49486118651601763</v>
      </c>
      <c r="AB182" s="10">
        <f>Tabella3[[#This Row],[region fit]]*NOT(ISBLANK(Tabella3[[#This Row],[region data]]))</f>
        <v>0</v>
      </c>
      <c r="AC182" s="166">
        <f>IFERROR(kl_m*psi_l_m*_xlfn.SECH(psi_l_m*(Tabella3[[#This Row],[Day]]-pl_m)-phi_l_m)^2/(1+TANH(phi_l_m)),0)</f>
        <v>72.860787019566402</v>
      </c>
      <c r="AD182" s="72">
        <f>Tabella3[[#This Row],[6-days moving avg fit]]*NOT(ISBLANK(Tabella3[[#This Row],[6-days moving avg]]))</f>
        <v>0</v>
      </c>
      <c r="AH182" s="10"/>
      <c r="AI182" s="10">
        <f>Tabella3[[#This Row],[rest of Italy data]]*NOT(ISBLANK(Tabella3[[#This Row],[rest of Italy data]]))</f>
        <v>0</v>
      </c>
      <c r="AJ182" s="77">
        <f>Tabella8[[#This Row],[rest of Italy fit]]</f>
        <v>207014.16932320854</v>
      </c>
      <c r="AK182" s="72">
        <f>Tabella3[[#This Row],[rest of Italy cumul. fit]]/Ka</f>
        <v>0.93315149648326512</v>
      </c>
      <c r="AL182" s="72">
        <f>IFERROR(Ka*psi_a*_xlfn.SECH(psi_a*(Tabella3[[#This Row],[Day]]-pa)-phi_a)^2/(1+TANH(phi_a)),0)</f>
        <v>713.02742352871655</v>
      </c>
      <c r="AM182" s="72">
        <f>Tabella3[[#This Row],[rest of Italy fit]]/y_a_peak</f>
        <v>0.23614492764863068</v>
      </c>
      <c r="AN182" s="10">
        <f>Tabella3[[#This Row],[rest of Italy fit]]*NOT(ISBLANK(Tabella3[[#This Row],[rest of Italy data]]))</f>
        <v>0</v>
      </c>
    </row>
    <row r="183" spans="2:42" x14ac:dyDescent="0.3">
      <c r="B183" s="9">
        <v>44006</v>
      </c>
      <c r="C183" s="4">
        <v>176</v>
      </c>
      <c r="E183" s="10"/>
      <c r="F183" s="10">
        <f>Tabella3[[#This Row],[Italy remov. rate data]]*NOT(ISBLANK(Tabella3[[#This Row],[Italy remov. rate data]]))</f>
        <v>0</v>
      </c>
      <c r="G183" s="77">
        <f>Tabella8[[#This Row],[Italy fit]]</f>
        <v>219077.89650390879</v>
      </c>
      <c r="H183" s="77">
        <f>Tabella3[[#This Row],[Italy cumul. fit]]/Kf</f>
        <v>0.9322463620542164</v>
      </c>
      <c r="I183" s="77">
        <f>Tabella3[[#This Row],[region fit]]+Tabella3[[#This Row],[rest of Italy fit]]</f>
        <v>752.44219009916253</v>
      </c>
      <c r="J183" s="77">
        <f>Tabella3[[#This Row],[Italy (fit of selected region + fitted sum of the other regions)]]/(y_l_peak+y_a_peak)</f>
        <v>0.23761208286207808</v>
      </c>
      <c r="K183" s="72">
        <f>IFERROR(Kf*psi_f*_xlfn.SECH(psi_f*(Tabella3[[#This Row],[Day]]-pf)-phi_f)^2/(1+TANH(phi_f)),0)</f>
        <v>753.16049020505056</v>
      </c>
      <c r="L183" s="292">
        <f>Tabella3[[#This Row],[Italy remov. rate fit]]-Tabella3[[#This Row],[Italy remov. rate data]]</f>
        <v>753.16049020505056</v>
      </c>
      <c r="M183" s="293">
        <f>Tabella3[[#This Row],[rem. rate residuals]]*NOT(ISBLANK(Tabella3[[#This Row],[Italy remov. rate data]]))</f>
        <v>0</v>
      </c>
      <c r="N183" s="72">
        <f>Tabella3[[#This Row],[Italy remov. rate fit]]/y_f_peak</f>
        <v>0.23841817910129423</v>
      </c>
      <c r="O183" s="10">
        <f>Tabella3[[#This Row],[Italy (fit of selected region + fitted sum of the other regions)]]*NOT(ISBLANK(Tabella3[[#This Row],[Italy remov. rate data]]))</f>
        <v>0</v>
      </c>
      <c r="P183" s="10">
        <f>Tabella3[[#This Row],[Italy remov. rate fit]]*NOT(ISBLANK(Tabella3[[#This Row],[Italy remov. rate data]]))</f>
        <v>0</v>
      </c>
      <c r="Q183" s="72"/>
      <c r="R183" s="72"/>
      <c r="T183" s="10"/>
      <c r="U183" s="10">
        <f>Tabella3[[#This Row],[region data]]*NOT(ISBLANK(Tabella3[[#This Row],[region data]]))</f>
        <v>0</v>
      </c>
      <c r="V183"/>
      <c r="W183" s="72">
        <f>Tabella3[[#This Row],[6-days moving avg]]*NOT(ISBLANK(Tabella3[[#This Row],[6-days moving avg]]))</f>
        <v>0</v>
      </c>
      <c r="X183" s="77">
        <f>Tabella8[[#This Row],[region fit]]</f>
        <v>11113.409441537598</v>
      </c>
      <c r="Y183" s="72">
        <f>Tabella3[[#This Row],[region cumul. fit]]/Kl</f>
        <v>0.84474814455393454</v>
      </c>
      <c r="Z183" s="72">
        <f>IFERROR(Kl*psi_l*_xlfn.SECH(psi_l*(Tabella3[[#This Row],[Day]]-pl)-phi_l)^2/(1+TANH(phi_l)),0)</f>
        <v>70.790000361602068</v>
      </c>
      <c r="AA183" s="72">
        <f>Tabella3[[#This Row],[region fit]]/y_l_peak</f>
        <v>0.48079666725263692</v>
      </c>
      <c r="AB183" s="10">
        <f>Tabella3[[#This Row],[region fit]]*NOT(ISBLANK(Tabella3[[#This Row],[region data]]))</f>
        <v>0</v>
      </c>
      <c r="AC183" s="166">
        <f>IFERROR(kl_m*psi_l_m*_xlfn.SECH(psi_l_m*(Tabella3[[#This Row],[Day]]-pl_m)-phi_l_m)^2/(1+TANH(phi_l_m)),0)</f>
        <v>70.790000361602068</v>
      </c>
      <c r="AD183" s="72">
        <f>Tabella3[[#This Row],[6-days moving avg fit]]*NOT(ISBLANK(Tabella3[[#This Row],[6-days moving avg]]))</f>
        <v>0</v>
      </c>
      <c r="AH183" s="10"/>
      <c r="AI183" s="10">
        <f>Tabella3[[#This Row],[rest of Italy data]]*NOT(ISBLANK(Tabella3[[#This Row],[rest of Italy data]]))</f>
        <v>0</v>
      </c>
      <c r="AJ183" s="77">
        <f>Tabella8[[#This Row],[rest of Italy fit]]</f>
        <v>207711.40913895291</v>
      </c>
      <c r="AK183" s="72">
        <f>Tabella3[[#This Row],[rest of Italy cumul. fit]]/Ka</f>
        <v>0.93629442326743972</v>
      </c>
      <c r="AL183" s="72">
        <f>IFERROR(Ka*psi_a*_xlfn.SECH(psi_a*(Tabella3[[#This Row],[Day]]-pa)-phi_a)^2/(1+TANH(phi_a)),0)</f>
        <v>681.65218973756043</v>
      </c>
      <c r="AM183" s="72">
        <f>Tabella3[[#This Row],[rest of Italy fit]]/y_a_peak</f>
        <v>0.22575387946579309</v>
      </c>
      <c r="AN183" s="10">
        <f>Tabella3[[#This Row],[rest of Italy fit]]*NOT(ISBLANK(Tabella3[[#This Row],[rest of Italy data]]))</f>
        <v>0</v>
      </c>
    </row>
    <row r="184" spans="2:42" x14ac:dyDescent="0.3">
      <c r="B184" s="9">
        <v>44007</v>
      </c>
      <c r="C184" s="4">
        <v>177</v>
      </c>
      <c r="E184" s="10"/>
      <c r="F184" s="10">
        <f>Tabella3[[#This Row],[Italy remov. rate data]]*NOT(ISBLANK(Tabella3[[#This Row],[Italy remov. rate data]]))</f>
        <v>0</v>
      </c>
      <c r="G184" s="77">
        <f>Tabella8[[#This Row],[Italy fit]]</f>
        <v>219814.65948445487</v>
      </c>
      <c r="H184" s="77">
        <f>Tabella3[[#This Row],[Italy cumul. fit]]/Kf</f>
        <v>0.93538152365322347</v>
      </c>
      <c r="I184" s="77">
        <f>Tabella3[[#This Row],[region fit]]+Tabella3[[#This Row],[rest of Italy fit]]</f>
        <v>720.21511143697649</v>
      </c>
      <c r="J184" s="77">
        <f>Tabella3[[#This Row],[Italy (fit of selected region + fitted sum of the other regions)]]/(y_l_peak+y_a_peak)</f>
        <v>0.2274351637761442</v>
      </c>
      <c r="K184" s="72">
        <f>IFERROR(Kf*psi_f*_xlfn.SECH(psi_f*(Tabella3[[#This Row],[Day]]-pf)-phi_f)^2/(1+TANH(phi_f)),0)</f>
        <v>720.56920863879975</v>
      </c>
      <c r="L184" s="292">
        <f>Tabella3[[#This Row],[Italy remov. rate fit]]-Tabella3[[#This Row],[Italy remov. rate data]]</f>
        <v>720.56920863879975</v>
      </c>
      <c r="M184" s="293">
        <f>Tabella3[[#This Row],[rem. rate residuals]]*NOT(ISBLANK(Tabella3[[#This Row],[Italy remov. rate data]]))</f>
        <v>0</v>
      </c>
      <c r="N184" s="72">
        <f>Tabella3[[#This Row],[Italy remov. rate fit]]/y_f_peak</f>
        <v>0.22810118278157546</v>
      </c>
      <c r="O184" s="10">
        <f>Tabella3[[#This Row],[Italy (fit of selected region + fitted sum of the other regions)]]*NOT(ISBLANK(Tabella3[[#This Row],[Italy remov. rate data]]))</f>
        <v>0</v>
      </c>
      <c r="P184" s="10">
        <f>Tabella3[[#This Row],[Italy remov. rate fit]]*NOT(ISBLANK(Tabella3[[#This Row],[Italy remov. rate data]]))</f>
        <v>0</v>
      </c>
      <c r="Q184" s="72"/>
      <c r="R184" s="72"/>
      <c r="T184" s="10"/>
      <c r="U184" s="10">
        <f>Tabella3[[#This Row],[region data]]*NOT(ISBLANK(Tabella3[[#This Row],[region data]]))</f>
        <v>0</v>
      </c>
      <c r="V184"/>
      <c r="W184" s="72">
        <f>Tabella3[[#This Row],[6-days moving avg]]*NOT(ISBLANK(Tabella3[[#This Row],[6-days moving avg]]))</f>
        <v>0</v>
      </c>
      <c r="X184" s="77">
        <f>Tabella8[[#This Row],[region fit]]</f>
        <v>11183.177330224084</v>
      </c>
      <c r="Y184" s="72">
        <f>Tabella3[[#This Row],[region cumul. fit]]/Kl</f>
        <v>0.85005131410126289</v>
      </c>
      <c r="Z184" s="72">
        <f>IFERROR(Kl*psi_l*_xlfn.SECH(psi_l*(Tabella3[[#This Row],[Day]]-pl)-phi_l)^2/(1+TANH(phi_l)),0)</f>
        <v>68.751235102323733</v>
      </c>
      <c r="AA184" s="72">
        <f>Tabella3[[#This Row],[region fit]]/y_l_peak</f>
        <v>0.46694963325116262</v>
      </c>
      <c r="AB184" s="10">
        <f>Tabella3[[#This Row],[region fit]]*NOT(ISBLANK(Tabella3[[#This Row],[region data]]))</f>
        <v>0</v>
      </c>
      <c r="AC184" s="166">
        <f>IFERROR(kl_m*psi_l_m*_xlfn.SECH(psi_l_m*(Tabella3[[#This Row],[Day]]-pl_m)-phi_l_m)^2/(1+TANH(phi_l_m)),0)</f>
        <v>68.751235102323733</v>
      </c>
      <c r="AD184" s="72">
        <f>Tabella3[[#This Row],[6-days moving avg fit]]*NOT(ISBLANK(Tabella3[[#This Row],[6-days moving avg]]))</f>
        <v>0</v>
      </c>
      <c r="AH184" s="10"/>
      <c r="AI184" s="10">
        <f>Tabella3[[#This Row],[rest of Italy data]]*NOT(ISBLANK(Tabella3[[#This Row],[rest of Italy data]]))</f>
        <v>0</v>
      </c>
      <c r="AJ184" s="77">
        <f>Tabella8[[#This Row],[rest of Italy fit]]</f>
        <v>208377.8693591521</v>
      </c>
      <c r="AK184" s="72">
        <f>Tabella3[[#This Row],[rest of Italy cumul. fit]]/Ka</f>
        <v>0.93929860580170133</v>
      </c>
      <c r="AL184" s="72">
        <f>IFERROR(Ka*psi_a*_xlfn.SECH(psi_a*(Tabella3[[#This Row],[Day]]-pa)-phi_a)^2/(1+TANH(phi_a)),0)</f>
        <v>651.4638763346527</v>
      </c>
      <c r="AM184" s="72">
        <f>Tabella3[[#This Row],[rest of Italy fit]]/y_a_peak</f>
        <v>0.21575592307712591</v>
      </c>
      <c r="AN184" s="10">
        <f>Tabella3[[#This Row],[rest of Italy fit]]*NOT(ISBLANK(Tabella3[[#This Row],[rest of Italy data]]))</f>
        <v>0</v>
      </c>
    </row>
    <row r="185" spans="2:42" x14ac:dyDescent="0.3">
      <c r="B185" s="9">
        <v>44008</v>
      </c>
      <c r="C185" s="4">
        <v>178</v>
      </c>
      <c r="D185" s="131"/>
      <c r="E185" s="10"/>
      <c r="F185" s="10">
        <f>Tabella3[[#This Row],[Italy remov. rate data]]*NOT(ISBLANK(Tabella3[[#This Row],[Italy remov. rate data]]))</f>
        <v>0</v>
      </c>
      <c r="G185" s="77" t="e">
        <f>Tabella8[[#This Row],[Italy fit]]</f>
        <v>#VALUE!</v>
      </c>
      <c r="H185" s="77" t="e">
        <f>Tabella3[[#This Row],[Italy cumul. fit]]/Kf</f>
        <v>#VALUE!</v>
      </c>
      <c r="I185" s="77">
        <f>Tabella3[[#This Row],[region fit]]+Tabella3[[#This Row],[rest of Italy fit]]</f>
        <v>689.18154571807838</v>
      </c>
      <c r="J185" s="77">
        <f>Tabella3[[#This Row],[Italy (fit of selected region + fitted sum of the other regions)]]/(y_l_peak+y_a_peak)</f>
        <v>0.21763514154701752</v>
      </c>
      <c r="K185" s="72">
        <f>IFERROR(Kf*psi_f*_xlfn.SECH(psi_f*(Tabella3[[#This Row],[Day]]-pf)-phi_f)^2/(1+TANH(phi_f)),0)</f>
        <v>689.1875786019632</v>
      </c>
      <c r="L185" s="292">
        <f>Tabella3[[#This Row],[Italy remov. rate fit]]-Tabella3[[#This Row],[Italy remov. rate data]]</f>
        <v>689.1875786019632</v>
      </c>
      <c r="M185" s="293">
        <f>Tabella3[[#This Row],[rem. rate residuals]]*NOT(ISBLANK(Tabella3[[#This Row],[Italy remov. rate data]]))</f>
        <v>0</v>
      </c>
      <c r="N185" s="72">
        <f>Tabella3[[#This Row],[Italy remov. rate fit]]/y_f_peak</f>
        <v>0.21816711004685715</v>
      </c>
      <c r="O185" s="10">
        <f>Tabella3[[#This Row],[Italy (fit of selected region + fitted sum of the other regions)]]*NOT(ISBLANK(Tabella3[[#This Row],[Italy remov. rate data]]))</f>
        <v>0</v>
      </c>
      <c r="P185" s="10">
        <f>Tabella3[[#This Row],[Italy remov. rate fit]]*NOT(ISBLANK(Tabella3[[#This Row],[Italy remov. rate data]]))</f>
        <v>0</v>
      </c>
      <c r="Q185" s="72"/>
      <c r="R185" s="72"/>
      <c r="S185" s="131"/>
      <c r="T185" s="10"/>
      <c r="U185" s="10">
        <f>Tabella3[[#This Row],[region data]]*NOT(ISBLANK(Tabella3[[#This Row],[region data]]))</f>
        <v>0</v>
      </c>
      <c r="V185"/>
      <c r="W185" s="72">
        <f>Tabella3[[#This Row],[6-days moving avg]]*NOT(ISBLANK(Tabella3[[#This Row],[6-days moving avg]]))</f>
        <v>0</v>
      </c>
      <c r="X185" s="77" t="e">
        <f>Tabella8[[#This Row],[region fit]]</f>
        <v>#VALUE!</v>
      </c>
      <c r="Y185" s="72" t="e">
        <f>Tabella3[[#This Row],[region cumul. fit]]/Kl</f>
        <v>#VALUE!</v>
      </c>
      <c r="Z185" s="72">
        <f>IFERROR(Kl*psi_l*_xlfn.SECH(psi_l*(Tabella3[[#This Row],[Day]]-pl)-phi_l)^2/(1+TANH(phi_l)),0)</f>
        <v>66.745886923553684</v>
      </c>
      <c r="AA185" s="72">
        <f>Tabella3[[#This Row],[region fit]]/y_l_peak</f>
        <v>0.45332956380478973</v>
      </c>
      <c r="AB185" s="10">
        <f>Tabella3[[#This Row],[region fit]]*NOT(ISBLANK(Tabella3[[#This Row],[region data]]))</f>
        <v>0</v>
      </c>
      <c r="AC185" s="166">
        <f>IFERROR(kl_m*psi_l_m*_xlfn.SECH(psi_l_m*(Tabella3[[#This Row],[Day]]-pl_m)-phi_l_m)^2/(1+TANH(phi_l_m)),0)</f>
        <v>66.745886923553684</v>
      </c>
      <c r="AD185" s="72">
        <f>Tabella3[[#This Row],[6-days moving avg fit]]*NOT(ISBLANK(Tabella3[[#This Row],[6-days moving avg]]))</f>
        <v>0</v>
      </c>
      <c r="AE185" s="131"/>
      <c r="AF185" s="131"/>
      <c r="AG185" s="131"/>
      <c r="AH185" s="10"/>
      <c r="AI185" s="10">
        <f>Tabella3[[#This Row],[rest of Italy data]]*NOT(ISBLANK(Tabella3[[#This Row],[rest of Italy data]]))</f>
        <v>0</v>
      </c>
      <c r="AJ185" s="77" t="e">
        <f>Tabella8[[#This Row],[rest of Italy fit]]</f>
        <v>#VALUE!</v>
      </c>
      <c r="AK185" s="72" t="e">
        <f>Tabella3[[#This Row],[rest of Italy cumul. fit]]/Ka</f>
        <v>#VALUE!</v>
      </c>
      <c r="AL185" s="72">
        <f>IFERROR(Ka*psi_a*_xlfn.SECH(psi_a*(Tabella3[[#This Row],[Day]]-pa)-phi_a)^2/(1+TANH(phi_a)),0)</f>
        <v>622.43565879452467</v>
      </c>
      <c r="AM185" s="72">
        <f>Tabella3[[#This Row],[rest of Italy fit]]/y_a_peak</f>
        <v>0.20614217456678385</v>
      </c>
      <c r="AN185" s="10">
        <f>Tabella3[[#This Row],[rest of Italy fit]]*NOT(ISBLANK(Tabella3[[#This Row],[rest of Italy data]]))</f>
        <v>0</v>
      </c>
      <c r="AO185" s="131"/>
      <c r="AP185" s="131"/>
    </row>
    <row r="186" spans="2:42" x14ac:dyDescent="0.3">
      <c r="B186" s="9">
        <v>44009</v>
      </c>
      <c r="C186" s="4">
        <v>179</v>
      </c>
      <c r="D186" s="131"/>
      <c r="E186" s="10"/>
      <c r="F186" s="10">
        <f>Tabella3[[#This Row],[Italy remov. rate data]]*NOT(ISBLANK(Tabella3[[#This Row],[Italy remov. rate data]]))</f>
        <v>0</v>
      </c>
      <c r="G186" s="77" t="e">
        <f>Tabella8[[#This Row],[Italy fit]]</f>
        <v>#VALUE!</v>
      </c>
      <c r="H186" s="77" t="e">
        <f>Tabella3[[#This Row],[Italy cumul. fit]]/Kf</f>
        <v>#VALUE!</v>
      </c>
      <c r="I186" s="77">
        <f>Tabella3[[#This Row],[region fit]]+Tabella3[[#This Row],[rest of Italy fit]]</f>
        <v>659.31468864750229</v>
      </c>
      <c r="J186" s="77">
        <f>Tabella3[[#This Row],[Italy (fit of selected region + fitted sum of the other regions)]]/(y_l_peak+y_a_peak)</f>
        <v>0.20820355170468249</v>
      </c>
      <c r="K186" s="72">
        <f>IFERROR(Kf*psi_f*_xlfn.SECH(psi_f*(Tabella3[[#This Row],[Day]]-pf)-phi_f)^2/(1+TANH(phi_f)),0)</f>
        <v>658.98914336280359</v>
      </c>
      <c r="L186" s="292">
        <f>Tabella3[[#This Row],[Italy remov. rate fit]]-Tabella3[[#This Row],[Italy remov. rate data]]</f>
        <v>658.98914336280359</v>
      </c>
      <c r="M186" s="293">
        <f>Tabella3[[#This Row],[rem. rate residuals]]*NOT(ISBLANK(Tabella3[[#This Row],[Italy remov. rate data]]))</f>
        <v>0</v>
      </c>
      <c r="N186" s="72">
        <f>Tabella3[[#This Row],[Italy remov. rate fit]]/y_f_peak</f>
        <v>0.20860758583513356</v>
      </c>
      <c r="O186" s="10">
        <f>Tabella3[[#This Row],[Italy (fit of selected region + fitted sum of the other regions)]]*NOT(ISBLANK(Tabella3[[#This Row],[Italy remov. rate data]]))</f>
        <v>0</v>
      </c>
      <c r="P186" s="10">
        <f>Tabella3[[#This Row],[Italy remov. rate fit]]*NOT(ISBLANK(Tabella3[[#This Row],[Italy remov. rate data]]))</f>
        <v>0</v>
      </c>
      <c r="Q186" s="72"/>
      <c r="R186" s="72"/>
      <c r="S186" s="131"/>
      <c r="T186" s="10"/>
      <c r="U186" s="10">
        <f>Tabella3[[#This Row],[region data]]*NOT(ISBLANK(Tabella3[[#This Row],[region data]]))</f>
        <v>0</v>
      </c>
      <c r="V186"/>
      <c r="W186" s="72">
        <f>Tabella3[[#This Row],[6-days moving avg]]*NOT(ISBLANK(Tabella3[[#This Row],[6-days moving avg]]))</f>
        <v>0</v>
      </c>
      <c r="X186" s="77" t="e">
        <f>Tabella8[[#This Row],[region fit]]</f>
        <v>#VALUE!</v>
      </c>
      <c r="Y186" s="72" t="e">
        <f>Tabella3[[#This Row],[region cumul. fit]]/Kl</f>
        <v>#VALUE!</v>
      </c>
      <c r="Z186" s="72">
        <f>IFERROR(Kl*psi_l*_xlfn.SECH(psi_l*(Tabella3[[#This Row],[Day]]-pl)-phi_l)^2/(1+TANH(phi_l)),0)</f>
        <v>64.775194561922689</v>
      </c>
      <c r="AA186" s="72">
        <f>Tabella3[[#This Row],[region fit]]/y_l_peak</f>
        <v>0.43994487225495954</v>
      </c>
      <c r="AB186" s="10">
        <f>Tabella3[[#This Row],[region fit]]*NOT(ISBLANK(Tabella3[[#This Row],[region data]]))</f>
        <v>0</v>
      </c>
      <c r="AC186" s="166">
        <f>IFERROR(kl_m*psi_l_m*_xlfn.SECH(psi_l_m*(Tabella3[[#This Row],[Day]]-pl_m)-phi_l_m)^2/(1+TANH(phi_l_m)),0)</f>
        <v>64.775194561922689</v>
      </c>
      <c r="AD186" s="72">
        <f>Tabella3[[#This Row],[6-days moving avg fit]]*NOT(ISBLANK(Tabella3[[#This Row],[6-days moving avg]]))</f>
        <v>0</v>
      </c>
      <c r="AE186" s="131"/>
      <c r="AF186" s="131"/>
      <c r="AG186" s="131"/>
      <c r="AH186" s="10"/>
      <c r="AI186" s="10">
        <f>Tabella3[[#This Row],[rest of Italy data]]*NOT(ISBLANK(Tabella3[[#This Row],[rest of Italy data]]))</f>
        <v>0</v>
      </c>
      <c r="AJ186" s="77" t="e">
        <f>Tabella8[[#This Row],[rest of Italy fit]]</f>
        <v>#VALUE!</v>
      </c>
      <c r="AK186" s="72" t="e">
        <f>Tabella3[[#This Row],[rest of Italy cumul. fit]]/Ka</f>
        <v>#VALUE!</v>
      </c>
      <c r="AL186" s="72">
        <f>IFERROR(Ka*psi_a*_xlfn.SECH(psi_a*(Tabella3[[#This Row],[Day]]-pa)-phi_a)^2/(1+TANH(phi_a)),0)</f>
        <v>594.53949408557958</v>
      </c>
      <c r="AM186" s="72">
        <f>Tabella3[[#This Row],[rest of Italy fit]]/y_a_peak</f>
        <v>0.19690334646636251</v>
      </c>
      <c r="AN186" s="10">
        <f>Tabella3[[#This Row],[rest of Italy fit]]*NOT(ISBLANK(Tabella3[[#This Row],[rest of Italy data]]))</f>
        <v>0</v>
      </c>
      <c r="AO186" s="131"/>
      <c r="AP186" s="131"/>
    </row>
    <row r="187" spans="2:42" x14ac:dyDescent="0.3">
      <c r="B187" s="9">
        <v>44010</v>
      </c>
      <c r="C187" s="4">
        <v>180</v>
      </c>
      <c r="D187" s="131"/>
      <c r="E187" s="10"/>
      <c r="F187" s="10">
        <f>Tabella3[[#This Row],[Italy remov. rate data]]*NOT(ISBLANK(Tabella3[[#This Row],[Italy remov. rate data]]))</f>
        <v>0</v>
      </c>
      <c r="G187" s="77" t="e">
        <f>Tabella8[[#This Row],[Italy fit]]</f>
        <v>#VALUE!</v>
      </c>
      <c r="H187" s="77" t="e">
        <f>Tabella3[[#This Row],[Italy cumul. fit]]/Kf</f>
        <v>#VALUE!</v>
      </c>
      <c r="I187" s="77">
        <f>Tabella3[[#This Row],[region fit]]+Tabella3[[#This Row],[rest of Italy fit]]</f>
        <v>630.58660060740021</v>
      </c>
      <c r="J187" s="77">
        <f>Tabella3[[#This Row],[Italy (fit of selected region + fitted sum of the other regions)]]/(y_l_peak+y_a_peak)</f>
        <v>0.19913157125797973</v>
      </c>
      <c r="K187" s="72">
        <f>IFERROR(Kf*psi_f*_xlfn.SECH(psi_f*(Tabella3[[#This Row],[Day]]-pf)-phi_f)^2/(1+TANH(phi_f)),0)</f>
        <v>629.9461892994741</v>
      </c>
      <c r="L187" s="292">
        <f>Tabella3[[#This Row],[Italy remov. rate fit]]-Tabella3[[#This Row],[Italy remov. rate data]]</f>
        <v>629.9461892994741</v>
      </c>
      <c r="M187" s="293">
        <f>Tabella3[[#This Row],[rem. rate residuals]]*NOT(ISBLANK(Tabella3[[#This Row],[Italy remov. rate data]]))</f>
        <v>0</v>
      </c>
      <c r="N187" s="72">
        <f>Tabella3[[#This Row],[Italy remov. rate fit]]/y_f_peak</f>
        <v>0.19941383720711356</v>
      </c>
      <c r="O187" s="10">
        <f>Tabella3[[#This Row],[Italy (fit of selected region + fitted sum of the other regions)]]*NOT(ISBLANK(Tabella3[[#This Row],[Italy remov. rate data]]))</f>
        <v>0</v>
      </c>
      <c r="P187" s="10">
        <f>Tabella3[[#This Row],[Italy remov. rate fit]]*NOT(ISBLANK(Tabella3[[#This Row],[Italy remov. rate data]]))</f>
        <v>0</v>
      </c>
      <c r="Q187" s="72"/>
      <c r="R187" s="72"/>
      <c r="S187" s="131"/>
      <c r="T187" s="10"/>
      <c r="U187" s="10">
        <f>Tabella3[[#This Row],[region data]]*NOT(ISBLANK(Tabella3[[#This Row],[region data]]))</f>
        <v>0</v>
      </c>
      <c r="V187"/>
      <c r="W187" s="72">
        <f>Tabella3[[#This Row],[6-days moving avg]]*NOT(ISBLANK(Tabella3[[#This Row],[6-days moving avg]]))</f>
        <v>0</v>
      </c>
      <c r="X187" s="77" t="e">
        <f>Tabella8[[#This Row],[region fit]]</f>
        <v>#VALUE!</v>
      </c>
      <c r="Y187" s="72" t="e">
        <f>Tabella3[[#This Row],[region cumul. fit]]/Kl</f>
        <v>#VALUE!</v>
      </c>
      <c r="Z187" s="72">
        <f>IFERROR(Kl*psi_l*_xlfn.SECH(psi_l*(Tabella3[[#This Row],[Day]]-pl)-phi_l)^2/(1+TANH(phi_l)),0)</f>
        <v>62.840245808883388</v>
      </c>
      <c r="AA187" s="72">
        <f>Tabella3[[#This Row],[region fit]]/y_l_peak</f>
        <v>0.42680294674268671</v>
      </c>
      <c r="AB187" s="10">
        <f>Tabella3[[#This Row],[region fit]]*NOT(ISBLANK(Tabella3[[#This Row],[region data]]))</f>
        <v>0</v>
      </c>
      <c r="AC187" s="166">
        <f>IFERROR(kl_m*psi_l_m*_xlfn.SECH(psi_l_m*(Tabella3[[#This Row],[Day]]-pl_m)-phi_l_m)^2/(1+TANH(phi_l_m)),0)</f>
        <v>62.840245808883388</v>
      </c>
      <c r="AD187" s="72">
        <f>Tabella3[[#This Row],[6-days moving avg fit]]*NOT(ISBLANK(Tabella3[[#This Row],[6-days moving avg]]))</f>
        <v>0</v>
      </c>
      <c r="AE187" s="131"/>
      <c r="AF187" s="131"/>
      <c r="AG187" s="131"/>
      <c r="AH187" s="10"/>
      <c r="AI187" s="10">
        <f>Tabella3[[#This Row],[rest of Italy data]]*NOT(ISBLANK(Tabella3[[#This Row],[rest of Italy data]]))</f>
        <v>0</v>
      </c>
      <c r="AJ187" s="77" t="e">
        <f>Tabella8[[#This Row],[rest of Italy fit]]</f>
        <v>#VALUE!</v>
      </c>
      <c r="AK187" s="72" t="e">
        <f>Tabella3[[#This Row],[rest of Italy cumul. fit]]/Ka</f>
        <v>#VALUE!</v>
      </c>
      <c r="AL187" s="72">
        <f>IFERROR(Ka*psi_a*_xlfn.SECH(psi_a*(Tabella3[[#This Row],[Day]]-pa)-phi_a)^2/(1+TANH(phi_a)),0)</f>
        <v>567.74635479851679</v>
      </c>
      <c r="AM187" s="72">
        <f>Tabella3[[#This Row],[rest of Italy fit]]/y_a_peak</f>
        <v>0.18802982529502946</v>
      </c>
      <c r="AN187" s="10">
        <f>Tabella3[[#This Row],[rest of Italy fit]]*NOT(ISBLANK(Tabella3[[#This Row],[rest of Italy data]]))</f>
        <v>0</v>
      </c>
      <c r="AO187" s="131"/>
      <c r="AP187" s="131"/>
    </row>
    <row r="188" spans="2:42" x14ac:dyDescent="0.3">
      <c r="B188" s="9">
        <v>44011</v>
      </c>
      <c r="C188" s="4">
        <v>181</v>
      </c>
      <c r="D188" s="131"/>
      <c r="E188" s="10"/>
      <c r="F188" s="10">
        <f>Tabella3[[#This Row],[Italy remov. rate data]]*NOT(ISBLANK(Tabella3[[#This Row],[Italy remov. rate data]]))</f>
        <v>0</v>
      </c>
      <c r="G188" s="77" t="e">
        <f>Tabella8[[#This Row],[Italy fit]]</f>
        <v>#VALUE!</v>
      </c>
      <c r="H188" s="77" t="e">
        <f>Tabella3[[#This Row],[Italy cumul. fit]]/Kf</f>
        <v>#VALUE!</v>
      </c>
      <c r="I188" s="77">
        <f>Tabella3[[#This Row],[region fit]]+Tabella3[[#This Row],[rest of Italy fit]]</f>
        <v>602.96842752759665</v>
      </c>
      <c r="J188" s="77">
        <f>Tabella3[[#This Row],[Italy (fit of selected region + fitted sum of the other regions)]]/(y_l_peak+y_a_peak)</f>
        <v>0.19041008844283794</v>
      </c>
      <c r="K188" s="72">
        <f>IFERROR(Kf*psi_f*_xlfn.SECH(psi_f*(Tabella3[[#This Row],[Day]]-pf)-phi_f)^2/(1+TANH(phi_f)),0)</f>
        <v>602.02997733314055</v>
      </c>
      <c r="L188" s="292">
        <f>Tabella3[[#This Row],[Italy remov. rate fit]]-Tabella3[[#This Row],[Italy remov. rate data]]</f>
        <v>602.02997733314055</v>
      </c>
      <c r="M188" s="293">
        <f>Tabella3[[#This Row],[rem. rate residuals]]*NOT(ISBLANK(Tabella3[[#This Row],[Italy remov. rate data]]))</f>
        <v>0</v>
      </c>
      <c r="N188" s="72">
        <f>Tabella3[[#This Row],[Italy remov. rate fit]]/y_f_peak</f>
        <v>0.19057676660798142</v>
      </c>
      <c r="O188" s="10">
        <f>Tabella3[[#This Row],[Italy (fit of selected region + fitted sum of the other regions)]]*NOT(ISBLANK(Tabella3[[#This Row],[Italy remov. rate data]]))</f>
        <v>0</v>
      </c>
      <c r="P188" s="10">
        <f>Tabella3[[#This Row],[Italy remov. rate fit]]*NOT(ISBLANK(Tabella3[[#This Row],[Italy remov. rate data]]))</f>
        <v>0</v>
      </c>
      <c r="Q188" s="72"/>
      <c r="R188" s="72"/>
      <c r="S188" s="131"/>
      <c r="T188" s="10"/>
      <c r="U188" s="10">
        <f>Tabella3[[#This Row],[region data]]*NOT(ISBLANK(Tabella3[[#This Row],[region data]]))</f>
        <v>0</v>
      </c>
      <c r="V188"/>
      <c r="W188" s="72">
        <f>Tabella3[[#This Row],[6-days moving avg]]*NOT(ISBLANK(Tabella3[[#This Row],[6-days moving avg]]))</f>
        <v>0</v>
      </c>
      <c r="X188" s="77" t="e">
        <f>Tabella8[[#This Row],[region fit]]</f>
        <v>#VALUE!</v>
      </c>
      <c r="Y188" s="72" t="e">
        <f>Tabella3[[#This Row],[region cumul. fit]]/Kl</f>
        <v>#VALUE!</v>
      </c>
      <c r="Z188" s="72">
        <f>IFERROR(Kl*psi_l*_xlfn.SECH(psi_l*(Tabella3[[#This Row],[Day]]-pl)-phi_l)^2/(1+TANH(phi_l)),0)</f>
        <v>60.941983786358485</v>
      </c>
      <c r="AA188" s="72">
        <f>Tabella3[[#This Row],[region fit]]/y_l_peak</f>
        <v>0.41391019283196234</v>
      </c>
      <c r="AB188" s="10">
        <f>Tabella3[[#This Row],[region fit]]*NOT(ISBLANK(Tabella3[[#This Row],[region data]]))</f>
        <v>0</v>
      </c>
      <c r="AC188" s="166">
        <f>IFERROR(kl_m*psi_l_m*_xlfn.SECH(psi_l_m*(Tabella3[[#This Row],[Day]]-pl_m)-phi_l_m)^2/(1+TANH(phi_l_m)),0)</f>
        <v>60.941983786358485</v>
      </c>
      <c r="AD188" s="72">
        <f>Tabella3[[#This Row],[6-days moving avg fit]]*NOT(ISBLANK(Tabella3[[#This Row],[6-days moving avg]]))</f>
        <v>0</v>
      </c>
      <c r="AE188" s="131"/>
      <c r="AF188" s="131"/>
      <c r="AG188" s="131"/>
      <c r="AH188" s="10"/>
      <c r="AI188" s="10">
        <f>Tabella3[[#This Row],[rest of Italy data]]*NOT(ISBLANK(Tabella3[[#This Row],[rest of Italy data]]))</f>
        <v>0</v>
      </c>
      <c r="AJ188" s="77" t="e">
        <f>Tabella8[[#This Row],[rest of Italy fit]]</f>
        <v>#VALUE!</v>
      </c>
      <c r="AK188" s="72" t="e">
        <f>Tabella3[[#This Row],[rest of Italy cumul. fit]]/Ka</f>
        <v>#VALUE!</v>
      </c>
      <c r="AL188" s="72">
        <f>IFERROR(Ka*psi_a*_xlfn.SECH(psi_a*(Tabella3[[#This Row],[Day]]-pa)-phi_a)^2/(1+TANH(phi_a)),0)</f>
        <v>542.02644374123815</v>
      </c>
      <c r="AM188" s="72">
        <f>Tabella3[[#This Row],[rest of Italy fit]]/y_a_peak</f>
        <v>0.17951174263042116</v>
      </c>
      <c r="AN188" s="10">
        <f>Tabella3[[#This Row],[rest of Italy fit]]*NOT(ISBLANK(Tabella3[[#This Row],[rest of Italy data]]))</f>
        <v>0</v>
      </c>
      <c r="AO188" s="131"/>
      <c r="AP188" s="131"/>
    </row>
    <row r="189" spans="2:42" x14ac:dyDescent="0.3">
      <c r="B189" s="9">
        <v>44012</v>
      </c>
      <c r="C189" s="4">
        <v>182</v>
      </c>
      <c r="D189" s="131"/>
      <c r="E189" s="10"/>
      <c r="F189" s="10">
        <f>Tabella3[[#This Row],[Italy remov. rate data]]*NOT(ISBLANK(Tabella3[[#This Row],[Italy remov. rate data]]))</f>
        <v>0</v>
      </c>
      <c r="G189" s="77" t="e">
        <f>Tabella8[[#This Row],[Italy fit]]</f>
        <v>#VALUE!</v>
      </c>
      <c r="H189" s="77" t="e">
        <f>Tabella3[[#This Row],[Italy cumul. fit]]/Kf</f>
        <v>#VALUE!</v>
      </c>
      <c r="I189" s="77">
        <f>Tabella3[[#This Row],[region fit]]+Tabella3[[#This Row],[rest of Italy fit]]</f>
        <v>576.43060318176458</v>
      </c>
      <c r="J189" s="77">
        <f>Tabella3[[#This Row],[Italy (fit of selected region + fitted sum of the other regions)]]/(y_l_peak+y_a_peak)</f>
        <v>0.18202976660494352</v>
      </c>
      <c r="K189" s="72">
        <f>IFERROR(Kf*psi_f*_xlfn.SECH(psi_f*(Tabella3[[#This Row],[Day]]-pf)-phi_f)^2/(1+TANH(phi_f)),0)</f>
        <v>575.21095558062689</v>
      </c>
      <c r="L189" s="292">
        <f>Tabella3[[#This Row],[Italy remov. rate fit]]-Tabella3[[#This Row],[Italy remov. rate data]]</f>
        <v>575.21095558062689</v>
      </c>
      <c r="M189" s="293">
        <f>Tabella3[[#This Row],[rem. rate residuals]]*NOT(ISBLANK(Tabella3[[#This Row],[Italy remov. rate data]]))</f>
        <v>0</v>
      </c>
      <c r="N189" s="72">
        <f>Tabella3[[#This Row],[Italy remov. rate fit]]/y_f_peak</f>
        <v>0.18208701918406719</v>
      </c>
      <c r="O189" s="10">
        <f>Tabella3[[#This Row],[Italy (fit of selected region + fitted sum of the other regions)]]*NOT(ISBLANK(Tabella3[[#This Row],[Italy remov. rate data]]))</f>
        <v>0</v>
      </c>
      <c r="P189" s="10">
        <f>Tabella3[[#This Row],[Italy remov. rate fit]]*NOT(ISBLANK(Tabella3[[#This Row],[Italy remov. rate data]]))</f>
        <v>0</v>
      </c>
      <c r="Q189" s="72"/>
      <c r="R189" s="72"/>
      <c r="S189" s="131"/>
      <c r="T189" s="10"/>
      <c r="U189" s="10">
        <f>Tabella3[[#This Row],[region data]]*NOT(ISBLANK(Tabella3[[#This Row],[region data]]))</f>
        <v>0</v>
      </c>
      <c r="V189"/>
      <c r="W189" s="72">
        <f>Tabella3[[#This Row],[6-days moving avg]]*NOT(ISBLANK(Tabella3[[#This Row],[6-days moving avg]]))</f>
        <v>0</v>
      </c>
      <c r="X189" s="77" t="e">
        <f>Tabella8[[#This Row],[region fit]]</f>
        <v>#VALUE!</v>
      </c>
      <c r="Y189" s="72" t="e">
        <f>Tabella3[[#This Row],[region cumul. fit]]/Kl</f>
        <v>#VALUE!</v>
      </c>
      <c r="Z189" s="72">
        <f>IFERROR(Kl*psi_l*_xlfn.SECH(psi_l*(Tabella3[[#This Row],[Day]]-pl)-phi_l)^2/(1+TANH(phi_l)),0)</f>
        <v>59.081213433750165</v>
      </c>
      <c r="AA189" s="72">
        <f>Tabella3[[#This Row],[region fit]]/y_l_peak</f>
        <v>0.40127207756869598</v>
      </c>
      <c r="AB189" s="10">
        <f>Tabella3[[#This Row],[region fit]]*NOT(ISBLANK(Tabella3[[#This Row],[region data]]))</f>
        <v>0</v>
      </c>
      <c r="AC189" s="166">
        <f>IFERROR(kl_m*psi_l_m*_xlfn.SECH(psi_l_m*(Tabella3[[#This Row],[Day]]-pl_m)-phi_l_m)^2/(1+TANH(phi_l_m)),0)</f>
        <v>59.081213433750165</v>
      </c>
      <c r="AD189" s="72">
        <f>Tabella3[[#This Row],[6-days moving avg fit]]*NOT(ISBLANK(Tabella3[[#This Row],[6-days moving avg]]))</f>
        <v>0</v>
      </c>
      <c r="AE189" s="131"/>
      <c r="AF189" s="131"/>
      <c r="AG189" s="131"/>
      <c r="AH189" s="10"/>
      <c r="AI189" s="10">
        <f>Tabella3[[#This Row],[rest of Italy data]]*NOT(ISBLANK(Tabella3[[#This Row],[rest of Italy data]]))</f>
        <v>0</v>
      </c>
      <c r="AJ189" s="77" t="e">
        <f>Tabella8[[#This Row],[rest of Italy fit]]</f>
        <v>#VALUE!</v>
      </c>
      <c r="AK189" s="72" t="e">
        <f>Tabella3[[#This Row],[rest of Italy cumul. fit]]/Ka</f>
        <v>#VALUE!</v>
      </c>
      <c r="AL189" s="72">
        <f>IFERROR(Ka*psi_a*_xlfn.SECH(psi_a*(Tabella3[[#This Row],[Day]]-pa)-phi_a)^2/(1+TANH(phi_a)),0)</f>
        <v>517.34938974801446</v>
      </c>
      <c r="AM189" s="72">
        <f>Tabella3[[#This Row],[rest of Italy fit]]/y_a_peak</f>
        <v>0.1713390399579601</v>
      </c>
      <c r="AN189" s="10">
        <f>Tabella3[[#This Row],[rest of Italy fit]]*NOT(ISBLANK(Tabella3[[#This Row],[rest of Italy data]]))</f>
        <v>0</v>
      </c>
      <c r="AO189" s="131"/>
      <c r="AP189" s="131"/>
    </row>
    <row r="190" spans="2:42" x14ac:dyDescent="0.3">
      <c r="B190" s="9">
        <v>44013</v>
      </c>
      <c r="C190" s="4">
        <v>183</v>
      </c>
      <c r="D190" s="131"/>
      <c r="E190" s="10"/>
      <c r="F190" s="10">
        <f>Tabella3[[#This Row],[Italy remov. rate data]]*NOT(ISBLANK(Tabella3[[#This Row],[Italy remov. rate data]]))</f>
        <v>0</v>
      </c>
      <c r="G190" s="77" t="e">
        <f>Tabella8[[#This Row],[Italy fit]]</f>
        <v>#VALUE!</v>
      </c>
      <c r="H190" s="77" t="e">
        <f>Tabella3[[#This Row],[Italy cumul. fit]]/Kf</f>
        <v>#VALUE!</v>
      </c>
      <c r="I190" s="77">
        <f>Tabella3[[#This Row],[region fit]]+Tabella3[[#This Row],[rest of Italy fit]]</f>
        <v>550.94303367640748</v>
      </c>
      <c r="J190" s="77">
        <f>Tabella3[[#This Row],[Italy (fit of selected region + fitted sum of the other regions)]]/(y_l_peak+y_a_peak)</f>
        <v>0.17398110245911491</v>
      </c>
      <c r="K190" s="72">
        <f>IFERROR(Kf*psi_f*_xlfn.SECH(psi_f*(Tabella3[[#This Row],[Day]]-pf)-phi_f)^2/(1+TANH(phi_f)),0)</f>
        <v>549.45895390447799</v>
      </c>
      <c r="L190" s="292">
        <f>Tabella3[[#This Row],[Italy remov. rate fit]]-Tabella3[[#This Row],[Italy remov. rate data]]</f>
        <v>549.45895390447799</v>
      </c>
      <c r="M190" s="293">
        <f>Tabella3[[#This Row],[rem. rate residuals]]*NOT(ISBLANK(Tabella3[[#This Row],[Italy remov. rate data]]))</f>
        <v>0</v>
      </c>
      <c r="N190" s="72">
        <f>Tabella3[[#This Row],[Italy remov. rate fit]]/y_f_peak</f>
        <v>0.17393504436901905</v>
      </c>
      <c r="O190" s="10">
        <f>Tabella3[[#This Row],[Italy (fit of selected region + fitted sum of the other regions)]]*NOT(ISBLANK(Tabella3[[#This Row],[Italy remov. rate data]]))</f>
        <v>0</v>
      </c>
      <c r="P190" s="10">
        <f>Tabella3[[#This Row],[Italy remov. rate fit]]*NOT(ISBLANK(Tabella3[[#This Row],[Italy remov. rate data]]))</f>
        <v>0</v>
      </c>
      <c r="Q190" s="72"/>
      <c r="R190" s="72"/>
      <c r="S190" s="131"/>
      <c r="T190" s="10"/>
      <c r="U190" s="10">
        <f>Tabella3[[#This Row],[region data]]*NOT(ISBLANK(Tabella3[[#This Row],[region data]]))</f>
        <v>0</v>
      </c>
      <c r="V190"/>
      <c r="W190" s="72">
        <f>Tabella3[[#This Row],[6-days moving avg]]*NOT(ISBLANK(Tabella3[[#This Row],[6-days moving avg]]))</f>
        <v>0</v>
      </c>
      <c r="X190" s="77" t="e">
        <f>Tabella8[[#This Row],[region fit]]</f>
        <v>#VALUE!</v>
      </c>
      <c r="Y190" s="72" t="e">
        <f>Tabella3[[#This Row],[region cumul. fit]]/Kl</f>
        <v>#VALUE!</v>
      </c>
      <c r="Z190" s="72">
        <f>IFERROR(Kl*psi_l*_xlfn.SECH(psi_l*(Tabella3[[#This Row],[Day]]-pl)-phi_l)^2/(1+TANH(phi_l)),0)</f>
        <v>57.258608146610953</v>
      </c>
      <c r="AA190" s="72">
        <f>Tabella3[[#This Row],[region fit]]/y_l_peak</f>
        <v>0.3888931745697225</v>
      </c>
      <c r="AB190" s="10">
        <f>Tabella3[[#This Row],[region fit]]*NOT(ISBLANK(Tabella3[[#This Row],[region data]]))</f>
        <v>0</v>
      </c>
      <c r="AC190" s="166">
        <f>IFERROR(kl_m*psi_l_m*_xlfn.SECH(psi_l_m*(Tabella3[[#This Row],[Day]]-pl_m)-phi_l_m)^2/(1+TANH(phi_l_m)),0)</f>
        <v>57.258608146610953</v>
      </c>
      <c r="AD190" s="72">
        <f>Tabella3[[#This Row],[6-days moving avg fit]]*NOT(ISBLANK(Tabella3[[#This Row],[6-days moving avg]]))</f>
        <v>0</v>
      </c>
      <c r="AE190" s="131"/>
      <c r="AF190" s="131"/>
      <c r="AG190" s="131"/>
      <c r="AH190" s="10"/>
      <c r="AI190" s="10">
        <f>Tabella3[[#This Row],[rest of Italy data]]*NOT(ISBLANK(Tabella3[[#This Row],[rest of Italy data]]))</f>
        <v>0</v>
      </c>
      <c r="AJ190" s="77" t="e">
        <f>Tabella8[[#This Row],[rest of Italy fit]]</f>
        <v>#VALUE!</v>
      </c>
      <c r="AK190" s="72" t="e">
        <f>Tabella3[[#This Row],[rest of Italy cumul. fit]]/Ka</f>
        <v>#VALUE!</v>
      </c>
      <c r="AL190" s="72">
        <f>IFERROR(Ka*psi_a*_xlfn.SECH(psi_a*(Tabella3[[#This Row],[Day]]-pa)-phi_a)^2/(1+TANH(phi_a)),0)</f>
        <v>493.6844255297965</v>
      </c>
      <c r="AM190" s="72">
        <f>Tabella3[[#This Row],[rest of Italy fit]]/y_a_peak</f>
        <v>0.16350152757244463</v>
      </c>
      <c r="AN190" s="10">
        <f>Tabella3[[#This Row],[rest of Italy fit]]*NOT(ISBLANK(Tabella3[[#This Row],[rest of Italy data]]))</f>
        <v>0</v>
      </c>
      <c r="AO190" s="131"/>
      <c r="AP190" s="131"/>
    </row>
    <row r="191" spans="2:42" x14ac:dyDescent="0.3">
      <c r="B191" s="9">
        <v>44014</v>
      </c>
      <c r="C191" s="4">
        <v>184</v>
      </c>
      <c r="D191" s="131"/>
      <c r="E191" s="10"/>
      <c r="F191" s="10">
        <f>Tabella3[[#This Row],[Italy remov. rate data]]*NOT(ISBLANK(Tabella3[[#This Row],[Italy remov. rate data]]))</f>
        <v>0</v>
      </c>
      <c r="G191" s="77" t="e">
        <f>Tabella8[[#This Row],[Italy fit]]</f>
        <v>#VALUE!</v>
      </c>
      <c r="H191" s="77" t="e">
        <f>Tabella3[[#This Row],[Italy cumul. fit]]/Kf</f>
        <v>#VALUE!</v>
      </c>
      <c r="I191" s="77">
        <f>Tabella3[[#This Row],[region fit]]+Tabella3[[#This Row],[rest of Italy fit]]</f>
        <v>526.47526496197656</v>
      </c>
      <c r="J191" s="77">
        <f>Tabella3[[#This Row],[Italy (fit of selected region + fitted sum of the other regions)]]/(y_l_peak+y_a_peak)</f>
        <v>0.16625447898727405</v>
      </c>
      <c r="K191" s="72">
        <f>IFERROR(Kf*psi_f*_xlfn.SECH(psi_f*(Tabella3[[#This Row],[Day]]-pf)-phi_f)^2/(1+TANH(phi_f)),0)</f>
        <v>524.74336111734749</v>
      </c>
      <c r="L191" s="292">
        <f>Tabella3[[#This Row],[Italy remov. rate fit]]-Tabella3[[#This Row],[Italy remov. rate data]]</f>
        <v>524.74336111734749</v>
      </c>
      <c r="M191" s="293">
        <f>Tabella3[[#This Row],[rem. rate residuals]]*NOT(ISBLANK(Tabella3[[#This Row],[Italy remov. rate data]]))</f>
        <v>0</v>
      </c>
      <c r="N191" s="72">
        <f>Tabella3[[#This Row],[Italy remov. rate fit]]/y_f_peak</f>
        <v>0.16611115197908174</v>
      </c>
      <c r="O191" s="10">
        <f>Tabella3[[#This Row],[Italy (fit of selected region + fitted sum of the other regions)]]*NOT(ISBLANK(Tabella3[[#This Row],[Italy remov. rate data]]))</f>
        <v>0</v>
      </c>
      <c r="P191" s="10">
        <f>Tabella3[[#This Row],[Italy remov. rate fit]]*NOT(ISBLANK(Tabella3[[#This Row],[Italy remov. rate data]]))</f>
        <v>0</v>
      </c>
      <c r="Q191" s="72"/>
      <c r="R191" s="72"/>
      <c r="S191" s="131"/>
      <c r="T191" s="10"/>
      <c r="U191" s="10">
        <f>Tabella3[[#This Row],[region data]]*NOT(ISBLANK(Tabella3[[#This Row],[region data]]))</f>
        <v>0</v>
      </c>
      <c r="V191"/>
      <c r="W191" s="72">
        <f>Tabella3[[#This Row],[6-days moving avg]]*NOT(ISBLANK(Tabella3[[#This Row],[6-days moving avg]]))</f>
        <v>0</v>
      </c>
      <c r="X191" s="77" t="e">
        <f>Tabella8[[#This Row],[region fit]]</f>
        <v>#VALUE!</v>
      </c>
      <c r="Y191" s="72" t="e">
        <f>Tabella3[[#This Row],[region cumul. fit]]/Kl</f>
        <v>#VALUE!</v>
      </c>
      <c r="Z191" s="72">
        <f>IFERROR(Kl*psi_l*_xlfn.SECH(psi_l*(Tabella3[[#This Row],[Day]]-pl)-phi_l)^2/(1+TANH(phi_l)),0)</f>
        <v>55.474716511953062</v>
      </c>
      <c r="AA191" s="72">
        <f>Tabella3[[#This Row],[region fit]]/y_l_peak</f>
        <v>0.37677720976816559</v>
      </c>
      <c r="AB191" s="10">
        <f>Tabella3[[#This Row],[region fit]]*NOT(ISBLANK(Tabella3[[#This Row],[region data]]))</f>
        <v>0</v>
      </c>
      <c r="AC191" s="166">
        <f>IFERROR(kl_m*psi_l_m*_xlfn.SECH(psi_l_m*(Tabella3[[#This Row],[Day]]-pl_m)-phi_l_m)^2/(1+TANH(phi_l_m)),0)</f>
        <v>55.474716511953062</v>
      </c>
      <c r="AD191" s="72">
        <f>Tabella3[[#This Row],[6-days moving avg fit]]*NOT(ISBLANK(Tabella3[[#This Row],[6-days moving avg]]))</f>
        <v>0</v>
      </c>
      <c r="AE191" s="131"/>
      <c r="AF191" s="131"/>
      <c r="AG191" s="131"/>
      <c r="AH191" s="10"/>
      <c r="AI191" s="10">
        <f>Tabella3[[#This Row],[rest of Italy data]]*NOT(ISBLANK(Tabella3[[#This Row],[rest of Italy data]]))</f>
        <v>0</v>
      </c>
      <c r="AJ191" s="77" t="e">
        <f>Tabella8[[#This Row],[rest of Italy fit]]</f>
        <v>#VALUE!</v>
      </c>
      <c r="AK191" s="72" t="e">
        <f>Tabella3[[#This Row],[rest of Italy cumul. fit]]/Ka</f>
        <v>#VALUE!</v>
      </c>
      <c r="AL191" s="72">
        <f>IFERROR(Ka*psi_a*_xlfn.SECH(psi_a*(Tabella3[[#This Row],[Day]]-pa)-phi_a)^2/(1+TANH(phi_a)),0)</f>
        <v>471.00054845002347</v>
      </c>
      <c r="AM191" s="72">
        <f>Tabella3[[#This Row],[rest of Italy fit]]/y_a_peak</f>
        <v>0.155988937824797</v>
      </c>
      <c r="AN191" s="10">
        <f>Tabella3[[#This Row],[rest of Italy fit]]*NOT(ISBLANK(Tabella3[[#This Row],[rest of Italy data]]))</f>
        <v>0</v>
      </c>
      <c r="AO191" s="131"/>
      <c r="AP191" s="131"/>
    </row>
    <row r="192" spans="2:42" x14ac:dyDescent="0.3">
      <c r="B192" s="9">
        <v>44015</v>
      </c>
      <c r="C192" s="4">
        <v>185</v>
      </c>
      <c r="D192" s="131"/>
      <c r="E192" s="10"/>
      <c r="F192" s="10">
        <f>Tabella3[[#This Row],[Italy remov. rate data]]*NOT(ISBLANK(Tabella3[[#This Row],[Italy remov. rate data]]))</f>
        <v>0</v>
      </c>
      <c r="G192" s="77" t="e">
        <f>Tabella8[[#This Row],[Italy fit]]</f>
        <v>#VALUE!</v>
      </c>
      <c r="H192" s="77" t="e">
        <f>Tabella3[[#This Row],[Italy cumul. fit]]/Kf</f>
        <v>#VALUE!</v>
      </c>
      <c r="I192" s="77">
        <f>Tabella3[[#This Row],[region fit]]+Tabella3[[#This Row],[rest of Italy fit]]</f>
        <v>502.99663423865638</v>
      </c>
      <c r="J192" s="77">
        <f>Tabella3[[#This Row],[Italy (fit of selected region + fitted sum of the other regions)]]/(y_l_peak+y_a_peak)</f>
        <v>0.1588402132505502</v>
      </c>
      <c r="K192" s="72">
        <f>IFERROR(Kf*psi_f*_xlfn.SECH(psi_f*(Tabella3[[#This Row],[Day]]-pf)-phi_f)^2/(1+TANH(phi_f)),0)</f>
        <v>501.0332856562099</v>
      </c>
      <c r="L192" s="292">
        <f>Tabella3[[#This Row],[Italy remov. rate fit]]-Tabella3[[#This Row],[Italy remov. rate data]]</f>
        <v>501.0332856562099</v>
      </c>
      <c r="M192" s="293">
        <f>Tabella3[[#This Row],[rem. rate residuals]]*NOT(ISBLANK(Tabella3[[#This Row],[Italy remov. rate data]]))</f>
        <v>0</v>
      </c>
      <c r="N192" s="72">
        <f>Tabella3[[#This Row],[Italy remov. rate fit]]/y_f_peak</f>
        <v>0.15860556307563345</v>
      </c>
      <c r="O192" s="10">
        <f>Tabella3[[#This Row],[Italy (fit of selected region + fitted sum of the other regions)]]*NOT(ISBLANK(Tabella3[[#This Row],[Italy remov. rate data]]))</f>
        <v>0</v>
      </c>
      <c r="P192" s="10">
        <f>Tabella3[[#This Row],[Italy remov. rate fit]]*NOT(ISBLANK(Tabella3[[#This Row],[Italy remov. rate data]]))</f>
        <v>0</v>
      </c>
      <c r="Q192" s="72"/>
      <c r="R192" s="72"/>
      <c r="S192" s="131"/>
      <c r="T192" s="10"/>
      <c r="U192" s="10">
        <f>Tabella3[[#This Row],[region data]]*NOT(ISBLANK(Tabella3[[#This Row],[region data]]))</f>
        <v>0</v>
      </c>
      <c r="V192"/>
      <c r="W192" s="72">
        <f>Tabella3[[#This Row],[6-days moving avg]]*NOT(ISBLANK(Tabella3[[#This Row],[6-days moving avg]]))</f>
        <v>0</v>
      </c>
      <c r="X192" s="77" t="e">
        <f>Tabella8[[#This Row],[region fit]]</f>
        <v>#VALUE!</v>
      </c>
      <c r="Y192" s="72" t="e">
        <f>Tabella3[[#This Row],[region cumul. fit]]/Kl</f>
        <v>#VALUE!</v>
      </c>
      <c r="Z192" s="72">
        <f>IFERROR(Kl*psi_l*_xlfn.SECH(psi_l*(Tabella3[[#This Row],[Day]]-pl)-phi_l)^2/(1+TANH(phi_l)),0)</f>
        <v>53.729969089882353</v>
      </c>
      <c r="AA192" s="72">
        <f>Tabella3[[#This Row],[region fit]]/y_l_peak</f>
        <v>0.36492710747343177</v>
      </c>
      <c r="AB192" s="10">
        <f>Tabella3[[#This Row],[region fit]]*NOT(ISBLANK(Tabella3[[#This Row],[region data]]))</f>
        <v>0</v>
      </c>
      <c r="AC192" s="166">
        <f>IFERROR(kl_m*psi_l_m*_xlfn.SECH(psi_l_m*(Tabella3[[#This Row],[Day]]-pl_m)-phi_l_m)^2/(1+TANH(phi_l_m)),0)</f>
        <v>53.729969089882353</v>
      </c>
      <c r="AD192" s="72">
        <f>Tabella3[[#This Row],[6-days moving avg fit]]*NOT(ISBLANK(Tabella3[[#This Row],[6-days moving avg]]))</f>
        <v>0</v>
      </c>
      <c r="AE192" s="131"/>
      <c r="AF192" s="131"/>
      <c r="AG192" s="131"/>
      <c r="AH192" s="10"/>
      <c r="AI192" s="10">
        <f>Tabella3[[#This Row],[rest of Italy data]]*NOT(ISBLANK(Tabella3[[#This Row],[rest of Italy data]]))</f>
        <v>0</v>
      </c>
      <c r="AJ192" s="77" t="e">
        <f>Tabella8[[#This Row],[rest of Italy fit]]</f>
        <v>#VALUE!</v>
      </c>
      <c r="AK192" s="72" t="e">
        <f>Tabella3[[#This Row],[rest of Italy cumul. fit]]/Ka</f>
        <v>#VALUE!</v>
      </c>
      <c r="AL192" s="72">
        <f>IFERROR(Ka*psi_a*_xlfn.SECH(psi_a*(Tabella3[[#This Row],[Day]]-pa)-phi_a)^2/(1+TANH(phi_a)),0)</f>
        <v>449.26666514877405</v>
      </c>
      <c r="AM192" s="72">
        <f>Tabella3[[#This Row],[rest of Italy fit]]/y_a_peak</f>
        <v>0.14879097301960376</v>
      </c>
      <c r="AN192" s="10">
        <f>Tabella3[[#This Row],[rest of Italy fit]]*NOT(ISBLANK(Tabella3[[#This Row],[rest of Italy data]]))</f>
        <v>0</v>
      </c>
      <c r="AO192" s="131"/>
      <c r="AP192" s="131"/>
    </row>
    <row r="193" spans="2:42" x14ac:dyDescent="0.3">
      <c r="B193" s="9">
        <v>44016</v>
      </c>
      <c r="C193" s="4">
        <v>186</v>
      </c>
      <c r="D193" s="131"/>
      <c r="E193" s="10"/>
      <c r="F193" s="10">
        <f>Tabella3[[#This Row],[Italy remov. rate data]]*NOT(ISBLANK(Tabella3[[#This Row],[Italy remov. rate data]]))</f>
        <v>0</v>
      </c>
      <c r="G193" s="77" t="e">
        <f>Tabella8[[#This Row],[Italy fit]]</f>
        <v>#VALUE!</v>
      </c>
      <c r="H193" s="77" t="e">
        <f>Tabella3[[#This Row],[Italy cumul. fit]]/Kf</f>
        <v>#VALUE!</v>
      </c>
      <c r="I193" s="77">
        <f>Tabella3[[#This Row],[region fit]]+Tabella3[[#This Row],[rest of Italy fit]]</f>
        <v>480.47640615620014</v>
      </c>
      <c r="J193" s="77">
        <f>Tabella3[[#This Row],[Italy (fit of selected region + fitted sum of the other regions)]]/(y_l_peak+y_a_peak)</f>
        <v>0.15172859939952957</v>
      </c>
      <c r="K193" s="72">
        <f>IFERROR(Kf*psi_f*_xlfn.SECH(psi_f*(Tabella3[[#This Row],[Day]]-pf)-phi_f)^2/(1+TANH(phi_f)),0)</f>
        <v>478.29770058252041</v>
      </c>
      <c r="L193" s="292">
        <f>Tabella3[[#This Row],[Italy remov. rate fit]]-Tabella3[[#This Row],[Italy remov. rate data]]</f>
        <v>478.29770058252041</v>
      </c>
      <c r="M193" s="293">
        <f>Tabella3[[#This Row],[rem. rate residuals]]*NOT(ISBLANK(Tabella3[[#This Row],[Italy remov. rate data]]))</f>
        <v>0</v>
      </c>
      <c r="N193" s="72">
        <f>Tabella3[[#This Row],[Italy remov. rate fit]]/y_f_peak</f>
        <v>0.15140845586599233</v>
      </c>
      <c r="O193" s="10">
        <f>Tabella3[[#This Row],[Italy (fit of selected region + fitted sum of the other regions)]]*NOT(ISBLANK(Tabella3[[#This Row],[Italy remov. rate data]]))</f>
        <v>0</v>
      </c>
      <c r="P193" s="10">
        <f>Tabella3[[#This Row],[Italy remov. rate fit]]*NOT(ISBLANK(Tabella3[[#This Row],[Italy remov. rate data]]))</f>
        <v>0</v>
      </c>
      <c r="Q193" s="72"/>
      <c r="R193" s="72"/>
      <c r="S193" s="131"/>
      <c r="T193" s="10"/>
      <c r="U193" s="10">
        <f>Tabella3[[#This Row],[region data]]*NOT(ISBLANK(Tabella3[[#This Row],[region data]]))</f>
        <v>0</v>
      </c>
      <c r="V193"/>
      <c r="W193" s="72">
        <f>Tabella3[[#This Row],[6-days moving avg]]*NOT(ISBLANK(Tabella3[[#This Row],[6-days moving avg]]))</f>
        <v>0</v>
      </c>
      <c r="X193" s="77" t="e">
        <f>Tabella8[[#This Row],[region fit]]</f>
        <v>#VALUE!</v>
      </c>
      <c r="Y193" s="72" t="e">
        <f>Tabella3[[#This Row],[region cumul. fit]]/Kl</f>
        <v>#VALUE!</v>
      </c>
      <c r="Z193" s="72">
        <f>IFERROR(Kl*psi_l*_xlfn.SECH(psi_l*(Tabella3[[#This Row],[Day]]-pl)-phi_l)^2/(1+TANH(phi_l)),0)</f>
        <v>52.024685195929436</v>
      </c>
      <c r="AA193" s="72">
        <f>Tabella3[[#This Row],[region fit]]/y_l_peak</f>
        <v>0.35334503643593979</v>
      </c>
      <c r="AB193" s="10">
        <f>Tabella3[[#This Row],[region fit]]*NOT(ISBLANK(Tabella3[[#This Row],[region data]]))</f>
        <v>0</v>
      </c>
      <c r="AC193" s="166">
        <f>IFERROR(kl_m*psi_l_m*_xlfn.SECH(psi_l_m*(Tabella3[[#This Row],[Day]]-pl_m)-phi_l_m)^2/(1+TANH(phi_l_m)),0)</f>
        <v>52.024685195929436</v>
      </c>
      <c r="AD193" s="72">
        <f>Tabella3[[#This Row],[6-days moving avg fit]]*NOT(ISBLANK(Tabella3[[#This Row],[6-days moving avg]]))</f>
        <v>0</v>
      </c>
      <c r="AE193" s="131"/>
      <c r="AF193" s="131"/>
      <c r="AG193" s="131"/>
      <c r="AH193" s="10"/>
      <c r="AI193" s="10">
        <f>Tabella3[[#This Row],[rest of Italy data]]*NOT(ISBLANK(Tabella3[[#This Row],[rest of Italy data]]))</f>
        <v>0</v>
      </c>
      <c r="AJ193" s="77" t="e">
        <f>Tabella8[[#This Row],[rest of Italy fit]]</f>
        <v>#VALUE!</v>
      </c>
      <c r="AK193" s="72" t="e">
        <f>Tabella3[[#This Row],[rest of Italy cumul. fit]]/Ka</f>
        <v>#VALUE!</v>
      </c>
      <c r="AL193" s="72">
        <f>IFERROR(Ka*psi_a*_xlfn.SECH(psi_a*(Tabella3[[#This Row],[Day]]-pa)-phi_a)^2/(1+TANH(phi_a)),0)</f>
        <v>428.45172096027073</v>
      </c>
      <c r="AM193" s="72">
        <f>Tabella3[[#This Row],[rest of Italy fit]]/y_a_peak</f>
        <v>0.14189734827642239</v>
      </c>
      <c r="AN193" s="10">
        <f>Tabella3[[#This Row],[rest of Italy fit]]*NOT(ISBLANK(Tabella3[[#This Row],[rest of Italy data]]))</f>
        <v>0</v>
      </c>
      <c r="AO193" s="131"/>
      <c r="AP193" s="131"/>
    </row>
    <row r="194" spans="2:42" x14ac:dyDescent="0.3">
      <c r="B194" s="9">
        <v>44017</v>
      </c>
      <c r="C194" s="4">
        <v>187</v>
      </c>
      <c r="D194" s="131"/>
      <c r="E194" s="10"/>
      <c r="F194" s="10">
        <f>Tabella3[[#This Row],[Italy remov. rate data]]*NOT(ISBLANK(Tabella3[[#This Row],[Italy remov. rate data]]))</f>
        <v>0</v>
      </c>
      <c r="G194" s="77" t="e">
        <f>Tabella8[[#This Row],[Italy fit]]</f>
        <v>#VALUE!</v>
      </c>
      <c r="H194" s="77" t="e">
        <f>Tabella3[[#This Row],[Italy cumul. fit]]/Kf</f>
        <v>#VALUE!</v>
      </c>
      <c r="I194" s="77">
        <f>Tabella3[[#This Row],[region fit]]+Tabella3[[#This Row],[rest of Italy fit]]</f>
        <v>458.88389471995436</v>
      </c>
      <c r="J194" s="77">
        <f>Tabella3[[#This Row],[Italy (fit of selected region + fitted sum of the other regions)]]/(y_l_peak+y_a_peak)</f>
        <v>0.14490994717069397</v>
      </c>
      <c r="K194" s="72">
        <f>IFERROR(Kf*psi_f*_xlfn.SECH(psi_f*(Tabella3[[#This Row],[Day]]-pf)-phi_f)^2/(1+TANH(phi_f)),0)</f>
        <v>456.5055737895176</v>
      </c>
      <c r="L194" s="292">
        <f>Tabella3[[#This Row],[Italy remov. rate fit]]-Tabella3[[#This Row],[Italy remov. rate data]]</f>
        <v>456.5055737895176</v>
      </c>
      <c r="M194" s="293">
        <f>Tabella3[[#This Row],[rem. rate residuals]]*NOT(ISBLANK(Tabella3[[#This Row],[Italy remov. rate data]]))</f>
        <v>0</v>
      </c>
      <c r="N194" s="72">
        <f>Tabella3[[#This Row],[Italy remov. rate fit]]/y_f_peak</f>
        <v>0.14451000692144172</v>
      </c>
      <c r="O194" s="10">
        <f>Tabella3[[#This Row],[Italy (fit of selected region + fitted sum of the other regions)]]*NOT(ISBLANK(Tabella3[[#This Row],[Italy remov. rate data]]))</f>
        <v>0</v>
      </c>
      <c r="P194" s="10">
        <f>Tabella3[[#This Row],[Italy remov. rate fit]]*NOT(ISBLANK(Tabella3[[#This Row],[Italy remov. rate data]]))</f>
        <v>0</v>
      </c>
      <c r="Q194" s="72"/>
      <c r="R194" s="72"/>
      <c r="S194" s="131"/>
      <c r="T194" s="10"/>
      <c r="U194" s="10">
        <f>Tabella3[[#This Row],[region data]]*NOT(ISBLANK(Tabella3[[#This Row],[region data]]))</f>
        <v>0</v>
      </c>
      <c r="V194"/>
      <c r="W194" s="72">
        <f>Tabella3[[#This Row],[6-days moving avg]]*NOT(ISBLANK(Tabella3[[#This Row],[6-days moving avg]]))</f>
        <v>0</v>
      </c>
      <c r="X194" s="77" t="e">
        <f>Tabella8[[#This Row],[region fit]]</f>
        <v>#VALUE!</v>
      </c>
      <c r="Y194" s="72" t="e">
        <f>Tabella3[[#This Row],[region cumul. fit]]/Kl</f>
        <v>#VALUE!</v>
      </c>
      <c r="Z194" s="72">
        <f>IFERROR(Kl*psi_l*_xlfn.SECH(psi_l*(Tabella3[[#This Row],[Day]]-pl)-phi_l)^2/(1+TANH(phi_l)),0)</f>
        <v>50.359079643054692</v>
      </c>
      <c r="AA194" s="72">
        <f>Tabella3[[#This Row],[region fit]]/y_l_peak</f>
        <v>0.3420324556379597</v>
      </c>
      <c r="AB194" s="10">
        <f>Tabella3[[#This Row],[region fit]]*NOT(ISBLANK(Tabella3[[#This Row],[region data]]))</f>
        <v>0</v>
      </c>
      <c r="AC194" s="166">
        <f>IFERROR(kl_m*psi_l_m*_xlfn.SECH(psi_l_m*(Tabella3[[#This Row],[Day]]-pl_m)-phi_l_m)^2/(1+TANH(phi_l_m)),0)</f>
        <v>50.359079643054692</v>
      </c>
      <c r="AD194" s="72">
        <f>Tabella3[[#This Row],[6-days moving avg fit]]*NOT(ISBLANK(Tabella3[[#This Row],[6-days moving avg]]))</f>
        <v>0</v>
      </c>
      <c r="AE194" s="131"/>
      <c r="AF194" s="131"/>
      <c r="AG194" s="131"/>
      <c r="AH194" s="10"/>
      <c r="AI194" s="10">
        <f>Tabella3[[#This Row],[rest of Italy data]]*NOT(ISBLANK(Tabella3[[#This Row],[rest of Italy data]]))</f>
        <v>0</v>
      </c>
      <c r="AJ194" s="77" t="e">
        <f>Tabella8[[#This Row],[rest of Italy fit]]</f>
        <v>#VALUE!</v>
      </c>
      <c r="AK194" s="72" t="e">
        <f>Tabella3[[#This Row],[rest of Italy cumul. fit]]/Ka</f>
        <v>#VALUE!</v>
      </c>
      <c r="AL194" s="72">
        <f>IFERROR(Ka*psi_a*_xlfn.SECH(psi_a*(Tabella3[[#This Row],[Day]]-pa)-phi_a)^2/(1+TANH(phi_a)),0)</f>
        <v>408.52481507689964</v>
      </c>
      <c r="AM194" s="72">
        <f>Tabella3[[#This Row],[rest of Italy fit]]/y_a_peak</f>
        <v>0.13529782967052936</v>
      </c>
      <c r="AN194" s="10">
        <f>Tabella3[[#This Row],[rest of Italy fit]]*NOT(ISBLANK(Tabella3[[#This Row],[rest of Italy data]]))</f>
        <v>0</v>
      </c>
      <c r="AO194" s="131"/>
      <c r="AP194" s="131"/>
    </row>
    <row r="195" spans="2:42" x14ac:dyDescent="0.3">
      <c r="B195" s="9">
        <v>44018</v>
      </c>
      <c r="C195" s="4">
        <v>188</v>
      </c>
      <c r="D195" s="131"/>
      <c r="E195" s="10"/>
      <c r="F195" s="10">
        <f>Tabella3[[#This Row],[Italy remov. rate data]]*NOT(ISBLANK(Tabella3[[#This Row],[Italy remov. rate data]]))</f>
        <v>0</v>
      </c>
      <c r="G195" s="77" t="e">
        <f>Tabella8[[#This Row],[Italy fit]]</f>
        <v>#VALUE!</v>
      </c>
      <c r="H195" s="77" t="e">
        <f>Tabella3[[#This Row],[Italy cumul. fit]]/Kf</f>
        <v>#VALUE!</v>
      </c>
      <c r="I195" s="77">
        <f>Tabella3[[#This Row],[region fit]]+Tabella3[[#This Row],[rest of Italy fit]]</f>
        <v>438.18857181607211</v>
      </c>
      <c r="J195" s="77">
        <f>Tabella3[[#This Row],[Italy (fit of selected region + fitted sum of the other regions)]]/(y_l_peak+y_a_peak)</f>
        <v>0.13837461615736169</v>
      </c>
      <c r="K195" s="72">
        <f>IFERROR(Kf*psi_f*_xlfn.SECH(psi_f*(Tabella3[[#This Row],[Day]]-pf)-phi_f)^2/(1+TANH(phi_f)),0)</f>
        <v>435.625984309486</v>
      </c>
      <c r="L195" s="292">
        <f>Tabella3[[#This Row],[Italy remov. rate fit]]-Tabella3[[#This Row],[Italy remov. rate data]]</f>
        <v>435.625984309486</v>
      </c>
      <c r="M195" s="293">
        <f>Tabella3[[#This Row],[rem. rate residuals]]*NOT(ISBLANK(Tabella3[[#This Row],[Italy remov. rate data]]))</f>
        <v>0</v>
      </c>
      <c r="N195" s="72">
        <f>Tabella3[[#This Row],[Italy remov. rate fit]]/y_f_peak</f>
        <v>0.1379004279951011</v>
      </c>
      <c r="O195" s="10">
        <f>Tabella3[[#This Row],[Italy (fit of selected region + fitted sum of the other regions)]]*NOT(ISBLANK(Tabella3[[#This Row],[Italy remov. rate data]]))</f>
        <v>0</v>
      </c>
      <c r="P195" s="10">
        <f>Tabella3[[#This Row],[Italy remov. rate fit]]*NOT(ISBLANK(Tabella3[[#This Row],[Italy remov. rate data]]))</f>
        <v>0</v>
      </c>
      <c r="Q195" s="72"/>
      <c r="R195" s="72"/>
      <c r="S195" s="131"/>
      <c r="T195" s="10"/>
      <c r="U195" s="10">
        <f>Tabella3[[#This Row],[region data]]*NOT(ISBLANK(Tabella3[[#This Row],[region data]]))</f>
        <v>0</v>
      </c>
      <c r="V195"/>
      <c r="W195" s="72">
        <f>Tabella3[[#This Row],[6-days moving avg]]*NOT(ISBLANK(Tabella3[[#This Row],[6-days moving avg]]))</f>
        <v>0</v>
      </c>
      <c r="X195" s="77" t="e">
        <f>Tabella8[[#This Row],[region fit]]</f>
        <v>#VALUE!</v>
      </c>
      <c r="Y195" s="72" t="e">
        <f>Tabella3[[#This Row],[region cumul. fit]]/Kl</f>
        <v>#VALUE!</v>
      </c>
      <c r="Z195" s="72">
        <f>IFERROR(Kl*psi_l*_xlfn.SECH(psi_l*(Tabella3[[#This Row],[Day]]-pl)-phi_l)^2/(1+TANH(phi_l)),0)</f>
        <v>48.733269406788821</v>
      </c>
      <c r="AA195" s="72">
        <f>Tabella3[[#This Row],[region fit]]/y_l_peak</f>
        <v>0.33099015956239908</v>
      </c>
      <c r="AB195" s="10">
        <f>Tabella3[[#This Row],[region fit]]*NOT(ISBLANK(Tabella3[[#This Row],[region data]]))</f>
        <v>0</v>
      </c>
      <c r="AC195" s="166">
        <f>IFERROR(kl_m*psi_l_m*_xlfn.SECH(psi_l_m*(Tabella3[[#This Row],[Day]]-pl_m)-phi_l_m)^2/(1+TANH(phi_l_m)),0)</f>
        <v>48.733269406788821</v>
      </c>
      <c r="AD195" s="72">
        <f>Tabella3[[#This Row],[6-days moving avg fit]]*NOT(ISBLANK(Tabella3[[#This Row],[6-days moving avg]]))</f>
        <v>0</v>
      </c>
      <c r="AE195" s="131"/>
      <c r="AF195" s="131"/>
      <c r="AG195" s="131"/>
      <c r="AH195" s="10"/>
      <c r="AI195" s="10">
        <f>Tabella3[[#This Row],[rest of Italy data]]*NOT(ISBLANK(Tabella3[[#This Row],[rest of Italy data]]))</f>
        <v>0</v>
      </c>
      <c r="AJ195" s="77" t="e">
        <f>Tabella8[[#This Row],[rest of Italy fit]]</f>
        <v>#VALUE!</v>
      </c>
      <c r="AK195" s="72" t="e">
        <f>Tabella3[[#This Row],[rest of Italy cumul. fit]]/Ka</f>
        <v>#VALUE!</v>
      </c>
      <c r="AL195" s="72">
        <f>IFERROR(Ka*psi_a*_xlfn.SECH(psi_a*(Tabella3[[#This Row],[Day]]-pa)-phi_a)^2/(1+TANH(phi_a)),0)</f>
        <v>389.45530240928326</v>
      </c>
      <c r="AM195" s="72">
        <f>Tabella3[[#This Row],[rest of Italy fit]]/y_a_peak</f>
        <v>0.12898226796758239</v>
      </c>
      <c r="AN195" s="10">
        <f>Tabella3[[#This Row],[rest of Italy fit]]*NOT(ISBLANK(Tabella3[[#This Row],[rest of Italy data]]))</f>
        <v>0</v>
      </c>
      <c r="AO195" s="131"/>
      <c r="AP195" s="131"/>
    </row>
    <row r="196" spans="2:42" x14ac:dyDescent="0.3">
      <c r="B196" s="9">
        <v>44019</v>
      </c>
      <c r="C196" s="4">
        <v>189</v>
      </c>
      <c r="D196" s="131"/>
      <c r="E196" s="10"/>
      <c r="F196" s="10">
        <f>Tabella3[[#This Row],[Italy remov. rate data]]*NOT(ISBLANK(Tabella3[[#This Row],[Italy remov. rate data]]))</f>
        <v>0</v>
      </c>
      <c r="G196" s="77" t="e">
        <f>Tabella8[[#This Row],[Italy fit]]</f>
        <v>#VALUE!</v>
      </c>
      <c r="H196" s="77" t="e">
        <f>Tabella3[[#This Row],[Italy cumul. fit]]/Kf</f>
        <v>#VALUE!</v>
      </c>
      <c r="I196" s="77">
        <f>Tabella3[[#This Row],[region fit]]+Tabella3[[#This Row],[rest of Italy fit]]</f>
        <v>418.36016325977744</v>
      </c>
      <c r="J196" s="77">
        <f>Tabella3[[#This Row],[Italy (fit of selected region + fitted sum of the other regions)]]/(y_l_peak+y_a_peak)</f>
        <v>0.1321130461405601</v>
      </c>
      <c r="K196" s="72">
        <f>IFERROR(Kf*psi_f*_xlfn.SECH(psi_f*(Tabella3[[#This Row],[Day]]-pf)-phi_f)^2/(1+TANH(phi_f)),0)</f>
        <v>415.62822561406091</v>
      </c>
      <c r="L196" s="292">
        <f>Tabella3[[#This Row],[Italy remov. rate fit]]-Tabella3[[#This Row],[Italy remov. rate data]]</f>
        <v>415.62822561406091</v>
      </c>
      <c r="M196" s="293">
        <f>Tabella3[[#This Row],[rem. rate residuals]]*NOT(ISBLANK(Tabella3[[#This Row],[Italy remov. rate data]]))</f>
        <v>0</v>
      </c>
      <c r="N196" s="72">
        <f>Tabella3[[#This Row],[Italy remov. rate fit]]/y_f_peak</f>
        <v>0.13156999872235436</v>
      </c>
      <c r="O196" s="10">
        <f>Tabella3[[#This Row],[Italy (fit of selected region + fitted sum of the other regions)]]*NOT(ISBLANK(Tabella3[[#This Row],[Italy remov. rate data]]))</f>
        <v>0</v>
      </c>
      <c r="P196" s="10">
        <f>Tabella3[[#This Row],[Italy remov. rate fit]]*NOT(ISBLANK(Tabella3[[#This Row],[Italy remov. rate data]]))</f>
        <v>0</v>
      </c>
      <c r="Q196" s="72"/>
      <c r="R196" s="72"/>
      <c r="S196" s="131"/>
      <c r="T196" s="10"/>
      <c r="U196" s="10">
        <f>Tabella3[[#This Row],[region data]]*NOT(ISBLANK(Tabella3[[#This Row],[region data]]))</f>
        <v>0</v>
      </c>
      <c r="V196"/>
      <c r="W196" s="72">
        <f>Tabella3[[#This Row],[6-days moving avg]]*NOT(ISBLANK(Tabella3[[#This Row],[6-days moving avg]]))</f>
        <v>0</v>
      </c>
      <c r="X196" s="77" t="e">
        <f>Tabella8[[#This Row],[region fit]]</f>
        <v>#VALUE!</v>
      </c>
      <c r="Y196" s="72" t="e">
        <f>Tabella3[[#This Row],[region cumul. fit]]/Kl</f>
        <v>#VALUE!</v>
      </c>
      <c r="Z196" s="72">
        <f>IFERROR(Kl*psi_l*_xlfn.SECH(psi_l*(Tabella3[[#This Row],[Day]]-pl)-phi_l)^2/(1+TANH(phi_l)),0)</f>
        <v>47.147280181292707</v>
      </c>
      <c r="AA196" s="72">
        <f>Tabella3[[#This Row],[region fit]]/y_l_peak</f>
        <v>0.32021832272072648</v>
      </c>
      <c r="AB196" s="10">
        <f>Tabella3[[#This Row],[region fit]]*NOT(ISBLANK(Tabella3[[#This Row],[region data]]))</f>
        <v>0</v>
      </c>
      <c r="AC196" s="166">
        <f>IFERROR(kl_m*psi_l_m*_xlfn.SECH(psi_l_m*(Tabella3[[#This Row],[Day]]-pl_m)-phi_l_m)^2/(1+TANH(phi_l_m)),0)</f>
        <v>47.147280181292707</v>
      </c>
      <c r="AD196" s="72">
        <f>Tabella3[[#This Row],[6-days moving avg fit]]*NOT(ISBLANK(Tabella3[[#This Row],[6-days moving avg]]))</f>
        <v>0</v>
      </c>
      <c r="AE196" s="131"/>
      <c r="AF196" s="131"/>
      <c r="AG196" s="131"/>
      <c r="AH196" s="10"/>
      <c r="AI196" s="10">
        <f>Tabella3[[#This Row],[rest of Italy data]]*NOT(ISBLANK(Tabella3[[#This Row],[rest of Italy data]]))</f>
        <v>0</v>
      </c>
      <c r="AJ196" s="77" t="e">
        <f>Tabella8[[#This Row],[rest of Italy fit]]</f>
        <v>#VALUE!</v>
      </c>
      <c r="AK196" s="72" t="e">
        <f>Tabella3[[#This Row],[rest of Italy cumul. fit]]/Ka</f>
        <v>#VALUE!</v>
      </c>
      <c r="AL196" s="72">
        <f>IFERROR(Ka*psi_a*_xlfn.SECH(psi_a*(Tabella3[[#This Row],[Day]]-pa)-phi_a)^2/(1+TANH(phi_a)),0)</f>
        <v>371.21288307848471</v>
      </c>
      <c r="AM196" s="72">
        <f>Tabella3[[#This Row],[rest of Italy fit]]/y_a_peak</f>
        <v>0.1229406282622143</v>
      </c>
      <c r="AN196" s="10">
        <f>Tabella3[[#This Row],[rest of Italy fit]]*NOT(ISBLANK(Tabella3[[#This Row],[rest of Italy data]]))</f>
        <v>0</v>
      </c>
      <c r="AO196" s="131"/>
      <c r="AP196" s="131"/>
    </row>
    <row r="197" spans="2:42" x14ac:dyDescent="0.3">
      <c r="B197" s="9">
        <v>44020</v>
      </c>
      <c r="C197" s="4">
        <v>190</v>
      </c>
      <c r="D197" s="131"/>
      <c r="E197" s="10"/>
      <c r="F197" s="10">
        <f>Tabella3[[#This Row],[Italy remov. rate data]]*NOT(ISBLANK(Tabella3[[#This Row],[Italy remov. rate data]]))</f>
        <v>0</v>
      </c>
      <c r="G197" s="77" t="e">
        <f>Tabella8[[#This Row],[Italy fit]]</f>
        <v>#VALUE!</v>
      </c>
      <c r="H197" s="77" t="e">
        <f>Tabella3[[#This Row],[Italy cumul. fit]]/Kf</f>
        <v>#VALUE!</v>
      </c>
      <c r="I197" s="77">
        <f>Tabella3[[#This Row],[region fit]]+Tabella3[[#This Row],[rest of Italy fit]]</f>
        <v>399.36873325321267</v>
      </c>
      <c r="J197" s="77">
        <f>Tabella3[[#This Row],[Italy (fit of selected region + fitted sum of the other regions)]]/(y_l_peak+y_a_peak)</f>
        <v>0.12611578375978569</v>
      </c>
      <c r="K197" s="72">
        <f>IFERROR(Kf*psi_f*_xlfn.SECH(psi_f*(Tabella3[[#This Row],[Day]]-pf)-phi_f)^2/(1+TANH(phi_f)),0)</f>
        <v>396.48189679135703</v>
      </c>
      <c r="L197" s="292">
        <f>Tabella3[[#This Row],[Italy remov. rate fit]]-Tabella3[[#This Row],[Italy remov. rate data]]</f>
        <v>396.48189679135703</v>
      </c>
      <c r="M197" s="293">
        <f>Tabella3[[#This Row],[rem. rate residuals]]*NOT(ISBLANK(Tabella3[[#This Row],[Italy remov. rate data]]))</f>
        <v>0</v>
      </c>
      <c r="N197" s="72">
        <f>Tabella3[[#This Row],[Italy remov. rate fit]]/y_f_peak</f>
        <v>0.12550909548360256</v>
      </c>
      <c r="O197" s="10">
        <f>Tabella3[[#This Row],[Italy (fit of selected region + fitted sum of the other regions)]]*NOT(ISBLANK(Tabella3[[#This Row],[Italy remov. rate data]]))</f>
        <v>0</v>
      </c>
      <c r="P197" s="10">
        <f>Tabella3[[#This Row],[Italy remov. rate fit]]*NOT(ISBLANK(Tabella3[[#This Row],[Italy remov. rate data]]))</f>
        <v>0</v>
      </c>
      <c r="Q197" s="72"/>
      <c r="R197" s="72"/>
      <c r="S197" s="131"/>
      <c r="T197" s="10"/>
      <c r="U197" s="10">
        <f>Tabella3[[#This Row],[region data]]*NOT(ISBLANK(Tabella3[[#This Row],[region data]]))</f>
        <v>0</v>
      </c>
      <c r="V197"/>
      <c r="W197" s="72">
        <f>Tabella3[[#This Row],[6-days moving avg]]*NOT(ISBLANK(Tabella3[[#This Row],[6-days moving avg]]))</f>
        <v>0</v>
      </c>
      <c r="X197" s="77" t="e">
        <f>Tabella8[[#This Row],[region fit]]</f>
        <v>#VALUE!</v>
      </c>
      <c r="Y197" s="72" t="e">
        <f>Tabella3[[#This Row],[region cumul. fit]]/Kl</f>
        <v>#VALUE!</v>
      </c>
      <c r="Z197" s="72">
        <f>IFERROR(Kl*psi_l*_xlfn.SECH(psi_l*(Tabella3[[#This Row],[Day]]-pl)-phi_l)^2/(1+TANH(phi_l)),0)</f>
        <v>45.601052798255033</v>
      </c>
      <c r="AA197" s="72">
        <f>Tabella3[[#This Row],[region fit]]/y_l_peak</f>
        <v>0.30971654324930653</v>
      </c>
      <c r="AB197" s="10">
        <f>Tabella3[[#This Row],[region fit]]*NOT(ISBLANK(Tabella3[[#This Row],[region data]]))</f>
        <v>0</v>
      </c>
      <c r="AC197" s="166">
        <f>IFERROR(kl_m*psi_l_m*_xlfn.SECH(psi_l_m*(Tabella3[[#This Row],[Day]]-pl_m)-phi_l_m)^2/(1+TANH(phi_l_m)),0)</f>
        <v>45.601052798255033</v>
      </c>
      <c r="AD197" s="72">
        <f>Tabella3[[#This Row],[6-days moving avg fit]]*NOT(ISBLANK(Tabella3[[#This Row],[6-days moving avg]]))</f>
        <v>0</v>
      </c>
      <c r="AE197" s="131"/>
      <c r="AF197" s="131"/>
      <c r="AG197" s="131"/>
      <c r="AH197" s="10"/>
      <c r="AI197" s="10">
        <f>Tabella3[[#This Row],[rest of Italy data]]*NOT(ISBLANK(Tabella3[[#This Row],[rest of Italy data]]))</f>
        <v>0</v>
      </c>
      <c r="AJ197" s="77" t="e">
        <f>Tabella8[[#This Row],[rest of Italy fit]]</f>
        <v>#VALUE!</v>
      </c>
      <c r="AK197" s="72" t="e">
        <f>Tabella3[[#This Row],[rest of Italy cumul. fit]]/Ka</f>
        <v>#VALUE!</v>
      </c>
      <c r="AL197" s="72">
        <f>IFERROR(Ka*psi_a*_xlfn.SECH(psi_a*(Tabella3[[#This Row],[Day]]-pa)-phi_a)^2/(1+TANH(phi_a)),0)</f>
        <v>353.76768045495766</v>
      </c>
      <c r="AM197" s="72">
        <f>Tabella3[[#This Row],[rest of Italy fit]]/y_a_peak</f>
        <v>0.11716301582346553</v>
      </c>
      <c r="AN197" s="10">
        <f>Tabella3[[#This Row],[rest of Italy fit]]*NOT(ISBLANK(Tabella3[[#This Row],[rest of Italy data]]))</f>
        <v>0</v>
      </c>
      <c r="AO197" s="131"/>
      <c r="AP197" s="131"/>
    </row>
    <row r="198" spans="2:42" x14ac:dyDescent="0.3">
      <c r="B198" s="9">
        <v>44021</v>
      </c>
      <c r="C198" s="4">
        <v>191</v>
      </c>
      <c r="D198" s="131"/>
      <c r="E198" s="10"/>
      <c r="F198" s="10">
        <f>Tabella3[[#This Row],[Italy remov. rate data]]*NOT(ISBLANK(Tabella3[[#This Row],[Italy remov. rate data]]))</f>
        <v>0</v>
      </c>
      <c r="G198" s="77" t="e">
        <f>Tabella8[[#This Row],[Italy fit]]</f>
        <v>#VALUE!</v>
      </c>
      <c r="H198" s="77" t="e">
        <f>Tabella3[[#This Row],[Italy cumul. fit]]/Kf</f>
        <v>#VALUE!</v>
      </c>
      <c r="I198" s="77">
        <f>Tabella3[[#This Row],[region fit]]+Tabella3[[#This Row],[rest of Italy fit]]</f>
        <v>381.18475811541981</v>
      </c>
      <c r="J198" s="77">
        <f>Tabella3[[#This Row],[Italy (fit of selected region + fitted sum of the other regions)]]/(y_l_peak+y_a_peak)</f>
        <v>0.12037350579603436</v>
      </c>
      <c r="K198" s="72">
        <f>IFERROR(Kf*psi_f*_xlfn.SECH(psi_f*(Tabella3[[#This Row],[Day]]-pf)-phi_f)^2/(1+TANH(phi_f)),0)</f>
        <v>378.15698246651823</v>
      </c>
      <c r="L198" s="292">
        <f>Tabella3[[#This Row],[Italy remov. rate fit]]-Tabella3[[#This Row],[Italy remov. rate data]]</f>
        <v>378.15698246651823</v>
      </c>
      <c r="M198" s="293">
        <f>Tabella3[[#This Row],[rem. rate residuals]]*NOT(ISBLANK(Tabella3[[#This Row],[Italy remov. rate data]]))</f>
        <v>0</v>
      </c>
      <c r="N198" s="72">
        <f>Tabella3[[#This Row],[Italy remov. rate fit]]/y_f_peak</f>
        <v>0.11970821670366841</v>
      </c>
      <c r="O198" s="10">
        <f>Tabella3[[#This Row],[Italy (fit of selected region + fitted sum of the other regions)]]*NOT(ISBLANK(Tabella3[[#This Row],[Italy remov. rate data]]))</f>
        <v>0</v>
      </c>
      <c r="P198" s="10">
        <f>Tabella3[[#This Row],[Italy remov. rate fit]]*NOT(ISBLANK(Tabella3[[#This Row],[Italy remov. rate data]]))</f>
        <v>0</v>
      </c>
      <c r="Q198" s="72"/>
      <c r="R198" s="72"/>
      <c r="S198" s="131"/>
      <c r="T198" s="10"/>
      <c r="U198" s="10">
        <f>Tabella3[[#This Row],[region data]]*NOT(ISBLANK(Tabella3[[#This Row],[region data]]))</f>
        <v>0</v>
      </c>
      <c r="V198"/>
      <c r="W198" s="72">
        <f>Tabella3[[#This Row],[6-days moving avg]]*NOT(ISBLANK(Tabella3[[#This Row],[6-days moving avg]]))</f>
        <v>0</v>
      </c>
      <c r="X198" s="77" t="e">
        <f>Tabella8[[#This Row],[region fit]]</f>
        <v>#VALUE!</v>
      </c>
      <c r="Y198" s="72" t="e">
        <f>Tabella3[[#This Row],[region cumul. fit]]/Kl</f>
        <v>#VALUE!</v>
      </c>
      <c r="Z198" s="72">
        <f>IFERROR(Kl*psi_l*_xlfn.SECH(psi_l*(Tabella3[[#This Row],[Day]]-pl)-phi_l)^2/(1+TANH(phi_l)),0)</f>
        <v>44.094449484468932</v>
      </c>
      <c r="AA198" s="72">
        <f>Tabella3[[#This Row],[region fit]]/y_l_peak</f>
        <v>0.29948388541006393</v>
      </c>
      <c r="AB198" s="10">
        <f>Tabella3[[#This Row],[region fit]]*NOT(ISBLANK(Tabella3[[#This Row],[region data]]))</f>
        <v>0</v>
      </c>
      <c r="AC198" s="166">
        <f>IFERROR(kl_m*psi_l_m*_xlfn.SECH(psi_l_m*(Tabella3[[#This Row],[Day]]-pl_m)-phi_l_m)^2/(1+TANH(phi_l_m)),0)</f>
        <v>44.094449484468932</v>
      </c>
      <c r="AD198" s="72">
        <f>Tabella3[[#This Row],[6-days moving avg fit]]*NOT(ISBLANK(Tabella3[[#This Row],[6-days moving avg]]))</f>
        <v>0</v>
      </c>
      <c r="AE198" s="131"/>
      <c r="AF198" s="131"/>
      <c r="AG198" s="131"/>
      <c r="AH198" s="10"/>
      <c r="AI198" s="10">
        <f>Tabella3[[#This Row],[rest of Italy data]]*NOT(ISBLANK(Tabella3[[#This Row],[rest of Italy data]]))</f>
        <v>0</v>
      </c>
      <c r="AJ198" s="77" t="e">
        <f>Tabella8[[#This Row],[rest of Italy fit]]</f>
        <v>#VALUE!</v>
      </c>
      <c r="AK198" s="72" t="e">
        <f>Tabella3[[#This Row],[rest of Italy cumul. fit]]/Ka</f>
        <v>#VALUE!</v>
      </c>
      <c r="AL198" s="72">
        <f>IFERROR(Ka*psi_a*_xlfn.SECH(psi_a*(Tabella3[[#This Row],[Day]]-pa)-phi_a)^2/(1+TANH(phi_a)),0)</f>
        <v>337.09030863095086</v>
      </c>
      <c r="AM198" s="72">
        <f>Tabella3[[#This Row],[rest of Italy fit]]/y_a_peak</f>
        <v>0.11163969844072143</v>
      </c>
      <c r="AN198" s="10">
        <f>Tabella3[[#This Row],[rest of Italy fit]]*NOT(ISBLANK(Tabella3[[#This Row],[rest of Italy data]]))</f>
        <v>0</v>
      </c>
      <c r="AO198" s="131"/>
      <c r="AP198" s="131"/>
    </row>
    <row r="199" spans="2:42" x14ac:dyDescent="0.3">
      <c r="B199" s="9">
        <v>44022</v>
      </c>
      <c r="C199" s="4">
        <v>192</v>
      </c>
      <c r="D199" s="131"/>
      <c r="E199" s="10"/>
      <c r="F199" s="10">
        <f>Tabella3[[#This Row],[Italy remov. rate data]]*NOT(ISBLANK(Tabella3[[#This Row],[Italy remov. rate data]]))</f>
        <v>0</v>
      </c>
      <c r="G199" s="77" t="e">
        <f>Tabella8[[#This Row],[Italy fit]]</f>
        <v>#VALUE!</v>
      </c>
      <c r="H199" s="77" t="e">
        <f>Tabella3[[#This Row],[Italy cumul. fit]]/Kf</f>
        <v>#VALUE!</v>
      </c>
      <c r="I199" s="77">
        <f>Tabella3[[#This Row],[region fit]]+Tabella3[[#This Row],[rest of Italy fit]]</f>
        <v>363.77919011777209</v>
      </c>
      <c r="J199" s="77">
        <f>Tabella3[[#This Row],[Italy (fit of selected region + fitted sum of the other regions)]]/(y_l_peak+y_a_peak)</f>
        <v>0.11487703933025369</v>
      </c>
      <c r="K199" s="72">
        <f>IFERROR(Kf*psi_f*_xlfn.SECH(psi_f*(Tabella3[[#This Row],[Day]]-pf)-phi_f)^2/(1+TANH(phi_f)),0)</f>
        <v>360.62392230872018</v>
      </c>
      <c r="L199" s="292">
        <f>Tabella3[[#This Row],[Italy remov. rate fit]]-Tabella3[[#This Row],[Italy remov. rate data]]</f>
        <v>360.62392230872018</v>
      </c>
      <c r="M199" s="293">
        <f>Tabella3[[#This Row],[rem. rate residuals]]*NOT(ISBLANK(Tabella3[[#This Row],[Italy remov. rate data]]))</f>
        <v>0</v>
      </c>
      <c r="N199" s="72">
        <f>Tabella3[[#This Row],[Italy remov. rate fit]]/y_f_peak</f>
        <v>0.11415800485472027</v>
      </c>
      <c r="O199" s="10">
        <f>Tabella3[[#This Row],[Italy (fit of selected region + fitted sum of the other regions)]]*NOT(ISBLANK(Tabella3[[#This Row],[Italy remov. rate data]]))</f>
        <v>0</v>
      </c>
      <c r="P199" s="10">
        <f>Tabella3[[#This Row],[Italy remov. rate fit]]*NOT(ISBLANK(Tabella3[[#This Row],[Italy remov. rate data]]))</f>
        <v>0</v>
      </c>
      <c r="Q199" s="72"/>
      <c r="R199" s="72"/>
      <c r="S199" s="131"/>
      <c r="T199" s="10"/>
      <c r="U199" s="10">
        <f>Tabella3[[#This Row],[region data]]*NOT(ISBLANK(Tabella3[[#This Row],[region data]]))</f>
        <v>0</v>
      </c>
      <c r="V199"/>
      <c r="W199" s="72">
        <f>Tabella3[[#This Row],[6-days moving avg]]*NOT(ISBLANK(Tabella3[[#This Row],[6-days moving avg]]))</f>
        <v>0</v>
      </c>
      <c r="X199" s="77" t="e">
        <f>Tabella8[[#This Row],[region fit]]</f>
        <v>#VALUE!</v>
      </c>
      <c r="Y199" s="72" t="e">
        <f>Tabella3[[#This Row],[region cumul. fit]]/Kl</f>
        <v>#VALUE!</v>
      </c>
      <c r="Z199" s="72">
        <f>IFERROR(Kl*psi_l*_xlfn.SECH(psi_l*(Tabella3[[#This Row],[Day]]-pl)-phi_l)^2/(1+TANH(phi_l)),0)</f>
        <v>42.627259937619939</v>
      </c>
      <c r="AA199" s="72">
        <f>Tabella3[[#This Row],[region fit]]/y_l_peak</f>
        <v>0.28951892085646103</v>
      </c>
      <c r="AB199" s="10">
        <f>Tabella3[[#This Row],[region fit]]*NOT(ISBLANK(Tabella3[[#This Row],[region data]]))</f>
        <v>0</v>
      </c>
      <c r="AC199" s="166">
        <f>IFERROR(kl_m*psi_l_m*_xlfn.SECH(psi_l_m*(Tabella3[[#This Row],[Day]]-pl_m)-phi_l_m)^2/(1+TANH(phi_l_m)),0)</f>
        <v>42.627259937619939</v>
      </c>
      <c r="AD199" s="72">
        <f>Tabella3[[#This Row],[6-days moving avg fit]]*NOT(ISBLANK(Tabella3[[#This Row],[6-days moving avg]]))</f>
        <v>0</v>
      </c>
      <c r="AE199" s="131"/>
      <c r="AF199" s="131"/>
      <c r="AG199" s="131"/>
      <c r="AH199" s="10"/>
      <c r="AI199" s="10">
        <f>Tabella3[[#This Row],[rest of Italy data]]*NOT(ISBLANK(Tabella3[[#This Row],[rest of Italy data]]))</f>
        <v>0</v>
      </c>
      <c r="AJ199" s="77" t="e">
        <f>Tabella8[[#This Row],[rest of Italy fit]]</f>
        <v>#VALUE!</v>
      </c>
      <c r="AK199" s="72" t="e">
        <f>Tabella3[[#This Row],[rest of Italy cumul. fit]]/Ka</f>
        <v>#VALUE!</v>
      </c>
      <c r="AL199" s="72">
        <f>IFERROR(Ka*psi_a*_xlfn.SECH(psi_a*(Tabella3[[#This Row],[Day]]-pa)-phi_a)^2/(1+TANH(phi_a)),0)</f>
        <v>321.15193018015214</v>
      </c>
      <c r="AM199" s="72">
        <f>Tabella3[[#This Row],[rest of Italy fit]]/y_a_peak</f>
        <v>0.10636112555291612</v>
      </c>
      <c r="AN199" s="10">
        <f>Tabella3[[#This Row],[rest of Italy fit]]*NOT(ISBLANK(Tabella3[[#This Row],[rest of Italy data]]))</f>
        <v>0</v>
      </c>
      <c r="AO199" s="131"/>
      <c r="AP199" s="131"/>
    </row>
    <row r="200" spans="2:42" x14ac:dyDescent="0.3">
      <c r="B200" s="9">
        <v>44023</v>
      </c>
      <c r="C200" s="4">
        <v>193</v>
      </c>
      <c r="D200" s="131"/>
      <c r="E200" s="10"/>
      <c r="F200" s="10">
        <f>Tabella3[[#This Row],[Italy remov. rate data]]*NOT(ISBLANK(Tabella3[[#This Row],[Italy remov. rate data]]))</f>
        <v>0</v>
      </c>
      <c r="G200" s="77" t="e">
        <f>Tabella8[[#This Row],[Italy fit]]</f>
        <v>#VALUE!</v>
      </c>
      <c r="H200" s="77" t="e">
        <f>Tabella3[[#This Row],[Italy cumul. fit]]/Kf</f>
        <v>#VALUE!</v>
      </c>
      <c r="I200" s="77">
        <f>Tabella3[[#This Row],[region fit]]+Tabella3[[#This Row],[rest of Italy fit]]</f>
        <v>347.12351222491765</v>
      </c>
      <c r="J200" s="77">
        <f>Tabella3[[#This Row],[Italy (fit of selected region + fitted sum of the other regions)]]/(y_l_peak+y_a_peak)</f>
        <v>0.10961737902986643</v>
      </c>
      <c r="K200" s="72">
        <f>IFERROR(Kf*psi_f*_xlfn.SECH(psi_f*(Tabella3[[#This Row],[Day]]-pf)-phi_f)^2/(1+TANH(phi_f)),0)</f>
        <v>343.85367093901198</v>
      </c>
      <c r="L200" s="292">
        <f>Tabella3[[#This Row],[Italy remov. rate fit]]-Tabella3[[#This Row],[Italy remov. rate data]]</f>
        <v>343.85367093901198</v>
      </c>
      <c r="M200" s="293">
        <f>Tabella3[[#This Row],[rem. rate residuals]]*NOT(ISBLANK(Tabella3[[#This Row],[Italy remov. rate data]]))</f>
        <v>0</v>
      </c>
      <c r="N200" s="72">
        <f>Tabella3[[#This Row],[Italy remov. rate fit]]/y_f_peak</f>
        <v>0.10884926542051514</v>
      </c>
      <c r="O200" s="10">
        <f>Tabella3[[#This Row],[Italy (fit of selected region + fitted sum of the other regions)]]*NOT(ISBLANK(Tabella3[[#This Row],[Italy remov. rate data]]))</f>
        <v>0</v>
      </c>
      <c r="P200" s="10">
        <f>Tabella3[[#This Row],[Italy remov. rate fit]]*NOT(ISBLANK(Tabella3[[#This Row],[Italy remov. rate data]]))</f>
        <v>0</v>
      </c>
      <c r="Q200" s="72"/>
      <c r="R200" s="72"/>
      <c r="S200" s="131"/>
      <c r="T200" s="10"/>
      <c r="U200" s="10">
        <f>Tabella3[[#This Row],[region data]]*NOT(ISBLANK(Tabella3[[#This Row],[region data]]))</f>
        <v>0</v>
      </c>
      <c r="V200"/>
      <c r="W200" s="72">
        <f>Tabella3[[#This Row],[6-days moving avg]]*NOT(ISBLANK(Tabella3[[#This Row],[6-days moving avg]]))</f>
        <v>0</v>
      </c>
      <c r="X200" s="77" t="e">
        <f>Tabella8[[#This Row],[region fit]]</f>
        <v>#VALUE!</v>
      </c>
      <c r="Y200" s="72" t="e">
        <f>Tabella3[[#This Row],[region cumul. fit]]/Kl</f>
        <v>#VALUE!</v>
      </c>
      <c r="Z200" s="72">
        <f>IFERROR(Kl*psi_l*_xlfn.SECH(psi_l*(Tabella3[[#This Row],[Day]]-pl)-phi_l)^2/(1+TANH(phi_l)),0)</f>
        <v>41.199207203269644</v>
      </c>
      <c r="AA200" s="72">
        <f>Tabella3[[#This Row],[region fit]]/y_l_peak</f>
        <v>0.27981976854922264</v>
      </c>
      <c r="AB200" s="10">
        <f>Tabella3[[#This Row],[region fit]]*NOT(ISBLANK(Tabella3[[#This Row],[region data]]))</f>
        <v>0</v>
      </c>
      <c r="AC200" s="166">
        <f>IFERROR(kl_m*psi_l_m*_xlfn.SECH(psi_l_m*(Tabella3[[#This Row],[Day]]-pl_m)-phi_l_m)^2/(1+TANH(phi_l_m)),0)</f>
        <v>41.199207203269644</v>
      </c>
      <c r="AD200" s="72">
        <f>Tabella3[[#This Row],[6-days moving avg fit]]*NOT(ISBLANK(Tabella3[[#This Row],[6-days moving avg]]))</f>
        <v>0</v>
      </c>
      <c r="AE200" s="131"/>
      <c r="AF200" s="131"/>
      <c r="AG200" s="131"/>
      <c r="AH200" s="10"/>
      <c r="AI200" s="10">
        <f>Tabella3[[#This Row],[rest of Italy data]]*NOT(ISBLANK(Tabella3[[#This Row],[rest of Italy data]]))</f>
        <v>0</v>
      </c>
      <c r="AJ200" s="77" t="e">
        <f>Tabella8[[#This Row],[rest of Italy fit]]</f>
        <v>#VALUE!</v>
      </c>
      <c r="AK200" s="72" t="e">
        <f>Tabella3[[#This Row],[rest of Italy cumul. fit]]/Ka</f>
        <v>#VALUE!</v>
      </c>
      <c r="AL200" s="72">
        <f>IFERROR(Ka*psi_a*_xlfn.SECH(psi_a*(Tabella3[[#This Row],[Day]]-pa)-phi_a)^2/(1+TANH(phi_a)),0)</f>
        <v>305.92430502164802</v>
      </c>
      <c r="AM200" s="72">
        <f>Tabella3[[#This Row],[rest of Italy fit]]/y_a_peak</f>
        <v>0.1013179444316074</v>
      </c>
      <c r="AN200" s="10">
        <f>Tabella3[[#This Row],[rest of Italy fit]]*NOT(ISBLANK(Tabella3[[#This Row],[rest of Italy data]]))</f>
        <v>0</v>
      </c>
      <c r="AO200" s="131"/>
      <c r="AP200" s="131"/>
    </row>
    <row r="201" spans="2:42" x14ac:dyDescent="0.3">
      <c r="B201" s="9">
        <v>44024</v>
      </c>
      <c r="C201" s="4">
        <v>194</v>
      </c>
      <c r="D201" s="131"/>
      <c r="E201" s="10"/>
      <c r="F201" s="10">
        <f>Tabella3[[#This Row],[Italy remov. rate data]]*NOT(ISBLANK(Tabella3[[#This Row],[Italy remov. rate data]]))</f>
        <v>0</v>
      </c>
      <c r="G201" s="77" t="e">
        <f>Tabella8[[#This Row],[Italy fit]]</f>
        <v>#VALUE!</v>
      </c>
      <c r="H201" s="77" t="e">
        <f>Tabella3[[#This Row],[Italy cumul. fit]]/Kf</f>
        <v>#VALUE!</v>
      </c>
      <c r="I201" s="77">
        <f>Tabella3[[#This Row],[region fit]]+Tabella3[[#This Row],[rest of Italy fit]]</f>
        <v>331.18978450506626</v>
      </c>
      <c r="J201" s="77">
        <f>Tabella3[[#This Row],[Italy (fit of selected region + fitted sum of the other regions)]]/(y_l_peak+y_a_peak)</f>
        <v>0.10458570180457399</v>
      </c>
      <c r="K201" s="72">
        <f>IFERROR(Kf*psi_f*_xlfn.SECH(psi_f*(Tabella3[[#This Row],[Day]]-pf)-phi_f)^2/(1+TANH(phi_f)),0)</f>
        <v>327.81774902085641</v>
      </c>
      <c r="L201" s="292">
        <f>Tabella3[[#This Row],[Italy remov. rate fit]]-Tabella3[[#This Row],[Italy remov. rate data]]</f>
        <v>327.81774902085641</v>
      </c>
      <c r="M201" s="293">
        <f>Tabella3[[#This Row],[rem. rate residuals]]*NOT(ISBLANK(Tabella3[[#This Row],[Italy remov. rate data]]))</f>
        <v>0</v>
      </c>
      <c r="N201" s="72">
        <f>Tabella3[[#This Row],[Italy remov. rate fit]]/y_f_peak</f>
        <v>0.10377298306946366</v>
      </c>
      <c r="O201" s="10">
        <f>Tabella3[[#This Row],[Italy (fit of selected region + fitted sum of the other regions)]]*NOT(ISBLANK(Tabella3[[#This Row],[Italy remov. rate data]]))</f>
        <v>0</v>
      </c>
      <c r="P201" s="10">
        <f>Tabella3[[#This Row],[Italy remov. rate fit]]*NOT(ISBLANK(Tabella3[[#This Row],[Italy remov. rate data]]))</f>
        <v>0</v>
      </c>
      <c r="Q201" s="72"/>
      <c r="R201" s="72"/>
      <c r="S201" s="131"/>
      <c r="T201" s="10"/>
      <c r="U201" s="10">
        <f>Tabella3[[#This Row],[region data]]*NOT(ISBLANK(Tabella3[[#This Row],[region data]]))</f>
        <v>0</v>
      </c>
      <c r="V201"/>
      <c r="W201" s="72">
        <f>Tabella3[[#This Row],[6-days moving avg]]*NOT(ISBLANK(Tabella3[[#This Row],[6-days moving avg]]))</f>
        <v>0</v>
      </c>
      <c r="X201" s="77" t="e">
        <f>Tabella8[[#This Row],[region fit]]</f>
        <v>#VALUE!</v>
      </c>
      <c r="Y201" s="72" t="e">
        <f>Tabella3[[#This Row],[region cumul. fit]]/Kl</f>
        <v>#VALUE!</v>
      </c>
      <c r="Z201" s="72">
        <f>IFERROR(Kl*psi_l*_xlfn.SECH(psi_l*(Tabella3[[#This Row],[Day]]-pl)-phi_l)^2/(1+TANH(phi_l)),0)</f>
        <v>39.809953339222417</v>
      </c>
      <c r="AA201" s="72">
        <f>Tabella3[[#This Row],[region fit]]/y_l_peak</f>
        <v>0.27038413322799354</v>
      </c>
      <c r="AB201" s="10">
        <f>Tabella3[[#This Row],[region fit]]*NOT(ISBLANK(Tabella3[[#This Row],[region data]]))</f>
        <v>0</v>
      </c>
      <c r="AC201" s="166">
        <f>IFERROR(kl_m*psi_l_m*_xlfn.SECH(psi_l_m*(Tabella3[[#This Row],[Day]]-pl_m)-phi_l_m)^2/(1+TANH(phi_l_m)),0)</f>
        <v>39.809953339222417</v>
      </c>
      <c r="AD201" s="72">
        <f>Tabella3[[#This Row],[6-days moving avg fit]]*NOT(ISBLANK(Tabella3[[#This Row],[6-days moving avg]]))</f>
        <v>0</v>
      </c>
      <c r="AE201" s="131"/>
      <c r="AF201" s="131"/>
      <c r="AG201" s="131"/>
      <c r="AH201" s="10"/>
      <c r="AI201" s="10">
        <f>Tabella3[[#This Row],[rest of Italy data]]*NOT(ISBLANK(Tabella3[[#This Row],[rest of Italy data]]))</f>
        <v>0</v>
      </c>
      <c r="AJ201" s="77" t="e">
        <f>Tabella8[[#This Row],[rest of Italy fit]]</f>
        <v>#VALUE!</v>
      </c>
      <c r="AK201" s="72" t="e">
        <f>Tabella3[[#This Row],[rest of Italy cumul. fit]]/Ka</f>
        <v>#VALUE!</v>
      </c>
      <c r="AL201" s="72">
        <f>IFERROR(Ka*psi_a*_xlfn.SECH(psi_a*(Tabella3[[#This Row],[Day]]-pa)-phi_a)^2/(1+TANH(phi_a)),0)</f>
        <v>291.37983116584383</v>
      </c>
      <c r="AM201" s="72">
        <f>Tabella3[[#This Row],[rest of Italy fit]]/y_a_peak</f>
        <v>9.6501013675468039E-2</v>
      </c>
      <c r="AN201" s="10">
        <f>Tabella3[[#This Row],[rest of Italy fit]]*NOT(ISBLANK(Tabella3[[#This Row],[rest of Italy data]]))</f>
        <v>0</v>
      </c>
      <c r="AO201" s="131"/>
      <c r="AP201" s="131"/>
    </row>
    <row r="202" spans="2:42" x14ac:dyDescent="0.3">
      <c r="B202" s="9">
        <v>44025</v>
      </c>
      <c r="C202" s="4">
        <v>195</v>
      </c>
      <c r="D202" s="131"/>
      <c r="E202" s="10"/>
      <c r="F202" s="10">
        <f>Tabella3[[#This Row],[Italy remov. rate data]]*NOT(ISBLANK(Tabella3[[#This Row],[Italy remov. rate data]]))</f>
        <v>0</v>
      </c>
      <c r="G202" s="77" t="e">
        <f>Tabella8[[#This Row],[Italy fit]]</f>
        <v>#VALUE!</v>
      </c>
      <c r="H202" s="77" t="e">
        <f>Tabella3[[#This Row],[Italy cumul. fit]]/Kf</f>
        <v>#VALUE!</v>
      </c>
      <c r="I202" s="77">
        <f>Tabella3[[#This Row],[region fit]]+Tabella3[[#This Row],[rest of Italy fit]]</f>
        <v>315.95068293518574</v>
      </c>
      <c r="J202" s="77">
        <f>Tabella3[[#This Row],[Italy (fit of selected region + fitted sum of the other regions)]]/(y_l_peak+y_a_peak)</f>
        <v>9.9773379060565076E-2</v>
      </c>
      <c r="K202" s="72">
        <f>IFERROR(Kf*psi_f*_xlfn.SECH(psi_f*(Tabella3[[#This Row],[Day]]-pf)-phi_f)^2/(1+TANH(phi_f)),0)</f>
        <v>312.48828627981334</v>
      </c>
      <c r="L202" s="292">
        <f>Tabella3[[#This Row],[Italy remov. rate fit]]-Tabella3[[#This Row],[Italy remov. rate data]]</f>
        <v>312.48828627981334</v>
      </c>
      <c r="M202" s="293">
        <f>Tabella3[[#This Row],[rem. rate residuals]]*NOT(ISBLANK(Tabella3[[#This Row],[Italy remov. rate data]]))</f>
        <v>0</v>
      </c>
      <c r="N202" s="72">
        <f>Tabella3[[#This Row],[Italy remov. rate fit]]/y_f_peak</f>
        <v>9.8920335272809343E-2</v>
      </c>
      <c r="O202" s="10">
        <f>Tabella3[[#This Row],[Italy (fit of selected region + fitted sum of the other regions)]]*NOT(ISBLANK(Tabella3[[#This Row],[Italy remov. rate data]]))</f>
        <v>0</v>
      </c>
      <c r="P202" s="10">
        <f>Tabella3[[#This Row],[Italy remov. rate fit]]*NOT(ISBLANK(Tabella3[[#This Row],[Italy remov. rate data]]))</f>
        <v>0</v>
      </c>
      <c r="Q202" s="72"/>
      <c r="R202" s="72"/>
      <c r="S202" s="131"/>
      <c r="T202" s="10"/>
      <c r="U202" s="10">
        <f>Tabella3[[#This Row],[region data]]*NOT(ISBLANK(Tabella3[[#This Row],[region data]]))</f>
        <v>0</v>
      </c>
      <c r="V202"/>
      <c r="W202" s="72">
        <f>Tabella3[[#This Row],[6-days moving avg]]*NOT(ISBLANK(Tabella3[[#This Row],[6-days moving avg]]))</f>
        <v>0</v>
      </c>
      <c r="X202" s="77" t="e">
        <f>Tabella8[[#This Row],[region fit]]</f>
        <v>#VALUE!</v>
      </c>
      <c r="Y202" s="72" t="e">
        <f>Tabella3[[#This Row],[region cumul. fit]]/Kl</f>
        <v>#VALUE!</v>
      </c>
      <c r="Z202" s="72">
        <f>IFERROR(Kl*psi_l*_xlfn.SECH(psi_l*(Tabella3[[#This Row],[Day]]-pl)-phi_l)^2/(1+TANH(phi_l)),0)</f>
        <v>38.459104856413873</v>
      </c>
      <c r="AA202" s="72">
        <f>Tabella3[[#This Row],[region fit]]/y_l_peak</f>
        <v>0.26120934236515969</v>
      </c>
      <c r="AB202" s="10">
        <f>Tabella3[[#This Row],[region fit]]*NOT(ISBLANK(Tabella3[[#This Row],[region data]]))</f>
        <v>0</v>
      </c>
      <c r="AC202" s="166">
        <f>IFERROR(kl_m*psi_l_m*_xlfn.SECH(psi_l_m*(Tabella3[[#This Row],[Day]]-pl_m)-phi_l_m)^2/(1+TANH(phi_l_m)),0)</f>
        <v>38.459104856413873</v>
      </c>
      <c r="AD202" s="72">
        <f>Tabella3[[#This Row],[6-days moving avg fit]]*NOT(ISBLANK(Tabella3[[#This Row],[6-days moving avg]]))</f>
        <v>0</v>
      </c>
      <c r="AE202" s="131"/>
      <c r="AF202" s="131"/>
      <c r="AG202" s="131"/>
      <c r="AH202" s="10"/>
      <c r="AI202" s="10">
        <f>Tabella3[[#This Row],[rest of Italy data]]*NOT(ISBLANK(Tabella3[[#This Row],[rest of Italy data]]))</f>
        <v>0</v>
      </c>
      <c r="AJ202" s="77" t="e">
        <f>Tabella8[[#This Row],[rest of Italy fit]]</f>
        <v>#VALUE!</v>
      </c>
      <c r="AK202" s="72" t="e">
        <f>Tabella3[[#This Row],[rest of Italy cumul. fit]]/Ka</f>
        <v>#VALUE!</v>
      </c>
      <c r="AL202" s="72">
        <f>IFERROR(Ka*psi_a*_xlfn.SECH(psi_a*(Tabella3[[#This Row],[Day]]-pa)-phi_a)^2/(1+TANH(phi_a)),0)</f>
        <v>277.49157807877185</v>
      </c>
      <c r="AM202" s="72">
        <f>Tabella3[[#This Row],[rest of Italy fit]]/y_a_peak</f>
        <v>9.1901414260088188E-2</v>
      </c>
      <c r="AN202" s="10">
        <f>Tabella3[[#This Row],[rest of Italy fit]]*NOT(ISBLANK(Tabella3[[#This Row],[rest of Italy data]]))</f>
        <v>0</v>
      </c>
      <c r="AO202" s="131"/>
      <c r="AP202" s="131"/>
    </row>
    <row r="203" spans="2:42" x14ac:dyDescent="0.3">
      <c r="B203" s="9">
        <v>44026</v>
      </c>
      <c r="C203" s="4">
        <v>196</v>
      </c>
      <c r="D203" s="131"/>
      <c r="E203" s="10"/>
      <c r="F203" s="10">
        <f>Tabella3[[#This Row],[Italy remov. rate data]]*NOT(ISBLANK(Tabella3[[#This Row],[Italy remov. rate data]]))</f>
        <v>0</v>
      </c>
      <c r="G203" s="77" t="e">
        <f>Tabella8[[#This Row],[Italy fit]]</f>
        <v>#VALUE!</v>
      </c>
      <c r="H203" s="77" t="e">
        <f>Tabella3[[#This Row],[Italy cumul. fit]]/Kf</f>
        <v>#VALUE!</v>
      </c>
      <c r="I203" s="77">
        <f>Tabella3[[#This Row],[region fit]]+Tabella3[[#This Row],[rest of Italy fit]]</f>
        <v>301.37953128714508</v>
      </c>
      <c r="J203" s="77">
        <f>Tabella3[[#This Row],[Italy (fit of selected region + fitted sum of the other regions)]]/(y_l_peak+y_a_peak)</f>
        <v>9.5171986769771483E-2</v>
      </c>
      <c r="K203" s="72">
        <f>IFERROR(Kf*psi_f*_xlfn.SECH(psi_f*(Tabella3[[#This Row],[Day]]-pf)-phi_f)^2/(1+TANH(phi_f)),0)</f>
        <v>297.83805716140307</v>
      </c>
      <c r="L203" s="292">
        <f>Tabella3[[#This Row],[Italy remov. rate fit]]-Tabella3[[#This Row],[Italy remov. rate data]]</f>
        <v>297.83805716140307</v>
      </c>
      <c r="M203" s="293">
        <f>Tabella3[[#This Row],[rem. rate residuals]]*NOT(ISBLANK(Tabella3[[#This Row],[Italy remov. rate data]]))</f>
        <v>0</v>
      </c>
      <c r="N203" s="72">
        <f>Tabella3[[#This Row],[Italy remov. rate fit]]/y_f_peak</f>
        <v>9.4282703592372702E-2</v>
      </c>
      <c r="O203" s="10">
        <f>Tabella3[[#This Row],[Italy (fit of selected region + fitted sum of the other regions)]]*NOT(ISBLANK(Tabella3[[#This Row],[Italy remov. rate data]]))</f>
        <v>0</v>
      </c>
      <c r="P203" s="10">
        <f>Tabella3[[#This Row],[Italy remov. rate fit]]*NOT(ISBLANK(Tabella3[[#This Row],[Italy remov. rate data]]))</f>
        <v>0</v>
      </c>
      <c r="Q203" s="72"/>
      <c r="R203" s="72"/>
      <c r="S203" s="131"/>
      <c r="T203" s="10"/>
      <c r="U203" s="10">
        <f>Tabella3[[#This Row],[region data]]*NOT(ISBLANK(Tabella3[[#This Row],[region data]]))</f>
        <v>0</v>
      </c>
      <c r="V203"/>
      <c r="W203" s="72">
        <f>Tabella3[[#This Row],[6-days moving avg]]*NOT(ISBLANK(Tabella3[[#This Row],[6-days moving avg]]))</f>
        <v>0</v>
      </c>
      <c r="X203" s="77" t="e">
        <f>Tabella8[[#This Row],[region fit]]</f>
        <v>#VALUE!</v>
      </c>
      <c r="Y203" s="72" t="e">
        <f>Tabella3[[#This Row],[region cumul. fit]]/Kl</f>
        <v>#VALUE!</v>
      </c>
      <c r="Z203" s="72">
        <f>IFERROR(Kl*psi_l*_xlfn.SECH(psi_l*(Tabella3[[#This Row],[Day]]-pl)-phi_l)^2/(1+TANH(phi_l)),0)</f>
        <v>37.146217928161299</v>
      </c>
      <c r="AA203" s="72">
        <f>Tabella3[[#This Row],[region fit]]/y_l_peak</f>
        <v>0.25229238154641415</v>
      </c>
      <c r="AB203" s="10">
        <f>Tabella3[[#This Row],[region fit]]*NOT(ISBLANK(Tabella3[[#This Row],[region data]]))</f>
        <v>0</v>
      </c>
      <c r="AC203" s="166">
        <f>IFERROR(kl_m*psi_l_m*_xlfn.SECH(psi_l_m*(Tabella3[[#This Row],[Day]]-pl_m)-phi_l_m)^2/(1+TANH(phi_l_m)),0)</f>
        <v>37.146217928161299</v>
      </c>
      <c r="AD203" s="72">
        <f>Tabella3[[#This Row],[6-days moving avg fit]]*NOT(ISBLANK(Tabella3[[#This Row],[6-days moving avg]]))</f>
        <v>0</v>
      </c>
      <c r="AE203" s="131"/>
      <c r="AF203" s="131"/>
      <c r="AG203" s="131"/>
      <c r="AH203" s="10"/>
      <c r="AI203" s="10">
        <f>Tabella3[[#This Row],[rest of Italy data]]*NOT(ISBLANK(Tabella3[[#This Row],[rest of Italy data]]))</f>
        <v>0</v>
      </c>
      <c r="AJ203" s="77" t="e">
        <f>Tabella8[[#This Row],[rest of Italy fit]]</f>
        <v>#VALUE!</v>
      </c>
      <c r="AK203" s="72" t="e">
        <f>Tabella3[[#This Row],[rest of Italy cumul. fit]]/Ka</f>
        <v>#VALUE!</v>
      </c>
      <c r="AL203" s="72">
        <f>IFERROR(Ka*psi_a*_xlfn.SECH(psi_a*(Tabella3[[#This Row],[Day]]-pa)-phi_a)^2/(1+TANH(phi_a)),0)</f>
        <v>264.23331335898376</v>
      </c>
      <c r="AM203" s="72">
        <f>Tabella3[[#This Row],[rest of Italy fit]]/y_a_peak</f>
        <v>8.7510458372997174E-2</v>
      </c>
      <c r="AN203" s="10">
        <f>Tabella3[[#This Row],[rest of Italy fit]]*NOT(ISBLANK(Tabella3[[#This Row],[rest of Italy data]]))</f>
        <v>0</v>
      </c>
      <c r="AO203" s="131"/>
      <c r="AP203" s="131"/>
    </row>
    <row r="204" spans="2:42" x14ac:dyDescent="0.3">
      <c r="B204" s="9">
        <v>44027</v>
      </c>
      <c r="C204" s="4">
        <v>197</v>
      </c>
      <c r="D204" s="131"/>
      <c r="E204" s="10"/>
      <c r="F204" s="10">
        <f>Tabella3[[#This Row],[Italy remov. rate data]]*NOT(ISBLANK(Tabella3[[#This Row],[Italy remov. rate data]]))</f>
        <v>0</v>
      </c>
      <c r="G204" s="77" t="e">
        <f>Tabella8[[#This Row],[Italy fit]]</f>
        <v>#VALUE!</v>
      </c>
      <c r="H204" s="77" t="e">
        <f>Tabella3[[#This Row],[Italy cumul. fit]]/Kf</f>
        <v>#VALUE!</v>
      </c>
      <c r="I204" s="77">
        <f>Tabella3[[#This Row],[region fit]]+Tabella3[[#This Row],[rest of Italy fit]]</f>
        <v>287.45032674070876</v>
      </c>
      <c r="J204" s="77">
        <f>Tabella3[[#This Row],[Italy (fit of selected region + fitted sum of the other regions)]]/(y_l_peak+y_a_peak)</f>
        <v>9.0773313558139793E-2</v>
      </c>
      <c r="K204" s="72">
        <f>IFERROR(Kf*psi_f*_xlfn.SECH(psi_f*(Tabella3[[#This Row],[Day]]-pf)-phi_f)^2/(1+TANH(phi_f)),0)</f>
        <v>283.84050979755386</v>
      </c>
      <c r="L204" s="292">
        <f>Tabella3[[#This Row],[Italy remov. rate fit]]-Tabella3[[#This Row],[Italy remov. rate data]]</f>
        <v>283.84050979755386</v>
      </c>
      <c r="M204" s="293">
        <f>Tabella3[[#This Row],[rem. rate residuals]]*NOT(ISBLANK(Tabella3[[#This Row],[Italy remov. rate data]]))</f>
        <v>0</v>
      </c>
      <c r="N204" s="72">
        <f>Tabella3[[#This Row],[Italy remov. rate fit]]/y_f_peak</f>
        <v>8.9851682850081147E-2</v>
      </c>
      <c r="O204" s="10">
        <f>Tabella3[[#This Row],[Italy (fit of selected region + fitted sum of the other regions)]]*NOT(ISBLANK(Tabella3[[#This Row],[Italy remov. rate data]]))</f>
        <v>0</v>
      </c>
      <c r="P204" s="10">
        <f>Tabella3[[#This Row],[Italy remov. rate fit]]*NOT(ISBLANK(Tabella3[[#This Row],[Italy remov. rate data]]))</f>
        <v>0</v>
      </c>
      <c r="Q204" s="72"/>
      <c r="R204" s="72"/>
      <c r="S204" s="131"/>
      <c r="T204" s="10"/>
      <c r="U204" s="10">
        <f>Tabella3[[#This Row],[region data]]*NOT(ISBLANK(Tabella3[[#This Row],[region data]]))</f>
        <v>0</v>
      </c>
      <c r="V204"/>
      <c r="W204" s="72">
        <f>Tabella3[[#This Row],[6-days moving avg]]*NOT(ISBLANK(Tabella3[[#This Row],[6-days moving avg]]))</f>
        <v>0</v>
      </c>
      <c r="X204" s="77" t="e">
        <f>Tabella8[[#This Row],[region fit]]</f>
        <v>#VALUE!</v>
      </c>
      <c r="Y204" s="72" t="e">
        <f>Tabella3[[#This Row],[region cumul. fit]]/Kl</f>
        <v>#VALUE!</v>
      </c>
      <c r="Z204" s="72">
        <f>IFERROR(Kl*psi_l*_xlfn.SECH(psi_l*(Tabella3[[#This Row],[Day]]-pl)-phi_l)^2/(1+TANH(phi_l)),0)</f>
        <v>35.870803362070703</v>
      </c>
      <c r="AA204" s="72">
        <f>Tabella3[[#This Row],[region fit]]/y_l_peak</f>
        <v>0.24362992823931617</v>
      </c>
      <c r="AB204" s="10">
        <f>Tabella3[[#This Row],[region fit]]*NOT(ISBLANK(Tabella3[[#This Row],[region data]]))</f>
        <v>0</v>
      </c>
      <c r="AC204" s="166">
        <f>IFERROR(kl_m*psi_l_m*_xlfn.SECH(psi_l_m*(Tabella3[[#This Row],[Day]]-pl_m)-phi_l_m)^2/(1+TANH(phi_l_m)),0)</f>
        <v>35.870803362070703</v>
      </c>
      <c r="AD204" s="72">
        <f>Tabella3[[#This Row],[6-days moving avg fit]]*NOT(ISBLANK(Tabella3[[#This Row],[6-days moving avg]]))</f>
        <v>0</v>
      </c>
      <c r="AE204" s="131"/>
      <c r="AF204" s="131"/>
      <c r="AG204" s="131"/>
      <c r="AH204" s="10"/>
      <c r="AI204" s="10">
        <f>Tabella3[[#This Row],[rest of Italy data]]*NOT(ISBLANK(Tabella3[[#This Row],[rest of Italy data]]))</f>
        <v>0</v>
      </c>
      <c r="AJ204" s="77" t="e">
        <f>Tabella8[[#This Row],[rest of Italy fit]]</f>
        <v>#VALUE!</v>
      </c>
      <c r="AK204" s="72" t="e">
        <f>Tabella3[[#This Row],[rest of Italy cumul. fit]]/Ka</f>
        <v>#VALUE!</v>
      </c>
      <c r="AL204" s="72">
        <f>IFERROR(Ka*psi_a*_xlfn.SECH(psi_a*(Tabella3[[#This Row],[Day]]-pa)-phi_a)^2/(1+TANH(phi_a)),0)</f>
        <v>251.57952337863807</v>
      </c>
      <c r="AM204" s="72">
        <f>Tabella3[[#This Row],[rest of Italy fit]]/y_a_peak</f>
        <v>8.331969624970928E-2</v>
      </c>
      <c r="AN204" s="10">
        <f>Tabella3[[#This Row],[rest of Italy fit]]*NOT(ISBLANK(Tabella3[[#This Row],[rest of Italy data]]))</f>
        <v>0</v>
      </c>
      <c r="AO204" s="131"/>
      <c r="AP204" s="131"/>
    </row>
    <row r="205" spans="2:42" x14ac:dyDescent="0.3">
      <c r="B205" s="9">
        <v>44028</v>
      </c>
      <c r="C205" s="4">
        <v>198</v>
      </c>
      <c r="D205" s="131"/>
      <c r="E205" s="10"/>
      <c r="F205" s="10">
        <f>Tabella3[[#This Row],[Italy remov. rate data]]*NOT(ISBLANK(Tabella3[[#This Row],[Italy remov. rate data]]))</f>
        <v>0</v>
      </c>
      <c r="G205" s="77" t="e">
        <f>Tabella8[[#This Row],[Italy fit]]</f>
        <v>#VALUE!</v>
      </c>
      <c r="H205" s="77" t="e">
        <f>Tabella3[[#This Row],[Italy cumul. fit]]/Kf</f>
        <v>#VALUE!</v>
      </c>
      <c r="I205" s="77">
        <f>Tabella3[[#This Row],[region fit]]+Tabella3[[#This Row],[rest of Italy fit]]</f>
        <v>274.13775982911358</v>
      </c>
      <c r="J205" s="77">
        <f>Tabella3[[#This Row],[Italy (fit of selected region + fitted sum of the other regions)]]/(y_l_peak+y_a_peak)</f>
        <v>8.6569367004201828E-2</v>
      </c>
      <c r="K205" s="72">
        <f>IFERROR(Kf*psi_f*_xlfn.SECH(psi_f*(Tabella3[[#This Row],[Day]]-pf)-phi_f)^2/(1+TANH(phi_f)),0)</f>
        <v>270.46978891279065</v>
      </c>
      <c r="L205" s="292">
        <f>Tabella3[[#This Row],[Italy remov. rate fit]]-Tabella3[[#This Row],[Italy remov. rate data]]</f>
        <v>270.46978891279065</v>
      </c>
      <c r="M205" s="293">
        <f>Tabella3[[#This Row],[rem. rate residuals]]*NOT(ISBLANK(Tabella3[[#This Row],[Italy remov. rate data]]))</f>
        <v>0</v>
      </c>
      <c r="N205" s="72">
        <f>Tabella3[[#This Row],[Italy remov. rate fit]]/y_f_peak</f>
        <v>8.5619088379082026E-2</v>
      </c>
      <c r="O205" s="10">
        <f>Tabella3[[#This Row],[Italy (fit of selected region + fitted sum of the other regions)]]*NOT(ISBLANK(Tabella3[[#This Row],[Italy remov. rate data]]))</f>
        <v>0</v>
      </c>
      <c r="P205" s="10">
        <f>Tabella3[[#This Row],[Italy remov. rate fit]]*NOT(ISBLANK(Tabella3[[#This Row],[Italy remov. rate data]]))</f>
        <v>0</v>
      </c>
      <c r="Q205" s="72"/>
      <c r="R205" s="72"/>
      <c r="S205" s="131"/>
      <c r="T205" s="10"/>
      <c r="U205" s="10">
        <f>Tabella3[[#This Row],[region data]]*NOT(ISBLANK(Tabella3[[#This Row],[region data]]))</f>
        <v>0</v>
      </c>
      <c r="V205"/>
      <c r="W205" s="72">
        <f>Tabella3[[#This Row],[6-days moving avg]]*NOT(ISBLANK(Tabella3[[#This Row],[6-days moving avg]]))</f>
        <v>0</v>
      </c>
      <c r="X205" s="77" t="e">
        <f>Tabella8[[#This Row],[region fit]]</f>
        <v>#VALUE!</v>
      </c>
      <c r="Y205" s="72" t="e">
        <f>Tabella3[[#This Row],[region cumul. fit]]/Kl</f>
        <v>#VALUE!</v>
      </c>
      <c r="Z205" s="72">
        <f>IFERROR(Kl*psi_l*_xlfn.SECH(psi_l*(Tabella3[[#This Row],[Day]]-pl)-phi_l)^2/(1+TANH(phi_l)),0)</f>
        <v>34.632331331110016</v>
      </c>
      <c r="AA205" s="72">
        <f>Tabella3[[#This Row],[region fit]]/y_l_peak</f>
        <v>0.23521838392613817</v>
      </c>
      <c r="AB205" s="10">
        <f>Tabella3[[#This Row],[region fit]]*NOT(ISBLANK(Tabella3[[#This Row],[region data]]))</f>
        <v>0</v>
      </c>
      <c r="AC205" s="166">
        <f>IFERROR(kl_m*psi_l_m*_xlfn.SECH(psi_l_m*(Tabella3[[#This Row],[Day]]-pl_m)-phi_l_m)^2/(1+TANH(phi_l_m)),0)</f>
        <v>34.632331331110016</v>
      </c>
      <c r="AD205" s="72">
        <f>Tabella3[[#This Row],[6-days moving avg fit]]*NOT(ISBLANK(Tabella3[[#This Row],[6-days moving avg]]))</f>
        <v>0</v>
      </c>
      <c r="AE205" s="131"/>
      <c r="AF205" s="131"/>
      <c r="AG205" s="131"/>
      <c r="AH205" s="10"/>
      <c r="AI205" s="10">
        <f>Tabella3[[#This Row],[rest of Italy data]]*NOT(ISBLANK(Tabella3[[#This Row],[rest of Italy data]]))</f>
        <v>0</v>
      </c>
      <c r="AJ205" s="77" t="e">
        <f>Tabella8[[#This Row],[rest of Italy fit]]</f>
        <v>#VALUE!</v>
      </c>
      <c r="AK205" s="72" t="e">
        <f>Tabella3[[#This Row],[rest of Italy cumul. fit]]/Ka</f>
        <v>#VALUE!</v>
      </c>
      <c r="AL205" s="72">
        <f>IFERROR(Ka*psi_a*_xlfn.SECH(psi_a*(Tabella3[[#This Row],[Day]]-pa)-phi_a)^2/(1+TANH(phi_a)),0)</f>
        <v>239.50542849800357</v>
      </c>
      <c r="AM205" s="72">
        <f>Tabella3[[#This Row],[rest of Italy fit]]/y_a_peak</f>
        <v>7.9320921212559112E-2</v>
      </c>
      <c r="AN205" s="10">
        <f>Tabella3[[#This Row],[rest of Italy fit]]*NOT(ISBLANK(Tabella3[[#This Row],[rest of Italy data]]))</f>
        <v>0</v>
      </c>
      <c r="AO205" s="131"/>
      <c r="AP205" s="131"/>
    </row>
    <row r="206" spans="2:42" x14ac:dyDescent="0.3">
      <c r="B206" s="9">
        <v>44029</v>
      </c>
      <c r="C206" s="4">
        <v>199</v>
      </c>
      <c r="D206" s="131"/>
      <c r="E206" s="10"/>
      <c r="F206" s="10">
        <f>Tabella3[[#This Row],[Italy remov. rate data]]*NOT(ISBLANK(Tabella3[[#This Row],[Italy remov. rate data]]))</f>
        <v>0</v>
      </c>
      <c r="G206" s="77" t="e">
        <f>Tabella8[[#This Row],[Italy fit]]</f>
        <v>#VALUE!</v>
      </c>
      <c r="H206" s="77" t="e">
        <f>Tabella3[[#This Row],[Italy cumul. fit]]/Kf</f>
        <v>#VALUE!</v>
      </c>
      <c r="I206" s="77">
        <f>Tabella3[[#This Row],[region fit]]+Tabella3[[#This Row],[rest of Italy fit]]</f>
        <v>261.41722928320428</v>
      </c>
      <c r="J206" s="77">
        <f>Tabella3[[#This Row],[Italy (fit of selected region + fitted sum of the other regions)]]/(y_l_peak+y_a_peak)</f>
        <v>8.2552378326671838E-2</v>
      </c>
      <c r="K206" s="72">
        <f>IFERROR(Kf*psi_f*_xlfn.SECH(psi_f*(Tabella3[[#This Row],[Day]]-pf)-phi_f)^2/(1+TANH(phi_f)),0)</f>
        <v>257.70075326203033</v>
      </c>
      <c r="L206" s="292">
        <f>Tabella3[[#This Row],[Italy remov. rate fit]]-Tabella3[[#This Row],[Italy remov. rate data]]</f>
        <v>257.70075326203033</v>
      </c>
      <c r="M206" s="293">
        <f>Tabella3[[#This Row],[rem. rate residuals]]*NOT(ISBLANK(Tabella3[[#This Row],[Italy remov. rate data]]))</f>
        <v>0</v>
      </c>
      <c r="N206" s="72">
        <f>Tabella3[[#This Row],[Italy remov. rate fit]]/y_f_peak</f>
        <v>8.1576961543797621E-2</v>
      </c>
      <c r="O206" s="10">
        <f>Tabella3[[#This Row],[Italy (fit of selected region + fitted sum of the other regions)]]*NOT(ISBLANK(Tabella3[[#This Row],[Italy remov. rate data]]))</f>
        <v>0</v>
      </c>
      <c r="P206" s="10">
        <f>Tabella3[[#This Row],[Italy remov. rate fit]]*NOT(ISBLANK(Tabella3[[#This Row],[Italy remov. rate data]]))</f>
        <v>0</v>
      </c>
      <c r="Q206" s="72"/>
      <c r="R206" s="72"/>
      <c r="S206" s="131"/>
      <c r="T206" s="10"/>
      <c r="U206" s="10">
        <f>Tabella3[[#This Row],[region data]]*NOT(ISBLANK(Tabella3[[#This Row],[region data]]))</f>
        <v>0</v>
      </c>
      <c r="V206"/>
      <c r="W206" s="72">
        <f>Tabella3[[#This Row],[6-days moving avg]]*NOT(ISBLANK(Tabella3[[#This Row],[6-days moving avg]]))</f>
        <v>0</v>
      </c>
      <c r="X206" s="77" t="e">
        <f>Tabella8[[#This Row],[region fit]]</f>
        <v>#VALUE!</v>
      </c>
      <c r="Y206" s="72" t="e">
        <f>Tabella3[[#This Row],[region cumul. fit]]/Kl</f>
        <v>#VALUE!</v>
      </c>
      <c r="Z206" s="72">
        <f>IFERROR(Kl*psi_l*_xlfn.SECH(psi_l*(Tabella3[[#This Row],[Day]]-pl)-phi_l)^2/(1+TANH(phi_l)),0)</f>
        <v>33.430235862339252</v>
      </c>
      <c r="AA206" s="72">
        <f>Tabella3[[#This Row],[region fit]]/y_l_peak</f>
        <v>0.22705390459074917</v>
      </c>
      <c r="AB206" s="10">
        <f>Tabella3[[#This Row],[region fit]]*NOT(ISBLANK(Tabella3[[#This Row],[region data]]))</f>
        <v>0</v>
      </c>
      <c r="AC206" s="166">
        <f>IFERROR(kl_m*psi_l_m*_xlfn.SECH(psi_l_m*(Tabella3[[#This Row],[Day]]-pl_m)-phi_l_m)^2/(1+TANH(phi_l_m)),0)</f>
        <v>33.430235862339252</v>
      </c>
      <c r="AD206" s="72">
        <f>Tabella3[[#This Row],[6-days moving avg fit]]*NOT(ISBLANK(Tabella3[[#This Row],[6-days moving avg]]))</f>
        <v>0</v>
      </c>
      <c r="AE206" s="131"/>
      <c r="AF206" s="131"/>
      <c r="AG206" s="131"/>
      <c r="AH206" s="10"/>
      <c r="AI206" s="10">
        <f>Tabella3[[#This Row],[rest of Italy data]]*NOT(ISBLANK(Tabella3[[#This Row],[rest of Italy data]]))</f>
        <v>0</v>
      </c>
      <c r="AJ206" s="77" t="e">
        <f>Tabella8[[#This Row],[rest of Italy fit]]</f>
        <v>#VALUE!</v>
      </c>
      <c r="AK206" s="72" t="e">
        <f>Tabella3[[#This Row],[rest of Italy cumul. fit]]/Ka</f>
        <v>#VALUE!</v>
      </c>
      <c r="AL206" s="72">
        <f>IFERROR(Ka*psi_a*_xlfn.SECH(psi_a*(Tabella3[[#This Row],[Day]]-pa)-phi_a)^2/(1+TANH(phi_a)),0)</f>
        <v>227.98699342086502</v>
      </c>
      <c r="AM206" s="72">
        <f>Tabella3[[#This Row],[rest of Italy fit]]/y_a_peak</f>
        <v>7.5506173100270288E-2</v>
      </c>
      <c r="AN206" s="10">
        <f>Tabella3[[#This Row],[rest of Italy fit]]*NOT(ISBLANK(Tabella3[[#This Row],[rest of Italy data]]))</f>
        <v>0</v>
      </c>
      <c r="AO206" s="131"/>
      <c r="AP206" s="131"/>
    </row>
    <row r="207" spans="2:42" x14ac:dyDescent="0.3">
      <c r="B207" s="9">
        <v>44030</v>
      </c>
      <c r="C207" s="4">
        <v>200</v>
      </c>
      <c r="D207" s="131"/>
      <c r="E207" s="10"/>
      <c r="F207" s="10">
        <f>Tabella3[[#This Row],[Italy remov. rate data]]*NOT(ISBLANK(Tabella3[[#This Row],[Italy remov. rate data]]))</f>
        <v>0</v>
      </c>
      <c r="G207" s="77" t="e">
        <f>Tabella8[[#This Row],[Italy fit]]</f>
        <v>#VALUE!</v>
      </c>
      <c r="H207" s="77" t="e">
        <f>Tabella3[[#This Row],[Italy cumul. fit]]/Kf</f>
        <v>#VALUE!</v>
      </c>
      <c r="I207" s="77">
        <f>Tabella3[[#This Row],[region fit]]+Tabella3[[#This Row],[rest of Italy fit]]</f>
        <v>249.26485230112775</v>
      </c>
      <c r="J207" s="77">
        <f>Tabella3[[#This Row],[Italy (fit of selected region + fitted sum of the other regions)]]/(y_l_peak+y_a_peak)</f>
        <v>7.8714805627491016E-2</v>
      </c>
      <c r="K207" s="72">
        <f>IFERROR(Kf*psi_f*_xlfn.SECH(psi_f*(Tabella3[[#This Row],[Day]]-pf)-phi_f)^2/(1+TANH(phi_f)),0)</f>
        <v>245.5089881529465</v>
      </c>
      <c r="L207" s="292">
        <f>Tabella3[[#This Row],[Italy remov. rate fit]]-Tabella3[[#This Row],[Italy remov. rate data]]</f>
        <v>245.5089881529465</v>
      </c>
      <c r="M207" s="293">
        <f>Tabella3[[#This Row],[rem. rate residuals]]*NOT(ISBLANK(Tabella3[[#This Row],[Italy remov. rate data]]))</f>
        <v>0</v>
      </c>
      <c r="N207" s="72">
        <f>Tabella3[[#This Row],[Italy remov. rate fit]]/y_f_peak</f>
        <v>7.7717573703966716E-2</v>
      </c>
      <c r="O207" s="10">
        <f>Tabella3[[#This Row],[Italy (fit of selected region + fitted sum of the other regions)]]*NOT(ISBLANK(Tabella3[[#This Row],[Italy remov. rate data]]))</f>
        <v>0</v>
      </c>
      <c r="P207" s="10">
        <f>Tabella3[[#This Row],[Italy remov. rate fit]]*NOT(ISBLANK(Tabella3[[#This Row],[Italy remov. rate data]]))</f>
        <v>0</v>
      </c>
      <c r="Q207" s="72"/>
      <c r="R207" s="72"/>
      <c r="S207" s="131"/>
      <c r="T207" s="10"/>
      <c r="U207" s="10">
        <f>Tabella3[[#This Row],[region data]]*NOT(ISBLANK(Tabella3[[#This Row],[region data]]))</f>
        <v>0</v>
      </c>
      <c r="V207"/>
      <c r="W207" s="72">
        <f>Tabella3[[#This Row],[6-days moving avg]]*NOT(ISBLANK(Tabella3[[#This Row],[6-days moving avg]]))</f>
        <v>0</v>
      </c>
      <c r="X207" s="77" t="e">
        <f>Tabella8[[#This Row],[region fit]]</f>
        <v>#VALUE!</v>
      </c>
      <c r="Y207" s="72" t="e">
        <f>Tabella3[[#This Row],[region cumul. fit]]/Kl</f>
        <v>#VALUE!</v>
      </c>
      <c r="Z207" s="72">
        <f>IFERROR(Kl*psi_l*_xlfn.SECH(psi_l*(Tabella3[[#This Row],[Day]]-pl)-phi_l)^2/(1+TANH(phi_l)),0)</f>
        <v>32.263919083549489</v>
      </c>
      <c r="AA207" s="72">
        <f>Tabella3[[#This Row],[region fit]]/y_l_peak</f>
        <v>0.21913242956124604</v>
      </c>
      <c r="AB207" s="10">
        <f>Tabella3[[#This Row],[region fit]]*NOT(ISBLANK(Tabella3[[#This Row],[region data]]))</f>
        <v>0</v>
      </c>
      <c r="AC207" s="166">
        <f>IFERROR(kl_m*psi_l_m*_xlfn.SECH(psi_l_m*(Tabella3[[#This Row],[Day]]-pl_m)-phi_l_m)^2/(1+TANH(phi_l_m)),0)</f>
        <v>32.263919083549489</v>
      </c>
      <c r="AD207" s="72">
        <f>Tabella3[[#This Row],[6-days moving avg fit]]*NOT(ISBLANK(Tabella3[[#This Row],[6-days moving avg]]))</f>
        <v>0</v>
      </c>
      <c r="AE207" s="131"/>
      <c r="AF207" s="131"/>
      <c r="AG207" s="131"/>
      <c r="AH207" s="10"/>
      <c r="AI207" s="10">
        <f>Tabella3[[#This Row],[rest of Italy data]]*NOT(ISBLANK(Tabella3[[#This Row],[rest of Italy data]]))</f>
        <v>0</v>
      </c>
      <c r="AJ207" s="77" t="e">
        <f>Tabella8[[#This Row],[rest of Italy fit]]</f>
        <v>#VALUE!</v>
      </c>
      <c r="AK207" s="72" t="e">
        <f>Tabella3[[#This Row],[rest of Italy cumul. fit]]/Ka</f>
        <v>#VALUE!</v>
      </c>
      <c r="AL207" s="72">
        <f>IFERROR(Ka*psi_a*_xlfn.SECH(psi_a*(Tabella3[[#This Row],[Day]]-pa)-phi_a)^2/(1+TANH(phi_a)),0)</f>
        <v>217.00093321757825</v>
      </c>
      <c r="AM207" s="72">
        <f>Tabella3[[#This Row],[rest of Italy fit]]/y_a_peak</f>
        <v>7.1867740262708923E-2</v>
      </c>
      <c r="AN207" s="10">
        <f>Tabella3[[#This Row],[rest of Italy fit]]*NOT(ISBLANK(Tabella3[[#This Row],[rest of Italy data]]))</f>
        <v>0</v>
      </c>
      <c r="AO207" s="131"/>
      <c r="AP207" s="131"/>
    </row>
    <row r="208" spans="2:42" x14ac:dyDescent="0.3">
      <c r="B208" s="9">
        <v>44031</v>
      </c>
      <c r="C208" s="4">
        <v>201</v>
      </c>
      <c r="D208" s="131"/>
      <c r="E208" s="10"/>
      <c r="F208" s="10">
        <f>Tabella3[[#This Row],[Italy remov. rate data]]*NOT(ISBLANK(Tabella3[[#This Row],[Italy remov. rate data]]))</f>
        <v>0</v>
      </c>
      <c r="G208" s="77" t="e">
        <f>Tabella8[[#This Row],[Italy fit]]</f>
        <v>#VALUE!</v>
      </c>
      <c r="H208" s="77" t="e">
        <f>Tabella3[[#This Row],[Italy cumul. fit]]/Kf</f>
        <v>#VALUE!</v>
      </c>
      <c r="I208" s="77">
        <f>Tabella3[[#This Row],[region fit]]+Tabella3[[#This Row],[rest of Italy fit]]</f>
        <v>237.65747073269148</v>
      </c>
      <c r="J208" s="77">
        <f>Tabella3[[#This Row],[Italy (fit of selected region + fitted sum of the other regions)]]/(y_l_peak+y_a_peak)</f>
        <v>7.5049335844772483E-2</v>
      </c>
      <c r="K208" s="72">
        <f>IFERROR(Kf*psi_f*_xlfn.SECH(psi_f*(Tabella3[[#This Row],[Day]]-pf)-phi_f)^2/(1+TANH(phi_f)),0)</f>
        <v>233.87081356770145</v>
      </c>
      <c r="L208" s="292">
        <f>Tabella3[[#This Row],[Italy remov. rate fit]]-Tabella3[[#This Row],[Italy remov. rate data]]</f>
        <v>233.87081356770145</v>
      </c>
      <c r="M208" s="293">
        <f>Tabella3[[#This Row],[rem. rate residuals]]*NOT(ISBLANK(Tabella3[[#This Row],[Italy remov. rate data]]))</f>
        <v>0</v>
      </c>
      <c r="N208" s="72">
        <f>Tabella3[[#This Row],[Italy remov. rate fit]]/y_f_peak</f>
        <v>7.4033428785635097E-2</v>
      </c>
      <c r="O208" s="10">
        <f>Tabella3[[#This Row],[Italy (fit of selected region + fitted sum of the other regions)]]*NOT(ISBLANK(Tabella3[[#This Row],[Italy remov. rate data]]))</f>
        <v>0</v>
      </c>
      <c r="P208" s="10">
        <f>Tabella3[[#This Row],[Italy remov. rate fit]]*NOT(ISBLANK(Tabella3[[#This Row],[Italy remov. rate data]]))</f>
        <v>0</v>
      </c>
      <c r="Q208" s="72"/>
      <c r="R208" s="72"/>
      <c r="S208" s="131"/>
      <c r="T208" s="10"/>
      <c r="U208" s="10">
        <f>Tabella3[[#This Row],[region data]]*NOT(ISBLANK(Tabella3[[#This Row],[region data]]))</f>
        <v>0</v>
      </c>
      <c r="V208"/>
      <c r="W208" s="72">
        <f>Tabella3[[#This Row],[6-days moving avg]]*NOT(ISBLANK(Tabella3[[#This Row],[6-days moving avg]]))</f>
        <v>0</v>
      </c>
      <c r="X208" s="77" t="e">
        <f>Tabella8[[#This Row],[region fit]]</f>
        <v>#VALUE!</v>
      </c>
      <c r="Y208" s="72" t="e">
        <f>Tabella3[[#This Row],[region cumul. fit]]/Kl</f>
        <v>#VALUE!</v>
      </c>
      <c r="Z208" s="72">
        <f>IFERROR(Kl*psi_l*_xlfn.SECH(psi_l*(Tabella3[[#This Row],[Day]]-pl)-phi_l)^2/(1+TANH(phi_l)),0)</f>
        <v>31.132755229611416</v>
      </c>
      <c r="AA208" s="72">
        <f>Tabella3[[#This Row],[region fit]]/y_l_peak</f>
        <v>0.21144970872056251</v>
      </c>
      <c r="AB208" s="10">
        <f>Tabella3[[#This Row],[region fit]]*NOT(ISBLANK(Tabella3[[#This Row],[region data]]))</f>
        <v>0</v>
      </c>
      <c r="AC208" s="166">
        <f>IFERROR(kl_m*psi_l_m*_xlfn.SECH(psi_l_m*(Tabella3[[#This Row],[Day]]-pl_m)-phi_l_m)^2/(1+TANH(phi_l_m)),0)</f>
        <v>31.132755229611416</v>
      </c>
      <c r="AD208" s="72">
        <f>Tabella3[[#This Row],[6-days moving avg fit]]*NOT(ISBLANK(Tabella3[[#This Row],[6-days moving avg]]))</f>
        <v>0</v>
      </c>
      <c r="AE208" s="131"/>
      <c r="AF208" s="131"/>
      <c r="AG208" s="131"/>
      <c r="AH208" s="10"/>
      <c r="AI208" s="10">
        <f>Tabella3[[#This Row],[rest of Italy data]]*NOT(ISBLANK(Tabella3[[#This Row],[rest of Italy data]]))</f>
        <v>0</v>
      </c>
      <c r="AJ208" s="77" t="e">
        <f>Tabella8[[#This Row],[rest of Italy fit]]</f>
        <v>#VALUE!</v>
      </c>
      <c r="AK208" s="72" t="e">
        <f>Tabella3[[#This Row],[rest of Italy cumul. fit]]/Ka</f>
        <v>#VALUE!</v>
      </c>
      <c r="AL208" s="72">
        <f>IFERROR(Ka*psi_a*_xlfn.SECH(psi_a*(Tabella3[[#This Row],[Day]]-pa)-phi_a)^2/(1+TANH(phi_a)),0)</f>
        <v>206.52471550308007</v>
      </c>
      <c r="AM208" s="72">
        <f>Tabella3[[#This Row],[rest of Italy fit]]/y_a_peak</f>
        <v>6.8398160282210685E-2</v>
      </c>
      <c r="AN208" s="10">
        <f>Tabella3[[#This Row],[rest of Italy fit]]*NOT(ISBLANK(Tabella3[[#This Row],[rest of Italy data]]))</f>
        <v>0</v>
      </c>
      <c r="AO208" s="131"/>
      <c r="AP208" s="131"/>
    </row>
    <row r="209" spans="2:42" x14ac:dyDescent="0.3">
      <c r="B209" s="9">
        <v>44032</v>
      </c>
      <c r="C209" s="4">
        <v>202</v>
      </c>
      <c r="D209" s="131"/>
      <c r="E209" s="10"/>
      <c r="F209" s="10">
        <f>Tabella3[[#This Row],[Italy remov. rate data]]*NOT(ISBLANK(Tabella3[[#This Row],[Italy remov. rate data]]))</f>
        <v>0</v>
      </c>
      <c r="G209" s="77" t="e">
        <f>Tabella8[[#This Row],[Italy fit]]</f>
        <v>#VALUE!</v>
      </c>
      <c r="H209" s="77" t="e">
        <f>Tabella3[[#This Row],[Italy cumul. fit]]/Kf</f>
        <v>#VALUE!</v>
      </c>
      <c r="I209" s="77">
        <f>Tabella3[[#This Row],[region fit]]+Tabella3[[#This Row],[rest of Italy fit]]</f>
        <v>226.57265363091065</v>
      </c>
      <c r="J209" s="77">
        <f>Tabella3[[#This Row],[Italy (fit of selected region + fitted sum of the other regions)]]/(y_l_peak+y_a_peak)</f>
        <v>7.154888555854888E-2</v>
      </c>
      <c r="K209" s="72">
        <f>IFERROR(Kf*psi_f*_xlfn.SECH(psi_f*(Tabella3[[#This Row],[Day]]-pf)-phi_f)^2/(1+TANH(phi_f)),0)</f>
        <v>222.76328836173766</v>
      </c>
      <c r="L209" s="292">
        <f>Tabella3[[#This Row],[Italy remov. rate fit]]-Tabella3[[#This Row],[Italy remov. rate data]]</f>
        <v>222.76328836173766</v>
      </c>
      <c r="M209" s="293">
        <f>Tabella3[[#This Row],[rem. rate residuals]]*NOT(ISBLANK(Tabella3[[#This Row],[Italy remov. rate data]]))</f>
        <v>0</v>
      </c>
      <c r="N209" s="72">
        <f>Tabella3[[#This Row],[Italy remov. rate fit]]/y_f_peak</f>
        <v>7.0517264610312227E-2</v>
      </c>
      <c r="O209" s="10">
        <f>Tabella3[[#This Row],[Italy (fit of selected region + fitted sum of the other regions)]]*NOT(ISBLANK(Tabella3[[#This Row],[Italy remov. rate data]]))</f>
        <v>0</v>
      </c>
      <c r="P209" s="10">
        <f>Tabella3[[#This Row],[Italy remov. rate fit]]*NOT(ISBLANK(Tabella3[[#This Row],[Italy remov. rate data]]))</f>
        <v>0</v>
      </c>
      <c r="Q209" s="72"/>
      <c r="R209" s="72"/>
      <c r="S209" s="131"/>
      <c r="T209" s="10"/>
      <c r="U209" s="10">
        <f>Tabella3[[#This Row],[region data]]*NOT(ISBLANK(Tabella3[[#This Row],[region data]]))</f>
        <v>0</v>
      </c>
      <c r="V209"/>
      <c r="W209" s="72">
        <f>Tabella3[[#This Row],[6-days moving avg]]*NOT(ISBLANK(Tabella3[[#This Row],[6-days moving avg]]))</f>
        <v>0</v>
      </c>
      <c r="X209" s="77" t="e">
        <f>Tabella8[[#This Row],[region fit]]</f>
        <v>#VALUE!</v>
      </c>
      <c r="Y209" s="72" t="e">
        <f>Tabella3[[#This Row],[region cumul. fit]]/Kl</f>
        <v>#VALUE!</v>
      </c>
      <c r="Z209" s="72">
        <f>IFERROR(Kl*psi_l*_xlfn.SECH(psi_l*(Tabella3[[#This Row],[Day]]-pl)-phi_l)^2/(1+TANH(phi_l)),0)</f>
        <v>30.036094411685706</v>
      </c>
      <c r="AA209" s="72">
        <f>Tabella3[[#This Row],[region fit]]/y_l_peak</f>
        <v>0.20400132810646615</v>
      </c>
      <c r="AB209" s="10">
        <f>Tabella3[[#This Row],[region fit]]*NOT(ISBLANK(Tabella3[[#This Row],[region data]]))</f>
        <v>0</v>
      </c>
      <c r="AC209" s="166">
        <f>IFERROR(kl_m*psi_l_m*_xlfn.SECH(psi_l_m*(Tabella3[[#This Row],[Day]]-pl_m)-phi_l_m)^2/(1+TANH(phi_l_m)),0)</f>
        <v>30.036094411685706</v>
      </c>
      <c r="AD209" s="72">
        <f>Tabella3[[#This Row],[6-days moving avg fit]]*NOT(ISBLANK(Tabella3[[#This Row],[6-days moving avg]]))</f>
        <v>0</v>
      </c>
      <c r="AE209" s="131"/>
      <c r="AF209" s="131"/>
      <c r="AG209" s="131"/>
      <c r="AH209" s="10"/>
      <c r="AI209" s="10">
        <f>Tabella3[[#This Row],[rest of Italy data]]*NOT(ISBLANK(Tabella3[[#This Row],[rest of Italy data]]))</f>
        <v>0</v>
      </c>
      <c r="AJ209" s="77" t="e">
        <f>Tabella8[[#This Row],[rest of Italy fit]]</f>
        <v>#VALUE!</v>
      </c>
      <c r="AK209" s="72" t="e">
        <f>Tabella3[[#This Row],[rest of Italy cumul. fit]]/Ka</f>
        <v>#VALUE!</v>
      </c>
      <c r="AL209" s="72">
        <f>IFERROR(Ka*psi_a*_xlfn.SECH(psi_a*(Tabella3[[#This Row],[Day]]-pa)-phi_a)^2/(1+TANH(phi_a)),0)</f>
        <v>196.53655921922496</v>
      </c>
      <c r="AM209" s="72">
        <f>Tabella3[[#This Row],[rest of Italy fit]]/y_a_peak</f>
        <v>6.5090219570307348E-2</v>
      </c>
      <c r="AN209" s="10">
        <f>Tabella3[[#This Row],[rest of Italy fit]]*NOT(ISBLANK(Tabella3[[#This Row],[rest of Italy data]]))</f>
        <v>0</v>
      </c>
      <c r="AO209" s="131"/>
      <c r="AP209" s="131"/>
    </row>
    <row r="210" spans="2:42" x14ac:dyDescent="0.3">
      <c r="B210" s="9">
        <v>44033</v>
      </c>
      <c r="C210" s="4">
        <v>203</v>
      </c>
      <c r="D210" s="131"/>
      <c r="E210" s="10"/>
      <c r="F210" s="10">
        <f>Tabella3[[#This Row],[Italy remov. rate data]]*NOT(ISBLANK(Tabella3[[#This Row],[Italy remov. rate data]]))</f>
        <v>0</v>
      </c>
      <c r="G210" s="77" t="e">
        <f>Tabella8[[#This Row],[Italy fit]]</f>
        <v>#VALUE!</v>
      </c>
      <c r="H210" s="77" t="e">
        <f>Tabella3[[#This Row],[Italy cumul. fit]]/Kf</f>
        <v>#VALUE!</v>
      </c>
      <c r="I210" s="77">
        <f>Tabella3[[#This Row],[region fit]]+Tabella3[[#This Row],[rest of Italy fit]]</f>
        <v>215.9886965881719</v>
      </c>
      <c r="J210" s="77">
        <f>Tabella3[[#This Row],[Italy (fit of selected region + fitted sum of the other regions)]]/(y_l_peak+y_a_peak)</f>
        <v>6.820660078114095E-2</v>
      </c>
      <c r="K210" s="72">
        <f>IFERROR(Kf*psi_f*_xlfn.SECH(psi_f*(Tabella3[[#This Row],[Day]]-pf)-phi_f)^2/(1+TANH(phi_f)),0)</f>
        <v>212.1642109814691</v>
      </c>
      <c r="L210" s="292">
        <f>Tabella3[[#This Row],[Italy remov. rate fit]]-Tabella3[[#This Row],[Italy remov. rate data]]</f>
        <v>212.1642109814691</v>
      </c>
      <c r="M210" s="293">
        <f>Tabella3[[#This Row],[rem. rate residuals]]*NOT(ISBLANK(Tabella3[[#This Row],[Italy remov. rate data]]))</f>
        <v>0</v>
      </c>
      <c r="N210" s="72">
        <f>Tabella3[[#This Row],[Italy remov. rate fit]]/y_f_peak</f>
        <v>6.7162053122161322E-2</v>
      </c>
      <c r="O210" s="10">
        <f>Tabella3[[#This Row],[Italy (fit of selected region + fitted sum of the other regions)]]*NOT(ISBLANK(Tabella3[[#This Row],[Italy remov. rate data]]))</f>
        <v>0</v>
      </c>
      <c r="P210" s="10">
        <f>Tabella3[[#This Row],[Italy remov. rate fit]]*NOT(ISBLANK(Tabella3[[#This Row],[Italy remov. rate data]]))</f>
        <v>0</v>
      </c>
      <c r="Q210" s="72"/>
      <c r="R210" s="72"/>
      <c r="S210" s="131"/>
      <c r="T210" s="10"/>
      <c r="U210" s="10">
        <f>Tabella3[[#This Row],[region data]]*NOT(ISBLANK(Tabella3[[#This Row],[region data]]))</f>
        <v>0</v>
      </c>
      <c r="V210"/>
      <c r="W210" s="72">
        <f>Tabella3[[#This Row],[6-days moving avg]]*NOT(ISBLANK(Tabella3[[#This Row],[6-days moving avg]]))</f>
        <v>0</v>
      </c>
      <c r="X210" s="77" t="e">
        <f>Tabella8[[#This Row],[region fit]]</f>
        <v>#VALUE!</v>
      </c>
      <c r="Y210" s="72" t="e">
        <f>Tabella3[[#This Row],[region cumul. fit]]/Kl</f>
        <v>#VALUE!</v>
      </c>
      <c r="Z210" s="72">
        <f>IFERROR(Kl*psi_l*_xlfn.SECH(psi_l*(Tabella3[[#This Row],[Day]]-pl)-phi_l)^2/(1+TANH(phi_l)),0)</f>
        <v>28.973266153611217</v>
      </c>
      <c r="AA210" s="72">
        <f>Tabella3[[#This Row],[region fit]]/y_l_peak</f>
        <v>0.1967827339302565</v>
      </c>
      <c r="AB210" s="10">
        <f>Tabella3[[#This Row],[region fit]]*NOT(ISBLANK(Tabella3[[#This Row],[region data]]))</f>
        <v>0</v>
      </c>
      <c r="AC210" s="166">
        <f>IFERROR(kl_m*psi_l_m*_xlfn.SECH(psi_l_m*(Tabella3[[#This Row],[Day]]-pl_m)-phi_l_m)^2/(1+TANH(phi_l_m)),0)</f>
        <v>28.973266153611217</v>
      </c>
      <c r="AD210" s="72">
        <f>Tabella3[[#This Row],[6-days moving avg fit]]*NOT(ISBLANK(Tabella3[[#This Row],[6-days moving avg]]))</f>
        <v>0</v>
      </c>
      <c r="AE210" s="131"/>
      <c r="AF210" s="131"/>
      <c r="AG210" s="131"/>
      <c r="AH210" s="10"/>
      <c r="AI210" s="10">
        <f>Tabella3[[#This Row],[rest of Italy data]]*NOT(ISBLANK(Tabella3[[#This Row],[rest of Italy data]]))</f>
        <v>0</v>
      </c>
      <c r="AJ210" s="77" t="e">
        <f>Tabella8[[#This Row],[rest of Italy fit]]</f>
        <v>#VALUE!</v>
      </c>
      <c r="AK210" s="72" t="e">
        <f>Tabella3[[#This Row],[rest of Italy cumul. fit]]/Ka</f>
        <v>#VALUE!</v>
      </c>
      <c r="AL210" s="72">
        <f>IFERROR(Ka*psi_a*_xlfn.SECH(psi_a*(Tabella3[[#This Row],[Day]]-pa)-phi_a)^2/(1+TANH(phi_a)),0)</f>
        <v>187.0154304345607</v>
      </c>
      <c r="AM210" s="72">
        <f>Tabella3[[#This Row],[rest of Italy fit]]/y_a_peak</f>
        <v>6.1936951976670006E-2</v>
      </c>
      <c r="AN210" s="10">
        <f>Tabella3[[#This Row],[rest of Italy fit]]*NOT(ISBLANK(Tabella3[[#This Row],[rest of Italy data]]))</f>
        <v>0</v>
      </c>
      <c r="AO210" s="131"/>
      <c r="AP210" s="131"/>
    </row>
    <row r="211" spans="2:42" x14ac:dyDescent="0.3">
      <c r="B211" s="9">
        <v>44034</v>
      </c>
      <c r="C211" s="4">
        <v>204</v>
      </c>
      <c r="D211" s="131"/>
      <c r="E211" s="10"/>
      <c r="F211" s="10">
        <f>Tabella3[[#This Row],[Italy remov. rate data]]*NOT(ISBLANK(Tabella3[[#This Row],[Italy remov. rate data]]))</f>
        <v>0</v>
      </c>
      <c r="G211" s="77" t="e">
        <f>Tabella8[[#This Row],[Italy fit]]</f>
        <v>#VALUE!</v>
      </c>
      <c r="H211" s="77" t="e">
        <f>Tabella3[[#This Row],[Italy cumul. fit]]/Kf</f>
        <v>#VALUE!</v>
      </c>
      <c r="I211" s="77">
        <f>Tabella3[[#This Row],[region fit]]+Tabella3[[#This Row],[rest of Italy fit]]</f>
        <v>205.88461824095216</v>
      </c>
      <c r="J211" s="77">
        <f>Tabella3[[#This Row],[Italy (fit of selected region + fitted sum of the other regions)]]/(y_l_peak+y_a_peak)</f>
        <v>6.5015855853390286E-2</v>
      </c>
      <c r="K211" s="72">
        <f>IFERROR(Kf*psi_f*_xlfn.SECH(psi_f*(Tabella3[[#This Row],[Day]]-pf)-phi_f)^2/(1+TANH(phi_f)),0)</f>
        <v>202.05211710831119</v>
      </c>
      <c r="L211" s="292">
        <f>Tabella3[[#This Row],[Italy remov. rate fit]]-Tabella3[[#This Row],[Italy remov. rate data]]</f>
        <v>202.05211710831119</v>
      </c>
      <c r="M211" s="293">
        <f>Tabella3[[#This Row],[rem. rate residuals]]*NOT(ISBLANK(Tabella3[[#This Row],[Italy remov. rate data]]))</f>
        <v>0</v>
      </c>
      <c r="N211" s="72">
        <f>Tabella3[[#This Row],[Italy remov. rate fit]]/y_f_peak</f>
        <v>6.3960999642200797E-2</v>
      </c>
      <c r="O211" s="10">
        <f>Tabella3[[#This Row],[Italy (fit of selected region + fitted sum of the other regions)]]*NOT(ISBLANK(Tabella3[[#This Row],[Italy remov. rate data]]))</f>
        <v>0</v>
      </c>
      <c r="P211" s="10">
        <f>Tabella3[[#This Row],[Italy remov. rate fit]]*NOT(ISBLANK(Tabella3[[#This Row],[Italy remov. rate data]]))</f>
        <v>0</v>
      </c>
      <c r="Q211" s="72"/>
      <c r="R211" s="72"/>
      <c r="S211" s="131"/>
      <c r="T211" s="10"/>
      <c r="U211" s="10">
        <f>Tabella3[[#This Row],[region data]]*NOT(ISBLANK(Tabella3[[#This Row],[region data]]))</f>
        <v>0</v>
      </c>
      <c r="V211"/>
      <c r="W211" s="72">
        <f>Tabella3[[#This Row],[6-days moving avg]]*NOT(ISBLANK(Tabella3[[#This Row],[6-days moving avg]]))</f>
        <v>0</v>
      </c>
      <c r="X211" s="77" t="e">
        <f>Tabella8[[#This Row],[region fit]]</f>
        <v>#VALUE!</v>
      </c>
      <c r="Y211" s="72" t="e">
        <f>Tabella3[[#This Row],[region cumul. fit]]/Kl</f>
        <v>#VALUE!</v>
      </c>
      <c r="Z211" s="72">
        <f>IFERROR(Kl*psi_l*_xlfn.SECH(psi_l*(Tabella3[[#This Row],[Day]]-pl)-phi_l)^2/(1+TANH(phi_l)),0)</f>
        <v>27.943582700780372</v>
      </c>
      <c r="AA211" s="72">
        <f>Tabella3[[#This Row],[region fit]]/y_l_peak</f>
        <v>0.1897892550502254</v>
      </c>
      <c r="AB211" s="10">
        <f>Tabella3[[#This Row],[region fit]]*NOT(ISBLANK(Tabella3[[#This Row],[region data]]))</f>
        <v>0</v>
      </c>
      <c r="AC211" s="166">
        <f>IFERROR(kl_m*psi_l_m*_xlfn.SECH(psi_l_m*(Tabella3[[#This Row],[Day]]-pl_m)-phi_l_m)^2/(1+TANH(phi_l_m)),0)</f>
        <v>27.943582700780372</v>
      </c>
      <c r="AD211" s="72">
        <f>Tabella3[[#This Row],[6-days moving avg fit]]*NOT(ISBLANK(Tabella3[[#This Row],[6-days moving avg]]))</f>
        <v>0</v>
      </c>
      <c r="AE211" s="131"/>
      <c r="AF211" s="131"/>
      <c r="AG211" s="131"/>
      <c r="AH211" s="10"/>
      <c r="AI211" s="10">
        <f>Tabella3[[#This Row],[rest of Italy data]]*NOT(ISBLANK(Tabella3[[#This Row],[rest of Italy data]]))</f>
        <v>0</v>
      </c>
      <c r="AJ211" s="77" t="e">
        <f>Tabella8[[#This Row],[rest of Italy fit]]</f>
        <v>#VALUE!</v>
      </c>
      <c r="AK211" s="72" t="e">
        <f>Tabella3[[#This Row],[rest of Italy cumul. fit]]/Ka</f>
        <v>#VALUE!</v>
      </c>
      <c r="AL211" s="72">
        <f>IFERROR(Ka*psi_a*_xlfn.SECH(psi_a*(Tabella3[[#This Row],[Day]]-pa)-phi_a)^2/(1+TANH(phi_a)),0)</f>
        <v>177.94103554017178</v>
      </c>
      <c r="AM211" s="72">
        <f>Tabella3[[#This Row],[rest of Italy fit]]/y_a_peak</f>
        <v>5.893163653566541E-2</v>
      </c>
      <c r="AN211" s="10">
        <f>Tabella3[[#This Row],[rest of Italy fit]]*NOT(ISBLANK(Tabella3[[#This Row],[rest of Italy data]]))</f>
        <v>0</v>
      </c>
      <c r="AO211" s="131"/>
      <c r="AP211" s="131"/>
    </row>
    <row r="212" spans="2:42" x14ac:dyDescent="0.3">
      <c r="B212" s="9">
        <v>44035</v>
      </c>
      <c r="C212" s="4">
        <v>205</v>
      </c>
      <c r="D212" s="131"/>
      <c r="E212" s="10"/>
      <c r="F212" s="10">
        <f>Tabella3[[#This Row],[Italy remov. rate data]]*NOT(ISBLANK(Tabella3[[#This Row],[Italy remov. rate data]]))</f>
        <v>0</v>
      </c>
      <c r="G212" s="77" t="e">
        <f>Tabella8[[#This Row],[Italy fit]]</f>
        <v>#VALUE!</v>
      </c>
      <c r="H212" s="77" t="e">
        <f>Tabella3[[#This Row],[Italy cumul. fit]]/Kf</f>
        <v>#VALUE!</v>
      </c>
      <c r="I212" s="77">
        <f>Tabella3[[#This Row],[region fit]]+Tabella3[[#This Row],[rest of Italy fit]]</f>
        <v>196.24015429523905</v>
      </c>
      <c r="J212" s="77">
        <f>Tabella3[[#This Row],[Italy (fit of selected region + fitted sum of the other regions)]]/(y_l_peak+y_a_peak)</f>
        <v>6.1970251557959828E-2</v>
      </c>
      <c r="K212" s="72">
        <f>IFERROR(Kf*psi_f*_xlfn.SECH(psi_f*(Tabella3[[#This Row],[Day]]-pf)-phi_f)^2/(1+TANH(phi_f)),0)</f>
        <v>192.40627460364752</v>
      </c>
      <c r="L212" s="292">
        <f>Tabella3[[#This Row],[Italy remov. rate fit]]-Tabella3[[#This Row],[Italy remov. rate data]]</f>
        <v>192.40627460364752</v>
      </c>
      <c r="M212" s="293">
        <f>Tabella3[[#This Row],[rem. rate residuals]]*NOT(ISBLANK(Tabella3[[#This Row],[Italy remov. rate data]]))</f>
        <v>0</v>
      </c>
      <c r="N212" s="72">
        <f>Tabella3[[#This Row],[Italy remov. rate fit]]/y_f_peak</f>
        <v>6.0907541268098261E-2</v>
      </c>
      <c r="O212" s="10">
        <f>Tabella3[[#This Row],[Italy (fit of selected region + fitted sum of the other regions)]]*NOT(ISBLANK(Tabella3[[#This Row],[Italy remov. rate data]]))</f>
        <v>0</v>
      </c>
      <c r="P212" s="10">
        <f>Tabella3[[#This Row],[Italy remov. rate fit]]*NOT(ISBLANK(Tabella3[[#This Row],[Italy remov. rate data]]))</f>
        <v>0</v>
      </c>
      <c r="Q212" s="72"/>
      <c r="R212" s="72"/>
      <c r="S212" s="131"/>
      <c r="T212" s="10"/>
      <c r="U212" s="10">
        <f>Tabella3[[#This Row],[region data]]*NOT(ISBLANK(Tabella3[[#This Row],[region data]]))</f>
        <v>0</v>
      </c>
      <c r="V212"/>
      <c r="W212" s="72">
        <f>Tabella3[[#This Row],[6-days moving avg]]*NOT(ISBLANK(Tabella3[[#This Row],[6-days moving avg]]))</f>
        <v>0</v>
      </c>
      <c r="X212" s="77" t="e">
        <f>Tabella8[[#This Row],[region fit]]</f>
        <v>#VALUE!</v>
      </c>
      <c r="Y212" s="72" t="e">
        <f>Tabella3[[#This Row],[region cumul. fit]]/Kl</f>
        <v>#VALUE!</v>
      </c>
      <c r="Z212" s="72">
        <f>IFERROR(Kl*psi_l*_xlfn.SECH(psi_l*(Tabella3[[#This Row],[Day]]-pl)-phi_l)^2/(1+TANH(phi_l)),0)</f>
        <v>26.946342107643002</v>
      </c>
      <c r="AA212" s="72">
        <f>Tabella3[[#This Row],[region fit]]/y_l_peak</f>
        <v>0.18301612394158981</v>
      </c>
      <c r="AB212" s="10">
        <f>Tabella3[[#This Row],[region fit]]*NOT(ISBLANK(Tabella3[[#This Row],[region data]]))</f>
        <v>0</v>
      </c>
      <c r="AC212" s="166">
        <f>IFERROR(kl_m*psi_l_m*_xlfn.SECH(psi_l_m*(Tabella3[[#This Row],[Day]]-pl_m)-phi_l_m)^2/(1+TANH(phi_l_m)),0)</f>
        <v>26.946342107643002</v>
      </c>
      <c r="AD212" s="72">
        <f>Tabella3[[#This Row],[6-days moving avg fit]]*NOT(ISBLANK(Tabella3[[#This Row],[6-days moving avg]]))</f>
        <v>0</v>
      </c>
      <c r="AE212" s="131"/>
      <c r="AF212" s="131"/>
      <c r="AG212" s="131"/>
      <c r="AH212" s="10"/>
      <c r="AI212" s="10">
        <f>Tabella3[[#This Row],[rest of Italy data]]*NOT(ISBLANK(Tabella3[[#This Row],[rest of Italy data]]))</f>
        <v>0</v>
      </c>
      <c r="AJ212" s="77" t="e">
        <f>Tabella8[[#This Row],[rest of Italy fit]]</f>
        <v>#VALUE!</v>
      </c>
      <c r="AK212" s="72" t="e">
        <f>Tabella3[[#This Row],[rest of Italy cumul. fit]]/Ka</f>
        <v>#VALUE!</v>
      </c>
      <c r="AL212" s="72">
        <f>IFERROR(Ka*psi_a*_xlfn.SECH(psi_a*(Tabella3[[#This Row],[Day]]-pa)-phi_a)^2/(1+TANH(phi_a)),0)</f>
        <v>169.29381218759605</v>
      </c>
      <c r="AM212" s="72">
        <f>Tabella3[[#This Row],[rest of Italy fit]]/y_a_peak</f>
        <v>5.6067794465118025E-2</v>
      </c>
      <c r="AN212" s="10">
        <f>Tabella3[[#This Row],[rest of Italy fit]]*NOT(ISBLANK(Tabella3[[#This Row],[rest of Italy data]]))</f>
        <v>0</v>
      </c>
      <c r="AO212" s="131"/>
      <c r="AP212" s="131"/>
    </row>
    <row r="213" spans="2:42" x14ac:dyDescent="0.3">
      <c r="B213" s="9">
        <v>44036</v>
      </c>
      <c r="C213" s="4">
        <v>206</v>
      </c>
      <c r="D213" s="131"/>
      <c r="E213" s="10"/>
      <c r="F213" s="10">
        <f>Tabella3[[#This Row],[Italy remov. rate data]]*NOT(ISBLANK(Tabella3[[#This Row],[Italy remov. rate data]]))</f>
        <v>0</v>
      </c>
      <c r="G213" s="77" t="e">
        <f>Tabella8[[#This Row],[Italy fit]]</f>
        <v>#VALUE!</v>
      </c>
      <c r="H213" s="77" t="e">
        <f>Tabella3[[#This Row],[Italy cumul. fit]]/Kf</f>
        <v>#VALUE!</v>
      </c>
      <c r="I213" s="77">
        <f>Tabella3[[#This Row],[region fit]]+Tabella3[[#This Row],[rest of Italy fit]]</f>
        <v>187.03574939474569</v>
      </c>
      <c r="J213" s="77">
        <f>Tabella3[[#This Row],[Italy (fit of selected region + fitted sum of the other regions)]]/(y_l_peak+y_a_peak)</f>
        <v>5.906361255141513E-2</v>
      </c>
      <c r="K213" s="72">
        <f>IFERROR(Kf*psi_f*_xlfn.SECH(psi_f*(Tabella3[[#This Row],[Day]]-pf)-phi_f)^2/(1+TANH(phi_f)),0)</f>
        <v>183.20667609814325</v>
      </c>
      <c r="L213" s="292">
        <f>Tabella3[[#This Row],[Italy remov. rate fit]]-Tabella3[[#This Row],[Italy remov. rate data]]</f>
        <v>183.20667609814325</v>
      </c>
      <c r="M213" s="293">
        <f>Tabella3[[#This Row],[rem. rate residuals]]*NOT(ISBLANK(Tabella3[[#This Row],[Italy remov. rate data]]))</f>
        <v>0</v>
      </c>
      <c r="N213" s="72">
        <f>Tabella3[[#This Row],[Italy remov. rate fit]]/y_f_peak</f>
        <v>5.7995344528266393E-2</v>
      </c>
      <c r="O213" s="10">
        <f>Tabella3[[#This Row],[Italy (fit of selected region + fitted sum of the other regions)]]*NOT(ISBLANK(Tabella3[[#This Row],[Italy remov. rate data]]))</f>
        <v>0</v>
      </c>
      <c r="P213" s="10">
        <f>Tabella3[[#This Row],[Italy remov. rate fit]]*NOT(ISBLANK(Tabella3[[#This Row],[Italy remov. rate data]]))</f>
        <v>0</v>
      </c>
      <c r="Q213" s="72"/>
      <c r="R213" s="72"/>
      <c r="S213" s="131"/>
      <c r="T213" s="10"/>
      <c r="U213" s="10">
        <f>Tabella3[[#This Row],[region data]]*NOT(ISBLANK(Tabella3[[#This Row],[region data]]))</f>
        <v>0</v>
      </c>
      <c r="V213"/>
      <c r="W213" s="72">
        <f>Tabella3[[#This Row],[6-days moving avg]]*NOT(ISBLANK(Tabella3[[#This Row],[6-days moving avg]]))</f>
        <v>0</v>
      </c>
      <c r="X213" s="77" t="e">
        <f>Tabella8[[#This Row],[region fit]]</f>
        <v>#VALUE!</v>
      </c>
      <c r="Y213" s="72" t="e">
        <f>Tabella3[[#This Row],[region cumul. fit]]/Kl</f>
        <v>#VALUE!</v>
      </c>
      <c r="Z213" s="72">
        <f>IFERROR(Kl*psi_l*_xlfn.SECH(psi_l*(Tabella3[[#This Row],[Day]]-pl)-phi_l)^2/(1+TANH(phi_l)),0)</f>
        <v>25.980831110665559</v>
      </c>
      <c r="AA213" s="72">
        <f>Tabella3[[#This Row],[region fit]]/y_l_peak</f>
        <v>0.17645849620926499</v>
      </c>
      <c r="AB213" s="10">
        <f>Tabella3[[#This Row],[region fit]]*NOT(ISBLANK(Tabella3[[#This Row],[region data]]))</f>
        <v>0</v>
      </c>
      <c r="AC213" s="166">
        <f>IFERROR(kl_m*psi_l_m*_xlfn.SECH(psi_l_m*(Tabella3[[#This Row],[Day]]-pl_m)-phi_l_m)^2/(1+TANH(phi_l_m)),0)</f>
        <v>25.980831110665559</v>
      </c>
      <c r="AD213" s="72">
        <f>Tabella3[[#This Row],[6-days moving avg fit]]*NOT(ISBLANK(Tabella3[[#This Row],[6-days moving avg]]))</f>
        <v>0</v>
      </c>
      <c r="AE213" s="131"/>
      <c r="AF213" s="131"/>
      <c r="AG213" s="131"/>
      <c r="AH213" s="10"/>
      <c r="AI213" s="10">
        <f>Tabella3[[#This Row],[rest of Italy data]]*NOT(ISBLANK(Tabella3[[#This Row],[rest of Italy data]]))</f>
        <v>0</v>
      </c>
      <c r="AJ213" s="77" t="e">
        <f>Tabella8[[#This Row],[rest of Italy fit]]</f>
        <v>#VALUE!</v>
      </c>
      <c r="AK213" s="72" t="e">
        <f>Tabella3[[#This Row],[rest of Italy cumul. fit]]/Ka</f>
        <v>#VALUE!</v>
      </c>
      <c r="AL213" s="72">
        <f>IFERROR(Ka*psi_a*_xlfn.SECH(psi_a*(Tabella3[[#This Row],[Day]]-pa)-phi_a)^2/(1+TANH(phi_a)),0)</f>
        <v>161.05491828408014</v>
      </c>
      <c r="AM213" s="72">
        <f>Tabella3[[#This Row],[rest of Italy fit]]/y_a_peak</f>
        <v>5.3339185521689148E-2</v>
      </c>
      <c r="AN213" s="10">
        <f>Tabella3[[#This Row],[rest of Italy fit]]*NOT(ISBLANK(Tabella3[[#This Row],[rest of Italy data]]))</f>
        <v>0</v>
      </c>
      <c r="AO213" s="131"/>
      <c r="AP213" s="131"/>
    </row>
    <row r="214" spans="2:42" x14ac:dyDescent="0.3">
      <c r="B214" s="9">
        <v>44037</v>
      </c>
      <c r="C214" s="4">
        <v>207</v>
      </c>
      <c r="D214" s="131"/>
      <c r="E214" s="10"/>
      <c r="F214" s="10">
        <f>Tabella3[[#This Row],[Italy remov. rate data]]*NOT(ISBLANK(Tabella3[[#This Row],[Italy remov. rate data]]))</f>
        <v>0</v>
      </c>
      <c r="G214" s="77" t="e">
        <f>Tabella8[[#This Row],[Italy fit]]</f>
        <v>#VALUE!</v>
      </c>
      <c r="H214" s="77" t="e">
        <f>Tabella3[[#This Row],[Italy cumul. fit]]/Kf</f>
        <v>#VALUE!</v>
      </c>
      <c r="I214" s="77">
        <f>Tabella3[[#This Row],[region fit]]+Tabella3[[#This Row],[rest of Italy fit]]</f>
        <v>178.25254712572024</v>
      </c>
      <c r="J214" s="77">
        <f>Tabella3[[#This Row],[Italy (fit of selected region + fitted sum of the other regions)]]/(y_l_peak+y_a_peak)</f>
        <v>5.6289984207864872E-2</v>
      </c>
      <c r="K214" s="72">
        <f>IFERROR(Kf*psi_f*_xlfn.SECH(psi_f*(Tabella3[[#This Row],[Day]]-pf)-phi_f)^2/(1+TANH(phi_f)),0)</f>
        <v>174.43402953932593</v>
      </c>
      <c r="L214" s="292">
        <f>Tabella3[[#This Row],[Italy remov. rate fit]]-Tabella3[[#This Row],[Italy remov. rate data]]</f>
        <v>174.43402953932593</v>
      </c>
      <c r="M214" s="293">
        <f>Tabella3[[#This Row],[rem. rate residuals]]*NOT(ISBLANK(Tabella3[[#This Row],[Italy remov. rate data]]))</f>
        <v>0</v>
      </c>
      <c r="N214" s="72">
        <f>Tabella3[[#This Row],[Italy remov. rate fit]]/y_f_peak</f>
        <v>5.5218302389633996E-2</v>
      </c>
      <c r="O214" s="10">
        <f>Tabella3[[#This Row],[Italy (fit of selected region + fitted sum of the other regions)]]*NOT(ISBLANK(Tabella3[[#This Row],[Italy remov. rate data]]))</f>
        <v>0</v>
      </c>
      <c r="P214" s="10">
        <f>Tabella3[[#This Row],[Italy remov. rate fit]]*NOT(ISBLANK(Tabella3[[#This Row],[Italy remov. rate data]]))</f>
        <v>0</v>
      </c>
      <c r="Q214" s="72"/>
      <c r="R214" s="72"/>
      <c r="S214" s="131"/>
      <c r="T214" s="10"/>
      <c r="U214" s="10">
        <f>Tabella3[[#This Row],[region data]]*NOT(ISBLANK(Tabella3[[#This Row],[region data]]))</f>
        <v>0</v>
      </c>
      <c r="V214"/>
      <c r="W214" s="72">
        <f>Tabella3[[#This Row],[6-days moving avg]]*NOT(ISBLANK(Tabella3[[#This Row],[6-days moving avg]]))</f>
        <v>0</v>
      </c>
      <c r="X214" s="77" t="e">
        <f>Tabella8[[#This Row],[region fit]]</f>
        <v>#VALUE!</v>
      </c>
      <c r="Y214" s="72" t="e">
        <f>Tabella3[[#This Row],[region cumul. fit]]/Kl</f>
        <v>#VALUE!</v>
      </c>
      <c r="Z214" s="72">
        <f>IFERROR(Kl*psi_l*_xlfn.SECH(psi_l*(Tabella3[[#This Row],[Day]]-pl)-phi_l)^2/(1+TANH(phi_l)),0)</f>
        <v>25.046327794125833</v>
      </c>
      <c r="AA214" s="72">
        <f>Tabella3[[#This Row],[region fit]]/y_l_peak</f>
        <v>0.17011146869360264</v>
      </c>
      <c r="AB214" s="10">
        <f>Tabella3[[#This Row],[region fit]]*NOT(ISBLANK(Tabella3[[#This Row],[region data]]))</f>
        <v>0</v>
      </c>
      <c r="AC214" s="166">
        <f>IFERROR(kl_m*psi_l_m*_xlfn.SECH(psi_l_m*(Tabella3[[#This Row],[Day]]-pl_m)-phi_l_m)^2/(1+TANH(phi_l_m)),0)</f>
        <v>25.046327794125833</v>
      </c>
      <c r="AD214" s="72">
        <f>Tabella3[[#This Row],[6-days moving avg fit]]*NOT(ISBLANK(Tabella3[[#This Row],[6-days moving avg]]))</f>
        <v>0</v>
      </c>
      <c r="AE214" s="131"/>
      <c r="AF214" s="131"/>
      <c r="AG214" s="131"/>
      <c r="AH214" s="10"/>
      <c r="AI214" s="10">
        <f>Tabella3[[#This Row],[rest of Italy data]]*NOT(ISBLANK(Tabella3[[#This Row],[rest of Italy data]]))</f>
        <v>0</v>
      </c>
      <c r="AJ214" s="77" t="e">
        <f>Tabella8[[#This Row],[rest of Italy fit]]</f>
        <v>#VALUE!</v>
      </c>
      <c r="AK214" s="72" t="e">
        <f>Tabella3[[#This Row],[rest of Italy cumul. fit]]/Ka</f>
        <v>#VALUE!</v>
      </c>
      <c r="AL214" s="72">
        <f>IFERROR(Ka*psi_a*_xlfn.SECH(psi_a*(Tabella3[[#This Row],[Day]]-pa)-phi_a)^2/(1+TANH(phi_a)),0)</f>
        <v>153.20621933159441</v>
      </c>
      <c r="AM214" s="72">
        <f>Tabella3[[#This Row],[rest of Italy fit]]/y_a_peak</f>
        <v>5.0739803807731854E-2</v>
      </c>
      <c r="AN214" s="10">
        <f>Tabella3[[#This Row],[rest of Italy fit]]*NOT(ISBLANK(Tabella3[[#This Row],[rest of Italy data]]))</f>
        <v>0</v>
      </c>
      <c r="AO214" s="131"/>
      <c r="AP214" s="131"/>
    </row>
    <row r="215" spans="2:42" x14ac:dyDescent="0.3">
      <c r="B215" s="9">
        <v>44038</v>
      </c>
      <c r="C215" s="4">
        <v>208</v>
      </c>
      <c r="D215" s="131"/>
      <c r="E215" s="10"/>
      <c r="F215" s="10">
        <f>Tabella3[[#This Row],[Italy remov. rate data]]*NOT(ISBLANK(Tabella3[[#This Row],[Italy remov. rate data]]))</f>
        <v>0</v>
      </c>
      <c r="G215" s="77" t="e">
        <f>Tabella8[[#This Row],[Italy fit]]</f>
        <v>#VALUE!</v>
      </c>
      <c r="H215" s="77" t="e">
        <f>Tabella3[[#This Row],[Italy cumul. fit]]/Kf</f>
        <v>#VALUE!</v>
      </c>
      <c r="I215" s="77">
        <f>Tabella3[[#This Row],[region fit]]+Tabella3[[#This Row],[rest of Italy fit]]</f>
        <v>169.87237842561956</v>
      </c>
      <c r="J215" s="77">
        <f>Tabella3[[#This Row],[Italy (fit of selected region + fitted sum of the other regions)]]/(y_l_peak+y_a_peak)</f>
        <v>5.3643628958561139E-2</v>
      </c>
      <c r="K215" s="72">
        <f>IFERROR(Kf*psi_f*_xlfn.SECH(psi_f*(Tabella3[[#This Row],[Day]]-pf)-phi_f)^2/(1+TANH(phi_f)),0)</f>
        <v>166.06974698358701</v>
      </c>
      <c r="L215" s="292">
        <f>Tabella3[[#This Row],[Italy remov. rate fit]]-Tabella3[[#This Row],[Italy remov. rate data]]</f>
        <v>166.06974698358701</v>
      </c>
      <c r="M215" s="293">
        <f>Tabella3[[#This Row],[rem. rate residuals]]*NOT(ISBLANK(Tabella3[[#This Row],[Italy remov. rate data]]))</f>
        <v>0</v>
      </c>
      <c r="N215" s="72">
        <f>Tabella3[[#This Row],[Italy remov. rate fit]]/y_f_peak</f>
        <v>5.2570530709676294E-2</v>
      </c>
      <c r="O215" s="10">
        <f>Tabella3[[#This Row],[Italy (fit of selected region + fitted sum of the other regions)]]*NOT(ISBLANK(Tabella3[[#This Row],[Italy remov. rate data]]))</f>
        <v>0</v>
      </c>
      <c r="P215" s="10">
        <f>Tabella3[[#This Row],[Italy remov. rate fit]]*NOT(ISBLANK(Tabella3[[#This Row],[Italy remov. rate data]]))</f>
        <v>0</v>
      </c>
      <c r="Q215" s="72"/>
      <c r="R215" s="72"/>
      <c r="S215" s="131"/>
      <c r="T215" s="10"/>
      <c r="U215" s="10">
        <f>Tabella3[[#This Row],[region data]]*NOT(ISBLANK(Tabella3[[#This Row],[region data]]))</f>
        <v>0</v>
      </c>
      <c r="V215"/>
      <c r="W215" s="72">
        <f>Tabella3[[#This Row],[6-days moving avg]]*NOT(ISBLANK(Tabella3[[#This Row],[6-days moving avg]]))</f>
        <v>0</v>
      </c>
      <c r="X215" s="77" t="e">
        <f>Tabella8[[#This Row],[region fit]]</f>
        <v>#VALUE!</v>
      </c>
      <c r="Y215" s="72" t="e">
        <f>Tabella3[[#This Row],[region cumul. fit]]/Kl</f>
        <v>#VALUE!</v>
      </c>
      <c r="Z215" s="72">
        <f>IFERROR(Kl*psi_l*_xlfn.SECH(psi_l*(Tabella3[[#This Row],[Day]]-pl)-phi_l)^2/(1+TANH(phi_l)),0)</f>
        <v>24.14210405655335</v>
      </c>
      <c r="AA215" s="72">
        <f>Tabella3[[#This Row],[region fit]]/y_l_peak</f>
        <v>0.16397009622214001</v>
      </c>
      <c r="AB215" s="10">
        <f>Tabella3[[#This Row],[region fit]]*NOT(ISBLANK(Tabella3[[#This Row],[region data]]))</f>
        <v>0</v>
      </c>
      <c r="AC215" s="166">
        <f>IFERROR(kl_m*psi_l_m*_xlfn.SECH(psi_l_m*(Tabella3[[#This Row],[Day]]-pl_m)-phi_l_m)^2/(1+TANH(phi_l_m)),0)</f>
        <v>24.14210405655335</v>
      </c>
      <c r="AD215" s="72">
        <f>Tabella3[[#This Row],[6-days moving avg fit]]*NOT(ISBLANK(Tabella3[[#This Row],[6-days moving avg]]))</f>
        <v>0</v>
      </c>
      <c r="AE215" s="131"/>
      <c r="AF215" s="131"/>
      <c r="AG215" s="131"/>
      <c r="AH215" s="10"/>
      <c r="AI215" s="10">
        <f>Tabella3[[#This Row],[rest of Italy data]]*NOT(ISBLANK(Tabella3[[#This Row],[rest of Italy data]]))</f>
        <v>0</v>
      </c>
      <c r="AJ215" s="77" t="e">
        <f>Tabella8[[#This Row],[rest of Italy fit]]</f>
        <v>#VALUE!</v>
      </c>
      <c r="AK215" s="72" t="e">
        <f>Tabella3[[#This Row],[rest of Italy cumul. fit]]/Ka</f>
        <v>#VALUE!</v>
      </c>
      <c r="AL215" s="72">
        <f>IFERROR(Ka*psi_a*_xlfn.SECH(psi_a*(Tabella3[[#This Row],[Day]]-pa)-phi_a)^2/(1+TANH(phi_a)),0)</f>
        <v>145.73027436906619</v>
      </c>
      <c r="AM215" s="72">
        <f>Tabella3[[#This Row],[rest of Italy fit]]/y_a_peak</f>
        <v>4.8263873115551019E-2</v>
      </c>
      <c r="AN215" s="10">
        <f>Tabella3[[#This Row],[rest of Italy fit]]*NOT(ISBLANK(Tabella3[[#This Row],[rest of Italy data]]))</f>
        <v>0</v>
      </c>
      <c r="AO215" s="131"/>
      <c r="AP215" s="131"/>
    </row>
    <row r="216" spans="2:42" x14ac:dyDescent="0.3">
      <c r="B216" s="9">
        <v>44039</v>
      </c>
      <c r="C216" s="4">
        <v>209</v>
      </c>
      <c r="D216" s="131"/>
      <c r="E216" s="10"/>
      <c r="F216" s="10">
        <f>Tabella3[[#This Row],[Italy remov. rate data]]*NOT(ISBLANK(Tabella3[[#This Row],[Italy remov. rate data]]))</f>
        <v>0</v>
      </c>
      <c r="G216" s="77" t="e">
        <f>Tabella8[[#This Row],[Italy fit]]</f>
        <v>#VALUE!</v>
      </c>
      <c r="H216" s="77" t="e">
        <f>Tabella3[[#This Row],[Italy cumul. fit]]/Kf</f>
        <v>#VALUE!</v>
      </c>
      <c r="I216" s="77">
        <f>Tabella3[[#This Row],[region fit]]+Tabella3[[#This Row],[rest of Italy fit]]</f>
        <v>161.87774863811279</v>
      </c>
      <c r="J216" s="77">
        <f>Tabella3[[#This Row],[Italy (fit of selected region + fitted sum of the other regions)]]/(y_l_peak+y_a_peak)</f>
        <v>5.1119022204027149E-2</v>
      </c>
      <c r="K216" s="72">
        <f>IFERROR(Kf*psi_f*_xlfn.SECH(psi_f*(Tabella3[[#This Row],[Day]]-pf)-phi_f)^2/(1+TANH(phi_f)),0)</f>
        <v>158.09593189271132</v>
      </c>
      <c r="L216" s="292">
        <f>Tabella3[[#This Row],[Italy remov. rate fit]]-Tabella3[[#This Row],[Italy remov. rate data]]</f>
        <v>158.09593189271132</v>
      </c>
      <c r="M216" s="293">
        <f>Tabella3[[#This Row],[rem. rate residuals]]*NOT(ISBLANK(Tabella3[[#This Row],[Italy remov. rate data]]))</f>
        <v>0</v>
      </c>
      <c r="N216" s="72">
        <f>Tabella3[[#This Row],[Italy remov. rate fit]]/y_f_peak</f>
        <v>5.0046364215043229E-2</v>
      </c>
      <c r="O216" s="10">
        <f>Tabella3[[#This Row],[Italy (fit of selected region + fitted sum of the other regions)]]*NOT(ISBLANK(Tabella3[[#This Row],[Italy remov. rate data]]))</f>
        <v>0</v>
      </c>
      <c r="P216" s="10">
        <f>Tabella3[[#This Row],[Italy remov. rate fit]]*NOT(ISBLANK(Tabella3[[#This Row],[Italy remov. rate data]]))</f>
        <v>0</v>
      </c>
      <c r="Q216" s="72"/>
      <c r="R216" s="72"/>
      <c r="S216" s="131"/>
      <c r="T216" s="10"/>
      <c r="U216" s="10">
        <f>Tabella3[[#This Row],[region data]]*NOT(ISBLANK(Tabella3[[#This Row],[region data]]))</f>
        <v>0</v>
      </c>
      <c r="V216"/>
      <c r="W216" s="72">
        <f>Tabella3[[#This Row],[6-days moving avg]]*NOT(ISBLANK(Tabella3[[#This Row],[6-days moving avg]]))</f>
        <v>0</v>
      </c>
      <c r="X216" s="77" t="e">
        <f>Tabella8[[#This Row],[region fit]]</f>
        <v>#VALUE!</v>
      </c>
      <c r="Y216" s="72" t="e">
        <f>Tabella3[[#This Row],[region cumul. fit]]/Kl</f>
        <v>#VALUE!</v>
      </c>
      <c r="Z216" s="72">
        <f>IFERROR(Kl*psi_l*_xlfn.SECH(psi_l*(Tabella3[[#This Row],[Day]]-pl)-phi_l)^2/(1+TANH(phi_l)),0)</f>
        <v>23.267427885949193</v>
      </c>
      <c r="AA216" s="72">
        <f>Tabella3[[#This Row],[region fit]]/y_l_peak</f>
        <v>0.15802940706260318</v>
      </c>
      <c r="AB216" s="10">
        <f>Tabella3[[#This Row],[region fit]]*NOT(ISBLANK(Tabella3[[#This Row],[region data]]))</f>
        <v>0</v>
      </c>
      <c r="AC216" s="166">
        <f>IFERROR(kl_m*psi_l_m*_xlfn.SECH(psi_l_m*(Tabella3[[#This Row],[Day]]-pl_m)-phi_l_m)^2/(1+TANH(phi_l_m)),0)</f>
        <v>23.267427885949193</v>
      </c>
      <c r="AD216" s="72">
        <f>Tabella3[[#This Row],[6-days moving avg fit]]*NOT(ISBLANK(Tabella3[[#This Row],[6-days moving avg]]))</f>
        <v>0</v>
      </c>
      <c r="AE216" s="131"/>
      <c r="AF216" s="131"/>
      <c r="AG216" s="131"/>
      <c r="AH216" s="10"/>
      <c r="AI216" s="10">
        <f>Tabella3[[#This Row],[rest of Italy data]]*NOT(ISBLANK(Tabella3[[#This Row],[rest of Italy data]]))</f>
        <v>0</v>
      </c>
      <c r="AJ216" s="77" t="e">
        <f>Tabella8[[#This Row],[rest of Italy fit]]</f>
        <v>#VALUE!</v>
      </c>
      <c r="AK216" s="72" t="e">
        <f>Tabella3[[#This Row],[rest of Italy cumul. fit]]/Ka</f>
        <v>#VALUE!</v>
      </c>
      <c r="AL216" s="72">
        <f>IFERROR(Ka*psi_a*_xlfn.SECH(psi_a*(Tabella3[[#This Row],[Day]]-pa)-phi_a)^2/(1+TANH(phi_a)),0)</f>
        <v>138.6103207521636</v>
      </c>
      <c r="AM216" s="72">
        <f>Tabella3[[#This Row],[rest of Italy fit]]/y_a_peak</f>
        <v>4.5905841886675916E-2</v>
      </c>
      <c r="AN216" s="10">
        <f>Tabella3[[#This Row],[rest of Italy fit]]*NOT(ISBLANK(Tabella3[[#This Row],[rest of Italy data]]))</f>
        <v>0</v>
      </c>
      <c r="AO216" s="131"/>
      <c r="AP216" s="131"/>
    </row>
    <row r="217" spans="2:42" x14ac:dyDescent="0.3">
      <c r="B217" s="9">
        <v>44040</v>
      </c>
      <c r="C217" s="4">
        <v>210</v>
      </c>
      <c r="D217" s="131"/>
      <c r="E217" s="10"/>
      <c r="F217" s="10">
        <f>Tabella3[[#This Row],[Italy remov. rate data]]*NOT(ISBLANK(Tabella3[[#This Row],[Italy remov. rate data]]))</f>
        <v>0</v>
      </c>
      <c r="G217" s="77" t="e">
        <f>Tabella8[[#This Row],[Italy fit]]</f>
        <v>#VALUE!</v>
      </c>
      <c r="H217" s="77" t="e">
        <f>Tabella3[[#This Row],[Italy cumul. fit]]/Kf</f>
        <v>#VALUE!</v>
      </c>
      <c r="I217" s="77">
        <f>Tabella3[[#This Row],[region fit]]+Tabella3[[#This Row],[rest of Italy fit]]</f>
        <v>154.25182343377833</v>
      </c>
      <c r="J217" s="77">
        <f>Tabella3[[#This Row],[Italy (fit of selected region + fitted sum of the other regions)]]/(y_l_peak+y_a_peak)</f>
        <v>4.8710847867984762E-2</v>
      </c>
      <c r="K217" s="72">
        <f>IFERROR(Kf*psi_f*_xlfn.SECH(psi_f*(Tabella3[[#This Row],[Day]]-pf)-phi_f)^2/(1+TANH(phi_f)),0)</f>
        <v>150.49536517069501</v>
      </c>
      <c r="L217" s="292">
        <f>Tabella3[[#This Row],[Italy remov. rate fit]]-Tabella3[[#This Row],[Italy remov. rate data]]</f>
        <v>150.49536517069501</v>
      </c>
      <c r="M217" s="293">
        <f>Tabella3[[#This Row],[rem. rate residuals]]*NOT(ISBLANK(Tabella3[[#This Row],[Italy remov. rate data]]))</f>
        <v>0</v>
      </c>
      <c r="N217" s="72">
        <f>Tabella3[[#This Row],[Italy remov. rate fit]]/y_f_peak</f>
        <v>4.764035208141728E-2</v>
      </c>
      <c r="O217" s="10">
        <f>Tabella3[[#This Row],[Italy (fit of selected region + fitted sum of the other regions)]]*NOT(ISBLANK(Tabella3[[#This Row],[Italy remov. rate data]]))</f>
        <v>0</v>
      </c>
      <c r="P217" s="10">
        <f>Tabella3[[#This Row],[Italy remov. rate fit]]*NOT(ISBLANK(Tabella3[[#This Row],[Italy remov. rate data]]))</f>
        <v>0</v>
      </c>
      <c r="Q217" s="72"/>
      <c r="R217" s="72"/>
      <c r="S217" s="131"/>
      <c r="T217" s="10"/>
      <c r="U217" s="10">
        <f>Tabella3[[#This Row],[region data]]*NOT(ISBLANK(Tabella3[[#This Row],[region data]]))</f>
        <v>0</v>
      </c>
      <c r="V217"/>
      <c r="W217" s="72">
        <f>Tabella3[[#This Row],[6-days moving avg]]*NOT(ISBLANK(Tabella3[[#This Row],[6-days moving avg]]))</f>
        <v>0</v>
      </c>
      <c r="X217" s="77" t="e">
        <f>Tabella8[[#This Row],[region fit]]</f>
        <v>#VALUE!</v>
      </c>
      <c r="Y217" s="72" t="e">
        <f>Tabella3[[#This Row],[region cumul. fit]]/Kl</f>
        <v>#VALUE!</v>
      </c>
      <c r="Z217" s="72">
        <f>IFERROR(Kl*psi_l*_xlfn.SECH(psi_l*(Tabella3[[#This Row],[Day]]-pl)-phi_l)^2/(1+TANH(phi_l)),0)</f>
        <v>22.42156545214154</v>
      </c>
      <c r="AA217" s="72">
        <f>Tabella3[[#This Row],[region fit]]/y_l_peak</f>
        <v>0.15228441713391941</v>
      </c>
      <c r="AB217" s="10">
        <f>Tabella3[[#This Row],[region fit]]*NOT(ISBLANK(Tabella3[[#This Row],[region data]]))</f>
        <v>0</v>
      </c>
      <c r="AC217" s="166">
        <f>IFERROR(kl_m*psi_l_m*_xlfn.SECH(psi_l_m*(Tabella3[[#This Row],[Day]]-pl_m)-phi_l_m)^2/(1+TANH(phi_l_m)),0)</f>
        <v>22.42156545214154</v>
      </c>
      <c r="AD217" s="72">
        <f>Tabella3[[#This Row],[6-days moving avg fit]]*NOT(ISBLANK(Tabella3[[#This Row],[6-days moving avg]]))</f>
        <v>0</v>
      </c>
      <c r="AE217" s="131"/>
      <c r="AF217" s="131"/>
      <c r="AG217" s="131"/>
      <c r="AH217" s="10"/>
      <c r="AI217" s="10">
        <f>Tabella3[[#This Row],[rest of Italy data]]*NOT(ISBLANK(Tabella3[[#This Row],[rest of Italy data]]))</f>
        <v>0</v>
      </c>
      <c r="AJ217" s="77" t="e">
        <f>Tabella8[[#This Row],[rest of Italy fit]]</f>
        <v>#VALUE!</v>
      </c>
      <c r="AK217" s="72" t="e">
        <f>Tabella3[[#This Row],[rest of Italy cumul. fit]]/Ka</f>
        <v>#VALUE!</v>
      </c>
      <c r="AL217" s="72">
        <f>IFERROR(Ka*psi_a*_xlfn.SECH(psi_a*(Tabella3[[#This Row],[Day]]-pa)-phi_a)^2/(1+TANH(phi_a)),0)</f>
        <v>131.83025798163678</v>
      </c>
      <c r="AM217" s="72">
        <f>Tabella3[[#This Row],[rest of Italy fit]]/y_a_peak</f>
        <v>4.3660377856028082E-2</v>
      </c>
      <c r="AN217" s="10">
        <f>Tabella3[[#This Row],[rest of Italy fit]]*NOT(ISBLANK(Tabella3[[#This Row],[rest of Italy data]]))</f>
        <v>0</v>
      </c>
      <c r="AO217" s="131"/>
      <c r="AP217" s="131"/>
    </row>
    <row r="218" spans="2:42" x14ac:dyDescent="0.3">
      <c r="B218" s="9">
        <v>44041</v>
      </c>
      <c r="C218" s="4">
        <v>211</v>
      </c>
      <c r="D218" s="131"/>
      <c r="E218" s="10"/>
      <c r="F218" s="10">
        <f>Tabella3[[#This Row],[Italy remov. rate data]]*NOT(ISBLANK(Tabella3[[#This Row],[Italy remov. rate data]]))</f>
        <v>0</v>
      </c>
      <c r="G218" s="77" t="e">
        <f>Tabella8[[#This Row],[Italy fit]]</f>
        <v>#VALUE!</v>
      </c>
      <c r="H218" s="77" t="e">
        <f>Tabella3[[#This Row],[Italy cumul. fit]]/Kf</f>
        <v>#VALUE!</v>
      </c>
      <c r="I218" s="77">
        <f>Tabella3[[#This Row],[region fit]]+Tabella3[[#This Row],[rest of Italy fit]]</f>
        <v>146.9784137943883</v>
      </c>
      <c r="J218" s="77">
        <f>Tabella3[[#This Row],[Italy (fit of selected region + fitted sum of the other regions)]]/(y_l_peak+y_a_peak)</f>
        <v>4.6413993655574345E-2</v>
      </c>
      <c r="K218" s="72">
        <f>IFERROR(Kf*psi_f*_xlfn.SECH(psi_f*(Tabella3[[#This Row],[Day]]-pf)-phi_f)^2/(1+TANH(phi_f)),0)</f>
        <v>143.25149015392216</v>
      </c>
      <c r="L218" s="292">
        <f>Tabella3[[#This Row],[Italy remov. rate fit]]-Tabella3[[#This Row],[Italy remov. rate data]]</f>
        <v>143.25149015392216</v>
      </c>
      <c r="M218" s="293">
        <f>Tabella3[[#This Row],[rem. rate residuals]]*NOT(ISBLANK(Tabella3[[#This Row],[Italy remov. rate data]]))</f>
        <v>0</v>
      </c>
      <c r="N218" s="72">
        <f>Tabella3[[#This Row],[Italy remov. rate fit]]/y_f_peak</f>
        <v>4.5347253182049713E-2</v>
      </c>
      <c r="O218" s="10">
        <f>Tabella3[[#This Row],[Italy (fit of selected region + fitted sum of the other regions)]]*NOT(ISBLANK(Tabella3[[#This Row],[Italy remov. rate data]]))</f>
        <v>0</v>
      </c>
      <c r="P218" s="10">
        <f>Tabella3[[#This Row],[Italy remov. rate fit]]*NOT(ISBLANK(Tabella3[[#This Row],[Italy remov. rate data]]))</f>
        <v>0</v>
      </c>
      <c r="Q218" s="72"/>
      <c r="R218" s="72"/>
      <c r="S218" s="131"/>
      <c r="T218" s="10"/>
      <c r="U218" s="10">
        <f>Tabella3[[#This Row],[region data]]*NOT(ISBLANK(Tabella3[[#This Row],[region data]]))</f>
        <v>0</v>
      </c>
      <c r="V218"/>
      <c r="W218" s="72">
        <f>Tabella3[[#This Row],[6-days moving avg]]*NOT(ISBLANK(Tabella3[[#This Row],[6-days moving avg]]))</f>
        <v>0</v>
      </c>
      <c r="X218" s="77" t="e">
        <f>Tabella8[[#This Row],[region fit]]</f>
        <v>#VALUE!</v>
      </c>
      <c r="Y218" s="72" t="e">
        <f>Tabella3[[#This Row],[region cumul. fit]]/Kl</f>
        <v>#VALUE!</v>
      </c>
      <c r="Z218" s="72">
        <f>IFERROR(Kl*psi_l*_xlfn.SECH(psi_l*(Tabella3[[#This Row],[Day]]-pl)-phi_l)^2/(1+TANH(phi_l)),0)</f>
        <v>21.603783024772429</v>
      </c>
      <c r="AA218" s="72">
        <f>Tabella3[[#This Row],[region fit]]/y_l_peak</f>
        <v>0.14673014303293902</v>
      </c>
      <c r="AB218" s="10">
        <f>Tabella3[[#This Row],[region fit]]*NOT(ISBLANK(Tabella3[[#This Row],[region data]]))</f>
        <v>0</v>
      </c>
      <c r="AC218" s="166">
        <f>IFERROR(kl_m*psi_l_m*_xlfn.SECH(psi_l_m*(Tabella3[[#This Row],[Day]]-pl_m)-phi_l_m)^2/(1+TANH(phi_l_m)),0)</f>
        <v>21.603783024772429</v>
      </c>
      <c r="AD218" s="72">
        <f>Tabella3[[#This Row],[6-days moving avg fit]]*NOT(ISBLANK(Tabella3[[#This Row],[6-days moving avg]]))</f>
        <v>0</v>
      </c>
      <c r="AE218" s="131"/>
      <c r="AF218" s="131"/>
      <c r="AG218" s="131"/>
      <c r="AH218" s="10"/>
      <c r="AI218" s="10">
        <f>Tabella3[[#This Row],[rest of Italy data]]*NOT(ISBLANK(Tabella3[[#This Row],[rest of Italy data]]))</f>
        <v>0</v>
      </c>
      <c r="AJ218" s="77" t="e">
        <f>Tabella8[[#This Row],[rest of Italy fit]]</f>
        <v>#VALUE!</v>
      </c>
      <c r="AK218" s="72" t="e">
        <f>Tabella3[[#This Row],[rest of Italy cumul. fit]]/Ka</f>
        <v>#VALUE!</v>
      </c>
      <c r="AL218" s="72">
        <f>IFERROR(Ka*psi_a*_xlfn.SECH(psi_a*(Tabella3[[#This Row],[Day]]-pa)-phi_a)^2/(1+TANH(phi_a)),0)</f>
        <v>125.37463076961588</v>
      </c>
      <c r="AM218" s="72">
        <f>Tabella3[[#This Row],[rest of Italy fit]]/y_a_peak</f>
        <v>4.1522362443710902E-2</v>
      </c>
      <c r="AN218" s="10">
        <f>Tabella3[[#This Row],[rest of Italy fit]]*NOT(ISBLANK(Tabella3[[#This Row],[rest of Italy data]]))</f>
        <v>0</v>
      </c>
      <c r="AO218" s="131"/>
      <c r="AP218" s="131"/>
    </row>
    <row r="219" spans="2:42" x14ac:dyDescent="0.3">
      <c r="B219" s="9">
        <v>44042</v>
      </c>
      <c r="C219" s="4">
        <v>212</v>
      </c>
      <c r="D219" s="131"/>
      <c r="E219" s="10"/>
      <c r="F219" s="10">
        <f>Tabella3[[#This Row],[Italy remov. rate data]]*NOT(ISBLANK(Tabella3[[#This Row],[Italy remov. rate data]]))</f>
        <v>0</v>
      </c>
      <c r="G219" s="77" t="e">
        <f>Tabella8[[#This Row],[Italy fit]]</f>
        <v>#VALUE!</v>
      </c>
      <c r="H219" s="77" t="e">
        <f>Tabella3[[#This Row],[Italy cumul. fit]]/Kf</f>
        <v>#VALUE!</v>
      </c>
      <c r="I219" s="77">
        <f>Tabella3[[#This Row],[region fit]]+Tabella3[[#This Row],[rest of Italy fit]]</f>
        <v>140.04196023879865</v>
      </c>
      <c r="J219" s="77">
        <f>Tabella3[[#This Row],[Italy (fit of selected region + fitted sum of the other regions)]]/(y_l_peak+y_a_peak)</f>
        <v>4.4223546072082898E-2</v>
      </c>
      <c r="K219" s="72">
        <f>IFERROR(Kf*psi_f*_xlfn.SECH(psi_f*(Tabella3[[#This Row],[Day]]-pf)-phi_f)^2/(1+TANH(phi_f)),0)</f>
        <v>136.34839674670388</v>
      </c>
      <c r="L219" s="292">
        <f>Tabella3[[#This Row],[Italy remov. rate fit]]-Tabella3[[#This Row],[Italy remov. rate data]]</f>
        <v>136.34839674670388</v>
      </c>
      <c r="M219" s="293">
        <f>Tabella3[[#This Row],[rem. rate residuals]]*NOT(ISBLANK(Tabella3[[#This Row],[Italy remov. rate data]]))</f>
        <v>0</v>
      </c>
      <c r="N219" s="72">
        <f>Tabella3[[#This Row],[Italy remov. rate fit]]/y_f_peak</f>
        <v>4.3162031065755412E-2</v>
      </c>
      <c r="O219" s="10">
        <f>Tabella3[[#This Row],[Italy (fit of selected region + fitted sum of the other regions)]]*NOT(ISBLANK(Tabella3[[#This Row],[Italy remov. rate data]]))</f>
        <v>0</v>
      </c>
      <c r="P219" s="10">
        <f>Tabella3[[#This Row],[Italy remov. rate fit]]*NOT(ISBLANK(Tabella3[[#This Row],[Italy remov. rate data]]))</f>
        <v>0</v>
      </c>
      <c r="Q219" s="72"/>
      <c r="R219" s="72"/>
      <c r="S219" s="131"/>
      <c r="T219" s="10"/>
      <c r="U219" s="10">
        <f>Tabella3[[#This Row],[region data]]*NOT(ISBLANK(Tabella3[[#This Row],[region data]]))</f>
        <v>0</v>
      </c>
      <c r="V219"/>
      <c r="W219" s="72">
        <f>Tabella3[[#This Row],[6-days moving avg]]*NOT(ISBLANK(Tabella3[[#This Row],[6-days moving avg]]))</f>
        <v>0</v>
      </c>
      <c r="X219" s="77" t="e">
        <f>Tabella8[[#This Row],[region fit]]</f>
        <v>#VALUE!</v>
      </c>
      <c r="Y219" s="72" t="e">
        <f>Tabella3[[#This Row],[region cumul. fit]]/Kl</f>
        <v>#VALUE!</v>
      </c>
      <c r="Z219" s="72">
        <f>IFERROR(Kl*psi_l*_xlfn.SECH(psi_l*(Tabella3[[#This Row],[Day]]-pl)-phi_l)^2/(1+TANH(phi_l)),0)</f>
        <v>20.813348725471684</v>
      </c>
      <c r="AA219" s="72">
        <f>Tabella3[[#This Row],[region fit]]/y_l_peak</f>
        <v>0.14136161393497743</v>
      </c>
      <c r="AB219" s="10">
        <f>Tabella3[[#This Row],[region fit]]*NOT(ISBLANK(Tabella3[[#This Row],[region data]]))</f>
        <v>0</v>
      </c>
      <c r="AC219" s="166">
        <f>IFERROR(kl_m*psi_l_m*_xlfn.SECH(psi_l_m*(Tabella3[[#This Row],[Day]]-pl_m)-phi_l_m)^2/(1+TANH(phi_l_m)),0)</f>
        <v>20.813348725471684</v>
      </c>
      <c r="AD219" s="72">
        <f>Tabella3[[#This Row],[6-days moving avg fit]]*NOT(ISBLANK(Tabella3[[#This Row],[6-days moving avg]]))</f>
        <v>0</v>
      </c>
      <c r="AE219" s="131"/>
      <c r="AF219" s="131"/>
      <c r="AG219" s="131"/>
      <c r="AH219" s="10"/>
      <c r="AI219" s="10">
        <f>Tabella3[[#This Row],[rest of Italy data]]*NOT(ISBLANK(Tabella3[[#This Row],[rest of Italy data]]))</f>
        <v>0</v>
      </c>
      <c r="AJ219" s="77" t="e">
        <f>Tabella8[[#This Row],[rest of Italy fit]]</f>
        <v>#VALUE!</v>
      </c>
      <c r="AK219" s="72" t="e">
        <f>Tabella3[[#This Row],[rest of Italy cumul. fit]]/Ka</f>
        <v>#VALUE!</v>
      </c>
      <c r="AL219" s="72">
        <f>IFERROR(Ka*psi_a*_xlfn.SECH(psi_a*(Tabella3[[#This Row],[Day]]-pa)-phi_a)^2/(1+TANH(phi_a)),0)</f>
        <v>119.22861151332695</v>
      </c>
      <c r="AM219" s="72">
        <f>Tabella3[[#This Row],[rest of Italy fit]]/y_a_peak</f>
        <v>3.9486884950544067E-2</v>
      </c>
      <c r="AN219" s="10">
        <f>Tabella3[[#This Row],[rest of Italy fit]]*NOT(ISBLANK(Tabella3[[#This Row],[rest of Italy data]]))</f>
        <v>0</v>
      </c>
      <c r="AO219" s="131"/>
      <c r="AP219" s="131"/>
    </row>
    <row r="220" spans="2:42" x14ac:dyDescent="0.3">
      <c r="B220" s="9">
        <v>44043</v>
      </c>
      <c r="C220" s="4">
        <v>213</v>
      </c>
      <c r="D220" s="131"/>
      <c r="E220" s="10"/>
      <c r="F220" s="10">
        <f>Tabella3[[#This Row],[Italy remov. rate data]]*NOT(ISBLANK(Tabella3[[#This Row],[Italy remov. rate data]]))</f>
        <v>0</v>
      </c>
      <c r="G220" s="77" t="e">
        <f>Tabella8[[#This Row],[Italy fit]]</f>
        <v>#VALUE!</v>
      </c>
      <c r="H220" s="77" t="e">
        <f>Tabella3[[#This Row],[Italy cumul. fit]]/Kf</f>
        <v>#VALUE!</v>
      </c>
      <c r="I220" s="77">
        <f>Tabella3[[#This Row],[region fit]]+Tabella3[[#This Row],[rest of Italy fit]]</f>
        <v>133.42751645009011</v>
      </c>
      <c r="J220" s="77">
        <f>Tabella3[[#This Row],[Italy (fit of selected region + fitted sum of the other regions)]]/(y_l_peak+y_a_peak)</f>
        <v>4.2134785252594495E-2</v>
      </c>
      <c r="K220" s="72">
        <f>IFERROR(Kf*psi_f*_xlfn.SECH(psi_f*(Tabella3[[#This Row],[Day]]-pf)-phi_f)^2/(1+TANH(phi_f)),0)</f>
        <v>129.7708048746585</v>
      </c>
      <c r="L220" s="292">
        <f>Tabella3[[#This Row],[Italy remov. rate fit]]-Tabella3[[#This Row],[Italy remov. rate data]]</f>
        <v>129.7708048746585</v>
      </c>
      <c r="M220" s="293">
        <f>Tabella3[[#This Row],[rem. rate residuals]]*NOT(ISBLANK(Tabella3[[#This Row],[Italy remov. rate data]]))</f>
        <v>0</v>
      </c>
      <c r="N220" s="72">
        <f>Tabella3[[#This Row],[Italy remov. rate fit]]/y_f_peak</f>
        <v>4.1079848718965577E-2</v>
      </c>
      <c r="O220" s="10">
        <f>Tabella3[[#This Row],[Italy (fit of selected region + fitted sum of the other regions)]]*NOT(ISBLANK(Tabella3[[#This Row],[Italy remov. rate data]]))</f>
        <v>0</v>
      </c>
      <c r="P220" s="10">
        <f>Tabella3[[#This Row],[Italy remov. rate fit]]*NOT(ISBLANK(Tabella3[[#This Row],[Italy remov. rate data]]))</f>
        <v>0</v>
      </c>
      <c r="Q220" s="72"/>
      <c r="R220" s="72"/>
      <c r="S220" s="131"/>
      <c r="T220" s="10"/>
      <c r="U220" s="10">
        <f>Tabella3[[#This Row],[region data]]*NOT(ISBLANK(Tabella3[[#This Row],[region data]]))</f>
        <v>0</v>
      </c>
      <c r="V220"/>
      <c r="W220" s="72">
        <f>Tabella3[[#This Row],[6-days moving avg]]*NOT(ISBLANK(Tabella3[[#This Row],[6-days moving avg]]))</f>
        <v>0</v>
      </c>
      <c r="X220" s="77" t="e">
        <f>Tabella8[[#This Row],[region fit]]</f>
        <v>#VALUE!</v>
      </c>
      <c r="Y220" s="72" t="e">
        <f>Tabella3[[#This Row],[region cumul. fit]]/Kl</f>
        <v>#VALUE!</v>
      </c>
      <c r="Z220" s="72">
        <f>IFERROR(Kl*psi_l*_xlfn.SECH(psi_l*(Tabella3[[#This Row],[Day]]-pl)-phi_l)^2/(1+TANH(phi_l)),0)</f>
        <v>20.049534122767486</v>
      </c>
      <c r="AA220" s="72">
        <f>Tabella3[[#This Row],[region fit]]/y_l_peak</f>
        <v>0.13617388242624484</v>
      </c>
      <c r="AB220" s="10">
        <f>Tabella3[[#This Row],[region fit]]*NOT(ISBLANK(Tabella3[[#This Row],[region data]]))</f>
        <v>0</v>
      </c>
      <c r="AC220" s="166">
        <f>IFERROR(kl_m*psi_l_m*_xlfn.SECH(psi_l_m*(Tabella3[[#This Row],[Day]]-pl_m)-phi_l_m)^2/(1+TANH(phi_l_m)),0)</f>
        <v>20.049534122767486</v>
      </c>
      <c r="AD220" s="72">
        <f>Tabella3[[#This Row],[6-days moving avg fit]]*NOT(ISBLANK(Tabella3[[#This Row],[6-days moving avg]]))</f>
        <v>0</v>
      </c>
      <c r="AE220" s="131"/>
      <c r="AF220" s="131"/>
      <c r="AG220" s="131"/>
      <c r="AH220" s="10"/>
      <c r="AI220" s="10">
        <f>Tabella3[[#This Row],[rest of Italy data]]*NOT(ISBLANK(Tabella3[[#This Row],[rest of Italy data]]))</f>
        <v>0</v>
      </c>
      <c r="AJ220" s="77" t="e">
        <f>Tabella8[[#This Row],[rest of Italy fit]]</f>
        <v>#VALUE!</v>
      </c>
      <c r="AK220" s="72" t="e">
        <f>Tabella3[[#This Row],[rest of Italy cumul. fit]]/Ka</f>
        <v>#VALUE!</v>
      </c>
      <c r="AL220" s="72">
        <f>IFERROR(Ka*psi_a*_xlfn.SECH(psi_a*(Tabella3[[#This Row],[Day]]-pa)-phi_a)^2/(1+TANH(phi_a)),0)</f>
        <v>113.37798232732261</v>
      </c>
      <c r="AM220" s="72">
        <f>Tabella3[[#This Row],[rest of Italy fit]]/y_a_peak</f>
        <v>3.7549236607384205E-2</v>
      </c>
      <c r="AN220" s="10">
        <f>Tabella3[[#This Row],[rest of Italy fit]]*NOT(ISBLANK(Tabella3[[#This Row],[rest of Italy data]]))</f>
        <v>0</v>
      </c>
      <c r="AO220" s="131"/>
      <c r="AP220" s="131"/>
    </row>
    <row r="221" spans="2:42" x14ac:dyDescent="0.3">
      <c r="B221" s="9">
        <v>44044</v>
      </c>
      <c r="C221" s="4">
        <v>214</v>
      </c>
      <c r="D221" s="131"/>
      <c r="E221" s="10"/>
      <c r="F221" s="10">
        <f>Tabella3[[#This Row],[Italy remov. rate data]]*NOT(ISBLANK(Tabella3[[#This Row],[Italy remov. rate data]]))</f>
        <v>0</v>
      </c>
      <c r="G221" s="77" t="e">
        <f>Tabella8[[#This Row],[Italy fit]]</f>
        <v>#VALUE!</v>
      </c>
      <c r="H221" s="77" t="e">
        <f>Tabella3[[#This Row],[Italy cumul. fit]]/Kf</f>
        <v>#VALUE!</v>
      </c>
      <c r="I221" s="77">
        <f>Tabella3[[#This Row],[region fit]]+Tabella3[[#This Row],[rest of Italy fit]]</f>
        <v>127.1207324466846</v>
      </c>
      <c r="J221" s="77">
        <f>Tabella3[[#This Row],[Italy (fit of selected region + fitted sum of the other regions)]]/(y_l_peak+y_a_peak)</f>
        <v>4.0143179647633767E-2</v>
      </c>
      <c r="K221" s="72">
        <f>IFERROR(Kf*psi_f*_xlfn.SECH(psi_f*(Tabella3[[#This Row],[Day]]-pf)-phi_f)^2/(1+TANH(phi_f)),0)</f>
        <v>123.50404741039023</v>
      </c>
      <c r="L221" s="292">
        <f>Tabella3[[#This Row],[Italy remov. rate fit]]-Tabella3[[#This Row],[Italy remov. rate data]]</f>
        <v>123.50404741039023</v>
      </c>
      <c r="M221" s="293">
        <f>Tabella3[[#This Row],[rem. rate residuals]]*NOT(ISBLANK(Tabella3[[#This Row],[Italy remov. rate data]]))</f>
        <v>0</v>
      </c>
      <c r="N221" s="72">
        <f>Tabella3[[#This Row],[Italy remov. rate fit]]/y_f_peak</f>
        <v>3.9096063160732823E-2</v>
      </c>
      <c r="O221" s="10">
        <f>Tabella3[[#This Row],[Italy (fit of selected region + fitted sum of the other regions)]]*NOT(ISBLANK(Tabella3[[#This Row],[Italy remov. rate data]]))</f>
        <v>0</v>
      </c>
      <c r="P221" s="10">
        <f>Tabella3[[#This Row],[Italy remov. rate fit]]*NOT(ISBLANK(Tabella3[[#This Row],[Italy remov. rate data]]))</f>
        <v>0</v>
      </c>
      <c r="Q221" s="72"/>
      <c r="R221" s="72"/>
      <c r="S221" s="131"/>
      <c r="T221" s="10"/>
      <c r="U221" s="10">
        <f>Tabella3[[#This Row],[region data]]*NOT(ISBLANK(Tabella3[[#This Row],[region data]]))</f>
        <v>0</v>
      </c>
      <c r="V221"/>
      <c r="W221" s="72">
        <f>Tabella3[[#This Row],[6-days moving avg]]*NOT(ISBLANK(Tabella3[[#This Row],[6-days moving avg]]))</f>
        <v>0</v>
      </c>
      <c r="X221" s="77" t="e">
        <f>Tabella8[[#This Row],[region fit]]</f>
        <v>#VALUE!</v>
      </c>
      <c r="Y221" s="72" t="e">
        <f>Tabella3[[#This Row],[region cumul. fit]]/Kl</f>
        <v>#VALUE!</v>
      </c>
      <c r="Z221" s="72">
        <f>IFERROR(Kl*psi_l*_xlfn.SECH(psi_l*(Tabella3[[#This Row],[Day]]-pl)-phi_l)^2/(1+TANH(phi_l)),0)</f>
        <v>19.311615678220072</v>
      </c>
      <c r="AA221" s="72">
        <f>Tabella3[[#This Row],[region fit]]/y_l_peak</f>
        <v>0.13116203432580195</v>
      </c>
      <c r="AB221" s="10">
        <f>Tabella3[[#This Row],[region fit]]*NOT(ISBLANK(Tabella3[[#This Row],[region data]]))</f>
        <v>0</v>
      </c>
      <c r="AC221" s="166">
        <f>IFERROR(kl_m*psi_l_m*_xlfn.SECH(psi_l_m*(Tabella3[[#This Row],[Day]]-pl_m)-phi_l_m)^2/(1+TANH(phi_l_m)),0)</f>
        <v>19.311615678220072</v>
      </c>
      <c r="AD221" s="72">
        <f>Tabella3[[#This Row],[6-days moving avg fit]]*NOT(ISBLANK(Tabella3[[#This Row],[6-days moving avg]]))</f>
        <v>0</v>
      </c>
      <c r="AE221" s="131"/>
      <c r="AF221" s="131"/>
      <c r="AG221" s="131"/>
      <c r="AH221" s="10"/>
      <c r="AI221" s="10">
        <f>Tabella3[[#This Row],[rest of Italy data]]*NOT(ISBLANK(Tabella3[[#This Row],[rest of Italy data]]))</f>
        <v>0</v>
      </c>
      <c r="AJ221" s="77" t="e">
        <f>Tabella8[[#This Row],[rest of Italy fit]]</f>
        <v>#VALUE!</v>
      </c>
      <c r="AK221" s="72" t="e">
        <f>Tabella3[[#This Row],[rest of Italy cumul. fit]]/Ka</f>
        <v>#VALUE!</v>
      </c>
      <c r="AL221" s="72">
        <f>IFERROR(Ka*psi_a*_xlfn.SECH(psi_a*(Tabella3[[#This Row],[Day]]-pa)-phi_a)^2/(1+TANH(phi_a)),0)</f>
        <v>107.80911676846453</v>
      </c>
      <c r="AM221" s="72">
        <f>Tabella3[[#This Row],[rest of Italy fit]]/y_a_peak</f>
        <v>3.570490452268911E-2</v>
      </c>
      <c r="AN221" s="10">
        <f>Tabella3[[#This Row],[rest of Italy fit]]*NOT(ISBLANK(Tabella3[[#This Row],[rest of Italy data]]))</f>
        <v>0</v>
      </c>
      <c r="AO221" s="131"/>
      <c r="AP221" s="131"/>
    </row>
    <row r="222" spans="2:42" x14ac:dyDescent="0.3">
      <c r="B222" s="9">
        <v>44045</v>
      </c>
      <c r="C222" s="4">
        <v>215</v>
      </c>
      <c r="D222" s="131"/>
      <c r="E222" s="10"/>
      <c r="F222" s="10">
        <f>Tabella3[[#This Row],[Italy remov. rate data]]*NOT(ISBLANK(Tabella3[[#This Row],[Italy remov. rate data]]))</f>
        <v>0</v>
      </c>
      <c r="G222" s="77" t="e">
        <f>Tabella8[[#This Row],[Italy fit]]</f>
        <v>#VALUE!</v>
      </c>
      <c r="H222" s="77" t="e">
        <f>Tabella3[[#This Row],[Italy cumul. fit]]/Kf</f>
        <v>#VALUE!</v>
      </c>
      <c r="I222" s="77">
        <f>Tabella3[[#This Row],[region fit]]+Tabella3[[#This Row],[rest of Italy fit]]</f>
        <v>121.10783742459952</v>
      </c>
      <c r="J222" s="77">
        <f>Tabella3[[#This Row],[Italy (fit of selected region + fitted sum of the other regions)]]/(y_l_peak+y_a_peak)</f>
        <v>3.8244380604958654E-2</v>
      </c>
      <c r="K222" s="72">
        <f>IFERROR(Kf*psi_f*_xlfn.SECH(psi_f*(Tabella3[[#This Row],[Day]]-pf)-phi_f)^2/(1+TANH(phi_f)),0)</f>
        <v>117.53405270930644</v>
      </c>
      <c r="L222" s="292">
        <f>Tabella3[[#This Row],[Italy remov. rate fit]]-Tabella3[[#This Row],[Italy remov. rate data]]</f>
        <v>117.53405270930644</v>
      </c>
      <c r="M222" s="293">
        <f>Tabella3[[#This Row],[rem. rate residuals]]*NOT(ISBLANK(Tabella3[[#This Row],[Italy remov. rate data]]))</f>
        <v>0</v>
      </c>
      <c r="N222" s="72">
        <f>Tabella3[[#This Row],[Italy remov. rate fit]]/y_f_peak</f>
        <v>3.7206219914322936E-2</v>
      </c>
      <c r="O222" s="10">
        <f>Tabella3[[#This Row],[Italy (fit of selected region + fitted sum of the other regions)]]*NOT(ISBLANK(Tabella3[[#This Row],[Italy remov. rate data]]))</f>
        <v>0</v>
      </c>
      <c r="P222" s="10">
        <f>Tabella3[[#This Row],[Italy remov. rate fit]]*NOT(ISBLANK(Tabella3[[#This Row],[Italy remov. rate data]]))</f>
        <v>0</v>
      </c>
      <c r="Q222" s="72"/>
      <c r="R222" s="72"/>
      <c r="S222" s="131"/>
      <c r="T222" s="10"/>
      <c r="U222" s="10">
        <f>Tabella3[[#This Row],[region data]]*NOT(ISBLANK(Tabella3[[#This Row],[region data]]))</f>
        <v>0</v>
      </c>
      <c r="V222"/>
      <c r="W222" s="72">
        <f>Tabella3[[#This Row],[6-days moving avg]]*NOT(ISBLANK(Tabella3[[#This Row],[6-days moving avg]]))</f>
        <v>0</v>
      </c>
      <c r="X222" s="77" t="e">
        <f>Tabella8[[#This Row],[region fit]]</f>
        <v>#VALUE!</v>
      </c>
      <c r="Y222" s="72" t="e">
        <f>Tabella3[[#This Row],[region cumul. fit]]/Kl</f>
        <v>#VALUE!</v>
      </c>
      <c r="Z222" s="72">
        <f>IFERROR(Kl*psi_l*_xlfn.SECH(psi_l*(Tabella3[[#This Row],[Day]]-pl)-phi_l)^2/(1+TANH(phi_l)),0)</f>
        <v>18.598876052149549</v>
      </c>
      <c r="AA222" s="72">
        <f>Tabella3[[#This Row],[region fit]]/y_l_peak</f>
        <v>0.12632119755389715</v>
      </c>
      <c r="AB222" s="10">
        <f>Tabella3[[#This Row],[region fit]]*NOT(ISBLANK(Tabella3[[#This Row],[region data]]))</f>
        <v>0</v>
      </c>
      <c r="AC222" s="166">
        <f>IFERROR(kl_m*psi_l_m*_xlfn.SECH(psi_l_m*(Tabella3[[#This Row],[Day]]-pl_m)-phi_l_m)^2/(1+TANH(phi_l_m)),0)</f>
        <v>18.598876052149549</v>
      </c>
      <c r="AD222" s="72">
        <f>Tabella3[[#This Row],[6-days moving avg fit]]*NOT(ISBLANK(Tabella3[[#This Row],[6-days moving avg]]))</f>
        <v>0</v>
      </c>
      <c r="AE222" s="131"/>
      <c r="AF222" s="131"/>
      <c r="AG222" s="131"/>
      <c r="AH222" s="10"/>
      <c r="AI222" s="10">
        <f>Tabella3[[#This Row],[rest of Italy data]]*NOT(ISBLANK(Tabella3[[#This Row],[rest of Italy data]]))</f>
        <v>0</v>
      </c>
      <c r="AJ222" s="77" t="e">
        <f>Tabella8[[#This Row],[rest of Italy fit]]</f>
        <v>#VALUE!</v>
      </c>
      <c r="AK222" s="72" t="e">
        <f>Tabella3[[#This Row],[rest of Italy cumul. fit]]/Ka</f>
        <v>#VALUE!</v>
      </c>
      <c r="AL222" s="72">
        <f>IFERROR(Ka*psi_a*_xlfn.SECH(psi_a*(Tabella3[[#This Row],[Day]]-pa)-phi_a)^2/(1+TANH(phi_a)),0)</f>
        <v>102.50896137244997</v>
      </c>
      <c r="AM222" s="72">
        <f>Tabella3[[#This Row],[rest of Italy fit]]/y_a_peak</f>
        <v>3.3949565567667907E-2</v>
      </c>
      <c r="AN222" s="10">
        <f>Tabella3[[#This Row],[rest of Italy fit]]*NOT(ISBLANK(Tabella3[[#This Row],[rest of Italy data]]))</f>
        <v>0</v>
      </c>
      <c r="AO222" s="131"/>
      <c r="AP222" s="131"/>
    </row>
    <row r="223" spans="2:42" x14ac:dyDescent="0.3">
      <c r="B223" s="9">
        <v>44046</v>
      </c>
      <c r="C223" s="4">
        <v>216</v>
      </c>
      <c r="D223" s="131"/>
      <c r="E223" s="10"/>
      <c r="F223" s="10">
        <f>Tabella3[[#This Row],[Italy remov. rate data]]*NOT(ISBLANK(Tabella3[[#This Row],[Italy remov. rate data]]))</f>
        <v>0</v>
      </c>
      <c r="G223" s="77" t="e">
        <f>Tabella8[[#This Row],[Italy fit]]</f>
        <v>#VALUE!</v>
      </c>
      <c r="H223" s="77" t="e">
        <f>Tabella3[[#This Row],[Italy cumul. fit]]/Kf</f>
        <v>#VALUE!</v>
      </c>
      <c r="I223" s="77">
        <f>Tabella3[[#This Row],[region fit]]+Tabella3[[#This Row],[rest of Italy fit]]</f>
        <v>115.37562238373496</v>
      </c>
      <c r="J223" s="77">
        <f>Tabella3[[#This Row],[Italy (fit of selected region + fitted sum of the other regions)]]/(y_l_peak+y_a_peak)</f>
        <v>3.6434216883153445E-2</v>
      </c>
      <c r="K223" s="72">
        <f>IFERROR(Kf*psi_f*_xlfn.SECH(psi_f*(Tabella3[[#This Row],[Day]]-pf)-phi_f)^2/(1+TANH(phi_f)),0)</f>
        <v>111.84732687815783</v>
      </c>
      <c r="L223" s="292">
        <f>Tabella3[[#This Row],[Italy remov. rate fit]]-Tabella3[[#This Row],[Italy remov. rate data]]</f>
        <v>111.84732687815783</v>
      </c>
      <c r="M223" s="293">
        <f>Tabella3[[#This Row],[rem. rate residuals]]*NOT(ISBLANK(Tabella3[[#This Row],[Italy remov. rate data]]))</f>
        <v>0</v>
      </c>
      <c r="N223" s="72">
        <f>Tabella3[[#This Row],[Italy remov. rate fit]]/y_f_peak</f>
        <v>3.5406047394198281E-2</v>
      </c>
      <c r="O223" s="10">
        <f>Tabella3[[#This Row],[Italy (fit of selected region + fitted sum of the other regions)]]*NOT(ISBLANK(Tabella3[[#This Row],[Italy remov. rate data]]))</f>
        <v>0</v>
      </c>
      <c r="P223" s="10">
        <f>Tabella3[[#This Row],[Italy remov. rate fit]]*NOT(ISBLANK(Tabella3[[#This Row],[Italy remov. rate data]]))</f>
        <v>0</v>
      </c>
      <c r="Q223" s="72"/>
      <c r="R223" s="72"/>
      <c r="S223" s="131"/>
      <c r="T223" s="10"/>
      <c r="U223" s="10">
        <f>Tabella3[[#This Row],[region data]]*NOT(ISBLANK(Tabella3[[#This Row],[region data]]))</f>
        <v>0</v>
      </c>
      <c r="V223"/>
      <c r="W223" s="72">
        <f>Tabella3[[#This Row],[6-days moving avg]]*NOT(ISBLANK(Tabella3[[#This Row],[6-days moving avg]]))</f>
        <v>0</v>
      </c>
      <c r="X223" s="77" t="e">
        <f>Tabella8[[#This Row],[region fit]]</f>
        <v>#VALUE!</v>
      </c>
      <c r="Y223" s="72" t="e">
        <f>Tabella3[[#This Row],[region cumul. fit]]/Kl</f>
        <v>#VALUE!</v>
      </c>
      <c r="Z223" s="72">
        <f>IFERROR(Kl*psi_l*_xlfn.SECH(psi_l*(Tabella3[[#This Row],[Day]]-pl)-phi_l)^2/(1+TANH(phi_l)),0)</f>
        <v>17.910605277173694</v>
      </c>
      <c r="AA223" s="72">
        <f>Tabella3[[#This Row],[region fit]]/y_l_peak</f>
        <v>0.12164655010248565</v>
      </c>
      <c r="AB223" s="10">
        <f>Tabella3[[#This Row],[region fit]]*NOT(ISBLANK(Tabella3[[#This Row],[region data]]))</f>
        <v>0</v>
      </c>
      <c r="AC223" s="166">
        <f>IFERROR(kl_m*psi_l_m*_xlfn.SECH(psi_l_m*(Tabella3[[#This Row],[Day]]-pl_m)-phi_l_m)^2/(1+TANH(phi_l_m)),0)</f>
        <v>17.910605277173694</v>
      </c>
      <c r="AD223" s="72">
        <f>Tabella3[[#This Row],[6-days moving avg fit]]*NOT(ISBLANK(Tabella3[[#This Row],[6-days moving avg]]))</f>
        <v>0</v>
      </c>
      <c r="AE223" s="131"/>
      <c r="AF223" s="131"/>
      <c r="AG223" s="131"/>
      <c r="AH223" s="10"/>
      <c r="AI223" s="10">
        <f>Tabella3[[#This Row],[rest of Italy data]]*NOT(ISBLANK(Tabella3[[#This Row],[rest of Italy data]]))</f>
        <v>0</v>
      </c>
      <c r="AJ223" s="77" t="e">
        <f>Tabella8[[#This Row],[rest of Italy fit]]</f>
        <v>#VALUE!</v>
      </c>
      <c r="AK223" s="72" t="e">
        <f>Tabella3[[#This Row],[rest of Italy cumul. fit]]/Ka</f>
        <v>#VALUE!</v>
      </c>
      <c r="AL223" s="72">
        <f>IFERROR(Ka*psi_a*_xlfn.SECH(psi_a*(Tabella3[[#This Row],[Day]]-pa)-phi_a)^2/(1+TANH(phi_a)),0)</f>
        <v>97.465017106561277</v>
      </c>
      <c r="AM223" s="72">
        <f>Tabella3[[#This Row],[rest of Italy fit]]/y_a_peak</f>
        <v>3.2279080233685462E-2</v>
      </c>
      <c r="AN223" s="10">
        <f>Tabella3[[#This Row],[rest of Italy fit]]*NOT(ISBLANK(Tabella3[[#This Row],[rest of Italy data]]))</f>
        <v>0</v>
      </c>
      <c r="AO223" s="131"/>
      <c r="AP223" s="131"/>
    </row>
    <row r="224" spans="2:42" x14ac:dyDescent="0.3">
      <c r="B224" s="9">
        <v>44047</v>
      </c>
      <c r="C224" s="4">
        <v>217</v>
      </c>
      <c r="D224" s="131"/>
      <c r="E224" s="10"/>
      <c r="F224" s="10">
        <f>Tabella3[[#This Row],[Italy remov. rate data]]*NOT(ISBLANK(Tabella3[[#This Row],[Italy remov. rate data]]))</f>
        <v>0</v>
      </c>
      <c r="G224" s="77" t="e">
        <f>Tabella8[[#This Row],[Italy fit]]</f>
        <v>#VALUE!</v>
      </c>
      <c r="H224" s="77" t="e">
        <f>Tabella3[[#This Row],[Italy cumul. fit]]/Kf</f>
        <v>#VALUE!</v>
      </c>
      <c r="I224" s="77">
        <f>Tabella3[[#This Row],[region fit]]+Tabella3[[#This Row],[rest of Italy fit]]</f>
        <v>109.91142263803403</v>
      </c>
      <c r="J224" s="77">
        <f>Tabella3[[#This Row],[Italy (fit of selected region + fitted sum of the other regions)]]/(y_l_peak+y_a_peak)</f>
        <v>3.4708689128550359E-2</v>
      </c>
      <c r="K224" s="72">
        <f>IFERROR(Kf*psi_f*_xlfn.SECH(psi_f*(Tabella3[[#This Row],[Day]]-pf)-phi_f)^2/(1+TANH(phi_f)),0)</f>
        <v>106.43093588488968</v>
      </c>
      <c r="L224" s="292">
        <f>Tabella3[[#This Row],[Italy remov. rate fit]]-Tabella3[[#This Row],[Italy remov. rate data]]</f>
        <v>106.43093588488968</v>
      </c>
      <c r="M224" s="293">
        <f>Tabella3[[#This Row],[rem. rate residuals]]*NOT(ISBLANK(Tabella3[[#This Row],[Italy remov. rate data]]))</f>
        <v>0</v>
      </c>
      <c r="N224" s="72">
        <f>Tabella3[[#This Row],[Italy remov. rate fit]]/y_f_peak</f>
        <v>3.3691451242767047E-2</v>
      </c>
      <c r="O224" s="10">
        <f>Tabella3[[#This Row],[Italy (fit of selected region + fitted sum of the other regions)]]*NOT(ISBLANK(Tabella3[[#This Row],[Italy remov. rate data]]))</f>
        <v>0</v>
      </c>
      <c r="P224" s="10">
        <f>Tabella3[[#This Row],[Italy remov. rate fit]]*NOT(ISBLANK(Tabella3[[#This Row],[Italy remov. rate data]]))</f>
        <v>0</v>
      </c>
      <c r="Q224" s="72"/>
      <c r="R224" s="72"/>
      <c r="S224" s="131"/>
      <c r="T224" s="10"/>
      <c r="U224" s="10">
        <f>Tabella3[[#This Row],[region data]]*NOT(ISBLANK(Tabella3[[#This Row],[region data]]))</f>
        <v>0</v>
      </c>
      <c r="V224"/>
      <c r="W224" s="72">
        <f>Tabella3[[#This Row],[6-days moving avg]]*NOT(ISBLANK(Tabella3[[#This Row],[6-days moving avg]]))</f>
        <v>0</v>
      </c>
      <c r="X224" s="77" t="e">
        <f>Tabella8[[#This Row],[region fit]]</f>
        <v>#VALUE!</v>
      </c>
      <c r="Y224" s="72" t="e">
        <f>Tabella3[[#This Row],[region cumul. fit]]/Kl</f>
        <v>#VALUE!</v>
      </c>
      <c r="Z224" s="72">
        <f>IFERROR(Kl*psi_l*_xlfn.SECH(psi_l*(Tabella3[[#This Row],[Day]]-pl)-phi_l)^2/(1+TANH(phi_l)),0)</f>
        <v>17.246101807577823</v>
      </c>
      <c r="AA224" s="72">
        <f>Tabella3[[#This Row],[region fit]]/y_l_peak</f>
        <v>0.11713332716241619</v>
      </c>
      <c r="AB224" s="10">
        <f>Tabella3[[#This Row],[region fit]]*NOT(ISBLANK(Tabella3[[#This Row],[region data]]))</f>
        <v>0</v>
      </c>
      <c r="AC224" s="166">
        <f>IFERROR(kl_m*psi_l_m*_xlfn.SECH(psi_l_m*(Tabella3[[#This Row],[Day]]-pl_m)-phi_l_m)^2/(1+TANH(phi_l_m)),0)</f>
        <v>17.246101807577823</v>
      </c>
      <c r="AD224" s="72">
        <f>Tabella3[[#This Row],[6-days moving avg fit]]*NOT(ISBLANK(Tabella3[[#This Row],[6-days moving avg]]))</f>
        <v>0</v>
      </c>
      <c r="AE224" s="131"/>
      <c r="AF224" s="131"/>
      <c r="AG224" s="131"/>
      <c r="AH224" s="10"/>
      <c r="AI224" s="10">
        <f>Tabella3[[#This Row],[rest of Italy data]]*NOT(ISBLANK(Tabella3[[#This Row],[rest of Italy data]]))</f>
        <v>0</v>
      </c>
      <c r="AJ224" s="77" t="e">
        <f>Tabella8[[#This Row],[rest of Italy fit]]</f>
        <v>#VALUE!</v>
      </c>
      <c r="AK224" s="72" t="e">
        <f>Tabella3[[#This Row],[rest of Italy cumul. fit]]/Ka</f>
        <v>#VALUE!</v>
      </c>
      <c r="AL224" s="72">
        <f>IFERROR(Ka*psi_a*_xlfn.SECH(psi_a*(Tabella3[[#This Row],[Day]]-pa)-phi_a)^2/(1+TANH(phi_a)),0)</f>
        <v>92.665320830456196</v>
      </c>
      <c r="AM224" s="72">
        <f>Tabella3[[#This Row],[rest of Italy fit]]/y_a_peak</f>
        <v>3.0689486492329748E-2</v>
      </c>
      <c r="AN224" s="10">
        <f>Tabella3[[#This Row],[rest of Italy fit]]*NOT(ISBLANK(Tabella3[[#This Row],[rest of Italy data]]))</f>
        <v>0</v>
      </c>
      <c r="AO224" s="131"/>
      <c r="AP224" s="131"/>
    </row>
    <row r="225" spans="2:42" x14ac:dyDescent="0.3">
      <c r="B225" s="9">
        <v>44048</v>
      </c>
      <c r="C225" s="4">
        <v>218</v>
      </c>
      <c r="D225" s="131"/>
      <c r="E225" s="10"/>
      <c r="F225" s="10">
        <f>Tabella3[[#This Row],[Italy remov. rate data]]*NOT(ISBLANK(Tabella3[[#This Row],[Italy remov. rate data]]))</f>
        <v>0</v>
      </c>
      <c r="G225" s="77" t="e">
        <f>Tabella8[[#This Row],[Italy fit]]</f>
        <v>#VALUE!</v>
      </c>
      <c r="H225" s="77" t="e">
        <f>Tabella3[[#This Row],[Italy cumul. fit]]/Kf</f>
        <v>#VALUE!</v>
      </c>
      <c r="I225" s="77">
        <f>Tabella3[[#This Row],[region fit]]+Tabella3[[#This Row],[rest of Italy fit]]</f>
        <v>104.70310029743661</v>
      </c>
      <c r="J225" s="77">
        <f>Tabella3[[#This Row],[Italy (fit of selected region + fitted sum of the other regions)]]/(y_l_peak+y_a_peak)</f>
        <v>3.3063964343243796E-2</v>
      </c>
      <c r="K225" s="72">
        <f>IFERROR(Kf*psi_f*_xlfn.SECH(psi_f*(Tabella3[[#This Row],[Day]]-pf)-phi_f)^2/(1+TANH(phi_f)),0)</f>
        <v>101.27248760559608</v>
      </c>
      <c r="L225" s="292">
        <f>Tabella3[[#This Row],[Italy remov. rate fit]]-Tabella3[[#This Row],[Italy remov. rate data]]</f>
        <v>101.27248760559608</v>
      </c>
      <c r="M225" s="293">
        <f>Tabella3[[#This Row],[rem. rate residuals]]*NOT(ISBLANK(Tabella3[[#This Row],[Italy remov. rate data]]))</f>
        <v>0</v>
      </c>
      <c r="N225" s="72">
        <f>Tabella3[[#This Row],[Italy remov. rate fit]]/y_f_peak</f>
        <v>3.2058508647222039E-2</v>
      </c>
      <c r="O225" s="10">
        <f>Tabella3[[#This Row],[Italy (fit of selected region + fitted sum of the other regions)]]*NOT(ISBLANK(Tabella3[[#This Row],[Italy remov. rate data]]))</f>
        <v>0</v>
      </c>
      <c r="P225" s="10">
        <f>Tabella3[[#This Row],[Italy remov. rate fit]]*NOT(ISBLANK(Tabella3[[#This Row],[Italy remov. rate data]]))</f>
        <v>0</v>
      </c>
      <c r="Q225" s="72"/>
      <c r="R225" s="72"/>
      <c r="S225" s="131"/>
      <c r="T225" s="10"/>
      <c r="U225" s="10">
        <f>Tabella3[[#This Row],[region data]]*NOT(ISBLANK(Tabella3[[#This Row],[region data]]))</f>
        <v>0</v>
      </c>
      <c r="V225"/>
      <c r="W225" s="72">
        <f>Tabella3[[#This Row],[6-days moving avg]]*NOT(ISBLANK(Tabella3[[#This Row],[6-days moving avg]]))</f>
        <v>0</v>
      </c>
      <c r="X225" s="77" t="e">
        <f>Tabella8[[#This Row],[region fit]]</f>
        <v>#VALUE!</v>
      </c>
      <c r="Y225" s="72" t="e">
        <f>Tabella3[[#This Row],[region cumul. fit]]/Kl</f>
        <v>#VALUE!</v>
      </c>
      <c r="Z225" s="72">
        <f>IFERROR(Kl*psi_l*_xlfn.SECH(psi_l*(Tabella3[[#This Row],[Day]]-pl)-phi_l)^2/(1+TANH(phi_l)),0)</f>
        <v>16.604673452318409</v>
      </c>
      <c r="AA225" s="72">
        <f>Tabella3[[#This Row],[region fit]]/y_l_peak</f>
        <v>0.11277682746027255</v>
      </c>
      <c r="AB225" s="10">
        <f>Tabella3[[#This Row],[region fit]]*NOT(ISBLANK(Tabella3[[#This Row],[region data]]))</f>
        <v>0</v>
      </c>
      <c r="AC225" s="166">
        <f>IFERROR(kl_m*psi_l_m*_xlfn.SECH(psi_l_m*(Tabella3[[#This Row],[Day]]-pl_m)-phi_l_m)^2/(1+TANH(phi_l_m)),0)</f>
        <v>16.604673452318409</v>
      </c>
      <c r="AD225" s="72">
        <f>Tabella3[[#This Row],[6-days moving avg fit]]*NOT(ISBLANK(Tabella3[[#This Row],[6-days moving avg]]))</f>
        <v>0</v>
      </c>
      <c r="AE225" s="131"/>
      <c r="AF225" s="131"/>
      <c r="AG225" s="131"/>
      <c r="AH225" s="10"/>
      <c r="AI225" s="10">
        <f>Tabella3[[#This Row],[rest of Italy data]]*NOT(ISBLANK(Tabella3[[#This Row],[rest of Italy data]]))</f>
        <v>0</v>
      </c>
      <c r="AJ225" s="77" t="e">
        <f>Tabella8[[#This Row],[rest of Italy fit]]</f>
        <v>#VALUE!</v>
      </c>
      <c r="AK225" s="72" t="e">
        <f>Tabella3[[#This Row],[rest of Italy cumul. fit]]/Ka</f>
        <v>#VALUE!</v>
      </c>
      <c r="AL225" s="72">
        <f>IFERROR(Ka*psi_a*_xlfn.SECH(psi_a*(Tabella3[[#This Row],[Day]]-pa)-phi_a)^2/(1+TANH(phi_a)),0)</f>
        <v>88.098426845118198</v>
      </c>
      <c r="AM225" s="72">
        <f>Tabella3[[#This Row],[rest of Italy fit]]/y_a_peak</f>
        <v>2.917699368467664E-2</v>
      </c>
      <c r="AN225" s="10">
        <f>Tabella3[[#This Row],[rest of Italy fit]]*NOT(ISBLANK(Tabella3[[#This Row],[rest of Italy data]]))</f>
        <v>0</v>
      </c>
      <c r="AO225" s="131"/>
      <c r="AP225" s="131"/>
    </row>
    <row r="226" spans="2:42" x14ac:dyDescent="0.3">
      <c r="B226" s="9">
        <v>44049</v>
      </c>
      <c r="C226" s="4">
        <v>219</v>
      </c>
      <c r="D226" s="131"/>
      <c r="E226" s="10"/>
      <c r="F226" s="10">
        <f>Tabella3[[#This Row],[Italy remov. rate data]]*NOT(ISBLANK(Tabella3[[#This Row],[Italy remov. rate data]]))</f>
        <v>0</v>
      </c>
      <c r="G226" s="77" t="e">
        <f>Tabella8[[#This Row],[Italy fit]]</f>
        <v>#VALUE!</v>
      </c>
      <c r="H226" s="77" t="e">
        <f>Tabella3[[#This Row],[Italy cumul. fit]]/Kf</f>
        <v>#VALUE!</v>
      </c>
      <c r="I226" s="77">
        <f>Tabella3[[#This Row],[region fit]]+Tabella3[[#This Row],[rest of Italy fit]]</f>
        <v>99.739026798690944</v>
      </c>
      <c r="J226" s="77">
        <f>Tabella3[[#This Row],[Italy (fit of selected region + fitted sum of the other regions)]]/(y_l_peak+y_a_peak)</f>
        <v>3.1496370368533325E-2</v>
      </c>
      <c r="K226" s="72">
        <f>IFERROR(Kf*psi_f*_xlfn.SECH(psi_f*(Tabella3[[#This Row],[Day]]-pf)-phi_f)^2/(1+TANH(phi_f)),0)</f>
        <v>96.360113892696546</v>
      </c>
      <c r="L226" s="292">
        <f>Tabella3[[#This Row],[Italy remov. rate fit]]-Tabella3[[#This Row],[Italy remov. rate data]]</f>
        <v>96.360113892696546</v>
      </c>
      <c r="M226" s="293">
        <f>Tabella3[[#This Row],[rem. rate residuals]]*NOT(ISBLANK(Tabella3[[#This Row],[Italy remov. rate data]]))</f>
        <v>0</v>
      </c>
      <c r="N226" s="72">
        <f>Tabella3[[#This Row],[Italy remov. rate fit]]/y_f_peak</f>
        <v>3.0503462663097586E-2</v>
      </c>
      <c r="O226" s="10">
        <f>Tabella3[[#This Row],[Italy (fit of selected region + fitted sum of the other regions)]]*NOT(ISBLANK(Tabella3[[#This Row],[Italy remov. rate data]]))</f>
        <v>0</v>
      </c>
      <c r="P226" s="10">
        <f>Tabella3[[#This Row],[Italy remov. rate fit]]*NOT(ISBLANK(Tabella3[[#This Row],[Italy remov. rate data]]))</f>
        <v>0</v>
      </c>
      <c r="Q226" s="72"/>
      <c r="R226" s="72"/>
      <c r="S226" s="131"/>
      <c r="T226" s="10"/>
      <c r="U226" s="10">
        <f>Tabella3[[#This Row],[region data]]*NOT(ISBLANK(Tabella3[[#This Row],[region data]]))</f>
        <v>0</v>
      </c>
      <c r="V226"/>
      <c r="W226" s="72">
        <f>Tabella3[[#This Row],[6-days moving avg]]*NOT(ISBLANK(Tabella3[[#This Row],[6-days moving avg]]))</f>
        <v>0</v>
      </c>
      <c r="X226" s="77" t="e">
        <f>Tabella8[[#This Row],[region fit]]</f>
        <v>#VALUE!</v>
      </c>
      <c r="Y226" s="72" t="e">
        <f>Tabella3[[#This Row],[region cumul. fit]]/Kl</f>
        <v>#VALUE!</v>
      </c>
      <c r="Z226" s="72">
        <f>IFERROR(Kl*psi_l*_xlfn.SECH(psi_l*(Tabella3[[#This Row],[Day]]-pl)-phi_l)^2/(1+TANH(phi_l)),0)</f>
        <v>15.985638199216073</v>
      </c>
      <c r="AA226" s="72">
        <f>Tabella3[[#This Row],[region fit]]/y_l_peak</f>
        <v>0.10857241885618761</v>
      </c>
      <c r="AB226" s="10">
        <f>Tabella3[[#This Row],[region fit]]*NOT(ISBLANK(Tabella3[[#This Row],[region data]]))</f>
        <v>0</v>
      </c>
      <c r="AC226" s="166">
        <f>IFERROR(kl_m*psi_l_m*_xlfn.SECH(psi_l_m*(Tabella3[[#This Row],[Day]]-pl_m)-phi_l_m)^2/(1+TANH(phi_l_m)),0)</f>
        <v>15.985638199216073</v>
      </c>
      <c r="AD226" s="72">
        <f>Tabella3[[#This Row],[6-days moving avg fit]]*NOT(ISBLANK(Tabella3[[#This Row],[6-days moving avg]]))</f>
        <v>0</v>
      </c>
      <c r="AE226" s="131"/>
      <c r="AF226" s="131"/>
      <c r="AG226" s="131"/>
      <c r="AH226" s="10"/>
      <c r="AI226" s="10">
        <f>Tabella3[[#This Row],[rest of Italy data]]*NOT(ISBLANK(Tabella3[[#This Row],[rest of Italy data]]))</f>
        <v>0</v>
      </c>
      <c r="AJ226" s="77" t="e">
        <f>Tabella8[[#This Row],[rest of Italy fit]]</f>
        <v>#VALUE!</v>
      </c>
      <c r="AK226" s="72" t="e">
        <f>Tabella3[[#This Row],[rest of Italy cumul. fit]]/Ka</f>
        <v>#VALUE!</v>
      </c>
      <c r="AL226" s="72">
        <f>IFERROR(Ka*psi_a*_xlfn.SECH(psi_a*(Tabella3[[#This Row],[Day]]-pa)-phi_a)^2/(1+TANH(phi_a)),0)</f>
        <v>83.753388599474874</v>
      </c>
      <c r="AM226" s="72">
        <f>Tabella3[[#This Row],[rest of Italy fit]]/y_a_peak</f>
        <v>2.77379764627722E-2</v>
      </c>
      <c r="AN226" s="10">
        <f>Tabella3[[#This Row],[rest of Italy fit]]*NOT(ISBLANK(Tabella3[[#This Row],[rest of Italy data]]))</f>
        <v>0</v>
      </c>
      <c r="AO226" s="131"/>
      <c r="AP226" s="131"/>
    </row>
    <row r="227" spans="2:42" x14ac:dyDescent="0.3">
      <c r="B227" s="9">
        <v>44050</v>
      </c>
      <c r="C227" s="4">
        <v>220</v>
      </c>
      <c r="D227" s="131"/>
      <c r="E227" s="10"/>
      <c r="F227" s="10">
        <f>Tabella3[[#This Row],[Italy remov. rate data]]*NOT(ISBLANK(Tabella3[[#This Row],[Italy remov. rate data]]))</f>
        <v>0</v>
      </c>
      <c r="G227" s="77" t="e">
        <f>Tabella8[[#This Row],[Italy fit]]</f>
        <v>#VALUE!</v>
      </c>
      <c r="H227" s="77" t="e">
        <f>Tabella3[[#This Row],[Italy cumul. fit]]/Kf</f>
        <v>#VALUE!</v>
      </c>
      <c r="I227" s="77">
        <f>Tabella3[[#This Row],[region fit]]+Tabella3[[#This Row],[rest of Italy fit]]</f>
        <v>95.008065552217175</v>
      </c>
      <c r="J227" s="77">
        <f>Tabella3[[#This Row],[Italy (fit of selected region + fitted sum of the other regions)]]/(y_l_peak+y_a_peak)</f>
        <v>3.0002390405014453E-2</v>
      </c>
      <c r="K227" s="72">
        <f>IFERROR(Kf*psi_f*_xlfn.SECH(psi_f*(Tabella3[[#This Row],[Day]]-pf)-phi_f)^2/(1+TANH(phi_f)),0)</f>
        <v>91.682452737822373</v>
      </c>
      <c r="L227" s="292">
        <f>Tabella3[[#This Row],[Italy remov. rate fit]]-Tabella3[[#This Row],[Italy remov. rate data]]</f>
        <v>91.682452737822373</v>
      </c>
      <c r="M227" s="293">
        <f>Tabella3[[#This Row],[rem. rate residuals]]*NOT(ISBLANK(Tabella3[[#This Row],[Italy remov. rate data]]))</f>
        <v>0</v>
      </c>
      <c r="N227" s="72">
        <f>Tabella3[[#This Row],[Italy remov. rate fit]]/y_f_peak</f>
        <v>2.9022716567807416E-2</v>
      </c>
      <c r="O227" s="10">
        <f>Tabella3[[#This Row],[Italy (fit of selected region + fitted sum of the other regions)]]*NOT(ISBLANK(Tabella3[[#This Row],[Italy remov. rate data]]))</f>
        <v>0</v>
      </c>
      <c r="P227" s="10">
        <f>Tabella3[[#This Row],[Italy remov. rate fit]]*NOT(ISBLANK(Tabella3[[#This Row],[Italy remov. rate data]]))</f>
        <v>0</v>
      </c>
      <c r="Q227" s="72"/>
      <c r="R227" s="72"/>
      <c r="S227" s="131"/>
      <c r="T227" s="10"/>
      <c r="U227" s="10">
        <f>Tabella3[[#This Row],[region data]]*NOT(ISBLANK(Tabella3[[#This Row],[region data]]))</f>
        <v>0</v>
      </c>
      <c r="V227"/>
      <c r="W227" s="72">
        <f>Tabella3[[#This Row],[6-days moving avg]]*NOT(ISBLANK(Tabella3[[#This Row],[6-days moving avg]]))</f>
        <v>0</v>
      </c>
      <c r="X227" s="77" t="e">
        <f>Tabella8[[#This Row],[region fit]]</f>
        <v>#VALUE!</v>
      </c>
      <c r="Y227" s="72" t="e">
        <f>Tabella3[[#This Row],[region cumul. fit]]/Kl</f>
        <v>#VALUE!</v>
      </c>
      <c r="Z227" s="72">
        <f>IFERROR(Kl*psi_l*_xlfn.SECH(psi_l*(Tabella3[[#This Row],[Day]]-pl)-phi_l)^2/(1+TANH(phi_l)),0)</f>
        <v>15.388324937629241</v>
      </c>
      <c r="AA227" s="72">
        <f>Tabella3[[#This Row],[region fit]]/y_l_peak</f>
        <v>0.10451554325215065</v>
      </c>
      <c r="AB227" s="10">
        <f>Tabella3[[#This Row],[region fit]]*NOT(ISBLANK(Tabella3[[#This Row],[region data]]))</f>
        <v>0</v>
      </c>
      <c r="AC227" s="166">
        <f>IFERROR(kl_m*psi_l_m*_xlfn.SECH(psi_l_m*(Tabella3[[#This Row],[Day]]-pl_m)-phi_l_m)^2/(1+TANH(phi_l_m)),0)</f>
        <v>15.388324937629241</v>
      </c>
      <c r="AD227" s="72">
        <f>Tabella3[[#This Row],[6-days moving avg fit]]*NOT(ISBLANK(Tabella3[[#This Row],[6-days moving avg]]))</f>
        <v>0</v>
      </c>
      <c r="AE227" s="131"/>
      <c r="AF227" s="131"/>
      <c r="AG227" s="131"/>
      <c r="AH227" s="10"/>
      <c r="AI227" s="10">
        <f>Tabella3[[#This Row],[rest of Italy data]]*NOT(ISBLANK(Tabella3[[#This Row],[rest of Italy data]]))</f>
        <v>0</v>
      </c>
      <c r="AJ227" s="77" t="e">
        <f>Tabella8[[#This Row],[rest of Italy fit]]</f>
        <v>#VALUE!</v>
      </c>
      <c r="AK227" s="72" t="e">
        <f>Tabella3[[#This Row],[rest of Italy cumul. fit]]/Ka</f>
        <v>#VALUE!</v>
      </c>
      <c r="AL227" s="72">
        <f>IFERROR(Ka*psi_a*_xlfn.SECH(psi_a*(Tabella3[[#This Row],[Day]]-pa)-phi_a)^2/(1+TANH(phi_a)),0)</f>
        <v>79.61974061458794</v>
      </c>
      <c r="AM227" s="72">
        <f>Tabella3[[#This Row],[rest of Italy fit]]/y_a_peak</f>
        <v>2.6368968803171685E-2</v>
      </c>
      <c r="AN227" s="10">
        <f>Tabella3[[#This Row],[rest of Italy fit]]*NOT(ISBLANK(Tabella3[[#This Row],[rest of Italy data]]))</f>
        <v>0</v>
      </c>
      <c r="AO227" s="131"/>
      <c r="AP227" s="131"/>
    </row>
    <row r="228" spans="2:42" x14ac:dyDescent="0.3">
      <c r="B228" s="9">
        <v>44051</v>
      </c>
      <c r="C228" s="4">
        <v>221</v>
      </c>
      <c r="D228" s="131"/>
      <c r="E228" s="10"/>
      <c r="F228" s="10">
        <f>Tabella3[[#This Row],[Italy remov. rate data]]*NOT(ISBLANK(Tabella3[[#This Row],[Italy remov. rate data]]))</f>
        <v>0</v>
      </c>
      <c r="G228" s="77" t="e">
        <f>Tabella8[[#This Row],[Italy fit]]</f>
        <v>#VALUE!</v>
      </c>
      <c r="H228" s="77" t="e">
        <f>Tabella3[[#This Row],[Italy cumul. fit]]/Kf</f>
        <v>#VALUE!</v>
      </c>
      <c r="I228" s="77">
        <f>Tabella3[[#This Row],[region fit]]+Tabella3[[#This Row],[rest of Italy fit]]</f>
        <v>90.499554763268492</v>
      </c>
      <c r="J228" s="77">
        <f>Tabella3[[#This Row],[Italy (fit of selected region + fitted sum of the other regions)]]/(y_l_peak+y_a_peak)</f>
        <v>2.8578657587710485E-2</v>
      </c>
      <c r="K228" s="72">
        <f>IFERROR(Kf*psi_f*_xlfn.SECH(psi_f*(Tabella3[[#This Row],[Day]]-pf)-phi_f)^2/(1+TANH(phi_f)),0)</f>
        <v>87.228630593250344</v>
      </c>
      <c r="L228" s="292">
        <f>Tabella3[[#This Row],[Italy remov. rate fit]]-Tabella3[[#This Row],[Italy remov. rate data]]</f>
        <v>87.228630593250344</v>
      </c>
      <c r="M228" s="293">
        <f>Tabella3[[#This Row],[rem. rate residuals]]*NOT(ISBLANK(Tabella3[[#This Row],[Italy remov. rate data]]))</f>
        <v>0</v>
      </c>
      <c r="N228" s="72">
        <f>Tabella3[[#This Row],[Italy remov. rate fit]]/y_f_peak</f>
        <v>2.7612828264371871E-2</v>
      </c>
      <c r="O228" s="10">
        <f>Tabella3[[#This Row],[Italy (fit of selected region + fitted sum of the other regions)]]*NOT(ISBLANK(Tabella3[[#This Row],[Italy remov. rate data]]))</f>
        <v>0</v>
      </c>
      <c r="P228" s="10">
        <f>Tabella3[[#This Row],[Italy remov. rate fit]]*NOT(ISBLANK(Tabella3[[#This Row],[Italy remov. rate data]]))</f>
        <v>0</v>
      </c>
      <c r="Q228" s="72"/>
      <c r="R228" s="72"/>
      <c r="S228" s="131"/>
      <c r="T228" s="10"/>
      <c r="U228" s="10">
        <f>Tabella3[[#This Row],[region data]]*NOT(ISBLANK(Tabella3[[#This Row],[region data]]))</f>
        <v>0</v>
      </c>
      <c r="V228"/>
      <c r="W228" s="72">
        <f>Tabella3[[#This Row],[6-days moving avg]]*NOT(ISBLANK(Tabella3[[#This Row],[6-days moving avg]]))</f>
        <v>0</v>
      </c>
      <c r="X228" s="77" t="e">
        <f>Tabella8[[#This Row],[region fit]]</f>
        <v>#VALUE!</v>
      </c>
      <c r="Y228" s="72" t="e">
        <f>Tabella3[[#This Row],[region cumul. fit]]/Kl</f>
        <v>#VALUE!</v>
      </c>
      <c r="Z228" s="72">
        <f>IFERROR(Kl*psi_l*_xlfn.SECH(psi_l*(Tabella3[[#This Row],[Day]]-pl)-phi_l)^2/(1+TANH(phi_l)),0)</f>
        <v>14.812074086621701</v>
      </c>
      <c r="AA228" s="72">
        <f>Tabella3[[#This Row],[region fit]]/y_l_peak</f>
        <v>0.10060172085844145</v>
      </c>
      <c r="AB228" s="10">
        <f>Tabella3[[#This Row],[region fit]]*NOT(ISBLANK(Tabella3[[#This Row],[region data]]))</f>
        <v>0</v>
      </c>
      <c r="AC228" s="166">
        <f>IFERROR(kl_m*psi_l_m*_xlfn.SECH(psi_l_m*(Tabella3[[#This Row],[Day]]-pl_m)-phi_l_m)^2/(1+TANH(phi_l_m)),0)</f>
        <v>14.812074086621701</v>
      </c>
      <c r="AD228" s="72">
        <f>Tabella3[[#This Row],[6-days moving avg fit]]*NOT(ISBLANK(Tabella3[[#This Row],[6-days moving avg]]))</f>
        <v>0</v>
      </c>
      <c r="AE228" s="131"/>
      <c r="AF228" s="131"/>
      <c r="AG228" s="131"/>
      <c r="AH228" s="10"/>
      <c r="AI228" s="10">
        <f>Tabella3[[#This Row],[rest of Italy data]]*NOT(ISBLANK(Tabella3[[#This Row],[rest of Italy data]]))</f>
        <v>0</v>
      </c>
      <c r="AJ228" s="77" t="e">
        <f>Tabella8[[#This Row],[rest of Italy fit]]</f>
        <v>#VALUE!</v>
      </c>
      <c r="AK228" s="72" t="e">
        <f>Tabella3[[#This Row],[rest of Italy cumul. fit]]/Ka</f>
        <v>#VALUE!</v>
      </c>
      <c r="AL228" s="72">
        <f>IFERROR(Ka*psi_a*_xlfn.SECH(psi_a*(Tabella3[[#This Row],[Day]]-pa)-phi_a)^2/(1+TANH(phi_a)),0)</f>
        <v>75.687480676646786</v>
      </c>
      <c r="AM228" s="72">
        <f>Tabella3[[#This Row],[rest of Italy fit]]/y_a_peak</f>
        <v>2.5066658109502656E-2</v>
      </c>
      <c r="AN228" s="10">
        <f>Tabella3[[#This Row],[rest of Italy fit]]*NOT(ISBLANK(Tabella3[[#This Row],[rest of Italy data]]))</f>
        <v>0</v>
      </c>
      <c r="AO228" s="131"/>
      <c r="AP228" s="131"/>
    </row>
    <row r="229" spans="2:42" x14ac:dyDescent="0.3">
      <c r="B229" s="9">
        <v>44052</v>
      </c>
      <c r="C229" s="4">
        <v>222</v>
      </c>
      <c r="D229" s="131"/>
      <c r="E229" s="10"/>
      <c r="F229" s="10">
        <f>Tabella3[[#This Row],[Italy remov. rate data]]*NOT(ISBLANK(Tabella3[[#This Row],[Italy remov. rate data]]))</f>
        <v>0</v>
      </c>
      <c r="G229" s="77" t="e">
        <f>Tabella8[[#This Row],[Italy fit]]</f>
        <v>#VALUE!</v>
      </c>
      <c r="H229" s="77" t="e">
        <f>Tabella3[[#This Row],[Italy cumul. fit]]/Kf</f>
        <v>#VALUE!</v>
      </c>
      <c r="I229" s="77">
        <f>Tabella3[[#This Row],[region fit]]+Tabella3[[#This Row],[rest of Italy fit]]</f>
        <v>86.203290477534935</v>
      </c>
      <c r="J229" s="77">
        <f>Tabella3[[#This Row],[Italy (fit of selected region + fitted sum of the other regions)]]/(y_l_peak+y_a_peak)</f>
        <v>2.7221949632080598E-2</v>
      </c>
      <c r="K229" s="72">
        <f>IFERROR(Kf*psi_f*_xlfn.SECH(psi_f*(Tabella3[[#This Row],[Day]]-pf)-phi_f)^2/(1+TANH(phi_f)),0)</f>
        <v>82.988244906972099</v>
      </c>
      <c r="L229" s="292">
        <f>Tabella3[[#This Row],[Italy remov. rate fit]]-Tabella3[[#This Row],[Italy remov. rate data]]</f>
        <v>82.988244906972099</v>
      </c>
      <c r="M229" s="293">
        <f>Tabella3[[#This Row],[rem. rate residuals]]*NOT(ISBLANK(Tabella3[[#This Row],[Italy remov. rate data]]))</f>
        <v>0</v>
      </c>
      <c r="N229" s="72">
        <f>Tabella3[[#This Row],[Italy remov. rate fit]]/y_f_peak</f>
        <v>2.6270504752772893E-2</v>
      </c>
      <c r="O229" s="10">
        <f>Tabella3[[#This Row],[Italy (fit of selected region + fitted sum of the other regions)]]*NOT(ISBLANK(Tabella3[[#This Row],[Italy remov. rate data]]))</f>
        <v>0</v>
      </c>
      <c r="P229" s="10">
        <f>Tabella3[[#This Row],[Italy remov. rate fit]]*NOT(ISBLANK(Tabella3[[#This Row],[Italy remov. rate data]]))</f>
        <v>0</v>
      </c>
      <c r="Q229" s="72"/>
      <c r="R229" s="72"/>
      <c r="S229" s="131"/>
      <c r="T229" s="10"/>
      <c r="U229" s="10">
        <f>Tabella3[[#This Row],[region data]]*NOT(ISBLANK(Tabella3[[#This Row],[region data]]))</f>
        <v>0</v>
      </c>
      <c r="V229"/>
      <c r="W229" s="72">
        <f>Tabella3[[#This Row],[6-days moving avg]]*NOT(ISBLANK(Tabella3[[#This Row],[6-days moving avg]]))</f>
        <v>0</v>
      </c>
      <c r="X229" s="77" t="e">
        <f>Tabella8[[#This Row],[region fit]]</f>
        <v>#VALUE!</v>
      </c>
      <c r="Y229" s="72" t="e">
        <f>Tabella3[[#This Row],[region cumul. fit]]/Kl</f>
        <v>#VALUE!</v>
      </c>
      <c r="Z229" s="72">
        <f>IFERROR(Kl*psi_l*_xlfn.SECH(psi_l*(Tabella3[[#This Row],[Day]]-pl)-phi_l)^2/(1+TANH(phi_l)),0)</f>
        <v>14.256238135347886</v>
      </c>
      <c r="AA229" s="72">
        <f>Tabella3[[#This Row],[region fit]]/y_l_peak</f>
        <v>9.6826553863858286E-2</v>
      </c>
      <c r="AB229" s="10">
        <f>Tabella3[[#This Row],[region fit]]*NOT(ISBLANK(Tabella3[[#This Row],[region data]]))</f>
        <v>0</v>
      </c>
      <c r="AC229" s="166">
        <f>IFERROR(kl_m*psi_l_m*_xlfn.SECH(psi_l_m*(Tabella3[[#This Row],[Day]]-pl_m)-phi_l_m)^2/(1+TANH(phi_l_m)),0)</f>
        <v>14.256238135347886</v>
      </c>
      <c r="AD229" s="72">
        <f>Tabella3[[#This Row],[6-days moving avg fit]]*NOT(ISBLANK(Tabella3[[#This Row],[6-days moving avg]]))</f>
        <v>0</v>
      </c>
      <c r="AE229" s="131"/>
      <c r="AF229" s="131"/>
      <c r="AG229" s="131"/>
      <c r="AH229" s="10"/>
      <c r="AI229" s="10">
        <f>Tabella3[[#This Row],[rest of Italy data]]*NOT(ISBLANK(Tabella3[[#This Row],[rest of Italy data]]))</f>
        <v>0</v>
      </c>
      <c r="AJ229" s="77" t="e">
        <f>Tabella8[[#This Row],[rest of Italy fit]]</f>
        <v>#VALUE!</v>
      </c>
      <c r="AK229" s="72" t="e">
        <f>Tabella3[[#This Row],[rest of Italy cumul. fit]]/Ka</f>
        <v>#VALUE!</v>
      </c>
      <c r="AL229" s="72">
        <f>IFERROR(Ka*psi_a*_xlfn.SECH(psi_a*(Tabella3[[#This Row],[Day]]-pa)-phi_a)^2/(1+TANH(phi_a)),0)</f>
        <v>71.94705234218705</v>
      </c>
      <c r="AM229" s="72">
        <f>Tabella3[[#This Row],[rest of Italy fit]]/y_a_peak</f>
        <v>2.3827879418432705E-2</v>
      </c>
      <c r="AN229" s="10">
        <f>Tabella3[[#This Row],[rest of Italy fit]]*NOT(ISBLANK(Tabella3[[#This Row],[rest of Italy data]]))</f>
        <v>0</v>
      </c>
      <c r="AO229" s="131"/>
      <c r="AP229" s="131"/>
    </row>
    <row r="230" spans="2:42" x14ac:dyDescent="0.3">
      <c r="B230" s="9">
        <v>44053</v>
      </c>
      <c r="C230" s="4">
        <v>223</v>
      </c>
      <c r="D230" s="131"/>
      <c r="E230" s="10"/>
      <c r="F230" s="10">
        <f>Tabella3[[#This Row],[Italy remov. rate data]]*NOT(ISBLANK(Tabella3[[#This Row],[Italy remov. rate data]]))</f>
        <v>0</v>
      </c>
      <c r="G230" s="77" t="e">
        <f>Tabella8[[#This Row],[Italy fit]]</f>
        <v>#VALUE!</v>
      </c>
      <c r="H230" s="77" t="e">
        <f>Tabella3[[#This Row],[Italy cumul. fit]]/Kf</f>
        <v>#VALUE!</v>
      </c>
      <c r="I230" s="77">
        <f>Tabella3[[#This Row],[region fit]]+Tabella3[[#This Row],[rest of Italy fit]]</f>
        <v>82.109509894022352</v>
      </c>
      <c r="J230" s="77">
        <f>Tabella3[[#This Row],[Italy (fit of selected region + fitted sum of the other regions)]]/(y_l_peak+y_a_peak)</f>
        <v>2.5929183564430188E-2</v>
      </c>
      <c r="K230" s="72">
        <f>IFERROR(Kf*psi_f*_xlfn.SECH(psi_f*(Tabella3[[#This Row],[Day]]-pf)-phi_f)^2/(1+TANH(phi_f)),0)</f>
        <v>78.951346918580967</v>
      </c>
      <c r="L230" s="292">
        <f>Tabella3[[#This Row],[Italy remov. rate fit]]-Tabella3[[#This Row],[Italy remov. rate data]]</f>
        <v>78.951346918580967</v>
      </c>
      <c r="M230" s="293">
        <f>Tabella3[[#This Row],[rem. rate residuals]]*NOT(ISBLANK(Tabella3[[#This Row],[Italy remov. rate data]]))</f>
        <v>0</v>
      </c>
      <c r="N230" s="72">
        <f>Tabella3[[#This Row],[Italy remov. rate fit]]/y_f_peak</f>
        <v>2.4992596683872655E-2</v>
      </c>
      <c r="O230" s="10">
        <f>Tabella3[[#This Row],[Italy (fit of selected region + fitted sum of the other regions)]]*NOT(ISBLANK(Tabella3[[#This Row],[Italy remov. rate data]]))</f>
        <v>0</v>
      </c>
      <c r="P230" s="10">
        <f>Tabella3[[#This Row],[Italy remov. rate fit]]*NOT(ISBLANK(Tabella3[[#This Row],[Italy remov. rate data]]))</f>
        <v>0</v>
      </c>
      <c r="Q230" s="72"/>
      <c r="R230" s="72"/>
      <c r="S230" s="131"/>
      <c r="T230" s="10"/>
      <c r="U230" s="10">
        <f>Tabella3[[#This Row],[region data]]*NOT(ISBLANK(Tabella3[[#This Row],[region data]]))</f>
        <v>0</v>
      </c>
      <c r="V230"/>
      <c r="W230" s="72">
        <f>Tabella3[[#This Row],[6-days moving avg]]*NOT(ISBLANK(Tabella3[[#This Row],[6-days moving avg]]))</f>
        <v>0</v>
      </c>
      <c r="X230" s="77" t="e">
        <f>Tabella8[[#This Row],[region fit]]</f>
        <v>#VALUE!</v>
      </c>
      <c r="Y230" s="72" t="e">
        <f>Tabella3[[#This Row],[region cumul. fit]]/Kl</f>
        <v>#VALUE!</v>
      </c>
      <c r="Z230" s="72">
        <f>IFERROR(Kl*psi_l*_xlfn.SECH(psi_l*(Tabella3[[#This Row],[Day]]-pl)-phi_l)^2/(1+TANH(phi_l)),0)</f>
        <v>13.720182102084772</v>
      </c>
      <c r="AA230" s="72">
        <f>Tabella3[[#This Row],[region fit]]/y_l_peak</f>
        <v>9.318572955340422E-2</v>
      </c>
      <c r="AB230" s="10">
        <f>Tabella3[[#This Row],[region fit]]*NOT(ISBLANK(Tabella3[[#This Row],[region data]]))</f>
        <v>0</v>
      </c>
      <c r="AC230" s="166">
        <f>IFERROR(kl_m*psi_l_m*_xlfn.SECH(psi_l_m*(Tabella3[[#This Row],[Day]]-pl_m)-phi_l_m)^2/(1+TANH(phi_l_m)),0)</f>
        <v>13.720182102084772</v>
      </c>
      <c r="AD230" s="72">
        <f>Tabella3[[#This Row],[6-days moving avg fit]]*NOT(ISBLANK(Tabella3[[#This Row],[6-days moving avg]]))</f>
        <v>0</v>
      </c>
      <c r="AE230" s="131"/>
      <c r="AF230" s="131"/>
      <c r="AG230" s="131"/>
      <c r="AH230" s="10"/>
      <c r="AI230" s="10">
        <f>Tabella3[[#This Row],[rest of Italy data]]*NOT(ISBLANK(Tabella3[[#This Row],[rest of Italy data]]))</f>
        <v>0</v>
      </c>
      <c r="AJ230" s="77" t="e">
        <f>Tabella8[[#This Row],[rest of Italy fit]]</f>
        <v>#VALUE!</v>
      </c>
      <c r="AK230" s="72" t="e">
        <f>Tabella3[[#This Row],[rest of Italy cumul. fit]]/Ka</f>
        <v>#VALUE!</v>
      </c>
      <c r="AL230" s="72">
        <f>IFERROR(Ka*psi_a*_xlfn.SECH(psi_a*(Tabella3[[#This Row],[Day]]-pa)-phi_a)^2/(1+TANH(phi_a)),0)</f>
        <v>68.389327791937575</v>
      </c>
      <c r="AM230" s="72">
        <f>Tabella3[[#This Row],[rest of Italy fit]]/y_a_peak</f>
        <v>2.2649609721098151E-2</v>
      </c>
      <c r="AN230" s="10">
        <f>Tabella3[[#This Row],[rest of Italy fit]]*NOT(ISBLANK(Tabella3[[#This Row],[rest of Italy data]]))</f>
        <v>0</v>
      </c>
      <c r="AO230" s="131"/>
      <c r="AP230" s="131"/>
    </row>
    <row r="231" spans="2:42" x14ac:dyDescent="0.3">
      <c r="B231" s="9">
        <v>44054</v>
      </c>
      <c r="C231" s="4">
        <v>224</v>
      </c>
      <c r="D231" s="131"/>
      <c r="E231" s="10"/>
      <c r="F231" s="10">
        <f>Tabella3[[#This Row],[Italy remov. rate data]]*NOT(ISBLANK(Tabella3[[#This Row],[Italy remov. rate data]]))</f>
        <v>0</v>
      </c>
      <c r="G231" s="77" t="e">
        <f>Tabella8[[#This Row],[Italy fit]]</f>
        <v>#VALUE!</v>
      </c>
      <c r="H231" s="77" t="e">
        <f>Tabella3[[#This Row],[Italy cumul. fit]]/Kf</f>
        <v>#VALUE!</v>
      </c>
      <c r="I231" s="77">
        <f>Tabella3[[#This Row],[region fit]]+Tabella3[[#This Row],[rest of Italy fit]]</f>
        <v>78.208874981449853</v>
      </c>
      <c r="J231" s="77">
        <f>Tabella3[[#This Row],[Italy (fit of selected region + fitted sum of the other regions)]]/(y_l_peak+y_a_peak)</f>
        <v>2.4697410548168638E-2</v>
      </c>
      <c r="K231" s="72">
        <f>IFERROR(Kf*psi_f*_xlfn.SECH(psi_f*(Tabella3[[#This Row],[Day]]-pf)-phi_f)^2/(1+TANH(phi_f)),0)</f>
        <v>75.108424756025073</v>
      </c>
      <c r="L231" s="292">
        <f>Tabella3[[#This Row],[Italy remov. rate fit]]-Tabella3[[#This Row],[Italy remov. rate data]]</f>
        <v>75.108424756025073</v>
      </c>
      <c r="M231" s="293">
        <f>Tabella3[[#This Row],[rem. rate residuals]]*NOT(ISBLANK(Tabella3[[#This Row],[Italy remov. rate data]]))</f>
        <v>0</v>
      </c>
      <c r="N231" s="72">
        <f>Tabella3[[#This Row],[Italy remov. rate fit]]/y_f_peak</f>
        <v>2.3776093008573466E-2</v>
      </c>
      <c r="O231" s="10">
        <f>Tabella3[[#This Row],[Italy (fit of selected region + fitted sum of the other regions)]]*NOT(ISBLANK(Tabella3[[#This Row],[Italy remov. rate data]]))</f>
        <v>0</v>
      </c>
      <c r="P231" s="10">
        <f>Tabella3[[#This Row],[Italy remov. rate fit]]*NOT(ISBLANK(Tabella3[[#This Row],[Italy remov. rate data]]))</f>
        <v>0</v>
      </c>
      <c r="Q231" s="72"/>
      <c r="R231" s="72"/>
      <c r="S231" s="131"/>
      <c r="T231" s="10"/>
      <c r="U231" s="10">
        <f>Tabella3[[#This Row],[region data]]*NOT(ISBLANK(Tabella3[[#This Row],[region data]]))</f>
        <v>0</v>
      </c>
      <c r="V231"/>
      <c r="W231" s="72">
        <f>Tabella3[[#This Row],[6-days moving avg]]*NOT(ISBLANK(Tabella3[[#This Row],[6-days moving avg]]))</f>
        <v>0</v>
      </c>
      <c r="X231" s="77" t="e">
        <f>Tabella8[[#This Row],[region fit]]</f>
        <v>#VALUE!</v>
      </c>
      <c r="Y231" s="72" t="e">
        <f>Tabella3[[#This Row],[region cumul. fit]]/Kl</f>
        <v>#VALUE!</v>
      </c>
      <c r="Z231" s="72">
        <f>IFERROR(Kl*psi_l*_xlfn.SECH(psi_l*(Tabella3[[#This Row],[Day]]-pl)-phi_l)^2/(1+TANH(phi_l)),0)</f>
        <v>13.203283918039347</v>
      </c>
      <c r="AA231" s="72">
        <f>Tabella3[[#This Row],[region fit]]/y_l_peak</f>
        <v>8.9675022915058383E-2</v>
      </c>
      <c r="AB231" s="10">
        <f>Tabella3[[#This Row],[region fit]]*NOT(ISBLANK(Tabella3[[#This Row],[region data]]))</f>
        <v>0</v>
      </c>
      <c r="AC231" s="166">
        <f>IFERROR(kl_m*psi_l_m*_xlfn.SECH(psi_l_m*(Tabella3[[#This Row],[Day]]-pl_m)-phi_l_m)^2/(1+TANH(phi_l_m)),0)</f>
        <v>13.203283918039347</v>
      </c>
      <c r="AD231" s="72">
        <f>Tabella3[[#This Row],[6-days moving avg fit]]*NOT(ISBLANK(Tabella3[[#This Row],[6-days moving avg]]))</f>
        <v>0</v>
      </c>
      <c r="AE231" s="131"/>
      <c r="AF231" s="131"/>
      <c r="AG231" s="131"/>
      <c r="AH231" s="10"/>
      <c r="AI231" s="10">
        <f>Tabella3[[#This Row],[rest of Italy data]]*NOT(ISBLANK(Tabella3[[#This Row],[rest of Italy data]]))</f>
        <v>0</v>
      </c>
      <c r="AJ231" s="77" t="e">
        <f>Tabella8[[#This Row],[rest of Italy fit]]</f>
        <v>#VALUE!</v>
      </c>
      <c r="AK231" s="72" t="e">
        <f>Tabella3[[#This Row],[rest of Italy cumul. fit]]/Ka</f>
        <v>#VALUE!</v>
      </c>
      <c r="AL231" s="72">
        <f>IFERROR(Ka*psi_a*_xlfn.SECH(psi_a*(Tabella3[[#This Row],[Day]]-pa)-phi_a)^2/(1+TANH(phi_a)),0)</f>
        <v>65.005591063410506</v>
      </c>
      <c r="AM231" s="72">
        <f>Tabella3[[#This Row],[rest of Italy fit]]/y_a_peak</f>
        <v>2.1528962409967264E-2</v>
      </c>
      <c r="AN231" s="10">
        <f>Tabella3[[#This Row],[rest of Italy fit]]*NOT(ISBLANK(Tabella3[[#This Row],[rest of Italy data]]))</f>
        <v>0</v>
      </c>
      <c r="AO231" s="131"/>
      <c r="AP231" s="131"/>
    </row>
    <row r="232" spans="2:42" x14ac:dyDescent="0.3">
      <c r="B232" s="9">
        <v>44055</v>
      </c>
      <c r="C232" s="4">
        <v>225</v>
      </c>
      <c r="D232" s="131"/>
      <c r="E232" s="10"/>
      <c r="F232" s="10">
        <f>Tabella3[[#This Row],[Italy remov. rate data]]*NOT(ISBLANK(Tabella3[[#This Row],[Italy remov. rate data]]))</f>
        <v>0</v>
      </c>
      <c r="G232" s="77" t="e">
        <f>Tabella8[[#This Row],[Italy fit]]</f>
        <v>#VALUE!</v>
      </c>
      <c r="H232" s="77" t="e">
        <f>Tabella3[[#This Row],[Italy cumul. fit]]/Kf</f>
        <v>#VALUE!</v>
      </c>
      <c r="I232" s="77">
        <f>Tabella3[[#This Row],[region fit]]+Tabella3[[#This Row],[rest of Italy fit]]</f>
        <v>74.492456428487358</v>
      </c>
      <c r="J232" s="77">
        <f>Tabella3[[#This Row],[Italy (fit of selected region + fitted sum of the other regions)]]/(y_l_peak+y_a_peak)</f>
        <v>2.3523810815489758E-2</v>
      </c>
      <c r="K232" s="72">
        <f>IFERROR(Kf*psi_f*_xlfn.SECH(psi_f*(Tabella3[[#This Row],[Day]]-pf)-phi_f)^2/(1+TANH(phi_f)),0)</f>
        <v>71.450386866859134</v>
      </c>
      <c r="L232" s="292">
        <f>Tabella3[[#This Row],[Italy remov. rate fit]]-Tabella3[[#This Row],[Italy remov. rate data]]</f>
        <v>71.450386866859134</v>
      </c>
      <c r="M232" s="293">
        <f>Tabella3[[#This Row],[rem. rate residuals]]*NOT(ISBLANK(Tabella3[[#This Row],[Italy remov. rate data]]))</f>
        <v>0</v>
      </c>
      <c r="N232" s="72">
        <f>Tabella3[[#This Row],[Italy remov. rate fit]]/y_f_peak</f>
        <v>2.2618115732865547E-2</v>
      </c>
      <c r="O232" s="10">
        <f>Tabella3[[#This Row],[Italy (fit of selected region + fitted sum of the other regions)]]*NOT(ISBLANK(Tabella3[[#This Row],[Italy remov. rate data]]))</f>
        <v>0</v>
      </c>
      <c r="P232" s="10">
        <f>Tabella3[[#This Row],[Italy remov. rate fit]]*NOT(ISBLANK(Tabella3[[#This Row],[Italy remov. rate data]]))</f>
        <v>0</v>
      </c>
      <c r="Q232" s="72"/>
      <c r="R232" s="72"/>
      <c r="S232" s="131"/>
      <c r="T232" s="10"/>
      <c r="U232" s="10">
        <f>Tabella3[[#This Row],[region data]]*NOT(ISBLANK(Tabella3[[#This Row],[region data]]))</f>
        <v>0</v>
      </c>
      <c r="V232"/>
      <c r="W232" s="72">
        <f>Tabella3[[#This Row],[6-days moving avg]]*NOT(ISBLANK(Tabella3[[#This Row],[6-days moving avg]]))</f>
        <v>0</v>
      </c>
      <c r="X232" s="77" t="e">
        <f>Tabella8[[#This Row],[region fit]]</f>
        <v>#VALUE!</v>
      </c>
      <c r="Y232" s="72" t="e">
        <f>Tabella3[[#This Row],[region cumul. fit]]/Kl</f>
        <v>#VALUE!</v>
      </c>
      <c r="Z232" s="72">
        <f>IFERROR(Kl*psi_l*_xlfn.SECH(psi_l*(Tabella3[[#This Row],[Day]]-pl)-phi_l)^2/(1+TANH(phi_l)),0)</f>
        <v>12.704934741760576</v>
      </c>
      <c r="AA232" s="72">
        <f>Tabella3[[#This Row],[region fit]]/y_l_peak</f>
        <v>8.6290298775222152E-2</v>
      </c>
      <c r="AB232" s="10">
        <f>Tabella3[[#This Row],[region fit]]*NOT(ISBLANK(Tabella3[[#This Row],[region data]]))</f>
        <v>0</v>
      </c>
      <c r="AC232" s="166">
        <f>IFERROR(kl_m*psi_l_m*_xlfn.SECH(psi_l_m*(Tabella3[[#This Row],[Day]]-pl_m)-phi_l_m)^2/(1+TANH(phi_l_m)),0)</f>
        <v>12.704934741760576</v>
      </c>
      <c r="AD232" s="72">
        <f>Tabella3[[#This Row],[6-days moving avg fit]]*NOT(ISBLANK(Tabella3[[#This Row],[6-days moving avg]]))</f>
        <v>0</v>
      </c>
      <c r="AE232" s="131"/>
      <c r="AF232" s="131"/>
      <c r="AG232" s="131"/>
      <c r="AH232" s="10"/>
      <c r="AI232" s="10">
        <f>Tabella3[[#This Row],[rest of Italy data]]*NOT(ISBLANK(Tabella3[[#This Row],[rest of Italy data]]))</f>
        <v>0</v>
      </c>
      <c r="AJ232" s="77" t="e">
        <f>Tabella8[[#This Row],[rest of Italy fit]]</f>
        <v>#VALUE!</v>
      </c>
      <c r="AK232" s="72" t="e">
        <f>Tabella3[[#This Row],[rest of Italy cumul. fit]]/Ka</f>
        <v>#VALUE!</v>
      </c>
      <c r="AL232" s="72">
        <f>IFERROR(Ka*psi_a*_xlfn.SECH(psi_a*(Tabella3[[#This Row],[Day]]-pa)-phi_a)^2/(1+TANH(phi_a)),0)</f>
        <v>61.787521686726784</v>
      </c>
      <c r="AM232" s="72">
        <f>Tabella3[[#This Row],[rest of Italy fit]]/y_a_peak</f>
        <v>2.0463181859249575E-2</v>
      </c>
      <c r="AN232" s="10">
        <f>Tabella3[[#This Row],[rest of Italy fit]]*NOT(ISBLANK(Tabella3[[#This Row],[rest of Italy data]]))</f>
        <v>0</v>
      </c>
      <c r="AO232" s="131"/>
      <c r="AP232" s="131"/>
    </row>
    <row r="233" spans="2:42" x14ac:dyDescent="0.3">
      <c r="B233" s="9">
        <v>44056</v>
      </c>
      <c r="C233" s="4">
        <v>226</v>
      </c>
      <c r="D233" s="131"/>
      <c r="E233" s="10"/>
      <c r="F233" s="10">
        <f>Tabella3[[#This Row],[Italy remov. rate data]]*NOT(ISBLANK(Tabella3[[#This Row],[Italy remov. rate data]]))</f>
        <v>0</v>
      </c>
      <c r="G233" s="77" t="e">
        <f>Tabella8[[#This Row],[Italy fit]]</f>
        <v>#VALUE!</v>
      </c>
      <c r="H233" s="77" t="e">
        <f>Tabella3[[#This Row],[Italy cumul. fit]]/Kf</f>
        <v>#VALUE!</v>
      </c>
      <c r="I233" s="77">
        <f>Tabella3[[#This Row],[region fit]]+Tabella3[[#This Row],[rest of Italy fit]]</f>
        <v>70.951717952847744</v>
      </c>
      <c r="J233" s="77">
        <f>Tabella3[[#This Row],[Italy (fit of selected region + fitted sum of the other regions)]]/(y_l_peak+y_a_peak)</f>
        <v>2.2405688712374097E-2</v>
      </c>
      <c r="K233" s="72">
        <f>IFERROR(Kf*psi_f*_xlfn.SECH(psi_f*(Tabella3[[#This Row],[Day]]-pf)-phi_f)^2/(1+TANH(phi_f)),0)</f>
        <v>67.968545811866974</v>
      </c>
      <c r="L233" s="292">
        <f>Tabella3[[#This Row],[Italy remov. rate fit]]-Tabella3[[#This Row],[Italy remov. rate data]]</f>
        <v>67.968545811866974</v>
      </c>
      <c r="M233" s="293">
        <f>Tabella3[[#This Row],[rem. rate residuals]]*NOT(ISBLANK(Tabella3[[#This Row],[Italy remov. rate data]]))</f>
        <v>0</v>
      </c>
      <c r="N233" s="72">
        <f>Tabella3[[#This Row],[Italy remov. rate fit]]/y_f_peak</f>
        <v>2.1515914787585806E-2</v>
      </c>
      <c r="O233" s="10">
        <f>Tabella3[[#This Row],[Italy (fit of selected region + fitted sum of the other regions)]]*NOT(ISBLANK(Tabella3[[#This Row],[Italy remov. rate data]]))</f>
        <v>0</v>
      </c>
      <c r="P233" s="10">
        <f>Tabella3[[#This Row],[Italy remov. rate fit]]*NOT(ISBLANK(Tabella3[[#This Row],[Italy remov. rate data]]))</f>
        <v>0</v>
      </c>
      <c r="Q233" s="72"/>
      <c r="R233" s="72"/>
      <c r="S233" s="131"/>
      <c r="T233" s="10"/>
      <c r="U233" s="10">
        <f>Tabella3[[#This Row],[region data]]*NOT(ISBLANK(Tabella3[[#This Row],[region data]]))</f>
        <v>0</v>
      </c>
      <c r="V233"/>
      <c r="W233" s="72">
        <f>Tabella3[[#This Row],[6-days moving avg]]*NOT(ISBLANK(Tabella3[[#This Row],[6-days moving avg]]))</f>
        <v>0</v>
      </c>
      <c r="X233" s="77" t="e">
        <f>Tabella8[[#This Row],[region fit]]</f>
        <v>#VALUE!</v>
      </c>
      <c r="Y233" s="72" t="e">
        <f>Tabella3[[#This Row],[region cumul. fit]]/Kl</f>
        <v>#VALUE!</v>
      </c>
      <c r="Z233" s="72">
        <f>IFERROR(Kl*psi_l*_xlfn.SECH(psi_l*(Tabella3[[#This Row],[Day]]-pl)-phi_l)^2/(1+TANH(phi_l)),0)</f>
        <v>12.22453920968592</v>
      </c>
      <c r="AA233" s="72">
        <f>Tabella3[[#This Row],[region fit]]/y_l_peak</f>
        <v>8.3027513500399122E-2</v>
      </c>
      <c r="AB233" s="10">
        <f>Tabella3[[#This Row],[region fit]]*NOT(ISBLANK(Tabella3[[#This Row],[region data]]))</f>
        <v>0</v>
      </c>
      <c r="AC233" s="166">
        <f>IFERROR(kl_m*psi_l_m*_xlfn.SECH(psi_l_m*(Tabella3[[#This Row],[Day]]-pl_m)-phi_l_m)^2/(1+TANH(phi_l_m)),0)</f>
        <v>12.22453920968592</v>
      </c>
      <c r="AD233" s="72">
        <f>Tabella3[[#This Row],[6-days moving avg fit]]*NOT(ISBLANK(Tabella3[[#This Row],[6-days moving avg]]))</f>
        <v>0</v>
      </c>
      <c r="AE233" s="131"/>
      <c r="AF233" s="131"/>
      <c r="AG233" s="131"/>
      <c r="AH233" s="10"/>
      <c r="AI233" s="10">
        <f>Tabella3[[#This Row],[rest of Italy data]]*NOT(ISBLANK(Tabella3[[#This Row],[rest of Italy data]]))</f>
        <v>0</v>
      </c>
      <c r="AJ233" s="77" t="e">
        <f>Tabella8[[#This Row],[rest of Italy fit]]</f>
        <v>#VALUE!</v>
      </c>
      <c r="AK233" s="72" t="e">
        <f>Tabella3[[#This Row],[rest of Italy cumul. fit]]/Ka</f>
        <v>#VALUE!</v>
      </c>
      <c r="AL233" s="72">
        <f>IFERROR(Ka*psi_a*_xlfn.SECH(psi_a*(Tabella3[[#This Row],[Day]]-pa)-phi_a)^2/(1+TANH(phi_a)),0)</f>
        <v>58.727178743161829</v>
      </c>
      <c r="AM233" s="72">
        <f>Tabella3[[#This Row],[rest of Italy fit]]/y_a_peak</f>
        <v>1.9449638145304274E-2</v>
      </c>
      <c r="AN233" s="10">
        <f>Tabella3[[#This Row],[rest of Italy fit]]*NOT(ISBLANK(Tabella3[[#This Row],[rest of Italy data]]))</f>
        <v>0</v>
      </c>
      <c r="AO233" s="131"/>
      <c r="AP233" s="131"/>
    </row>
    <row r="234" spans="2:42" x14ac:dyDescent="0.3">
      <c r="B234" s="9">
        <v>44057</v>
      </c>
      <c r="C234" s="4">
        <v>227</v>
      </c>
      <c r="D234" s="131"/>
      <c r="E234" s="10"/>
      <c r="F234" s="10">
        <f>Tabella3[[#This Row],[Italy remov. rate data]]*NOT(ISBLANK(Tabella3[[#This Row],[Italy remov. rate data]]))</f>
        <v>0</v>
      </c>
      <c r="G234" s="77" t="e">
        <f>Tabella8[[#This Row],[Italy fit]]</f>
        <v>#VALUE!</v>
      </c>
      <c r="H234" s="77" t="e">
        <f>Tabella3[[#This Row],[Italy cumul. fit]]/Kf</f>
        <v>#VALUE!</v>
      </c>
      <c r="I234" s="77">
        <f>Tabella3[[#This Row],[region fit]]+Tabella3[[#This Row],[rest of Italy fit]]</f>
        <v>67.5785009894973</v>
      </c>
      <c r="J234" s="77">
        <f>Tabella3[[#This Row],[Italy (fit of selected region + fitted sum of the other regions)]]/(y_l_peak+y_a_peak)</f>
        <v>2.1340467863312243E-2</v>
      </c>
      <c r="K234" s="72">
        <f>IFERROR(Kf*psi_f*_xlfn.SECH(psi_f*(Tabella3[[#This Row],[Day]]-pf)-phi_f)^2/(1+TANH(phi_f)),0)</f>
        <v>64.654602443771694</v>
      </c>
      <c r="L234" s="292">
        <f>Tabella3[[#This Row],[Italy remov. rate fit]]-Tabella3[[#This Row],[Italy remov. rate data]]</f>
        <v>64.654602443771694</v>
      </c>
      <c r="M234" s="293">
        <f>Tabella3[[#This Row],[rem. rate residuals]]*NOT(ISBLANK(Tabella3[[#This Row],[Italy remov. rate data]]))</f>
        <v>0</v>
      </c>
      <c r="N234" s="72">
        <f>Tabella3[[#This Row],[Italy remov. rate fit]]/y_f_peak</f>
        <v>2.0466863020078753E-2</v>
      </c>
      <c r="O234" s="10">
        <f>Tabella3[[#This Row],[Italy (fit of selected region + fitted sum of the other regions)]]*NOT(ISBLANK(Tabella3[[#This Row],[Italy remov. rate data]]))</f>
        <v>0</v>
      </c>
      <c r="P234" s="10">
        <f>Tabella3[[#This Row],[Italy remov. rate fit]]*NOT(ISBLANK(Tabella3[[#This Row],[Italy remov. rate data]]))</f>
        <v>0</v>
      </c>
      <c r="Q234" s="72"/>
      <c r="R234" s="72"/>
      <c r="S234" s="131"/>
      <c r="T234" s="10"/>
      <c r="U234" s="10">
        <f>Tabella3[[#This Row],[region data]]*NOT(ISBLANK(Tabella3[[#This Row],[region data]]))</f>
        <v>0</v>
      </c>
      <c r="V234"/>
      <c r="W234" s="72">
        <f>Tabella3[[#This Row],[6-days moving avg]]*NOT(ISBLANK(Tabella3[[#This Row],[6-days moving avg]]))</f>
        <v>0</v>
      </c>
      <c r="X234" s="77" t="e">
        <f>Tabella8[[#This Row],[region fit]]</f>
        <v>#VALUE!</v>
      </c>
      <c r="Y234" s="72" t="e">
        <f>Tabella3[[#This Row],[region cumul. fit]]/Kl</f>
        <v>#VALUE!</v>
      </c>
      <c r="Z234" s="72">
        <f>IFERROR(Kl*psi_l*_xlfn.SECH(psi_l*(Tabella3[[#This Row],[Day]]-pl)-phi_l)^2/(1+TANH(phi_l)),0)</f>
        <v>11.761515628056044</v>
      </c>
      <c r="AA234" s="72">
        <f>Tabella3[[#This Row],[region fit]]/y_l_peak</f>
        <v>7.9882716300655396E-2</v>
      </c>
      <c r="AB234" s="10">
        <f>Tabella3[[#This Row],[region fit]]*NOT(ISBLANK(Tabella3[[#This Row],[region data]]))</f>
        <v>0</v>
      </c>
      <c r="AC234" s="166">
        <f>IFERROR(kl_m*psi_l_m*_xlfn.SECH(psi_l_m*(Tabella3[[#This Row],[Day]]-pl_m)-phi_l_m)^2/(1+TANH(phi_l_m)),0)</f>
        <v>11.761515628056044</v>
      </c>
      <c r="AD234" s="72">
        <f>Tabella3[[#This Row],[6-days moving avg fit]]*NOT(ISBLANK(Tabella3[[#This Row],[6-days moving avg]]))</f>
        <v>0</v>
      </c>
      <c r="AE234" s="131"/>
      <c r="AF234" s="131"/>
      <c r="AG234" s="131"/>
      <c r="AH234" s="10"/>
      <c r="AI234" s="10">
        <f>Tabella3[[#This Row],[rest of Italy data]]*NOT(ISBLANK(Tabella3[[#This Row],[rest of Italy data]]))</f>
        <v>0</v>
      </c>
      <c r="AJ234" s="77" t="e">
        <f>Tabella8[[#This Row],[rest of Italy fit]]</f>
        <v>#VALUE!</v>
      </c>
      <c r="AK234" s="72" t="e">
        <f>Tabella3[[#This Row],[rest of Italy cumul. fit]]/Ka</f>
        <v>#VALUE!</v>
      </c>
      <c r="AL234" s="72">
        <f>IFERROR(Ka*psi_a*_xlfn.SECH(psi_a*(Tabella3[[#This Row],[Day]]-pa)-phi_a)^2/(1+TANH(phi_a)),0)</f>
        <v>55.816985361441255</v>
      </c>
      <c r="AM234" s="72">
        <f>Tabella3[[#This Row],[rest of Italy fit]]/y_a_peak</f>
        <v>1.8485821912025482E-2</v>
      </c>
      <c r="AN234" s="10">
        <f>Tabella3[[#This Row],[rest of Italy fit]]*NOT(ISBLANK(Tabella3[[#This Row],[rest of Italy data]]))</f>
        <v>0</v>
      </c>
      <c r="AO234" s="131"/>
      <c r="AP234" s="131"/>
    </row>
    <row r="235" spans="2:42" x14ac:dyDescent="0.3">
      <c r="B235" s="9">
        <v>44058</v>
      </c>
      <c r="C235" s="4">
        <v>228</v>
      </c>
      <c r="D235" s="131"/>
      <c r="E235" s="10"/>
      <c r="F235" s="10">
        <f>Tabella3[[#This Row],[Italy remov. rate data]]*NOT(ISBLANK(Tabella3[[#This Row],[Italy remov. rate data]]))</f>
        <v>0</v>
      </c>
      <c r="G235" s="77" t="e">
        <f>Tabella8[[#This Row],[Italy fit]]</f>
        <v>#VALUE!</v>
      </c>
      <c r="H235" s="77" t="e">
        <f>Tabella3[[#This Row],[Italy cumul. fit]]/Kf</f>
        <v>#VALUE!</v>
      </c>
      <c r="I235" s="77">
        <f>Tabella3[[#This Row],[region fit]]+Tabella3[[#This Row],[rest of Italy fit]]</f>
        <v>64.365009774016201</v>
      </c>
      <c r="J235" s="77">
        <f>Tabella3[[#This Row],[Italy (fit of selected region + fitted sum of the other regions)]]/(y_l_peak+y_a_peak)</f>
        <v>2.0325686460811638E-2</v>
      </c>
      <c r="K235" s="72">
        <f>IFERROR(Kf*psi_f*_xlfn.SECH(psi_f*(Tabella3[[#This Row],[Day]]-pf)-phi_f)^2/(1+TANH(phi_f)),0)</f>
        <v>61.500630489147419</v>
      </c>
      <c r="L235" s="292">
        <f>Tabella3[[#This Row],[Italy remov. rate fit]]-Tabella3[[#This Row],[Italy remov. rate data]]</f>
        <v>61.500630489147419</v>
      </c>
      <c r="M235" s="293">
        <f>Tabella3[[#This Row],[rem. rate residuals]]*NOT(ISBLANK(Tabella3[[#This Row],[Italy remov. rate data]]))</f>
        <v>0</v>
      </c>
      <c r="N235" s="72">
        <f>Tabella3[[#This Row],[Italy remov. rate fit]]/y_f_peak</f>
        <v>1.9468451313493687E-2</v>
      </c>
      <c r="O235" s="10">
        <f>Tabella3[[#This Row],[Italy (fit of selected region + fitted sum of the other regions)]]*NOT(ISBLANK(Tabella3[[#This Row],[Italy remov. rate data]]))</f>
        <v>0</v>
      </c>
      <c r="P235" s="10">
        <f>Tabella3[[#This Row],[Italy remov. rate fit]]*NOT(ISBLANK(Tabella3[[#This Row],[Italy remov. rate data]]))</f>
        <v>0</v>
      </c>
      <c r="Q235" s="72"/>
      <c r="R235" s="72"/>
      <c r="S235" s="131"/>
      <c r="T235" s="10"/>
      <c r="U235" s="10">
        <f>Tabella3[[#This Row],[region data]]*NOT(ISBLANK(Tabella3[[#This Row],[region data]]))</f>
        <v>0</v>
      </c>
      <c r="V235"/>
      <c r="W235" s="72">
        <f>Tabella3[[#This Row],[6-days moving avg]]*NOT(ISBLANK(Tabella3[[#This Row],[6-days moving avg]]))</f>
        <v>0</v>
      </c>
      <c r="X235" s="77" t="e">
        <f>Tabella8[[#This Row],[region fit]]</f>
        <v>#VALUE!</v>
      </c>
      <c r="Y235" s="72" t="e">
        <f>Tabella3[[#This Row],[region cumul. fit]]/Kl</f>
        <v>#VALUE!</v>
      </c>
      <c r="Z235" s="72">
        <f>IFERROR(Kl*psi_l*_xlfn.SECH(psi_l*(Tabella3[[#This Row],[Day]]-pl)-phi_l)^2/(1+TANH(phi_l)),0)</f>
        <v>11.315296111141068</v>
      </c>
      <c r="AA235" s="72">
        <f>Tabella3[[#This Row],[region fit]]/y_l_peak</f>
        <v>7.6852050168434646E-2</v>
      </c>
      <c r="AB235" s="10">
        <f>Tabella3[[#This Row],[region fit]]*NOT(ISBLANK(Tabella3[[#This Row],[region data]]))</f>
        <v>0</v>
      </c>
      <c r="AC235" s="166">
        <f>IFERROR(kl_m*psi_l_m*_xlfn.SECH(psi_l_m*(Tabella3[[#This Row],[Day]]-pl_m)-phi_l_m)^2/(1+TANH(phi_l_m)),0)</f>
        <v>11.315296111141068</v>
      </c>
      <c r="AD235" s="72">
        <f>Tabella3[[#This Row],[6-days moving avg fit]]*NOT(ISBLANK(Tabella3[[#This Row],[6-days moving avg]]))</f>
        <v>0</v>
      </c>
      <c r="AE235" s="131"/>
      <c r="AF235" s="131"/>
      <c r="AG235" s="131"/>
      <c r="AH235" s="10"/>
      <c r="AI235" s="10">
        <f>Tabella3[[#This Row],[rest of Italy data]]*NOT(ISBLANK(Tabella3[[#This Row],[rest of Italy data]]))</f>
        <v>0</v>
      </c>
      <c r="AJ235" s="77" t="e">
        <f>Tabella8[[#This Row],[rest of Italy fit]]</f>
        <v>#VALUE!</v>
      </c>
      <c r="AK235" s="72" t="e">
        <f>Tabella3[[#This Row],[rest of Italy cumul. fit]]/Ka</f>
        <v>#VALUE!</v>
      </c>
      <c r="AL235" s="72">
        <f>IFERROR(Ka*psi_a*_xlfn.SECH(psi_a*(Tabella3[[#This Row],[Day]]-pa)-phi_a)^2/(1+TANH(phi_a)),0)</f>
        <v>53.049713662875128</v>
      </c>
      <c r="AM235" s="72">
        <f>Tabella3[[#This Row],[rest of Italy fit]]/y_a_peak</f>
        <v>1.7569339384876675E-2</v>
      </c>
      <c r="AN235" s="10">
        <f>Tabella3[[#This Row],[rest of Italy fit]]*NOT(ISBLANK(Tabella3[[#This Row],[rest of Italy data]]))</f>
        <v>0</v>
      </c>
      <c r="AO235" s="131"/>
      <c r="AP235" s="131"/>
    </row>
    <row r="236" spans="2:42" x14ac:dyDescent="0.3">
      <c r="B236" s="9">
        <v>44059</v>
      </c>
      <c r="C236" s="4">
        <v>229</v>
      </c>
      <c r="D236" s="131"/>
      <c r="E236" s="10"/>
      <c r="F236" s="10">
        <f>Tabella3[[#This Row],[Italy remov. rate data]]*NOT(ISBLANK(Tabella3[[#This Row],[Italy remov. rate data]]))</f>
        <v>0</v>
      </c>
      <c r="G236" s="77" t="e">
        <f>Tabella8[[#This Row],[Italy fit]]</f>
        <v>#VALUE!</v>
      </c>
      <c r="H236" s="77" t="e">
        <f>Tabella3[[#This Row],[Italy cumul. fit]]/Kf</f>
        <v>#VALUE!</v>
      </c>
      <c r="I236" s="77">
        <f>Tabella3[[#This Row],[region fit]]+Tabella3[[#This Row],[rest of Italy fit]]</f>
        <v>61.303796833373625</v>
      </c>
      <c r="J236" s="77">
        <f>Tabella3[[#This Row],[Italy (fit of selected region + fitted sum of the other regions)]]/(y_l_peak+y_a_peak)</f>
        <v>1.935899268356003E-2</v>
      </c>
      <c r="K236" s="72">
        <f>IFERROR(Kf*psi_f*_xlfn.SECH(psi_f*(Tabella3[[#This Row],[Day]]-pf)-phi_f)^2/(1+TANH(phi_f)),0)</f>
        <v>58.499061547549566</v>
      </c>
      <c r="L236" s="292">
        <f>Tabella3[[#This Row],[Italy remov. rate fit]]-Tabella3[[#This Row],[Italy remov. rate data]]</f>
        <v>58.499061547549566</v>
      </c>
      <c r="M236" s="293">
        <f>Tabella3[[#This Row],[rem. rate residuals]]*NOT(ISBLANK(Tabella3[[#This Row],[Italy remov. rate data]]))</f>
        <v>0</v>
      </c>
      <c r="N236" s="72">
        <f>Tabella3[[#This Row],[Italy remov. rate fit]]/y_f_peak</f>
        <v>1.8518283838155295E-2</v>
      </c>
      <c r="O236" s="10">
        <f>Tabella3[[#This Row],[Italy (fit of selected region + fitted sum of the other regions)]]*NOT(ISBLANK(Tabella3[[#This Row],[Italy remov. rate data]]))</f>
        <v>0</v>
      </c>
      <c r="P236" s="10">
        <f>Tabella3[[#This Row],[Italy remov. rate fit]]*NOT(ISBLANK(Tabella3[[#This Row],[Italy remov. rate data]]))</f>
        <v>0</v>
      </c>
      <c r="Q236" s="72"/>
      <c r="R236" s="72"/>
      <c r="S236" s="131"/>
      <c r="T236" s="10"/>
      <c r="U236" s="10">
        <f>Tabella3[[#This Row],[region data]]*NOT(ISBLANK(Tabella3[[#This Row],[region data]]))</f>
        <v>0</v>
      </c>
      <c r="V236"/>
      <c r="W236" s="72">
        <f>Tabella3[[#This Row],[6-days moving avg]]*NOT(ISBLANK(Tabella3[[#This Row],[6-days moving avg]]))</f>
        <v>0</v>
      </c>
      <c r="X236" s="77" t="e">
        <f>Tabella8[[#This Row],[region fit]]</f>
        <v>#VALUE!</v>
      </c>
      <c r="Y236" s="72" t="e">
        <f>Tabella3[[#This Row],[region cumul. fit]]/Kl</f>
        <v>#VALUE!</v>
      </c>
      <c r="Z236" s="72">
        <f>IFERROR(Kl*psi_l*_xlfn.SECH(psi_l*(Tabella3[[#This Row],[Day]]-pl)-phi_l)^2/(1+TANH(phi_l)),0)</f>
        <v>10.885326670436573</v>
      </c>
      <c r="AA236" s="72">
        <f>Tabella3[[#This Row],[region fit]]/y_l_peak</f>
        <v>7.3931752484366051E-2</v>
      </c>
      <c r="AB236" s="10">
        <f>Tabella3[[#This Row],[region fit]]*NOT(ISBLANK(Tabella3[[#This Row],[region data]]))</f>
        <v>0</v>
      </c>
      <c r="AC236" s="166">
        <f>IFERROR(kl_m*psi_l_m*_xlfn.SECH(psi_l_m*(Tabella3[[#This Row],[Day]]-pl_m)-phi_l_m)^2/(1+TANH(phi_l_m)),0)</f>
        <v>10.885326670436573</v>
      </c>
      <c r="AD236" s="72">
        <f>Tabella3[[#This Row],[6-days moving avg fit]]*NOT(ISBLANK(Tabella3[[#This Row],[6-days moving avg]]))</f>
        <v>0</v>
      </c>
      <c r="AE236" s="131"/>
      <c r="AF236" s="131"/>
      <c r="AG236" s="131"/>
      <c r="AH236" s="10"/>
      <c r="AI236" s="10">
        <f>Tabella3[[#This Row],[rest of Italy data]]*NOT(ISBLANK(Tabella3[[#This Row],[rest of Italy data]]))</f>
        <v>0</v>
      </c>
      <c r="AJ236" s="77" t="e">
        <f>Tabella8[[#This Row],[rest of Italy fit]]</f>
        <v>#VALUE!</v>
      </c>
      <c r="AK236" s="72" t="e">
        <f>Tabella3[[#This Row],[rest of Italy cumul. fit]]/Ka</f>
        <v>#VALUE!</v>
      </c>
      <c r="AL236" s="72">
        <f>IFERROR(Ka*psi_a*_xlfn.SECH(psi_a*(Tabella3[[#This Row],[Day]]-pa)-phi_a)^2/(1+TANH(phi_a)),0)</f>
        <v>50.418470162937048</v>
      </c>
      <c r="AM236" s="72">
        <f>Tabella3[[#This Row],[rest of Italy fit]]/y_a_peak</f>
        <v>1.6697907536093397E-2</v>
      </c>
      <c r="AN236" s="10">
        <f>Tabella3[[#This Row],[rest of Italy fit]]*NOT(ISBLANK(Tabella3[[#This Row],[rest of Italy data]]))</f>
        <v>0</v>
      </c>
      <c r="AO236" s="131"/>
      <c r="AP236" s="131"/>
    </row>
    <row r="237" spans="2:42" x14ac:dyDescent="0.3">
      <c r="B237" s="9">
        <v>44060</v>
      </c>
      <c r="C237" s="4">
        <v>230</v>
      </c>
      <c r="D237" s="131"/>
      <c r="E237" s="10"/>
      <c r="F237" s="10">
        <f>Tabella3[[#This Row],[Italy remov. rate data]]*NOT(ISBLANK(Tabella3[[#This Row],[Italy remov. rate data]]))</f>
        <v>0</v>
      </c>
      <c r="G237" s="77" t="e">
        <f>Tabella8[[#This Row],[Italy fit]]</f>
        <v>#VALUE!</v>
      </c>
      <c r="H237" s="77" t="e">
        <f>Tabella3[[#This Row],[Italy cumul. fit]]/Kf</f>
        <v>#VALUE!</v>
      </c>
      <c r="I237" s="77">
        <f>Tabella3[[#This Row],[region fit]]+Tabella3[[#This Row],[rest of Italy fit]]</f>
        <v>58.387748893043756</v>
      </c>
      <c r="J237" s="77">
        <f>Tabella3[[#This Row],[Italy (fit of selected region + fitted sum of the other regions)]]/(y_l_peak+y_a_peak)</f>
        <v>1.8438140246064282E-2</v>
      </c>
      <c r="K237" s="72">
        <f>IFERROR(Kf*psi_f*_xlfn.SECH(psi_f*(Tabella3[[#This Row],[Day]]-pf)-phi_f)^2/(1+TANH(phi_f)),0)</f>
        <v>55.642670518244998</v>
      </c>
      <c r="L237" s="292">
        <f>Tabella3[[#This Row],[Italy remov. rate fit]]-Tabella3[[#This Row],[Italy remov. rate data]]</f>
        <v>55.642670518244998</v>
      </c>
      <c r="M237" s="293">
        <f>Tabella3[[#This Row],[rem. rate residuals]]*NOT(ISBLANK(Tabella3[[#This Row],[Italy remov. rate data]]))</f>
        <v>0</v>
      </c>
      <c r="N237" s="72">
        <f>Tabella3[[#This Row],[Italy remov. rate fit]]/y_f_peak</f>
        <v>1.7614073438293961E-2</v>
      </c>
      <c r="O237" s="10">
        <f>Tabella3[[#This Row],[Italy (fit of selected region + fitted sum of the other regions)]]*NOT(ISBLANK(Tabella3[[#This Row],[Italy remov. rate data]]))</f>
        <v>0</v>
      </c>
      <c r="P237" s="10">
        <f>Tabella3[[#This Row],[Italy remov. rate fit]]*NOT(ISBLANK(Tabella3[[#This Row],[Italy remov. rate data]]))</f>
        <v>0</v>
      </c>
      <c r="Q237" s="72"/>
      <c r="R237" s="72"/>
      <c r="S237" s="131"/>
      <c r="T237" s="10"/>
      <c r="U237" s="10">
        <f>Tabella3[[#This Row],[region data]]*NOT(ISBLANK(Tabella3[[#This Row],[region data]]))</f>
        <v>0</v>
      </c>
      <c r="V237"/>
      <c r="W237" s="72">
        <f>Tabella3[[#This Row],[6-days moving avg]]*NOT(ISBLANK(Tabella3[[#This Row],[6-days moving avg]]))</f>
        <v>0</v>
      </c>
      <c r="X237" s="77" t="e">
        <f>Tabella8[[#This Row],[region fit]]</f>
        <v>#VALUE!</v>
      </c>
      <c r="Y237" s="72" t="e">
        <f>Tabella3[[#This Row],[region cumul. fit]]/Kl</f>
        <v>#VALUE!</v>
      </c>
      <c r="Z237" s="72">
        <f>IFERROR(Kl*psi_l*_xlfn.SECH(psi_l*(Tabella3[[#This Row],[Day]]-pl)-phi_l)^2/(1+TANH(phi_l)),0)</f>
        <v>10.471067259210818</v>
      </c>
      <c r="AA237" s="72">
        <f>Tabella3[[#This Row],[region fit]]/y_l_peak</f>
        <v>7.1118155319823323E-2</v>
      </c>
      <c r="AB237" s="10">
        <f>Tabella3[[#This Row],[region fit]]*NOT(ISBLANK(Tabella3[[#This Row],[region data]]))</f>
        <v>0</v>
      </c>
      <c r="AC237" s="166">
        <f>IFERROR(kl_m*psi_l_m*_xlfn.SECH(psi_l_m*(Tabella3[[#This Row],[Day]]-pl_m)-phi_l_m)^2/(1+TANH(phi_l_m)),0)</f>
        <v>10.471067259210818</v>
      </c>
      <c r="AD237" s="72">
        <f>Tabella3[[#This Row],[6-days moving avg fit]]*NOT(ISBLANK(Tabella3[[#This Row],[6-days moving avg]]))</f>
        <v>0</v>
      </c>
      <c r="AE237" s="131"/>
      <c r="AF237" s="131"/>
      <c r="AG237" s="131"/>
      <c r="AH237" s="10"/>
      <c r="AI237" s="10">
        <f>Tabella3[[#This Row],[rest of Italy data]]*NOT(ISBLANK(Tabella3[[#This Row],[rest of Italy data]]))</f>
        <v>0</v>
      </c>
      <c r="AJ237" s="77" t="e">
        <f>Tabella8[[#This Row],[rest of Italy fit]]</f>
        <v>#VALUE!</v>
      </c>
      <c r="AK237" s="72" t="e">
        <f>Tabella3[[#This Row],[rest of Italy cumul. fit]]/Ka</f>
        <v>#VALUE!</v>
      </c>
      <c r="AL237" s="72">
        <f>IFERROR(Ka*psi_a*_xlfn.SECH(psi_a*(Tabella3[[#This Row],[Day]]-pa)-phi_a)^2/(1+TANH(phi_a)),0)</f>
        <v>47.916681633832937</v>
      </c>
      <c r="AM237" s="72">
        <f>Tabella3[[#This Row],[rest of Italy fit]]/y_a_peak</f>
        <v>1.5869349402559459E-2</v>
      </c>
      <c r="AN237" s="10">
        <f>Tabella3[[#This Row],[rest of Italy fit]]*NOT(ISBLANK(Tabella3[[#This Row],[rest of Italy data]]))</f>
        <v>0</v>
      </c>
      <c r="AO237" s="131"/>
      <c r="AP237" s="131"/>
    </row>
    <row r="238" spans="2:42" x14ac:dyDescent="0.3">
      <c r="B238" s="9">
        <v>44061</v>
      </c>
      <c r="C238" s="4">
        <v>231</v>
      </c>
      <c r="D238" s="131"/>
      <c r="E238" s="10"/>
      <c r="F238" s="10">
        <f>Tabella3[[#This Row],[Italy remov. rate data]]*NOT(ISBLANK(Tabella3[[#This Row],[Italy remov. rate data]]))</f>
        <v>0</v>
      </c>
      <c r="G238" s="77" t="e">
        <f>Tabella8[[#This Row],[Italy fit]]</f>
        <v>#VALUE!</v>
      </c>
      <c r="H238" s="77" t="e">
        <f>Tabella3[[#This Row],[Italy cumul. fit]]/Kf</f>
        <v>#VALUE!</v>
      </c>
      <c r="I238" s="77">
        <f>Tabella3[[#This Row],[region fit]]+Tabella3[[#This Row],[rest of Italy fit]]</f>
        <v>55.610073206438074</v>
      </c>
      <c r="J238" s="77">
        <f>Tabella3[[#This Row],[Italy (fit of selected region + fitted sum of the other regions)]]/(y_l_peak+y_a_peak)</f>
        <v>1.756098408165151E-2</v>
      </c>
      <c r="K238" s="72">
        <f>IFERROR(Kf*psi_f*_xlfn.SECH(psi_f*(Tabella3[[#This Row],[Day]]-pf)-phi_f)^2/(1+TANH(phi_f)),0)</f>
        <v>52.924561461707107</v>
      </c>
      <c r="L238" s="292">
        <f>Tabella3[[#This Row],[Italy remov. rate fit]]-Tabella3[[#This Row],[Italy remov. rate data]]</f>
        <v>52.924561461707107</v>
      </c>
      <c r="M238" s="293">
        <f>Tabella3[[#This Row],[rem. rate residuals]]*NOT(ISBLANK(Tabella3[[#This Row],[Italy remov. rate data]]))</f>
        <v>0</v>
      </c>
      <c r="N238" s="72">
        <f>Tabella3[[#This Row],[Italy remov. rate fit]]/y_f_peak</f>
        <v>1.6753637156403937E-2</v>
      </c>
      <c r="O238" s="10">
        <f>Tabella3[[#This Row],[Italy (fit of selected region + fitted sum of the other regions)]]*NOT(ISBLANK(Tabella3[[#This Row],[Italy remov. rate data]]))</f>
        <v>0</v>
      </c>
      <c r="P238" s="10">
        <f>Tabella3[[#This Row],[Italy remov. rate fit]]*NOT(ISBLANK(Tabella3[[#This Row],[Italy remov. rate data]]))</f>
        <v>0</v>
      </c>
      <c r="Q238" s="72"/>
      <c r="R238" s="72"/>
      <c r="S238" s="131"/>
      <c r="T238" s="10"/>
      <c r="U238" s="10">
        <f>Tabella3[[#This Row],[region data]]*NOT(ISBLANK(Tabella3[[#This Row],[region data]]))</f>
        <v>0</v>
      </c>
      <c r="V238"/>
      <c r="W238" s="72">
        <f>Tabella3[[#This Row],[6-days moving avg]]*NOT(ISBLANK(Tabella3[[#This Row],[6-days moving avg]]))</f>
        <v>0</v>
      </c>
      <c r="X238" s="77" t="e">
        <f>Tabella8[[#This Row],[region fit]]</f>
        <v>#VALUE!</v>
      </c>
      <c r="Y238" s="72" t="e">
        <f>Tabella3[[#This Row],[region cumul. fit]]/Kl</f>
        <v>#VALUE!</v>
      </c>
      <c r="Z238" s="72">
        <f>IFERROR(Kl*psi_l*_xlfn.SECH(psi_l*(Tabella3[[#This Row],[Day]]-pl)-phi_l)^2/(1+TANH(phi_l)),0)</f>
        <v>10.071991776515228</v>
      </c>
      <c r="AA238" s="72">
        <f>Tabella3[[#This Row],[region fit]]/y_l_peak</f>
        <v>6.8407685464163398E-2</v>
      </c>
      <c r="AB238" s="10">
        <f>Tabella3[[#This Row],[region fit]]*NOT(ISBLANK(Tabella3[[#This Row],[region data]]))</f>
        <v>0</v>
      </c>
      <c r="AC238" s="166">
        <f>IFERROR(kl_m*psi_l_m*_xlfn.SECH(psi_l_m*(Tabella3[[#This Row],[Day]]-pl_m)-phi_l_m)^2/(1+TANH(phi_l_m)),0)</f>
        <v>10.071991776515228</v>
      </c>
      <c r="AD238" s="72">
        <f>Tabella3[[#This Row],[6-days moving avg fit]]*NOT(ISBLANK(Tabella3[[#This Row],[6-days moving avg]]))</f>
        <v>0</v>
      </c>
      <c r="AE238" s="131"/>
      <c r="AF238" s="131"/>
      <c r="AG238" s="131"/>
      <c r="AH238" s="10"/>
      <c r="AI238" s="10">
        <f>Tabella3[[#This Row],[rest of Italy data]]*NOT(ISBLANK(Tabella3[[#This Row],[rest of Italy data]]))</f>
        <v>0</v>
      </c>
      <c r="AJ238" s="77" t="e">
        <f>Tabella8[[#This Row],[rest of Italy fit]]</f>
        <v>#VALUE!</v>
      </c>
      <c r="AK238" s="72" t="e">
        <f>Tabella3[[#This Row],[rest of Italy cumul. fit]]/Ka</f>
        <v>#VALUE!</v>
      </c>
      <c r="AL238" s="72">
        <f>IFERROR(Ka*psi_a*_xlfn.SECH(psi_a*(Tabella3[[#This Row],[Day]]-pa)-phi_a)^2/(1+TANH(phi_a)),0)</f>
        <v>45.538081429922848</v>
      </c>
      <c r="AM238" s="72">
        <f>Tabella3[[#This Row],[rest of Italy fit]]/y_a_peak</f>
        <v>1.5081589556973739E-2</v>
      </c>
      <c r="AN238" s="10">
        <f>Tabella3[[#This Row],[rest of Italy fit]]*NOT(ISBLANK(Tabella3[[#This Row],[rest of Italy data]]))</f>
        <v>0</v>
      </c>
      <c r="AO238" s="131"/>
      <c r="AP238" s="131"/>
    </row>
    <row r="239" spans="2:42" x14ac:dyDescent="0.3">
      <c r="B239" s="9">
        <v>44062</v>
      </c>
      <c r="C239" s="4">
        <v>232</v>
      </c>
      <c r="D239" s="131"/>
      <c r="E239" s="10"/>
      <c r="F239" s="10">
        <f>Tabella3[[#This Row],[Italy remov. rate data]]*NOT(ISBLANK(Tabella3[[#This Row],[Italy remov. rate data]]))</f>
        <v>0</v>
      </c>
      <c r="G239" s="77" t="e">
        <f>Tabella8[[#This Row],[Italy fit]]</f>
        <v>#VALUE!</v>
      </c>
      <c r="H239" s="77" t="e">
        <f>Tabella3[[#This Row],[Italy cumul. fit]]/Kf</f>
        <v>#VALUE!</v>
      </c>
      <c r="I239" s="77">
        <f>Tabella3[[#This Row],[region fit]]+Tabella3[[#This Row],[rest of Italy fit]]</f>
        <v>52.964284310032582</v>
      </c>
      <c r="J239" s="77">
        <f>Tabella3[[#This Row],[Italy (fit of selected region + fitted sum of the other regions)]]/(y_l_peak+y_a_peak)</f>
        <v>1.6725476159899517E-2</v>
      </c>
      <c r="K239" s="72">
        <f>IFERROR(Kf*psi_f*_xlfn.SECH(psi_f*(Tabella3[[#This Row],[Day]]-pf)-phi_f)^2/(1+TANH(phi_f)),0)</f>
        <v>50.338153900207729</v>
      </c>
      <c r="L239" s="292">
        <f>Tabella3[[#This Row],[Italy remov. rate fit]]-Tabella3[[#This Row],[Italy remov. rate data]]</f>
        <v>50.338153900207729</v>
      </c>
      <c r="M239" s="293">
        <f>Tabella3[[#This Row],[rem. rate residuals]]*NOT(ISBLANK(Tabella3[[#This Row],[Italy remov. rate data]]))</f>
        <v>0</v>
      </c>
      <c r="N239" s="72">
        <f>Tabella3[[#This Row],[Italy remov. rate fit]]/y_f_peak</f>
        <v>1.5934891896600658E-2</v>
      </c>
      <c r="O239" s="10">
        <f>Tabella3[[#This Row],[Italy (fit of selected region + fitted sum of the other regions)]]*NOT(ISBLANK(Tabella3[[#This Row],[Italy remov. rate data]]))</f>
        <v>0</v>
      </c>
      <c r="P239" s="10">
        <f>Tabella3[[#This Row],[Italy remov. rate fit]]*NOT(ISBLANK(Tabella3[[#This Row],[Italy remov. rate data]]))</f>
        <v>0</v>
      </c>
      <c r="Q239" s="72"/>
      <c r="R239" s="72"/>
      <c r="S239" s="131"/>
      <c r="T239" s="10"/>
      <c r="U239" s="10">
        <f>Tabella3[[#This Row],[region data]]*NOT(ISBLANK(Tabella3[[#This Row],[region data]]))</f>
        <v>0</v>
      </c>
      <c r="V239"/>
      <c r="W239" s="72">
        <f>Tabella3[[#This Row],[6-days moving avg]]*NOT(ISBLANK(Tabella3[[#This Row],[6-days moving avg]]))</f>
        <v>0</v>
      </c>
      <c r="X239" s="77" t="e">
        <f>Tabella8[[#This Row],[region fit]]</f>
        <v>#VALUE!</v>
      </c>
      <c r="Y239" s="72" t="e">
        <f>Tabella3[[#This Row],[region cumul. fit]]/Kl</f>
        <v>#VALUE!</v>
      </c>
      <c r="Z239" s="72">
        <f>IFERROR(Kl*psi_l*_xlfn.SECH(psi_l*(Tabella3[[#This Row],[Day]]-pl)-phi_l)^2/(1+TANH(phi_l)),0)</f>
        <v>9.6875880345110001</v>
      </c>
      <c r="AA239" s="72">
        <f>Tabella3[[#This Row],[region fit]]/y_l_peak</f>
        <v>6.5796864202812971E-2</v>
      </c>
      <c r="AB239" s="10">
        <f>Tabella3[[#This Row],[region fit]]*NOT(ISBLANK(Tabella3[[#This Row],[region data]]))</f>
        <v>0</v>
      </c>
      <c r="AC239" s="166">
        <f>IFERROR(kl_m*psi_l_m*_xlfn.SECH(psi_l_m*(Tabella3[[#This Row],[Day]]-pl_m)-phi_l_m)^2/(1+TANH(phi_l_m)),0)</f>
        <v>9.6875880345110001</v>
      </c>
      <c r="AD239" s="72">
        <f>Tabella3[[#This Row],[6-days moving avg fit]]*NOT(ISBLANK(Tabella3[[#This Row],[6-days moving avg]]))</f>
        <v>0</v>
      </c>
      <c r="AE239" s="131"/>
      <c r="AF239" s="131"/>
      <c r="AG239" s="131"/>
      <c r="AH239" s="10"/>
      <c r="AI239" s="10">
        <f>Tabella3[[#This Row],[rest of Italy data]]*NOT(ISBLANK(Tabella3[[#This Row],[rest of Italy data]]))</f>
        <v>0</v>
      </c>
      <c r="AJ239" s="77" t="e">
        <f>Tabella8[[#This Row],[rest of Italy fit]]</f>
        <v>#VALUE!</v>
      </c>
      <c r="AK239" s="72" t="e">
        <f>Tabella3[[#This Row],[rest of Italy cumul. fit]]/Ka</f>
        <v>#VALUE!</v>
      </c>
      <c r="AL239" s="72">
        <f>IFERROR(Ka*psi_a*_xlfn.SECH(psi_a*(Tabella3[[#This Row],[Day]]-pa)-phi_a)^2/(1+TANH(phi_a)),0)</f>
        <v>43.27669627552158</v>
      </c>
      <c r="AM239" s="72">
        <f>Tabella3[[#This Row],[rest of Italy fit]]/y_a_peak</f>
        <v>1.4332649732150484E-2</v>
      </c>
      <c r="AN239" s="10">
        <f>Tabella3[[#This Row],[rest of Italy fit]]*NOT(ISBLANK(Tabella3[[#This Row],[rest of Italy data]]))</f>
        <v>0</v>
      </c>
      <c r="AO239" s="131"/>
      <c r="AP239" s="131"/>
    </row>
    <row r="240" spans="2:42" x14ac:dyDescent="0.3">
      <c r="B240" s="9">
        <v>44063</v>
      </c>
      <c r="C240" s="4">
        <v>233</v>
      </c>
      <c r="D240" s="131"/>
      <c r="E240" s="10"/>
      <c r="F240" s="10">
        <f>Tabella3[[#This Row],[Italy remov. rate data]]*NOT(ISBLANK(Tabella3[[#This Row],[Italy remov. rate data]]))</f>
        <v>0</v>
      </c>
      <c r="G240" s="77" t="e">
        <f>Tabella8[[#This Row],[Italy fit]]</f>
        <v>#VALUE!</v>
      </c>
      <c r="H240" s="77" t="e">
        <f>Tabella3[[#This Row],[Italy cumul. fit]]/Kf</f>
        <v>#VALUE!</v>
      </c>
      <c r="I240" s="77">
        <f>Tabella3[[#This Row],[region fit]]+Tabella3[[#This Row],[rest of Italy fit]]</f>
        <v>50.444191205290061</v>
      </c>
      <c r="J240" s="77">
        <f>Tabella3[[#This Row],[Italy (fit of selected region + fitted sum of the other regions)]]/(y_l_peak+y_a_peak)</f>
        <v>1.5929661438843917E-2</v>
      </c>
      <c r="K240" s="72">
        <f>IFERROR(Kf*psi_f*_xlfn.SECH(psi_f*(Tabella3[[#This Row],[Day]]-pf)-phi_f)^2/(1+TANH(phi_f)),0)</f>
        <v>47.87716955935057</v>
      </c>
      <c r="L240" s="292">
        <f>Tabella3[[#This Row],[Italy remov. rate fit]]-Tabella3[[#This Row],[Italy remov. rate data]]</f>
        <v>47.87716955935057</v>
      </c>
      <c r="M240" s="293">
        <f>Tabella3[[#This Row],[rem. rate residuals]]*NOT(ISBLANK(Tabella3[[#This Row],[Italy remov. rate data]]))</f>
        <v>0</v>
      </c>
      <c r="N240" s="72">
        <f>Tabella3[[#This Row],[Italy remov. rate fit]]/y_f_peak</f>
        <v>1.515585022756114E-2</v>
      </c>
      <c r="O240" s="10">
        <f>Tabella3[[#This Row],[Italy (fit of selected region + fitted sum of the other regions)]]*NOT(ISBLANK(Tabella3[[#This Row],[Italy remov. rate data]]))</f>
        <v>0</v>
      </c>
      <c r="P240" s="10">
        <f>Tabella3[[#This Row],[Italy remov. rate fit]]*NOT(ISBLANK(Tabella3[[#This Row],[Italy remov. rate data]]))</f>
        <v>0</v>
      </c>
      <c r="Q240" s="72"/>
      <c r="R240" s="72"/>
      <c r="S240" s="131"/>
      <c r="T240" s="10"/>
      <c r="U240" s="10">
        <f>Tabella3[[#This Row],[region data]]*NOT(ISBLANK(Tabella3[[#This Row],[region data]]))</f>
        <v>0</v>
      </c>
      <c r="V240"/>
      <c r="W240" s="72">
        <f>Tabella3[[#This Row],[6-days moving avg]]*NOT(ISBLANK(Tabella3[[#This Row],[6-days moving avg]]))</f>
        <v>0</v>
      </c>
      <c r="X240" s="77" t="e">
        <f>Tabella8[[#This Row],[region fit]]</f>
        <v>#VALUE!</v>
      </c>
      <c r="Y240" s="72" t="e">
        <f>Tabella3[[#This Row],[region cumul. fit]]/Kl</f>
        <v>#VALUE!</v>
      </c>
      <c r="Z240" s="72">
        <f>IFERROR(Kl*psi_l*_xlfn.SECH(psi_l*(Tabella3[[#This Row],[Day]]-pl)-phi_l)^2/(1+TANH(phi_l)),0)</f>
        <v>9.3173576927142694</v>
      </c>
      <c r="AA240" s="72">
        <f>Tabella3[[#This Row],[region fit]]/y_l_peak</f>
        <v>6.3282306870669963E-2</v>
      </c>
      <c r="AB240" s="10">
        <f>Tabella3[[#This Row],[region fit]]*NOT(ISBLANK(Tabella3[[#This Row],[region data]]))</f>
        <v>0</v>
      </c>
      <c r="AC240" s="166">
        <f>IFERROR(kl_m*psi_l_m*_xlfn.SECH(psi_l_m*(Tabella3[[#This Row],[Day]]-pl_m)-phi_l_m)^2/(1+TANH(phi_l_m)),0)</f>
        <v>9.3173576927142694</v>
      </c>
      <c r="AD240" s="72">
        <f>Tabella3[[#This Row],[6-days moving avg fit]]*NOT(ISBLANK(Tabella3[[#This Row],[6-days moving avg]]))</f>
        <v>0</v>
      </c>
      <c r="AE240" s="131"/>
      <c r="AF240" s="131"/>
      <c r="AG240" s="131"/>
      <c r="AH240" s="10"/>
      <c r="AI240" s="10">
        <f>Tabella3[[#This Row],[rest of Italy data]]*NOT(ISBLANK(Tabella3[[#This Row],[rest of Italy data]]))</f>
        <v>0</v>
      </c>
      <c r="AJ240" s="77" t="e">
        <f>Tabella8[[#This Row],[rest of Italy fit]]</f>
        <v>#VALUE!</v>
      </c>
      <c r="AK240" s="72" t="e">
        <f>Tabella3[[#This Row],[rest of Italy cumul. fit]]/Ka</f>
        <v>#VALUE!</v>
      </c>
      <c r="AL240" s="72">
        <f>IFERROR(Ka*psi_a*_xlfn.SECH(psi_a*(Tabella3[[#This Row],[Day]]-pa)-phi_a)^2/(1+TANH(phi_a)),0)</f>
        <v>41.126833512575793</v>
      </c>
      <c r="AM240" s="72">
        <f>Tabella3[[#This Row],[rest of Italy fit]]/y_a_peak</f>
        <v>1.3620644597624446E-2</v>
      </c>
      <c r="AN240" s="10">
        <f>Tabella3[[#This Row],[rest of Italy fit]]*NOT(ISBLANK(Tabella3[[#This Row],[rest of Italy data]]))</f>
        <v>0</v>
      </c>
      <c r="AO240" s="131"/>
      <c r="AP240" s="131"/>
    </row>
    <row r="241" spans="2:42" x14ac:dyDescent="0.3">
      <c r="B241" s="9">
        <v>44064</v>
      </c>
      <c r="C241" s="4">
        <v>234</v>
      </c>
      <c r="D241" s="131"/>
      <c r="E241" s="10"/>
      <c r="F241" s="10">
        <f>Tabella3[[#This Row],[Italy remov. rate data]]*NOT(ISBLANK(Tabella3[[#This Row],[Italy remov. rate data]]))</f>
        <v>0</v>
      </c>
      <c r="G241" s="77" t="e">
        <f>Tabella8[[#This Row],[Italy fit]]</f>
        <v>#VALUE!</v>
      </c>
      <c r="H241" s="77" t="e">
        <f>Tabella3[[#This Row],[Italy cumul. fit]]/Kf</f>
        <v>#VALUE!</v>
      </c>
      <c r="I241" s="77">
        <f>Tabella3[[#This Row],[region fit]]+Tabella3[[#This Row],[rest of Italy fit]]</f>
        <v>48.043884966488818</v>
      </c>
      <c r="J241" s="77">
        <f>Tabella3[[#This Row],[Italy (fit of selected region + fitted sum of the other regions)]]/(y_l_peak+y_a_peak)</f>
        <v>1.5171673951681295E-2</v>
      </c>
      <c r="K241" s="72">
        <f>IFERROR(Kf*psi_f*_xlfn.SECH(psi_f*(Tabella3[[#This Row],[Day]]-pf)-phi_f)^2/(1+TANH(phi_f)),0)</f>
        <v>45.535619550216424</v>
      </c>
      <c r="L241" s="292">
        <f>Tabella3[[#This Row],[Italy remov. rate fit]]-Tabella3[[#This Row],[Italy remov. rate data]]</f>
        <v>45.535619550216424</v>
      </c>
      <c r="M241" s="293">
        <f>Tabella3[[#This Row],[rem. rate residuals]]*NOT(ISBLANK(Tabella3[[#This Row],[Italy remov. rate data]]))</f>
        <v>0</v>
      </c>
      <c r="N241" s="72">
        <f>Tabella3[[#This Row],[Italy remov. rate fit]]/y_f_peak</f>
        <v>1.4414616324943133E-2</v>
      </c>
      <c r="O241" s="10">
        <f>Tabella3[[#This Row],[Italy (fit of selected region + fitted sum of the other regions)]]*NOT(ISBLANK(Tabella3[[#This Row],[Italy remov. rate data]]))</f>
        <v>0</v>
      </c>
      <c r="P241" s="10">
        <f>Tabella3[[#This Row],[Italy remov. rate fit]]*NOT(ISBLANK(Tabella3[[#This Row],[Italy remov. rate data]]))</f>
        <v>0</v>
      </c>
      <c r="Q241" s="72"/>
      <c r="R241" s="72"/>
      <c r="S241" s="131"/>
      <c r="T241" s="10"/>
      <c r="U241" s="10">
        <f>Tabella3[[#This Row],[region data]]*NOT(ISBLANK(Tabella3[[#This Row],[region data]]))</f>
        <v>0</v>
      </c>
      <c r="V241"/>
      <c r="W241" s="72">
        <f>Tabella3[[#This Row],[6-days moving avg]]*NOT(ISBLANK(Tabella3[[#This Row],[6-days moving avg]]))</f>
        <v>0</v>
      </c>
      <c r="X241" s="77" t="e">
        <f>Tabella8[[#This Row],[region fit]]</f>
        <v>#VALUE!</v>
      </c>
      <c r="Y241" s="72" t="e">
        <f>Tabella3[[#This Row],[region cumul. fit]]/Kl</f>
        <v>#VALUE!</v>
      </c>
      <c r="Z241" s="72">
        <f>IFERROR(Kl*psi_l*_xlfn.SECH(psi_l*(Tabella3[[#This Row],[Day]]-pl)-phi_l)^2/(1+TANH(phi_l)),0)</f>
        <v>8.9608161625220575</v>
      </c>
      <c r="AA241" s="72">
        <f>Tabella3[[#This Row],[region fit]]/y_l_peak</f>
        <v>6.0860722203655966E-2</v>
      </c>
      <c r="AB241" s="10">
        <f>Tabella3[[#This Row],[region fit]]*NOT(ISBLANK(Tabella3[[#This Row],[region data]]))</f>
        <v>0</v>
      </c>
      <c r="AC241" s="166">
        <f>IFERROR(kl_m*psi_l_m*_xlfn.SECH(psi_l_m*(Tabella3[[#This Row],[Day]]-pl_m)-phi_l_m)^2/(1+TANH(phi_l_m)),0)</f>
        <v>8.9608161625220575</v>
      </c>
      <c r="AD241" s="72">
        <f>Tabella3[[#This Row],[6-days moving avg fit]]*NOT(ISBLANK(Tabella3[[#This Row],[6-days moving avg]]))</f>
        <v>0</v>
      </c>
      <c r="AE241" s="131"/>
      <c r="AF241" s="131"/>
      <c r="AG241" s="131"/>
      <c r="AH241" s="10"/>
      <c r="AI241" s="10">
        <f>Tabella3[[#This Row],[rest of Italy data]]*NOT(ISBLANK(Tabella3[[#This Row],[rest of Italy data]]))</f>
        <v>0</v>
      </c>
      <c r="AJ241" s="77" t="e">
        <f>Tabella8[[#This Row],[rest of Italy fit]]</f>
        <v>#VALUE!</v>
      </c>
      <c r="AK241" s="72" t="e">
        <f>Tabella3[[#This Row],[rest of Italy cumul. fit]]/Ka</f>
        <v>#VALUE!</v>
      </c>
      <c r="AL241" s="72">
        <f>IFERROR(Ka*psi_a*_xlfn.SECH(psi_a*(Tabella3[[#This Row],[Day]]-pa)-phi_a)^2/(1+TANH(phi_a)),0)</f>
        <v>39.083068803966761</v>
      </c>
      <c r="AM241" s="72">
        <f>Tabella3[[#This Row],[rest of Italy fit]]/y_a_peak</f>
        <v>1.2943777687152989E-2</v>
      </c>
      <c r="AN241" s="10">
        <f>Tabella3[[#This Row],[rest of Italy fit]]*NOT(ISBLANK(Tabella3[[#This Row],[rest of Italy data]]))</f>
        <v>0</v>
      </c>
      <c r="AO241" s="131"/>
      <c r="AP241" s="131"/>
    </row>
    <row r="242" spans="2:42" x14ac:dyDescent="0.3">
      <c r="B242" s="9">
        <v>44065</v>
      </c>
      <c r="C242" s="4">
        <v>235</v>
      </c>
      <c r="D242" s="131"/>
      <c r="E242" s="10"/>
      <c r="F242" s="10">
        <f>Tabella3[[#This Row],[Italy remov. rate data]]*NOT(ISBLANK(Tabella3[[#This Row],[Italy remov. rate data]]))</f>
        <v>0</v>
      </c>
      <c r="G242" s="77" t="e">
        <f>Tabella8[[#This Row],[Italy fit]]</f>
        <v>#VALUE!</v>
      </c>
      <c r="H242" s="77" t="e">
        <f>Tabella3[[#This Row],[Italy cumul. fit]]/Kf</f>
        <v>#VALUE!</v>
      </c>
      <c r="I242" s="77">
        <f>Tabella3[[#This Row],[region fit]]+Tabella3[[#This Row],[rest of Italy fit]]</f>
        <v>45.757726771843906</v>
      </c>
      <c r="J242" s="77">
        <f>Tabella3[[#This Row],[Italy (fit of selected region + fitted sum of the other regions)]]/(y_l_peak+y_a_peak)</f>
        <v>1.444973302714303E-2</v>
      </c>
      <c r="K242" s="72">
        <f>IFERROR(Kf*psi_f*_xlfn.SECH(psi_f*(Tabella3[[#This Row],[Day]]-pf)-phi_f)^2/(1+TANH(phi_f)),0)</f>
        <v>43.307791989901247</v>
      </c>
      <c r="L242" s="292">
        <f>Tabella3[[#This Row],[Italy remov. rate fit]]-Tabella3[[#This Row],[Italy remov. rate data]]</f>
        <v>43.307791989901247</v>
      </c>
      <c r="M242" s="293">
        <f>Tabella3[[#This Row],[rem. rate residuals]]*NOT(ISBLANK(Tabella3[[#This Row],[Italy remov. rate data]]))</f>
        <v>0</v>
      </c>
      <c r="N242" s="72">
        <f>Tabella3[[#This Row],[Italy remov. rate fit]]/y_f_peak</f>
        <v>1.3709382052580526E-2</v>
      </c>
      <c r="O242" s="10">
        <f>Tabella3[[#This Row],[Italy (fit of selected region + fitted sum of the other regions)]]*NOT(ISBLANK(Tabella3[[#This Row],[Italy remov. rate data]]))</f>
        <v>0</v>
      </c>
      <c r="P242" s="10">
        <f>Tabella3[[#This Row],[Italy remov. rate fit]]*NOT(ISBLANK(Tabella3[[#This Row],[Italy remov. rate data]]))</f>
        <v>0</v>
      </c>
      <c r="Q242" s="72"/>
      <c r="R242" s="72"/>
      <c r="S242" s="131"/>
      <c r="T242" s="10"/>
      <c r="U242" s="10">
        <f>Tabella3[[#This Row],[region data]]*NOT(ISBLANK(Tabella3[[#This Row],[region data]]))</f>
        <v>0</v>
      </c>
      <c r="V242"/>
      <c r="W242" s="72">
        <f>Tabella3[[#This Row],[6-days moving avg]]*NOT(ISBLANK(Tabella3[[#This Row],[6-days moving avg]]))</f>
        <v>0</v>
      </c>
      <c r="X242" s="77" t="e">
        <f>Tabella8[[#This Row],[region fit]]</f>
        <v>#VALUE!</v>
      </c>
      <c r="Y242" s="72" t="e">
        <f>Tabella3[[#This Row],[region cumul. fit]]/Kl</f>
        <v>#VALUE!</v>
      </c>
      <c r="Z242" s="72">
        <f>IFERROR(Kl*psi_l*_xlfn.SECH(psi_l*(Tabella3[[#This Row],[Day]]-pl)-phi_l)^2/(1+TANH(phi_l)),0)</f>
        <v>8.6174924851516828</v>
      </c>
      <c r="AA242" s="72">
        <f>Tabella3[[#This Row],[region fit]]/y_l_peak</f>
        <v>5.8528911509696246E-2</v>
      </c>
      <c r="AB242" s="10">
        <f>Tabella3[[#This Row],[region fit]]*NOT(ISBLANK(Tabella3[[#This Row],[region data]]))</f>
        <v>0</v>
      </c>
      <c r="AC242" s="166">
        <f>IFERROR(kl_m*psi_l_m*_xlfn.SECH(psi_l_m*(Tabella3[[#This Row],[Day]]-pl_m)-phi_l_m)^2/(1+TANH(phi_l_m)),0)</f>
        <v>8.6174924851516828</v>
      </c>
      <c r="AD242" s="72">
        <f>Tabella3[[#This Row],[6-days moving avg fit]]*NOT(ISBLANK(Tabella3[[#This Row],[6-days moving avg]]))</f>
        <v>0</v>
      </c>
      <c r="AE242" s="131"/>
      <c r="AF242" s="131"/>
      <c r="AG242" s="131"/>
      <c r="AH242" s="10"/>
      <c r="AI242" s="10">
        <f>Tabella3[[#This Row],[rest of Italy data]]*NOT(ISBLANK(Tabella3[[#This Row],[rest of Italy data]]))</f>
        <v>0</v>
      </c>
      <c r="AJ242" s="77" t="e">
        <f>Tabella8[[#This Row],[rest of Italy fit]]</f>
        <v>#VALUE!</v>
      </c>
      <c r="AK242" s="72" t="e">
        <f>Tabella3[[#This Row],[rest of Italy cumul. fit]]/Ka</f>
        <v>#VALUE!</v>
      </c>
      <c r="AL242" s="72">
        <f>IFERROR(Ka*psi_a*_xlfn.SECH(psi_a*(Tabella3[[#This Row],[Day]]-pa)-phi_a)^2/(1+TANH(phi_a)),0)</f>
        <v>37.140234286692227</v>
      </c>
      <c r="AM242" s="72">
        <f>Tabella3[[#This Row],[rest of Italy fit]]/y_a_peak</f>
        <v>1.2300337475211996E-2</v>
      </c>
      <c r="AN242" s="10">
        <f>Tabella3[[#This Row],[rest of Italy fit]]*NOT(ISBLANK(Tabella3[[#This Row],[rest of Italy data]]))</f>
        <v>0</v>
      </c>
      <c r="AO242" s="131"/>
      <c r="AP242" s="131"/>
    </row>
    <row r="243" spans="2:42" x14ac:dyDescent="0.3">
      <c r="B243" s="9">
        <v>44066</v>
      </c>
      <c r="C243" s="4">
        <v>236</v>
      </c>
      <c r="D243" s="131"/>
      <c r="E243" s="10"/>
      <c r="F243" s="10">
        <f>Tabella3[[#This Row],[Italy remov. rate data]]*NOT(ISBLANK(Tabella3[[#This Row],[Italy remov. rate data]]))</f>
        <v>0</v>
      </c>
      <c r="G243" s="77" t="e">
        <f>Tabella8[[#This Row],[Italy fit]]</f>
        <v>#VALUE!</v>
      </c>
      <c r="H243" s="77" t="e">
        <f>Tabella3[[#This Row],[Italy cumul. fit]]/Kf</f>
        <v>#VALUE!</v>
      </c>
      <c r="I243" s="77">
        <f>Tabella3[[#This Row],[region fit]]+Tabella3[[#This Row],[rest of Italy fit]]</f>
        <v>43.580336353812228</v>
      </c>
      <c r="J243" s="77">
        <f>Tabella3[[#This Row],[Italy (fit of selected region + fitted sum of the other regions)]]/(y_l_peak+y_a_peak)</f>
        <v>1.3762139642242252E-2</v>
      </c>
      <c r="K243" s="72">
        <f>IFERROR(Kf*psi_f*_xlfn.SECH(psi_f*(Tabella3[[#This Row],[Day]]-pf)-phi_f)^2/(1+TANH(phi_f)),0)</f>
        <v>41.18824005659409</v>
      </c>
      <c r="L243" s="292">
        <f>Tabella3[[#This Row],[Italy remov. rate fit]]-Tabella3[[#This Row],[Italy remov. rate data]]</f>
        <v>41.18824005659409</v>
      </c>
      <c r="M243" s="293">
        <f>Tabella3[[#This Row],[rem. rate residuals]]*NOT(ISBLANK(Tabella3[[#This Row],[Italy remov. rate data]]))</f>
        <v>0</v>
      </c>
      <c r="N243" s="72">
        <f>Tabella3[[#This Row],[Italy remov. rate fit]]/y_f_peak</f>
        <v>1.3038423181235402E-2</v>
      </c>
      <c r="O243" s="10">
        <f>Tabella3[[#This Row],[Italy (fit of selected region + fitted sum of the other regions)]]*NOT(ISBLANK(Tabella3[[#This Row],[Italy remov. rate data]]))</f>
        <v>0</v>
      </c>
      <c r="P243" s="10">
        <f>Tabella3[[#This Row],[Italy remov. rate fit]]*NOT(ISBLANK(Tabella3[[#This Row],[Italy remov. rate data]]))</f>
        <v>0</v>
      </c>
      <c r="Q243" s="72"/>
      <c r="R243" s="72"/>
      <c r="S243" s="131"/>
      <c r="T243" s="10"/>
      <c r="U243" s="10">
        <f>Tabella3[[#This Row],[region data]]*NOT(ISBLANK(Tabella3[[#This Row],[region data]]))</f>
        <v>0</v>
      </c>
      <c r="V243"/>
      <c r="W243" s="72">
        <f>Tabella3[[#This Row],[6-days moving avg]]*NOT(ISBLANK(Tabella3[[#This Row],[6-days moving avg]]))</f>
        <v>0</v>
      </c>
      <c r="X243" s="77" t="e">
        <f>Tabella8[[#This Row],[region fit]]</f>
        <v>#VALUE!</v>
      </c>
      <c r="Y243" s="72" t="e">
        <f>Tabella3[[#This Row],[region cumul. fit]]/Kl</f>
        <v>#VALUE!</v>
      </c>
      <c r="Z243" s="72">
        <f>IFERROR(Kl*psi_l*_xlfn.SECH(psi_l*(Tabella3[[#This Row],[Day]]-pl)-phi_l)^2/(1+TANH(phi_l)),0)</f>
        <v>8.2869291859068621</v>
      </c>
      <c r="AA243" s="72">
        <f>Tabella3[[#This Row],[region fit]]/y_l_peak</f>
        <v>5.6283767678913695E-2</v>
      </c>
      <c r="AB243" s="10">
        <f>Tabella3[[#This Row],[region fit]]*NOT(ISBLANK(Tabella3[[#This Row],[region data]]))</f>
        <v>0</v>
      </c>
      <c r="AC243" s="166">
        <f>IFERROR(kl_m*psi_l_m*_xlfn.SECH(psi_l_m*(Tabella3[[#This Row],[Day]]-pl_m)-phi_l_m)^2/(1+TANH(phi_l_m)),0)</f>
        <v>8.2869291859068621</v>
      </c>
      <c r="AD243" s="72">
        <f>Tabella3[[#This Row],[6-days moving avg fit]]*NOT(ISBLANK(Tabella3[[#This Row],[6-days moving avg]]))</f>
        <v>0</v>
      </c>
      <c r="AE243" s="131"/>
      <c r="AF243" s="131"/>
      <c r="AG243" s="131"/>
      <c r="AH243" s="10"/>
      <c r="AI243" s="10">
        <f>Tabella3[[#This Row],[rest of Italy data]]*NOT(ISBLANK(Tabella3[[#This Row],[rest of Italy data]]))</f>
        <v>0</v>
      </c>
      <c r="AJ243" s="77" t="e">
        <f>Tabella8[[#This Row],[rest of Italy fit]]</f>
        <v>#VALUE!</v>
      </c>
      <c r="AK243" s="72" t="e">
        <f>Tabella3[[#This Row],[rest of Italy cumul. fit]]/Ka</f>
        <v>#VALUE!</v>
      </c>
      <c r="AL243" s="72">
        <f>IFERROR(Ka*psi_a*_xlfn.SECH(psi_a*(Tabella3[[#This Row],[Day]]-pa)-phi_a)^2/(1+TANH(phi_a)),0)</f>
        <v>35.293407167905364</v>
      </c>
      <c r="AM243" s="72">
        <f>Tabella3[[#This Row],[rest of Italy fit]]/y_a_peak</f>
        <v>1.1688693600159989E-2</v>
      </c>
      <c r="AN243" s="10">
        <f>Tabella3[[#This Row],[rest of Italy fit]]*NOT(ISBLANK(Tabella3[[#This Row],[rest of Italy data]]))</f>
        <v>0</v>
      </c>
      <c r="AO243" s="131"/>
      <c r="AP243" s="131"/>
    </row>
    <row r="244" spans="2:42" x14ac:dyDescent="0.3">
      <c r="B244" s="9">
        <v>44067</v>
      </c>
      <c r="C244" s="4">
        <v>237</v>
      </c>
      <c r="D244" s="131"/>
      <c r="E244" s="10"/>
      <c r="F244" s="10">
        <f>Tabella3[[#This Row],[Italy remov. rate data]]*NOT(ISBLANK(Tabella3[[#This Row],[Italy remov. rate data]]))</f>
        <v>0</v>
      </c>
      <c r="G244" s="77" t="e">
        <f>Tabella8[[#This Row],[Italy fit]]</f>
        <v>#VALUE!</v>
      </c>
      <c r="H244" s="77" t="e">
        <f>Tabella3[[#This Row],[Italy cumul. fit]]/Kf</f>
        <v>#VALUE!</v>
      </c>
      <c r="I244" s="77">
        <f>Tabella3[[#This Row],[region fit]]+Tabella3[[#This Row],[rest of Italy fit]]</f>
        <v>41.506580863195992</v>
      </c>
      <c r="J244" s="77">
        <f>Tabella3[[#This Row],[Italy (fit of selected region + fitted sum of the other regions)]]/(y_l_peak+y_a_peak)</f>
        <v>1.3107272905693287E-2</v>
      </c>
      <c r="K244" s="72">
        <f>IFERROR(Kf*psi_f*_xlfn.SECH(psi_f*(Tabella3[[#This Row],[Day]]-pf)-phi_f)^2/(1+TANH(phi_f)),0)</f>
        <v>39.17177047393735</v>
      </c>
      <c r="L244" s="292">
        <f>Tabella3[[#This Row],[Italy remov. rate fit]]-Tabella3[[#This Row],[Italy remov. rate data]]</f>
        <v>39.17177047393735</v>
      </c>
      <c r="M244" s="293">
        <f>Tabella3[[#This Row],[rem. rate residuals]]*NOT(ISBLANK(Tabella3[[#This Row],[Italy remov. rate data]]))</f>
        <v>0</v>
      </c>
      <c r="N244" s="72">
        <f>Tabella3[[#This Row],[Italy remov. rate fit]]/y_f_peak</f>
        <v>1.240009574324237E-2</v>
      </c>
      <c r="O244" s="10">
        <f>Tabella3[[#This Row],[Italy (fit of selected region + fitted sum of the other regions)]]*NOT(ISBLANK(Tabella3[[#This Row],[Italy remov. rate data]]))</f>
        <v>0</v>
      </c>
      <c r="P244" s="10">
        <f>Tabella3[[#This Row],[Italy remov. rate fit]]*NOT(ISBLANK(Tabella3[[#This Row],[Italy remov. rate data]]))</f>
        <v>0</v>
      </c>
      <c r="Q244" s="72"/>
      <c r="R244" s="72"/>
      <c r="S244" s="131"/>
      <c r="T244" s="10"/>
      <c r="U244" s="10">
        <f>Tabella3[[#This Row],[region data]]*NOT(ISBLANK(Tabella3[[#This Row],[region data]]))</f>
        <v>0</v>
      </c>
      <c r="V244"/>
      <c r="W244" s="72">
        <f>Tabella3[[#This Row],[6-days moving avg]]*NOT(ISBLANK(Tabella3[[#This Row],[6-days moving avg]]))</f>
        <v>0</v>
      </c>
      <c r="X244" s="77" t="e">
        <f>Tabella8[[#This Row],[region fit]]</f>
        <v>#VALUE!</v>
      </c>
      <c r="Y244" s="72" t="e">
        <f>Tabella3[[#This Row],[region cumul. fit]]/Kl</f>
        <v>#VALUE!</v>
      </c>
      <c r="Z244" s="72">
        <f>IFERROR(Kl*psi_l*_xlfn.SECH(psi_l*(Tabella3[[#This Row],[Day]]-pl)-phi_l)^2/(1+TANH(phi_l)),0)</f>
        <v>7.9686821074747742</v>
      </c>
      <c r="AA244" s="72">
        <f>Tabella3[[#This Row],[region fit]]/y_l_peak</f>
        <v>5.412227405140365E-2</v>
      </c>
      <c r="AB244" s="10">
        <f>Tabella3[[#This Row],[region fit]]*NOT(ISBLANK(Tabella3[[#This Row],[region data]]))</f>
        <v>0</v>
      </c>
      <c r="AC244" s="166">
        <f>IFERROR(kl_m*psi_l_m*_xlfn.SECH(psi_l_m*(Tabella3[[#This Row],[Day]]-pl_m)-phi_l_m)^2/(1+TANH(phi_l_m)),0)</f>
        <v>7.9686821074747742</v>
      </c>
      <c r="AD244" s="72">
        <f>Tabella3[[#This Row],[6-days moving avg fit]]*NOT(ISBLANK(Tabella3[[#This Row],[6-days moving avg]]))</f>
        <v>0</v>
      </c>
      <c r="AE244" s="131"/>
      <c r="AF244" s="131"/>
      <c r="AG244" s="131"/>
      <c r="AH244" s="10"/>
      <c r="AI244" s="10">
        <f>Tabella3[[#This Row],[rest of Italy data]]*NOT(ISBLANK(Tabella3[[#This Row],[rest of Italy data]]))</f>
        <v>0</v>
      </c>
      <c r="AJ244" s="77" t="e">
        <f>Tabella8[[#This Row],[rest of Italy fit]]</f>
        <v>#VALUE!</v>
      </c>
      <c r="AK244" s="72" t="e">
        <f>Tabella3[[#This Row],[rest of Italy cumul. fit]]/Ka</f>
        <v>#VALUE!</v>
      </c>
      <c r="AL244" s="72">
        <f>IFERROR(Ka*psi_a*_xlfn.SECH(psi_a*(Tabella3[[#This Row],[Day]]-pa)-phi_a)^2/(1+TANH(phi_a)),0)</f>
        <v>33.537898755721216</v>
      </c>
      <c r="AM244" s="72">
        <f>Tabella3[[#This Row],[rest of Italy fit]]/y_a_peak</f>
        <v>1.1107293231391294E-2</v>
      </c>
      <c r="AN244" s="10">
        <f>Tabella3[[#This Row],[rest of Italy fit]]*NOT(ISBLANK(Tabella3[[#This Row],[rest of Italy data]]))</f>
        <v>0</v>
      </c>
      <c r="AO244" s="131"/>
      <c r="AP244" s="131"/>
    </row>
    <row r="245" spans="2:42" x14ac:dyDescent="0.3">
      <c r="B245" s="9">
        <v>44068</v>
      </c>
      <c r="C245" s="4">
        <v>238</v>
      </c>
      <c r="D245" s="131"/>
      <c r="E245" s="10"/>
      <c r="F245" s="10">
        <f>Tabella3[[#This Row],[Italy remov. rate data]]*NOT(ISBLANK(Tabella3[[#This Row],[Italy remov. rate data]]))</f>
        <v>0</v>
      </c>
      <c r="G245" s="77" t="e">
        <f>Tabella8[[#This Row],[Italy fit]]</f>
        <v>#VALUE!</v>
      </c>
      <c r="H245" s="77" t="e">
        <f>Tabella3[[#This Row],[Italy cumul. fit]]/Kf</f>
        <v>#VALUE!</v>
      </c>
      <c r="I245" s="77">
        <f>Tabella3[[#This Row],[region fit]]+Tabella3[[#This Row],[rest of Italy fit]]</f>
        <v>39.531564140568953</v>
      </c>
      <c r="J245" s="77">
        <f>Tabella3[[#This Row],[Italy (fit of selected region + fitted sum of the other regions)]]/(y_l_peak+y_a_peak)</f>
        <v>1.2483586669958685E-2</v>
      </c>
      <c r="K245" s="72">
        <f>IFERROR(Kf*psi_f*_xlfn.SECH(psi_f*(Tabella3[[#This Row],[Day]]-pf)-phi_f)^2/(1+TANH(phi_f)),0)</f>
        <v>37.25343241821605</v>
      </c>
      <c r="L245" s="292">
        <f>Tabella3[[#This Row],[Italy remov. rate fit]]-Tabella3[[#This Row],[Italy remov. rate data]]</f>
        <v>37.25343241821605</v>
      </c>
      <c r="M245" s="293">
        <f>Tabella3[[#This Row],[rem. rate residuals]]*NOT(ISBLANK(Tabella3[[#This Row],[Italy remov. rate data]]))</f>
        <v>0</v>
      </c>
      <c r="N245" s="72">
        <f>Tabella3[[#This Row],[Italy remov. rate fit]]/y_f_peak</f>
        <v>1.1792832521002354E-2</v>
      </c>
      <c r="O245" s="10">
        <f>Tabella3[[#This Row],[Italy (fit of selected region + fitted sum of the other regions)]]*NOT(ISBLANK(Tabella3[[#This Row],[Italy remov. rate data]]))</f>
        <v>0</v>
      </c>
      <c r="P245" s="10">
        <f>Tabella3[[#This Row],[Italy remov. rate fit]]*NOT(ISBLANK(Tabella3[[#This Row],[Italy remov. rate data]]))</f>
        <v>0</v>
      </c>
      <c r="Q245" s="72"/>
      <c r="R245" s="72"/>
      <c r="S245" s="131"/>
      <c r="T245" s="10"/>
      <c r="U245" s="10">
        <f>Tabella3[[#This Row],[region data]]*NOT(ISBLANK(Tabella3[[#This Row],[region data]]))</f>
        <v>0</v>
      </c>
      <c r="V245"/>
      <c r="W245" s="72">
        <f>Tabella3[[#This Row],[6-days moving avg]]*NOT(ISBLANK(Tabella3[[#This Row],[6-days moving avg]]))</f>
        <v>0</v>
      </c>
      <c r="X245" s="77" t="e">
        <f>Tabella8[[#This Row],[region fit]]</f>
        <v>#VALUE!</v>
      </c>
      <c r="Y245" s="72" t="e">
        <f>Tabella3[[#This Row],[region cumul. fit]]/Kl</f>
        <v>#VALUE!</v>
      </c>
      <c r="Z245" s="72">
        <f>IFERROR(Kl*psi_l*_xlfn.SECH(psi_l*(Tabella3[[#This Row],[Day]]-pl)-phi_l)^2/(1+TANH(phi_l)),0)</f>
        <v>7.662320224760113</v>
      </c>
      <c r="AA245" s="72">
        <f>Tabella3[[#This Row],[region fit]]/y_l_peak</f>
        <v>5.2041503159610439E-2</v>
      </c>
      <c r="AB245" s="10">
        <f>Tabella3[[#This Row],[region fit]]*NOT(ISBLANK(Tabella3[[#This Row],[region data]]))</f>
        <v>0</v>
      </c>
      <c r="AC245" s="166">
        <f>IFERROR(kl_m*psi_l_m*_xlfn.SECH(psi_l_m*(Tabella3[[#This Row],[Day]]-pl_m)-phi_l_m)^2/(1+TANH(phi_l_m)),0)</f>
        <v>7.662320224760113</v>
      </c>
      <c r="AD245" s="72">
        <f>Tabella3[[#This Row],[6-days moving avg fit]]*NOT(ISBLANK(Tabella3[[#This Row],[6-days moving avg]]))</f>
        <v>0</v>
      </c>
      <c r="AE245" s="131"/>
      <c r="AF245" s="131"/>
      <c r="AG245" s="131"/>
      <c r="AH245" s="10"/>
      <c r="AI245" s="10">
        <f>Tabella3[[#This Row],[rest of Italy data]]*NOT(ISBLANK(Tabella3[[#This Row],[rest of Italy data]]))</f>
        <v>0</v>
      </c>
      <c r="AJ245" s="77" t="e">
        <f>Tabella8[[#This Row],[rest of Italy fit]]</f>
        <v>#VALUE!</v>
      </c>
      <c r="AK245" s="72" t="e">
        <f>Tabella3[[#This Row],[rest of Italy cumul. fit]]/Ka</f>
        <v>#VALUE!</v>
      </c>
      <c r="AL245" s="72">
        <f>IFERROR(Ka*psi_a*_xlfn.SECH(psi_a*(Tabella3[[#This Row],[Day]]-pa)-phi_a)^2/(1+TANH(phi_a)),0)</f>
        <v>31.869243915808838</v>
      </c>
      <c r="AM245" s="72">
        <f>Tabella3[[#This Row],[rest of Italy fit]]/y_a_peak</f>
        <v>1.0554657577503606E-2</v>
      </c>
      <c r="AN245" s="10">
        <f>Tabella3[[#This Row],[rest of Italy fit]]*NOT(ISBLANK(Tabella3[[#This Row],[rest of Italy data]]))</f>
        <v>0</v>
      </c>
      <c r="AO245" s="131"/>
      <c r="AP245" s="131"/>
    </row>
    <row r="246" spans="2:42" x14ac:dyDescent="0.3">
      <c r="B246" s="9">
        <v>44069</v>
      </c>
      <c r="C246" s="4">
        <v>239</v>
      </c>
      <c r="D246" s="131"/>
      <c r="E246" s="10"/>
      <c r="F246" s="10">
        <f>Tabella3[[#This Row],[Italy remov. rate data]]*NOT(ISBLANK(Tabella3[[#This Row],[Italy remov. rate data]]))</f>
        <v>0</v>
      </c>
      <c r="G246" s="77" t="e">
        <f>Tabella8[[#This Row],[Italy fit]]</f>
        <v>#VALUE!</v>
      </c>
      <c r="H246" s="77" t="e">
        <f>Tabella3[[#This Row],[Italy cumul. fit]]/Kf</f>
        <v>#VALUE!</v>
      </c>
      <c r="I246" s="77">
        <f>Tabella3[[#This Row],[region fit]]+Tabella3[[#This Row],[rest of Italy fit]]</f>
        <v>37.650616387630684</v>
      </c>
      <c r="J246" s="77">
        <f>Tabella3[[#This Row],[Italy (fit of selected region + fitted sum of the other regions)]]/(y_l_peak+y_a_peak)</f>
        <v>1.1889606269588649E-2</v>
      </c>
      <c r="K246" s="72">
        <f>IFERROR(Kf*psi_f*_xlfn.SECH(psi_f*(Tabella3[[#This Row],[Day]]-pf)-phi_f)^2/(1+TANH(phi_f)),0)</f>
        <v>35.428506840911155</v>
      </c>
      <c r="L246" s="292">
        <f>Tabella3[[#This Row],[Italy remov. rate fit]]-Tabella3[[#This Row],[Italy remov. rate data]]</f>
        <v>35.428506840911155</v>
      </c>
      <c r="M246" s="293">
        <f>Tabella3[[#This Row],[rem. rate residuals]]*NOT(ISBLANK(Tabella3[[#This Row],[Italy remov. rate data]]))</f>
        <v>0</v>
      </c>
      <c r="N246" s="72">
        <f>Tabella3[[#This Row],[Italy remov. rate fit]]/y_f_peak</f>
        <v>1.1215139666962765E-2</v>
      </c>
      <c r="O246" s="10">
        <f>Tabella3[[#This Row],[Italy (fit of selected region + fitted sum of the other regions)]]*NOT(ISBLANK(Tabella3[[#This Row],[Italy remov. rate data]]))</f>
        <v>0</v>
      </c>
      <c r="P246" s="10">
        <f>Tabella3[[#This Row],[Italy remov. rate fit]]*NOT(ISBLANK(Tabella3[[#This Row],[Italy remov. rate data]]))</f>
        <v>0</v>
      </c>
      <c r="Q246" s="72"/>
      <c r="R246" s="72"/>
      <c r="S246" s="131"/>
      <c r="T246" s="10"/>
      <c r="U246" s="10">
        <f>Tabella3[[#This Row],[region data]]*NOT(ISBLANK(Tabella3[[#This Row],[region data]]))</f>
        <v>0</v>
      </c>
      <c r="V246"/>
      <c r="W246" s="72">
        <f>Tabella3[[#This Row],[6-days moving avg]]*NOT(ISBLANK(Tabella3[[#This Row],[6-days moving avg]]))</f>
        <v>0</v>
      </c>
      <c r="X246" s="77" t="e">
        <f>Tabella8[[#This Row],[region fit]]</f>
        <v>#VALUE!</v>
      </c>
      <c r="Y246" s="72" t="e">
        <f>Tabella3[[#This Row],[region cumul. fit]]/Kl</f>
        <v>#VALUE!</v>
      </c>
      <c r="Z246" s="72">
        <f>IFERROR(Kl*psi_l*_xlfn.SECH(psi_l*(Tabella3[[#This Row],[Day]]-pl)-phi_l)^2/(1+TANH(phi_l)),0)</f>
        <v>7.3674254435740245</v>
      </c>
      <c r="AA246" s="72">
        <f>Tabella3[[#This Row],[region fit]]/y_l_peak</f>
        <v>5.0038615361048235E-2</v>
      </c>
      <c r="AB246" s="10">
        <f>Tabella3[[#This Row],[region fit]]*NOT(ISBLANK(Tabella3[[#This Row],[region data]]))</f>
        <v>0</v>
      </c>
      <c r="AC246" s="166">
        <f>IFERROR(kl_m*psi_l_m*_xlfn.SECH(psi_l_m*(Tabella3[[#This Row],[Day]]-pl_m)-phi_l_m)^2/(1+TANH(phi_l_m)),0)</f>
        <v>7.3674254435740245</v>
      </c>
      <c r="AD246" s="72">
        <f>Tabella3[[#This Row],[6-days moving avg fit]]*NOT(ISBLANK(Tabella3[[#This Row],[6-days moving avg]]))</f>
        <v>0</v>
      </c>
      <c r="AE246" s="131"/>
      <c r="AF246" s="131"/>
      <c r="AG246" s="131"/>
      <c r="AH246" s="10"/>
      <c r="AI246" s="10">
        <f>Tabella3[[#This Row],[rest of Italy data]]*NOT(ISBLANK(Tabella3[[#This Row],[rest of Italy data]]))</f>
        <v>0</v>
      </c>
      <c r="AJ246" s="77" t="e">
        <f>Tabella8[[#This Row],[rest of Italy fit]]</f>
        <v>#VALUE!</v>
      </c>
      <c r="AK246" s="72" t="e">
        <f>Tabella3[[#This Row],[rest of Italy cumul. fit]]/Ka</f>
        <v>#VALUE!</v>
      </c>
      <c r="AL246" s="72">
        <f>IFERROR(Ka*psi_a*_xlfn.SECH(psi_a*(Tabella3[[#This Row],[Day]]-pa)-phi_a)^2/(1+TANH(phi_a)),0)</f>
        <v>30.28319094405666</v>
      </c>
      <c r="AM246" s="72">
        <f>Tabella3[[#This Row],[rest of Italy fit]]/y_a_peak</f>
        <v>1.0029378532263308E-2</v>
      </c>
      <c r="AN246" s="10">
        <f>Tabella3[[#This Row],[rest of Italy fit]]*NOT(ISBLANK(Tabella3[[#This Row],[rest of Italy data]]))</f>
        <v>0</v>
      </c>
      <c r="AO246" s="131"/>
      <c r="AP246" s="131"/>
    </row>
    <row r="247" spans="2:42" x14ac:dyDescent="0.3">
      <c r="B247" s="9">
        <v>44070</v>
      </c>
      <c r="C247" s="4">
        <v>240</v>
      </c>
      <c r="D247" s="131"/>
      <c r="E247" s="10"/>
      <c r="F247" s="10">
        <f>Tabella3[[#This Row],[Italy remov. rate data]]*NOT(ISBLANK(Tabella3[[#This Row],[Italy remov. rate data]]))</f>
        <v>0</v>
      </c>
      <c r="G247" s="77" t="e">
        <f>Tabella8[[#This Row],[Italy fit]]</f>
        <v>#VALUE!</v>
      </c>
      <c r="H247" s="77" t="e">
        <f>Tabella3[[#This Row],[Italy cumul. fit]]/Kf</f>
        <v>#VALUE!</v>
      </c>
      <c r="I247" s="77">
        <f>Tabella3[[#This Row],[region fit]]+Tabella3[[#This Row],[rest of Italy fit]]</f>
        <v>35.859284230329585</v>
      </c>
      <c r="J247" s="77">
        <f>Tabella3[[#This Row],[Italy (fit of selected region + fitted sum of the other regions)]]/(y_l_peak+y_a_peak)</f>
        <v>1.1323925383276255E-2</v>
      </c>
      <c r="K247" s="72">
        <f>IFERROR(Kf*psi_f*_xlfn.SECH(psi_f*(Tabella3[[#This Row],[Day]]-pf)-phi_f)^2/(1+TANH(phi_f)),0)</f>
        <v>33.692496198306948</v>
      </c>
      <c r="L247" s="292">
        <f>Tabella3[[#This Row],[Italy remov. rate fit]]-Tabella3[[#This Row],[Italy remov. rate data]]</f>
        <v>33.692496198306948</v>
      </c>
      <c r="M247" s="293">
        <f>Tabella3[[#This Row],[rem. rate residuals]]*NOT(ISBLANK(Tabella3[[#This Row],[Italy remov. rate data]]))</f>
        <v>0</v>
      </c>
      <c r="N247" s="72">
        <f>Tabella3[[#This Row],[Italy remov. rate fit]]/y_f_peak</f>
        <v>1.0665593452453454E-2</v>
      </c>
      <c r="O247" s="10">
        <f>Tabella3[[#This Row],[Italy (fit of selected region + fitted sum of the other regions)]]*NOT(ISBLANK(Tabella3[[#This Row],[Italy remov. rate data]]))</f>
        <v>0</v>
      </c>
      <c r="P247" s="10">
        <f>Tabella3[[#This Row],[Italy remov. rate fit]]*NOT(ISBLANK(Tabella3[[#This Row],[Italy remov. rate data]]))</f>
        <v>0</v>
      </c>
      <c r="Q247" s="72"/>
      <c r="R247" s="72"/>
      <c r="S247" s="131"/>
      <c r="T247" s="10"/>
      <c r="U247" s="10">
        <f>Tabella3[[#This Row],[region data]]*NOT(ISBLANK(Tabella3[[#This Row],[region data]]))</f>
        <v>0</v>
      </c>
      <c r="V247"/>
      <c r="W247" s="72">
        <f>Tabella3[[#This Row],[6-days moving avg]]*NOT(ISBLANK(Tabella3[[#This Row],[6-days moving avg]]))</f>
        <v>0</v>
      </c>
      <c r="X247" s="77" t="e">
        <f>Tabella8[[#This Row],[region fit]]</f>
        <v>#VALUE!</v>
      </c>
      <c r="Y247" s="72" t="e">
        <f>Tabella3[[#This Row],[region cumul. fit]]/Kl</f>
        <v>#VALUE!</v>
      </c>
      <c r="Z247" s="72">
        <f>IFERROR(Kl*psi_l*_xlfn.SECH(psi_l*(Tabella3[[#This Row],[Day]]-pl)-phi_l)^2/(1+TANH(phi_l)),0)</f>
        <v>7.0835923853181413</v>
      </c>
      <c r="AA247" s="72">
        <f>Tabella3[[#This Row],[region fit]]/y_l_peak</f>
        <v>4.8110857375902441E-2</v>
      </c>
      <c r="AB247" s="10">
        <f>Tabella3[[#This Row],[region fit]]*NOT(ISBLANK(Tabella3[[#This Row],[region data]]))</f>
        <v>0</v>
      </c>
      <c r="AC247" s="166">
        <f>IFERROR(kl_m*psi_l_m*_xlfn.SECH(psi_l_m*(Tabella3[[#This Row],[Day]]-pl_m)-phi_l_m)^2/(1+TANH(phi_l_m)),0)</f>
        <v>7.0835923853181413</v>
      </c>
      <c r="AD247" s="72">
        <f>Tabella3[[#This Row],[6-days moving avg fit]]*NOT(ISBLANK(Tabella3[[#This Row],[6-days moving avg]]))</f>
        <v>0</v>
      </c>
      <c r="AE247" s="131"/>
      <c r="AF247" s="131"/>
      <c r="AG247" s="131"/>
      <c r="AH247" s="10"/>
      <c r="AI247" s="10">
        <f>Tabella3[[#This Row],[rest of Italy data]]*NOT(ISBLANK(Tabella3[[#This Row],[rest of Italy data]]))</f>
        <v>0</v>
      </c>
      <c r="AJ247" s="77" t="e">
        <f>Tabella8[[#This Row],[rest of Italy fit]]</f>
        <v>#VALUE!</v>
      </c>
      <c r="AK247" s="72" t="e">
        <f>Tabella3[[#This Row],[rest of Italy cumul. fit]]/Ka</f>
        <v>#VALUE!</v>
      </c>
      <c r="AL247" s="72">
        <f>IFERROR(Ka*psi_a*_xlfn.SECH(psi_a*(Tabella3[[#This Row],[Day]]-pa)-phi_a)^2/(1+TANH(phi_a)),0)</f>
        <v>28.775691845011444</v>
      </c>
      <c r="AM247" s="72">
        <f>Tabella3[[#This Row],[rest of Italy fit]]/y_a_peak</f>
        <v>9.5301154549574593E-3</v>
      </c>
      <c r="AN247" s="10">
        <f>Tabella3[[#This Row],[rest of Italy fit]]*NOT(ISBLANK(Tabella3[[#This Row],[rest of Italy data]]))</f>
        <v>0</v>
      </c>
      <c r="AO247" s="131"/>
      <c r="AP247" s="131"/>
    </row>
    <row r="248" spans="2:42" x14ac:dyDescent="0.3">
      <c r="B248" s="9">
        <v>44071</v>
      </c>
      <c r="C248" s="4">
        <v>241</v>
      </c>
      <c r="D248" s="131"/>
      <c r="E248" s="10"/>
      <c r="F248" s="10">
        <f>Tabella3[[#This Row],[Italy remov. rate data]]*NOT(ISBLANK(Tabella3[[#This Row],[Italy remov. rate data]]))</f>
        <v>0</v>
      </c>
      <c r="G248" s="77" t="e">
        <f>Tabella8[[#This Row],[Italy fit]]</f>
        <v>#VALUE!</v>
      </c>
      <c r="H248" s="77" t="e">
        <f>Tabella3[[#This Row],[Italy cumul. fit]]/Kf</f>
        <v>#VALUE!</v>
      </c>
      <c r="I248" s="77">
        <f>Tabella3[[#This Row],[region fit]]+Tabella3[[#This Row],[rest of Italy fit]]</f>
        <v>34.153321164964517</v>
      </c>
      <c r="J248" s="77">
        <f>Tabella3[[#This Row],[Italy (fit of selected region + fitted sum of the other regions)]]/(y_l_peak+y_a_peak)</f>
        <v>1.0785203016852665E-2</v>
      </c>
      <c r="K248" s="72">
        <f>IFERROR(Kf*psi_f*_xlfn.SECH(psi_f*(Tabella3[[#This Row],[Day]]-pf)-phi_f)^2/(1+TANH(phi_f)),0)</f>
        <v>32.041114579146502</v>
      </c>
      <c r="L248" s="292">
        <f>Tabella3[[#This Row],[Italy remov. rate fit]]-Tabella3[[#This Row],[Italy remov. rate data]]</f>
        <v>32.041114579146502</v>
      </c>
      <c r="M248" s="293">
        <f>Tabella3[[#This Row],[rem. rate residuals]]*NOT(ISBLANK(Tabella3[[#This Row],[Italy remov. rate data]]))</f>
        <v>0</v>
      </c>
      <c r="N248" s="72">
        <f>Tabella3[[#This Row],[Italy remov. rate fit]]/y_f_peak</f>
        <v>1.0142837142527545E-2</v>
      </c>
      <c r="O248" s="10">
        <f>Tabella3[[#This Row],[Italy (fit of selected region + fitted sum of the other regions)]]*NOT(ISBLANK(Tabella3[[#This Row],[Italy remov. rate data]]))</f>
        <v>0</v>
      </c>
      <c r="P248" s="10">
        <f>Tabella3[[#This Row],[Italy remov. rate fit]]*NOT(ISBLANK(Tabella3[[#This Row],[Italy remov. rate data]]))</f>
        <v>0</v>
      </c>
      <c r="Q248" s="72"/>
      <c r="R248" s="72"/>
      <c r="S248" s="131"/>
      <c r="T248" s="10"/>
      <c r="U248" s="10">
        <f>Tabella3[[#This Row],[region data]]*NOT(ISBLANK(Tabella3[[#This Row],[region data]]))</f>
        <v>0</v>
      </c>
      <c r="V248"/>
      <c r="W248" s="72">
        <f>Tabella3[[#This Row],[6-days moving avg]]*NOT(ISBLANK(Tabella3[[#This Row],[6-days moving avg]]))</f>
        <v>0</v>
      </c>
      <c r="X248" s="77" t="e">
        <f>Tabella8[[#This Row],[region fit]]</f>
        <v>#VALUE!</v>
      </c>
      <c r="Y248" s="72" t="e">
        <f>Tabella3[[#This Row],[region cumul. fit]]/Kl</f>
        <v>#VALUE!</v>
      </c>
      <c r="Z248" s="72">
        <f>IFERROR(Kl*psi_l*_xlfn.SECH(psi_l*(Tabella3[[#This Row],[Day]]-pl)-phi_l)^2/(1+TANH(phi_l)),0)</f>
        <v>6.8104281596357978</v>
      </c>
      <c r="AA248" s="72">
        <f>Tabella3[[#This Row],[region fit]]/y_l_peak</f>
        <v>4.6255560742905703E-2</v>
      </c>
      <c r="AB248" s="10">
        <f>Tabella3[[#This Row],[region fit]]*NOT(ISBLANK(Tabella3[[#This Row],[region data]]))</f>
        <v>0</v>
      </c>
      <c r="AC248" s="166">
        <f>IFERROR(kl_m*psi_l_m*_xlfn.SECH(psi_l_m*(Tabella3[[#This Row],[Day]]-pl_m)-phi_l_m)^2/(1+TANH(phi_l_m)),0)</f>
        <v>6.8104281596357978</v>
      </c>
      <c r="AD248" s="72">
        <f>Tabella3[[#This Row],[6-days moving avg fit]]*NOT(ISBLANK(Tabella3[[#This Row],[6-days moving avg]]))</f>
        <v>0</v>
      </c>
      <c r="AE248" s="131"/>
      <c r="AF248" s="131"/>
      <c r="AG248" s="131"/>
      <c r="AH248" s="10"/>
      <c r="AI248" s="10">
        <f>Tabella3[[#This Row],[rest of Italy data]]*NOT(ISBLANK(Tabella3[[#This Row],[rest of Italy data]]))</f>
        <v>0</v>
      </c>
      <c r="AJ248" s="77" t="e">
        <f>Tabella8[[#This Row],[rest of Italy fit]]</f>
        <v>#VALUE!</v>
      </c>
      <c r="AK248" s="72" t="e">
        <f>Tabella3[[#This Row],[rest of Italy cumul. fit]]/Ka</f>
        <v>#VALUE!</v>
      </c>
      <c r="AL248" s="72">
        <f>IFERROR(Ka*psi_a*_xlfn.SECH(psi_a*(Tabella3[[#This Row],[Day]]-pa)-phi_a)^2/(1+TANH(phi_a)),0)</f>
        <v>27.342893005328719</v>
      </c>
      <c r="AM248" s="72">
        <f>Tabella3[[#This Row],[rest of Italy fit]]/y_a_peak</f>
        <v>9.0555920815681718E-3</v>
      </c>
      <c r="AN248" s="10">
        <f>Tabella3[[#This Row],[rest of Italy fit]]*NOT(ISBLANK(Tabella3[[#This Row],[rest of Italy data]]))</f>
        <v>0</v>
      </c>
      <c r="AO248" s="131"/>
      <c r="AP248" s="131"/>
    </row>
    <row r="249" spans="2:42" x14ac:dyDescent="0.3">
      <c r="B249" s="9">
        <v>44072</v>
      </c>
      <c r="C249" s="4">
        <v>242</v>
      </c>
      <c r="D249" s="131"/>
      <c r="E249" s="10"/>
      <c r="F249" s="10">
        <f>Tabella3[[#This Row],[Italy remov. rate data]]*NOT(ISBLANK(Tabella3[[#This Row],[Italy remov. rate data]]))</f>
        <v>0</v>
      </c>
      <c r="G249" s="77" t="e">
        <f>Tabella8[[#This Row],[Italy fit]]</f>
        <v>#VALUE!</v>
      </c>
      <c r="H249" s="77" t="e">
        <f>Tabella3[[#This Row],[Italy cumul. fit]]/Kf</f>
        <v>#VALUE!</v>
      </c>
      <c r="I249" s="77">
        <f>Tabella3[[#This Row],[region fit]]+Tabella3[[#This Row],[rest of Italy fit]]</f>
        <v>32.528678377967779</v>
      </c>
      <c r="J249" s="77">
        <f>Tabella3[[#This Row],[Italy (fit of selected region + fitted sum of the other regions)]]/(y_l_peak+y_a_peak)</f>
        <v>1.0272160604286363E-2</v>
      </c>
      <c r="K249" s="72">
        <f>IFERROR(Kf*psi_f*_xlfn.SECH(psi_f*(Tabella3[[#This Row],[Day]]-pf)-phi_f)^2/(1+TANH(phi_f)),0)</f>
        <v>30.470278220763738</v>
      </c>
      <c r="L249" s="292">
        <f>Tabella3[[#This Row],[Italy remov. rate fit]]-Tabella3[[#This Row],[Italy remov. rate data]]</f>
        <v>30.470278220763738</v>
      </c>
      <c r="M249" s="293">
        <f>Tabella3[[#This Row],[rem. rate residuals]]*NOT(ISBLANK(Tabella3[[#This Row],[Italy remov. rate data]]))</f>
        <v>0</v>
      </c>
      <c r="N249" s="72">
        <f>Tabella3[[#This Row],[Italy remov. rate fit]]/y_f_peak</f>
        <v>9.6455779937772382E-3</v>
      </c>
      <c r="O249" s="10">
        <f>Tabella3[[#This Row],[Italy (fit of selected region + fitted sum of the other regions)]]*NOT(ISBLANK(Tabella3[[#This Row],[Italy remov. rate data]]))</f>
        <v>0</v>
      </c>
      <c r="P249" s="10">
        <f>Tabella3[[#This Row],[Italy remov. rate fit]]*NOT(ISBLANK(Tabella3[[#This Row],[Italy remov. rate data]]))</f>
        <v>0</v>
      </c>
      <c r="Q249" s="72"/>
      <c r="R249" s="72"/>
      <c r="S249" s="131"/>
      <c r="T249" s="10"/>
      <c r="U249" s="10">
        <f>Tabella3[[#This Row],[region data]]*NOT(ISBLANK(Tabella3[[#This Row],[region data]]))</f>
        <v>0</v>
      </c>
      <c r="V249"/>
      <c r="W249" s="72">
        <f>Tabella3[[#This Row],[6-days moving avg]]*NOT(ISBLANK(Tabella3[[#This Row],[6-days moving avg]]))</f>
        <v>0</v>
      </c>
      <c r="X249" s="77" t="e">
        <f>Tabella8[[#This Row],[region fit]]</f>
        <v>#VALUE!</v>
      </c>
      <c r="Y249" s="72" t="e">
        <f>Tabella3[[#This Row],[region cumul. fit]]/Kl</f>
        <v>#VALUE!</v>
      </c>
      <c r="Z249" s="72">
        <f>IFERROR(Kl*psi_l*_xlfn.SECH(psi_l*(Tabella3[[#This Row],[Day]]-pl)-phi_l)^2/(1+TANH(phi_l)),0)</f>
        <v>6.5475521268446046</v>
      </c>
      <c r="AA249" s="72">
        <f>Tabella3[[#This Row],[region fit]]/y_l_peak</f>
        <v>4.4470140205810228E-2</v>
      </c>
      <c r="AB249" s="10">
        <f>Tabella3[[#This Row],[region fit]]*NOT(ISBLANK(Tabella3[[#This Row],[region data]]))</f>
        <v>0</v>
      </c>
      <c r="AC249" s="166">
        <f>IFERROR(kl_m*psi_l_m*_xlfn.SECH(psi_l_m*(Tabella3[[#This Row],[Day]]-pl_m)-phi_l_m)^2/(1+TANH(phi_l_m)),0)</f>
        <v>6.5475521268446046</v>
      </c>
      <c r="AD249" s="72">
        <f>Tabella3[[#This Row],[6-days moving avg fit]]*NOT(ISBLANK(Tabella3[[#This Row],[6-days moving avg]]))</f>
        <v>0</v>
      </c>
      <c r="AE249" s="131"/>
      <c r="AF249" s="131"/>
      <c r="AG249" s="131"/>
      <c r="AH249" s="10"/>
      <c r="AI249" s="10">
        <f>Tabella3[[#This Row],[rest of Italy data]]*NOT(ISBLANK(Tabella3[[#This Row],[rest of Italy data]]))</f>
        <v>0</v>
      </c>
      <c r="AJ249" s="77" t="e">
        <f>Tabella8[[#This Row],[rest of Italy fit]]</f>
        <v>#VALUE!</v>
      </c>
      <c r="AK249" s="72" t="e">
        <f>Tabella3[[#This Row],[rest of Italy cumul. fit]]/Ka</f>
        <v>#VALUE!</v>
      </c>
      <c r="AL249" s="72">
        <f>IFERROR(Ka*psi_a*_xlfn.SECH(psi_a*(Tabella3[[#This Row],[Day]]-pa)-phi_a)^2/(1+TANH(phi_a)),0)</f>
        <v>25.981126251123172</v>
      </c>
      <c r="AM249" s="72">
        <f>Tabella3[[#This Row],[rest of Italy fit]]/y_a_peak</f>
        <v>8.6045935630894091E-3</v>
      </c>
      <c r="AN249" s="10">
        <f>Tabella3[[#This Row],[rest of Italy fit]]*NOT(ISBLANK(Tabella3[[#This Row],[rest of Italy data]]))</f>
        <v>0</v>
      </c>
      <c r="AO249" s="131"/>
      <c r="AP249" s="131"/>
    </row>
    <row r="250" spans="2:42" x14ac:dyDescent="0.3">
      <c r="B250" s="9">
        <v>44073</v>
      </c>
      <c r="C250" s="4">
        <v>243</v>
      </c>
      <c r="D250" s="131"/>
      <c r="E250" s="10"/>
      <c r="F250" s="10">
        <f>Tabella3[[#This Row],[Italy remov. rate data]]*NOT(ISBLANK(Tabella3[[#This Row],[Italy remov. rate data]]))</f>
        <v>0</v>
      </c>
      <c r="G250" s="77" t="e">
        <f>Tabella8[[#This Row],[Italy fit]]</f>
        <v>#VALUE!</v>
      </c>
      <c r="H250" s="77" t="e">
        <f>Tabella3[[#This Row],[Italy cumul. fit]]/Kf</f>
        <v>#VALUE!</v>
      </c>
      <c r="I250" s="77">
        <f>Tabella3[[#This Row],[region fit]]+Tabella3[[#This Row],[rest of Italy fit]]</f>
        <v>30.981495929670864</v>
      </c>
      <c r="J250" s="77">
        <f>Tabella3[[#This Row],[Italy (fit of selected region + fitted sum of the other regions)]]/(y_l_peak+y_a_peak)</f>
        <v>9.7835792236237087E-3</v>
      </c>
      <c r="K250" s="72">
        <f>IFERROR(Kf*psi_f*_xlfn.SECH(psi_f*(Tabella3[[#This Row],[Day]]-pf)-phi_f)^2/(1+TANH(phi_f)),0)</f>
        <v>28.976096403674145</v>
      </c>
      <c r="L250" s="292">
        <f>Tabella3[[#This Row],[Italy remov. rate fit]]-Tabella3[[#This Row],[Italy remov. rate data]]</f>
        <v>28.976096403674145</v>
      </c>
      <c r="M250" s="293">
        <f>Tabella3[[#This Row],[rem. rate residuals]]*NOT(ISBLANK(Tabella3[[#This Row],[Italy remov. rate data]]))</f>
        <v>0</v>
      </c>
      <c r="N250" s="72">
        <f>Tabella3[[#This Row],[Italy remov. rate fit]]/y_f_peak</f>
        <v>9.1725843719533216E-3</v>
      </c>
      <c r="O250" s="10">
        <f>Tabella3[[#This Row],[Italy (fit of selected region + fitted sum of the other regions)]]*NOT(ISBLANK(Tabella3[[#This Row],[Italy remov. rate data]]))</f>
        <v>0</v>
      </c>
      <c r="P250" s="10">
        <f>Tabella3[[#This Row],[Italy remov. rate fit]]*NOT(ISBLANK(Tabella3[[#This Row],[Italy remov. rate data]]))</f>
        <v>0</v>
      </c>
      <c r="Q250" s="72"/>
      <c r="R250" s="72"/>
      <c r="S250" s="131"/>
      <c r="T250" s="10"/>
      <c r="U250" s="10">
        <f>Tabella3[[#This Row],[region data]]*NOT(ISBLANK(Tabella3[[#This Row],[region data]]))</f>
        <v>0</v>
      </c>
      <c r="V250"/>
      <c r="W250" s="72">
        <f>Tabella3[[#This Row],[6-days moving avg]]*NOT(ISBLANK(Tabella3[[#This Row],[6-days moving avg]]))</f>
        <v>0</v>
      </c>
      <c r="X250" s="77" t="e">
        <f>Tabella8[[#This Row],[region fit]]</f>
        <v>#VALUE!</v>
      </c>
      <c r="Y250" s="72" t="e">
        <f>Tabella3[[#This Row],[region cumul. fit]]/Kl</f>
        <v>#VALUE!</v>
      </c>
      <c r="Z250" s="72">
        <f>IFERROR(Kl*psi_l*_xlfn.SECH(psi_l*(Tabella3[[#This Row],[Day]]-pl)-phi_l)^2/(1+TANH(phi_l)),0)</f>
        <v>6.2945956518157367</v>
      </c>
      <c r="AA250" s="72">
        <f>Tabella3[[#This Row],[region fit]]/y_l_peak</f>
        <v>4.2752092041767213E-2</v>
      </c>
      <c r="AB250" s="10">
        <f>Tabella3[[#This Row],[region fit]]*NOT(ISBLANK(Tabella3[[#This Row],[region data]]))</f>
        <v>0</v>
      </c>
      <c r="AC250" s="166">
        <f>IFERROR(kl_m*psi_l_m*_xlfn.SECH(psi_l_m*(Tabella3[[#This Row],[Day]]-pl_m)-phi_l_m)^2/(1+TANH(phi_l_m)),0)</f>
        <v>6.2945956518157367</v>
      </c>
      <c r="AD250" s="72">
        <f>Tabella3[[#This Row],[6-days moving avg fit]]*NOT(ISBLANK(Tabella3[[#This Row],[6-days moving avg]]))</f>
        <v>0</v>
      </c>
      <c r="AE250" s="131"/>
      <c r="AF250" s="131"/>
      <c r="AG250" s="131"/>
      <c r="AH250" s="10"/>
      <c r="AI250" s="10">
        <f>Tabella3[[#This Row],[rest of Italy data]]*NOT(ISBLANK(Tabella3[[#This Row],[rest of Italy data]]))</f>
        <v>0</v>
      </c>
      <c r="AJ250" s="77" t="e">
        <f>Tabella8[[#This Row],[rest of Italy fit]]</f>
        <v>#VALUE!</v>
      </c>
      <c r="AK250" s="72" t="e">
        <f>Tabella3[[#This Row],[rest of Italy cumul. fit]]/Ka</f>
        <v>#VALUE!</v>
      </c>
      <c r="AL250" s="72">
        <f>IFERROR(Ka*psi_a*_xlfn.SECH(psi_a*(Tabella3[[#This Row],[Day]]-pa)-phi_a)^2/(1+TANH(phi_a)),0)</f>
        <v>24.686900277855127</v>
      </c>
      <c r="AM250" s="72">
        <f>Tabella3[[#This Row],[rest of Italy fit]]/y_a_peak</f>
        <v>8.1759636272226415E-3</v>
      </c>
      <c r="AN250" s="10">
        <f>Tabella3[[#This Row],[rest of Italy fit]]*NOT(ISBLANK(Tabella3[[#This Row],[rest of Italy data]]))</f>
        <v>0</v>
      </c>
      <c r="AO250" s="131"/>
      <c r="AP250" s="131"/>
    </row>
    <row r="251" spans="2:42" x14ac:dyDescent="0.3">
      <c r="B251" s="9">
        <v>44074</v>
      </c>
      <c r="C251" s="4">
        <v>244</v>
      </c>
      <c r="D251" s="131"/>
      <c r="E251" s="10"/>
      <c r="F251" s="10">
        <f>Tabella3[[#This Row],[Italy remov. rate data]]*NOT(ISBLANK(Tabella3[[#This Row],[Italy remov. rate data]]))</f>
        <v>0</v>
      </c>
      <c r="G251" s="77" t="e">
        <f>Tabella8[[#This Row],[Italy fit]]</f>
        <v>#VALUE!</v>
      </c>
      <c r="H251" s="77" t="e">
        <f>Tabella3[[#This Row],[Italy cumul. fit]]/Kf</f>
        <v>#VALUE!</v>
      </c>
      <c r="I251" s="77">
        <f>Tabella3[[#This Row],[region fit]]+Tabella3[[#This Row],[rest of Italy fit]]</f>
        <v>29.508094292049762</v>
      </c>
      <c r="J251" s="77">
        <f>Tabella3[[#This Row],[Italy (fit of selected region + fitted sum of the other regions)]]/(y_l_peak+y_a_peak)</f>
        <v>9.3182969247119374E-3</v>
      </c>
      <c r="K251" s="72">
        <f>IFERROR(Kf*psi_f*_xlfn.SECH(psi_f*(Tabella3[[#This Row],[Day]]-pf)-phi_f)^2/(1+TANH(phi_f)),0)</f>
        <v>27.554862714262811</v>
      </c>
      <c r="L251" s="292">
        <f>Tabella3[[#This Row],[Italy remov. rate fit]]-Tabella3[[#This Row],[Italy remov. rate data]]</f>
        <v>27.554862714262811</v>
      </c>
      <c r="M251" s="293">
        <f>Tabella3[[#This Row],[rem. rate residuals]]*NOT(ISBLANK(Tabella3[[#This Row],[Italy remov. rate data]]))</f>
        <v>0</v>
      </c>
      <c r="N251" s="72">
        <f>Tabella3[[#This Row],[Italy remov. rate fit]]/y_f_peak</f>
        <v>8.7226829861084369E-3</v>
      </c>
      <c r="O251" s="10">
        <f>Tabella3[[#This Row],[Italy (fit of selected region + fitted sum of the other regions)]]*NOT(ISBLANK(Tabella3[[#This Row],[Italy remov. rate data]]))</f>
        <v>0</v>
      </c>
      <c r="P251" s="10">
        <f>Tabella3[[#This Row],[Italy remov. rate fit]]*NOT(ISBLANK(Tabella3[[#This Row],[Italy remov. rate data]]))</f>
        <v>0</v>
      </c>
      <c r="Q251" s="72"/>
      <c r="R251" s="72"/>
      <c r="S251" s="131"/>
      <c r="T251" s="10"/>
      <c r="U251" s="10">
        <f>Tabella3[[#This Row],[region data]]*NOT(ISBLANK(Tabella3[[#This Row],[region data]]))</f>
        <v>0</v>
      </c>
      <c r="V251"/>
      <c r="W251" s="72">
        <f>Tabella3[[#This Row],[6-days moving avg]]*NOT(ISBLANK(Tabella3[[#This Row],[6-days moving avg]]))</f>
        <v>0</v>
      </c>
      <c r="X251" s="77" t="e">
        <f>Tabella8[[#This Row],[region fit]]</f>
        <v>#VALUE!</v>
      </c>
      <c r="Y251" s="72" t="e">
        <f>Tabella3[[#This Row],[region cumul. fit]]/Kl</f>
        <v>#VALUE!</v>
      </c>
      <c r="Z251" s="72">
        <f>IFERROR(Kl*psi_l*_xlfn.SECH(psi_l*(Tabella3[[#This Row],[Day]]-pl)-phi_l)^2/(1+TANH(phi_l)),0)</f>
        <v>6.051201850825616</v>
      </c>
      <c r="AA251" s="72">
        <f>Tabella3[[#This Row],[region fit]]/y_l_peak</f>
        <v>4.1098992341975754E-2</v>
      </c>
      <c r="AB251" s="10">
        <f>Tabella3[[#This Row],[region fit]]*NOT(ISBLANK(Tabella3[[#This Row],[region data]]))</f>
        <v>0</v>
      </c>
      <c r="AC251" s="166">
        <f>IFERROR(kl_m*psi_l_m*_xlfn.SECH(psi_l_m*(Tabella3[[#This Row],[Day]]-pl_m)-phi_l_m)^2/(1+TANH(phi_l_m)),0)</f>
        <v>6.051201850825616</v>
      </c>
      <c r="AD251" s="72">
        <f>Tabella3[[#This Row],[6-days moving avg fit]]*NOT(ISBLANK(Tabella3[[#This Row],[6-days moving avg]]))</f>
        <v>0</v>
      </c>
      <c r="AE251" s="131"/>
      <c r="AF251" s="131"/>
      <c r="AG251" s="131"/>
      <c r="AH251" s="10"/>
      <c r="AI251" s="10">
        <f>Tabella3[[#This Row],[rest of Italy data]]*NOT(ISBLANK(Tabella3[[#This Row],[rest of Italy data]]))</f>
        <v>0</v>
      </c>
      <c r="AJ251" s="77" t="e">
        <f>Tabella8[[#This Row],[rest of Italy fit]]</f>
        <v>#VALUE!</v>
      </c>
      <c r="AK251" s="72" t="e">
        <f>Tabella3[[#This Row],[rest of Italy cumul. fit]]/Ka</f>
        <v>#VALUE!</v>
      </c>
      <c r="AL251" s="72">
        <f>IFERROR(Ka*psi_a*_xlfn.SECH(psi_a*(Tabella3[[#This Row],[Day]]-pa)-phi_a)^2/(1+TANH(phi_a)),0)</f>
        <v>23.456892441224145</v>
      </c>
      <c r="AM251" s="72">
        <f>Tabella3[[#This Row],[rest of Italy fit]]/y_a_peak</f>
        <v>7.7686018596331034E-3</v>
      </c>
      <c r="AN251" s="10">
        <f>Tabella3[[#This Row],[rest of Italy fit]]*NOT(ISBLANK(Tabella3[[#This Row],[rest of Italy data]]))</f>
        <v>0</v>
      </c>
      <c r="AO251" s="131"/>
      <c r="AP251" s="131"/>
    </row>
    <row r="252" spans="2:42" x14ac:dyDescent="0.3">
      <c r="B252" s="9">
        <v>44075</v>
      </c>
      <c r="C252" s="4">
        <v>245</v>
      </c>
      <c r="D252" s="131"/>
      <c r="E252" s="10"/>
      <c r="F252" s="10">
        <f>Tabella3[[#This Row],[Italy remov. rate data]]*NOT(ISBLANK(Tabella3[[#This Row],[Italy remov. rate data]]))</f>
        <v>0</v>
      </c>
      <c r="G252" s="77" t="e">
        <f>Tabella8[[#This Row],[Italy fit]]</f>
        <v>#VALUE!</v>
      </c>
      <c r="H252" s="77" t="e">
        <f>Tabella3[[#This Row],[Italy cumul. fit]]/Kf</f>
        <v>#VALUE!</v>
      </c>
      <c r="I252" s="77">
        <f>Tabella3[[#This Row],[region fit]]+Tabella3[[#This Row],[rest of Italy fit]]</f>
        <v>28.104966230226164</v>
      </c>
      <c r="J252" s="77">
        <f>Tabella3[[#This Row],[Italy (fit of selected region + fitted sum of the other regions)]]/(y_l_peak+y_a_peak)</f>
        <v>8.8752061654760721E-3</v>
      </c>
      <c r="K252" s="72">
        <f>IFERROR(Kf*psi_f*_xlfn.SECH(psi_f*(Tabella3[[#This Row],[Day]]-pf)-phi_f)^2/(1+TANH(phi_f)),0)</f>
        <v>26.203046664956705</v>
      </c>
      <c r="L252" s="292">
        <f>Tabella3[[#This Row],[Italy remov. rate fit]]-Tabella3[[#This Row],[Italy remov. rate data]]</f>
        <v>26.203046664956705</v>
      </c>
      <c r="M252" s="293">
        <f>Tabella3[[#This Row],[rem. rate residuals]]*NOT(ISBLANK(Tabella3[[#This Row],[Italy remov. rate data]]))</f>
        <v>0</v>
      </c>
      <c r="N252" s="72">
        <f>Tabella3[[#This Row],[Italy remov. rate fit]]/y_f_peak</f>
        <v>8.2947562359044803E-3</v>
      </c>
      <c r="O252" s="10">
        <f>Tabella3[[#This Row],[Italy (fit of selected region + fitted sum of the other regions)]]*NOT(ISBLANK(Tabella3[[#This Row],[Italy remov. rate data]]))</f>
        <v>0</v>
      </c>
      <c r="P252" s="10">
        <f>Tabella3[[#This Row],[Italy remov. rate fit]]*NOT(ISBLANK(Tabella3[[#This Row],[Italy remov. rate data]]))</f>
        <v>0</v>
      </c>
      <c r="Q252" s="72"/>
      <c r="R252" s="72"/>
      <c r="S252" s="131"/>
      <c r="T252" s="10"/>
      <c r="U252" s="10">
        <f>Tabella3[[#This Row],[region data]]*NOT(ISBLANK(Tabella3[[#This Row],[region data]]))</f>
        <v>0</v>
      </c>
      <c r="V252"/>
      <c r="W252" s="72">
        <f>Tabella3[[#This Row],[6-days moving avg]]*NOT(ISBLANK(Tabella3[[#This Row],[6-days moving avg]]))</f>
        <v>0</v>
      </c>
      <c r="X252" s="77" t="e">
        <f>Tabella8[[#This Row],[region fit]]</f>
        <v>#VALUE!</v>
      </c>
      <c r="Y252" s="72" t="e">
        <f>Tabella3[[#This Row],[region cumul. fit]]/Kl</f>
        <v>#VALUE!</v>
      </c>
      <c r="Z252" s="72">
        <f>IFERROR(Kl*psi_l*_xlfn.SECH(psi_l*(Tabella3[[#This Row],[Day]]-pl)-phi_l)^2/(1+TANH(phi_l)),0)</f>
        <v>5.8170253327748318</v>
      </c>
      <c r="AA252" s="72">
        <f>Tabella3[[#This Row],[region fit]]/y_l_peak</f>
        <v>3.9508495254074683E-2</v>
      </c>
      <c r="AB252" s="10">
        <f>Tabella3[[#This Row],[region fit]]*NOT(ISBLANK(Tabella3[[#This Row],[region data]]))</f>
        <v>0</v>
      </c>
      <c r="AC252" s="166">
        <f>IFERROR(kl_m*psi_l_m*_xlfn.SECH(psi_l_m*(Tabella3[[#This Row],[Day]]-pl_m)-phi_l_m)^2/(1+TANH(phi_l_m)),0)</f>
        <v>5.8170253327748318</v>
      </c>
      <c r="AD252" s="72">
        <f>Tabella3[[#This Row],[6-days moving avg fit]]*NOT(ISBLANK(Tabella3[[#This Row],[6-days moving avg]]))</f>
        <v>0</v>
      </c>
      <c r="AE252" s="131"/>
      <c r="AF252" s="131"/>
      <c r="AG252" s="131"/>
      <c r="AH252" s="10"/>
      <c r="AI252" s="10">
        <f>Tabella3[[#This Row],[rest of Italy data]]*NOT(ISBLANK(Tabella3[[#This Row],[rest of Italy data]]))</f>
        <v>0</v>
      </c>
      <c r="AJ252" s="77" t="e">
        <f>Tabella8[[#This Row],[rest of Italy fit]]</f>
        <v>#VALUE!</v>
      </c>
      <c r="AK252" s="72" t="e">
        <f>Tabella3[[#This Row],[rest of Italy cumul. fit]]/Ka</f>
        <v>#VALUE!</v>
      </c>
      <c r="AL252" s="72">
        <f>IFERROR(Ka*psi_a*_xlfn.SECH(psi_a*(Tabella3[[#This Row],[Day]]-pa)-phi_a)^2/(1+TANH(phi_a)),0)</f>
        <v>22.287940897451332</v>
      </c>
      <c r="AM252" s="72">
        <f>Tabella3[[#This Row],[rest of Italy fit]]/y_a_peak</f>
        <v>7.3814611009188364E-3</v>
      </c>
      <c r="AN252" s="10">
        <f>Tabella3[[#This Row],[rest of Italy fit]]*NOT(ISBLANK(Tabella3[[#This Row],[rest of Italy data]]))</f>
        <v>0</v>
      </c>
      <c r="AO252" s="131"/>
      <c r="AP252" s="131"/>
    </row>
    <row r="253" spans="2:42" x14ac:dyDescent="0.3">
      <c r="B253" s="9">
        <v>44076</v>
      </c>
      <c r="C253" s="4">
        <v>246</v>
      </c>
      <c r="D253" s="131"/>
      <c r="E253" s="10"/>
      <c r="F253" s="10">
        <f>Tabella3[[#This Row],[Italy remov. rate data]]*NOT(ISBLANK(Tabella3[[#This Row],[Italy remov. rate data]]))</f>
        <v>0</v>
      </c>
      <c r="G253" s="77" t="e">
        <f>Tabella8[[#This Row],[Italy fit]]</f>
        <v>#VALUE!</v>
      </c>
      <c r="H253" s="77" t="e">
        <f>Tabella3[[#This Row],[Italy cumul. fit]]/Kf</f>
        <v>#VALUE!</v>
      </c>
      <c r="I253" s="77">
        <f>Tabella3[[#This Row],[region fit]]+Tabella3[[#This Row],[rest of Italy fit]]</f>
        <v>26.768769017353264</v>
      </c>
      <c r="J253" s="77">
        <f>Tabella3[[#This Row],[Italy (fit of selected region + fitted sum of the other regions)]]/(y_l_peak+y_a_peak)</f>
        <v>8.4532513534746456E-3</v>
      </c>
      <c r="K253" s="72">
        <f>IFERROR(Kf*psi_f*_xlfn.SECH(psi_f*(Tabella3[[#This Row],[Day]]-pf)-phi_f)^2/(1+TANH(phi_f)),0)</f>
        <v>24.91728566109823</v>
      </c>
      <c r="L253" s="292">
        <f>Tabella3[[#This Row],[Italy remov. rate fit]]-Tabella3[[#This Row],[Italy remov. rate data]]</f>
        <v>24.91728566109823</v>
      </c>
      <c r="M253" s="293">
        <f>Tabella3[[#This Row],[rem. rate residuals]]*NOT(ISBLANK(Tabella3[[#This Row],[Italy remov. rate data]]))</f>
        <v>0</v>
      </c>
      <c r="N253" s="72">
        <f>Tabella3[[#This Row],[Italy remov. rate fit]]/y_f_peak</f>
        <v>7.8877396686706739E-3</v>
      </c>
      <c r="O253" s="10">
        <f>Tabella3[[#This Row],[Italy (fit of selected region + fitted sum of the other regions)]]*NOT(ISBLANK(Tabella3[[#This Row],[Italy remov. rate data]]))</f>
        <v>0</v>
      </c>
      <c r="P253" s="10">
        <f>Tabella3[[#This Row],[Italy remov. rate fit]]*NOT(ISBLANK(Tabella3[[#This Row],[Italy remov. rate data]]))</f>
        <v>0</v>
      </c>
      <c r="Q253" s="72"/>
      <c r="R253" s="72"/>
      <c r="S253" s="131"/>
      <c r="T253" s="10"/>
      <c r="U253" s="10">
        <f>Tabella3[[#This Row],[region data]]*NOT(ISBLANK(Tabella3[[#This Row],[region data]]))</f>
        <v>0</v>
      </c>
      <c r="V253"/>
      <c r="W253" s="72">
        <f>Tabella3[[#This Row],[6-days moving avg]]*NOT(ISBLANK(Tabella3[[#This Row],[6-days moving avg]]))</f>
        <v>0</v>
      </c>
      <c r="X253" s="77" t="e">
        <f>Tabella8[[#This Row],[region fit]]</f>
        <v>#VALUE!</v>
      </c>
      <c r="Y253" s="72" t="e">
        <f>Tabella3[[#This Row],[region cumul. fit]]/Kl</f>
        <v>#VALUE!</v>
      </c>
      <c r="Z253" s="72">
        <f>IFERROR(Kl*psi_l*_xlfn.SECH(psi_l*(Tabella3[[#This Row],[Day]]-pl)-phi_l)^2/(1+TANH(phi_l)),0)</f>
        <v>5.5917319360467683</v>
      </c>
      <c r="AA253" s="72">
        <f>Tabella3[[#This Row],[region fit]]/y_l_peak</f>
        <v>3.7978331194919883E-2</v>
      </c>
      <c r="AB253" s="10">
        <f>Tabella3[[#This Row],[region fit]]*NOT(ISBLANK(Tabella3[[#This Row],[region data]]))</f>
        <v>0</v>
      </c>
      <c r="AC253" s="166">
        <f>IFERROR(kl_m*psi_l_m*_xlfn.SECH(psi_l_m*(Tabella3[[#This Row],[Day]]-pl_m)-phi_l_m)^2/(1+TANH(phi_l_m)),0)</f>
        <v>5.5917319360467683</v>
      </c>
      <c r="AD253" s="72">
        <f>Tabella3[[#This Row],[6-days moving avg fit]]*NOT(ISBLANK(Tabella3[[#This Row],[6-days moving avg]]))</f>
        <v>0</v>
      </c>
      <c r="AE253" s="131"/>
      <c r="AF253" s="131"/>
      <c r="AG253" s="131"/>
      <c r="AH253" s="10"/>
      <c r="AI253" s="10">
        <f>Tabella3[[#This Row],[rest of Italy data]]*NOT(ISBLANK(Tabella3[[#This Row],[rest of Italy data]]))</f>
        <v>0</v>
      </c>
      <c r="AJ253" s="77" t="e">
        <f>Tabella8[[#This Row],[rest of Italy fit]]</f>
        <v>#VALUE!</v>
      </c>
      <c r="AK253" s="72" t="e">
        <f>Tabella3[[#This Row],[rest of Italy cumul. fit]]/Ka</f>
        <v>#VALUE!</v>
      </c>
      <c r="AL253" s="72">
        <f>IFERROR(Ka*psi_a*_xlfn.SECH(psi_a*(Tabella3[[#This Row],[Day]]-pa)-phi_a)^2/(1+TANH(phi_a)),0)</f>
        <v>21.177037081306498</v>
      </c>
      <c r="AM253" s="72">
        <f>Tabella3[[#This Row],[rest of Italy fit]]/y_a_peak</f>
        <v>7.0135449554361877E-3</v>
      </c>
      <c r="AN253" s="10">
        <f>Tabella3[[#This Row],[rest of Italy fit]]*NOT(ISBLANK(Tabella3[[#This Row],[rest of Italy data]]))</f>
        <v>0</v>
      </c>
      <c r="AO253" s="131"/>
      <c r="AP253" s="131"/>
    </row>
    <row r="254" spans="2:42" x14ac:dyDescent="0.3">
      <c r="B254" s="9">
        <v>44077</v>
      </c>
      <c r="C254" s="4">
        <v>247</v>
      </c>
      <c r="D254" s="131"/>
      <c r="E254" s="10"/>
      <c r="F254" s="10">
        <f>Tabella3[[#This Row],[Italy remov. rate data]]*NOT(ISBLANK(Tabella3[[#This Row],[Italy remov. rate data]]))</f>
        <v>0</v>
      </c>
      <c r="G254" s="77" t="e">
        <f>Tabella8[[#This Row],[Italy fit]]</f>
        <v>#VALUE!</v>
      </c>
      <c r="H254" s="77" t="e">
        <f>Tabella3[[#This Row],[Italy cumul. fit]]/Kf</f>
        <v>#VALUE!</v>
      </c>
      <c r="I254" s="77">
        <f>Tabella3[[#This Row],[region fit]]+Tabella3[[#This Row],[rest of Italy fit]]</f>
        <v>25.49631697243483</v>
      </c>
      <c r="J254" s="77">
        <f>Tabella3[[#This Row],[Italy (fit of selected region + fitted sum of the other regions)]]/(y_l_peak+y_a_peak)</f>
        <v>8.0514264894338168E-3</v>
      </c>
      <c r="K254" s="72">
        <f>IFERROR(Kf*psi_f*_xlfn.SECH(psi_f*(Tabella3[[#This Row],[Day]]-pf)-phi_f)^2/(1+TANH(phi_f)),0)</f>
        <v>23.694377303636895</v>
      </c>
      <c r="L254" s="292">
        <f>Tabella3[[#This Row],[Italy remov. rate fit]]-Tabella3[[#This Row],[Italy remov. rate data]]</f>
        <v>23.694377303636895</v>
      </c>
      <c r="M254" s="293">
        <f>Tabella3[[#This Row],[rem. rate residuals]]*NOT(ISBLANK(Tabella3[[#This Row],[Italy remov. rate data]]))</f>
        <v>0</v>
      </c>
      <c r="N254" s="72">
        <f>Tabella3[[#This Row],[Italy remov. rate fit]]/y_f_peak</f>
        <v>7.5006195427672201E-3</v>
      </c>
      <c r="O254" s="10">
        <f>Tabella3[[#This Row],[Italy (fit of selected region + fitted sum of the other regions)]]*NOT(ISBLANK(Tabella3[[#This Row],[Italy remov. rate data]]))</f>
        <v>0</v>
      </c>
      <c r="P254" s="10">
        <f>Tabella3[[#This Row],[Italy remov. rate fit]]*NOT(ISBLANK(Tabella3[[#This Row],[Italy remov. rate data]]))</f>
        <v>0</v>
      </c>
      <c r="Q254" s="72"/>
      <c r="R254" s="72"/>
      <c r="S254" s="131"/>
      <c r="T254" s="10"/>
      <c r="U254" s="10">
        <f>Tabella3[[#This Row],[region data]]*NOT(ISBLANK(Tabella3[[#This Row],[region data]]))</f>
        <v>0</v>
      </c>
      <c r="V254"/>
      <c r="W254" s="72">
        <f>Tabella3[[#This Row],[6-days moving avg]]*NOT(ISBLANK(Tabella3[[#This Row],[6-days moving avg]]))</f>
        <v>0</v>
      </c>
      <c r="X254" s="77" t="e">
        <f>Tabella8[[#This Row],[region fit]]</f>
        <v>#VALUE!</v>
      </c>
      <c r="Y254" s="72" t="e">
        <f>Tabella3[[#This Row],[region cumul. fit]]/Kl</f>
        <v>#VALUE!</v>
      </c>
      <c r="Z254" s="72">
        <f>IFERROR(Kl*psi_l*_xlfn.SECH(psi_l*(Tabella3[[#This Row],[Day]]-pl)-phi_l)^2/(1+TANH(phi_l)),0)</f>
        <v>5.3749984621638864</v>
      </c>
      <c r="AA254" s="72">
        <f>Tabella3[[#This Row],[region fit]]/y_l_peak</f>
        <v>3.6506305041611668E-2</v>
      </c>
      <c r="AB254" s="10">
        <f>Tabella3[[#This Row],[region fit]]*NOT(ISBLANK(Tabella3[[#This Row],[region data]]))</f>
        <v>0</v>
      </c>
      <c r="AC254" s="166">
        <f>IFERROR(kl_m*psi_l_m*_xlfn.SECH(psi_l_m*(Tabella3[[#This Row],[Day]]-pl_m)-phi_l_m)^2/(1+TANH(phi_l_m)),0)</f>
        <v>5.3749984621638864</v>
      </c>
      <c r="AD254" s="72">
        <f>Tabella3[[#This Row],[6-days moving avg fit]]*NOT(ISBLANK(Tabella3[[#This Row],[6-days moving avg]]))</f>
        <v>0</v>
      </c>
      <c r="AE254" s="131"/>
      <c r="AF254" s="131"/>
      <c r="AG254" s="131"/>
      <c r="AH254" s="10"/>
      <c r="AI254" s="10">
        <f>Tabella3[[#This Row],[rest of Italy data]]*NOT(ISBLANK(Tabella3[[#This Row],[rest of Italy data]]))</f>
        <v>0</v>
      </c>
      <c r="AJ254" s="77" t="e">
        <f>Tabella8[[#This Row],[rest of Italy fit]]</f>
        <v>#VALUE!</v>
      </c>
      <c r="AK254" s="72" t="e">
        <f>Tabella3[[#This Row],[rest of Italy cumul. fit]]/Ka</f>
        <v>#VALUE!</v>
      </c>
      <c r="AL254" s="72">
        <f>IFERROR(Ka*psi_a*_xlfn.SECH(psi_a*(Tabella3[[#This Row],[Day]]-pa)-phi_a)^2/(1+TANH(phi_a)),0)</f>
        <v>20.121318510270942</v>
      </c>
      <c r="AM254" s="72">
        <f>Tabella3[[#This Row],[rest of Italy fit]]/y_a_peak</f>
        <v>6.6639054081369716E-3</v>
      </c>
      <c r="AN254" s="10">
        <f>Tabella3[[#This Row],[rest of Italy fit]]*NOT(ISBLANK(Tabella3[[#This Row],[rest of Italy data]]))</f>
        <v>0</v>
      </c>
      <c r="AO254" s="131"/>
      <c r="AP254" s="131"/>
    </row>
    <row r="255" spans="2:42" x14ac:dyDescent="0.3">
      <c r="B255" s="9">
        <v>44078</v>
      </c>
      <c r="C255" s="4">
        <v>248</v>
      </c>
      <c r="D255" s="131"/>
      <c r="E255" s="10"/>
      <c r="F255" s="10">
        <f>Tabella3[[#This Row],[Italy remov. rate data]]*NOT(ISBLANK(Tabella3[[#This Row],[Italy remov. rate data]]))</f>
        <v>0</v>
      </c>
      <c r="G255" s="77" t="e">
        <f>Tabella8[[#This Row],[Italy fit]]</f>
        <v>#VALUE!</v>
      </c>
      <c r="H255" s="77" t="e">
        <f>Tabella3[[#This Row],[Italy cumul. fit]]/Kf</f>
        <v>#VALUE!</v>
      </c>
      <c r="I255" s="77">
        <f>Tabella3[[#This Row],[region fit]]+Tabella3[[#This Row],[rest of Italy fit]]</f>
        <v>24.284574310600675</v>
      </c>
      <c r="J255" s="77">
        <f>Tabella3[[#This Row],[Italy (fit of selected region + fitted sum of the other regions)]]/(y_l_peak+y_a_peak)</f>
        <v>7.668772909451403E-3</v>
      </c>
      <c r="K255" s="72">
        <f>IFERROR(Kf*psi_f*_xlfn.SECH(psi_f*(Tabella3[[#This Row],[Day]]-pf)-phi_f)^2/(1+TANH(phi_f)),0)</f>
        <v>22.531272016719118</v>
      </c>
      <c r="L255" s="292">
        <f>Tabella3[[#This Row],[Italy remov. rate fit]]-Tabella3[[#This Row],[Italy remov. rate data]]</f>
        <v>22.531272016719118</v>
      </c>
      <c r="M255" s="293">
        <f>Tabella3[[#This Row],[rem. rate residuals]]*NOT(ISBLANK(Tabella3[[#This Row],[Italy remov. rate data]]))</f>
        <v>0</v>
      </c>
      <c r="N255" s="72">
        <f>Tabella3[[#This Row],[Italy remov. rate fit]]/y_f_peak</f>
        <v>7.132430493797688E-3</v>
      </c>
      <c r="O255" s="10">
        <f>Tabella3[[#This Row],[Italy (fit of selected region + fitted sum of the other regions)]]*NOT(ISBLANK(Tabella3[[#This Row],[Italy remov. rate data]]))</f>
        <v>0</v>
      </c>
      <c r="P255" s="10">
        <f>Tabella3[[#This Row],[Italy remov. rate fit]]*NOT(ISBLANK(Tabella3[[#This Row],[Italy remov. rate data]]))</f>
        <v>0</v>
      </c>
      <c r="Q255" s="72"/>
      <c r="R255" s="72"/>
      <c r="S255" s="131"/>
      <c r="T255" s="10"/>
      <c r="U255" s="10">
        <f>Tabella3[[#This Row],[region data]]*NOT(ISBLANK(Tabella3[[#This Row],[region data]]))</f>
        <v>0</v>
      </c>
      <c r="V255"/>
      <c r="W255" s="72">
        <f>Tabella3[[#This Row],[6-days moving avg]]*NOT(ISBLANK(Tabella3[[#This Row],[6-days moving avg]]))</f>
        <v>0</v>
      </c>
      <c r="X255" s="77" t="e">
        <f>Tabella8[[#This Row],[region fit]]</f>
        <v>#VALUE!</v>
      </c>
      <c r="Y255" s="72" t="e">
        <f>Tabella3[[#This Row],[region cumul. fit]]/Kl</f>
        <v>#VALUE!</v>
      </c>
      <c r="Z255" s="72">
        <f>IFERROR(Kl*psi_l*_xlfn.SECH(psi_l*(Tabella3[[#This Row],[Day]]-pl)-phi_l)^2/(1+TANH(phi_l)),0)</f>
        <v>5.1665124072929487</v>
      </c>
      <c r="AA255" s="72">
        <f>Tabella3[[#This Row],[region fit]]/y_l_peak</f>
        <v>3.5090294307912488E-2</v>
      </c>
      <c r="AB255" s="10">
        <f>Tabella3[[#This Row],[region fit]]*NOT(ISBLANK(Tabella3[[#This Row],[region data]]))</f>
        <v>0</v>
      </c>
      <c r="AC255" s="166">
        <f>IFERROR(kl_m*psi_l_m*_xlfn.SECH(psi_l_m*(Tabella3[[#This Row],[Day]]-pl_m)-phi_l_m)^2/(1+TANH(phi_l_m)),0)</f>
        <v>5.1665124072929487</v>
      </c>
      <c r="AD255" s="72">
        <f>Tabella3[[#This Row],[6-days moving avg fit]]*NOT(ISBLANK(Tabella3[[#This Row],[6-days moving avg]]))</f>
        <v>0</v>
      </c>
      <c r="AE255" s="131"/>
      <c r="AF255" s="131"/>
      <c r="AG255" s="131"/>
      <c r="AH255" s="10"/>
      <c r="AI255" s="10">
        <f>Tabella3[[#This Row],[rest of Italy data]]*NOT(ISBLANK(Tabella3[[#This Row],[rest of Italy data]]))</f>
        <v>0</v>
      </c>
      <c r="AJ255" s="77" t="e">
        <f>Tabella8[[#This Row],[rest of Italy fit]]</f>
        <v>#VALUE!</v>
      </c>
      <c r="AK255" s="72" t="e">
        <f>Tabella3[[#This Row],[rest of Italy cumul. fit]]/Ka</f>
        <v>#VALUE!</v>
      </c>
      <c r="AL255" s="72">
        <f>IFERROR(Ka*psi_a*_xlfn.SECH(psi_a*(Tabella3[[#This Row],[Day]]-pa)-phi_a)^2/(1+TANH(phi_a)),0)</f>
        <v>19.118061903307726</v>
      </c>
      <c r="AM255" s="72">
        <f>Tabella3[[#This Row],[rest of Italy fit]]/y_a_peak</f>
        <v>6.3316405455993274E-3</v>
      </c>
      <c r="AN255" s="10">
        <f>Tabella3[[#This Row],[rest of Italy fit]]*NOT(ISBLANK(Tabella3[[#This Row],[rest of Italy data]]))</f>
        <v>0</v>
      </c>
      <c r="AO255" s="131"/>
      <c r="AP255" s="131"/>
    </row>
    <row r="256" spans="2:42" x14ac:dyDescent="0.3">
      <c r="B256" s="9">
        <v>44079</v>
      </c>
      <c r="C256" s="4">
        <v>249</v>
      </c>
      <c r="D256" s="131"/>
      <c r="E256" s="10"/>
      <c r="F256" s="10">
        <f>Tabella3[[#This Row],[Italy remov. rate data]]*NOT(ISBLANK(Tabella3[[#This Row],[Italy remov. rate data]]))</f>
        <v>0</v>
      </c>
      <c r="G256" s="77" t="e">
        <f>Tabella8[[#This Row],[Italy fit]]</f>
        <v>#VALUE!</v>
      </c>
      <c r="H256" s="77" t="e">
        <f>Tabella3[[#This Row],[Italy cumul. fit]]/Kf</f>
        <v>#VALUE!</v>
      </c>
      <c r="I256" s="77">
        <f>Tabella3[[#This Row],[region fit]]+Tabella3[[#This Row],[rest of Italy fit]]</f>
        <v>23.13064829538682</v>
      </c>
      <c r="J256" s="77">
        <f>Tabella3[[#This Row],[Italy (fit of selected region + fitted sum of the other regions)]]/(y_l_peak+y_a_peak)</f>
        <v>7.3043771225703305E-3</v>
      </c>
      <c r="K256" s="72">
        <f>IFERROR(Kf*psi_f*_xlfn.SECH(psi_f*(Tabella3[[#This Row],[Day]]-pf)-phi_f)^2/(1+TANH(phi_f)),0)</f>
        <v>21.425065989271776</v>
      </c>
      <c r="L256" s="292">
        <f>Tabella3[[#This Row],[Italy remov. rate fit]]-Tabella3[[#This Row],[Italy remov. rate data]]</f>
        <v>21.425065989271776</v>
      </c>
      <c r="M256" s="293">
        <f>Tabella3[[#This Row],[rem. rate residuals]]*NOT(ISBLANK(Tabella3[[#This Row],[Italy remov. rate data]]))</f>
        <v>0</v>
      </c>
      <c r="N256" s="72">
        <f>Tabella3[[#This Row],[Italy remov. rate fit]]/y_f_peak</f>
        <v>6.7822533002183114E-3</v>
      </c>
      <c r="O256" s="10">
        <f>Tabella3[[#This Row],[Italy (fit of selected region + fitted sum of the other regions)]]*NOT(ISBLANK(Tabella3[[#This Row],[Italy remov. rate data]]))</f>
        <v>0</v>
      </c>
      <c r="P256" s="10">
        <f>Tabella3[[#This Row],[Italy remov. rate fit]]*NOT(ISBLANK(Tabella3[[#This Row],[Italy remov. rate data]]))</f>
        <v>0</v>
      </c>
      <c r="Q256" s="72"/>
      <c r="R256" s="72"/>
      <c r="S256" s="131"/>
      <c r="T256" s="10"/>
      <c r="U256" s="10">
        <f>Tabella3[[#This Row],[region data]]*NOT(ISBLANK(Tabella3[[#This Row],[region data]]))</f>
        <v>0</v>
      </c>
      <c r="V256"/>
      <c r="W256" s="72">
        <f>Tabella3[[#This Row],[6-days moving avg]]*NOT(ISBLANK(Tabella3[[#This Row],[6-days moving avg]]))</f>
        <v>0</v>
      </c>
      <c r="X256" s="77" t="e">
        <f>Tabella8[[#This Row],[region fit]]</f>
        <v>#VALUE!</v>
      </c>
      <c r="Y256" s="72" t="e">
        <f>Tabella3[[#This Row],[region cumul. fit]]/Kl</f>
        <v>#VALUE!</v>
      </c>
      <c r="Z256" s="72">
        <f>IFERROR(Kl*psi_l*_xlfn.SECH(psi_l*(Tabella3[[#This Row],[Day]]-pl)-phi_l)^2/(1+TANH(phi_l)),0)</f>
        <v>4.9659716925510953</v>
      </c>
      <c r="AA256" s="72">
        <f>Tabella3[[#This Row],[region fit]]/y_l_peak</f>
        <v>3.3728247312520117E-2</v>
      </c>
      <c r="AB256" s="10">
        <f>Tabella3[[#This Row],[region fit]]*NOT(ISBLANK(Tabella3[[#This Row],[region data]]))</f>
        <v>0</v>
      </c>
      <c r="AC256" s="166">
        <f>IFERROR(kl_m*psi_l_m*_xlfn.SECH(psi_l_m*(Tabella3[[#This Row],[Day]]-pl_m)-phi_l_m)^2/(1+TANH(phi_l_m)),0)</f>
        <v>4.9659716925510953</v>
      </c>
      <c r="AD256" s="72">
        <f>Tabella3[[#This Row],[6-days moving avg fit]]*NOT(ISBLANK(Tabella3[[#This Row],[6-days moving avg]]))</f>
        <v>0</v>
      </c>
      <c r="AE256" s="131"/>
      <c r="AF256" s="131"/>
      <c r="AG256" s="131"/>
      <c r="AH256" s="10"/>
      <c r="AI256" s="10">
        <f>Tabella3[[#This Row],[rest of Italy data]]*NOT(ISBLANK(Tabella3[[#This Row],[rest of Italy data]]))</f>
        <v>0</v>
      </c>
      <c r="AJ256" s="77" t="e">
        <f>Tabella8[[#This Row],[rest of Italy fit]]</f>
        <v>#VALUE!</v>
      </c>
      <c r="AK256" s="72" t="e">
        <f>Tabella3[[#This Row],[rest of Italy cumul. fit]]/Ka</f>
        <v>#VALUE!</v>
      </c>
      <c r="AL256" s="72">
        <f>IFERROR(Ka*psi_a*_xlfn.SECH(psi_a*(Tabella3[[#This Row],[Day]]-pa)-phi_a)^2/(1+TANH(phi_a)),0)</f>
        <v>18.164676602835726</v>
      </c>
      <c r="AM256" s="72">
        <f>Tabella3[[#This Row],[rest of Italy fit]]/y_a_peak</f>
        <v>6.0158923774755232E-3</v>
      </c>
      <c r="AN256" s="10">
        <f>Tabella3[[#This Row],[rest of Italy fit]]*NOT(ISBLANK(Tabella3[[#This Row],[rest of Italy data]]))</f>
        <v>0</v>
      </c>
      <c r="AO256" s="131"/>
      <c r="AP256" s="131"/>
    </row>
    <row r="257" spans="2:42" x14ac:dyDescent="0.3">
      <c r="B257" s="9">
        <v>44080</v>
      </c>
      <c r="C257" s="4">
        <v>250</v>
      </c>
      <c r="D257" s="131"/>
      <c r="E257" s="10"/>
      <c r="F257" s="10">
        <f>Tabella3[[#This Row],[Italy remov. rate data]]*NOT(ISBLANK(Tabella3[[#This Row],[Italy remov. rate data]]))</f>
        <v>0</v>
      </c>
      <c r="G257" s="77" t="e">
        <f>Tabella8[[#This Row],[Italy fit]]</f>
        <v>#VALUE!</v>
      </c>
      <c r="H257" s="77" t="e">
        <f>Tabella3[[#This Row],[Italy cumul. fit]]/Kf</f>
        <v>#VALUE!</v>
      </c>
      <c r="I257" s="77">
        <f>Tabella3[[#This Row],[region fit]]+Tabella3[[#This Row],[rest of Italy fit]]</f>
        <v>22.031782682636774</v>
      </c>
      <c r="J257" s="77">
        <f>Tabella3[[#This Row],[Italy (fit of selected region + fitted sum of the other regions)]]/(y_l_peak+y_a_peak)</f>
        <v>6.9573687404424723E-3</v>
      </c>
      <c r="K257" s="72">
        <f>IFERROR(Kf*psi_f*_xlfn.SECH(psi_f*(Tabella3[[#This Row],[Day]]-pf)-phi_f)^2/(1+TANH(phi_f)),0)</f>
        <v>20.37299441973903</v>
      </c>
      <c r="L257" s="292">
        <f>Tabella3[[#This Row],[Italy remov. rate fit]]-Tabella3[[#This Row],[Italy remov. rate data]]</f>
        <v>20.37299441973903</v>
      </c>
      <c r="M257" s="293">
        <f>Tabella3[[#This Row],[rem. rate residuals]]*NOT(ISBLANK(Tabella3[[#This Row],[Italy remov. rate data]]))</f>
        <v>0</v>
      </c>
      <c r="N257" s="72">
        <f>Tabella3[[#This Row],[Italy remov. rate fit]]/y_f_peak</f>
        <v>6.4492127449125658E-3</v>
      </c>
      <c r="O257" s="10">
        <f>Tabella3[[#This Row],[Italy (fit of selected region + fitted sum of the other regions)]]*NOT(ISBLANK(Tabella3[[#This Row],[Italy remov. rate data]]))</f>
        <v>0</v>
      </c>
      <c r="P257" s="10">
        <f>Tabella3[[#This Row],[Italy remov. rate fit]]*NOT(ISBLANK(Tabella3[[#This Row],[Italy remov. rate data]]))</f>
        <v>0</v>
      </c>
      <c r="Q257" s="72"/>
      <c r="R257" s="72"/>
      <c r="S257" s="131"/>
      <c r="T257" s="10"/>
      <c r="U257" s="10">
        <f>Tabella3[[#This Row],[region data]]*NOT(ISBLANK(Tabella3[[#This Row],[region data]]))</f>
        <v>0</v>
      </c>
      <c r="V257"/>
      <c r="W257" s="72">
        <f>Tabella3[[#This Row],[6-days moving avg]]*NOT(ISBLANK(Tabella3[[#This Row],[6-days moving avg]]))</f>
        <v>0</v>
      </c>
      <c r="X257" s="77" t="e">
        <f>Tabella8[[#This Row],[region fit]]</f>
        <v>#VALUE!</v>
      </c>
      <c r="Y257" s="72" t="e">
        <f>Tabella3[[#This Row],[region cumul. fit]]/Kl</f>
        <v>#VALUE!</v>
      </c>
      <c r="Z257" s="72">
        <f>IFERROR(Kl*psi_l*_xlfn.SECH(psi_l*(Tabella3[[#This Row],[Day]]-pl)-phi_l)^2/(1+TANH(phi_l)),0)</f>
        <v>4.773084393972316</v>
      </c>
      <c r="AA257" s="72">
        <f>Tabella3[[#This Row],[region fit]]/y_l_peak</f>
        <v>3.2418181345034332E-2</v>
      </c>
      <c r="AB257" s="10">
        <f>Tabella3[[#This Row],[region fit]]*NOT(ISBLANK(Tabella3[[#This Row],[region data]]))</f>
        <v>0</v>
      </c>
      <c r="AC257" s="166">
        <f>IFERROR(kl_m*psi_l_m*_xlfn.SECH(psi_l_m*(Tabella3[[#This Row],[Day]]-pl_m)-phi_l_m)^2/(1+TANH(phi_l_m)),0)</f>
        <v>4.773084393972316</v>
      </c>
      <c r="AD257" s="72">
        <f>Tabella3[[#This Row],[6-days moving avg fit]]*NOT(ISBLANK(Tabella3[[#This Row],[6-days moving avg]]))</f>
        <v>0</v>
      </c>
      <c r="AE257" s="131"/>
      <c r="AF257" s="131"/>
      <c r="AG257" s="131"/>
      <c r="AH257" s="10"/>
      <c r="AI257" s="10">
        <f>Tabella3[[#This Row],[rest of Italy data]]*NOT(ISBLANK(Tabella3[[#This Row],[rest of Italy data]]))</f>
        <v>0</v>
      </c>
      <c r="AJ257" s="77" t="e">
        <f>Tabella8[[#This Row],[rest of Italy fit]]</f>
        <v>#VALUE!</v>
      </c>
      <c r="AK257" s="72" t="e">
        <f>Tabella3[[#This Row],[rest of Italy cumul. fit]]/Ka</f>
        <v>#VALUE!</v>
      </c>
      <c r="AL257" s="72">
        <f>IFERROR(Ka*psi_a*_xlfn.SECH(psi_a*(Tabella3[[#This Row],[Day]]-pa)-phi_a)^2/(1+TANH(phi_a)),0)</f>
        <v>17.258698288664458</v>
      </c>
      <c r="AM257" s="72">
        <f>Tabella3[[#This Row],[rest of Italy fit]]/y_a_peak</f>
        <v>5.7158447546331653E-3</v>
      </c>
      <c r="AN257" s="10">
        <f>Tabella3[[#This Row],[rest of Italy fit]]*NOT(ISBLANK(Tabella3[[#This Row],[rest of Italy data]]))</f>
        <v>0</v>
      </c>
      <c r="AO257" s="131"/>
      <c r="AP257" s="131"/>
    </row>
    <row r="258" spans="2:42" x14ac:dyDescent="0.3">
      <c r="B258" s="9">
        <v>44081</v>
      </c>
      <c r="C258" s="4">
        <v>251</v>
      </c>
      <c r="D258" s="131"/>
      <c r="E258" s="10"/>
      <c r="F258" s="10">
        <f>Tabella3[[#This Row],[Italy remov. rate data]]*NOT(ISBLANK(Tabella3[[#This Row],[Italy remov. rate data]]))</f>
        <v>0</v>
      </c>
      <c r="G258" s="77" t="e">
        <f>Tabella8[[#This Row],[Italy fit]]</f>
        <v>#VALUE!</v>
      </c>
      <c r="H258" s="77" t="e">
        <f>Tabella3[[#This Row],[Italy cumul. fit]]/Kf</f>
        <v>#VALUE!</v>
      </c>
      <c r="I258" s="77">
        <f>Tabella3[[#This Row],[region fit]]+Tabella3[[#This Row],[rest of Italy fit]]</f>
        <v>20.985351445744257</v>
      </c>
      <c r="J258" s="77">
        <f>Tabella3[[#This Row],[Italy (fit of selected region + fitted sum of the other regions)]]/(y_l_peak+y_a_peak)</f>
        <v>6.6269184958367006E-3</v>
      </c>
      <c r="K258" s="72">
        <f>IFERROR(Kf*psi_f*_xlfn.SECH(psi_f*(Tabella3[[#This Row],[Day]]-pf)-phi_f)^2/(1+TANH(phi_f)),0)</f>
        <v>19.372425053234579</v>
      </c>
      <c r="L258" s="292">
        <f>Tabella3[[#This Row],[Italy remov. rate fit]]-Tabella3[[#This Row],[Italy remov. rate data]]</f>
        <v>19.372425053234579</v>
      </c>
      <c r="M258" s="293">
        <f>Tabella3[[#This Row],[rem. rate residuals]]*NOT(ISBLANK(Tabella3[[#This Row],[Italy remov. rate data]]))</f>
        <v>0</v>
      </c>
      <c r="N258" s="72">
        <f>Tabella3[[#This Row],[Italy remov. rate fit]]/y_f_peak</f>
        <v>6.1324755693318612E-3</v>
      </c>
      <c r="O258" s="10">
        <f>Tabella3[[#This Row],[Italy (fit of selected region + fitted sum of the other regions)]]*NOT(ISBLANK(Tabella3[[#This Row],[Italy remov. rate data]]))</f>
        <v>0</v>
      </c>
      <c r="P258" s="10">
        <f>Tabella3[[#This Row],[Italy remov. rate fit]]*NOT(ISBLANK(Tabella3[[#This Row],[Italy remov. rate data]]))</f>
        <v>0</v>
      </c>
      <c r="Q258" s="72"/>
      <c r="R258" s="72"/>
      <c r="S258" s="131"/>
      <c r="T258" s="10"/>
      <c r="U258" s="10">
        <f>Tabella3[[#This Row],[region data]]*NOT(ISBLANK(Tabella3[[#This Row],[region data]]))</f>
        <v>0</v>
      </c>
      <c r="V258"/>
      <c r="W258" s="72">
        <f>Tabella3[[#This Row],[6-days moving avg]]*NOT(ISBLANK(Tabella3[[#This Row],[6-days moving avg]]))</f>
        <v>0</v>
      </c>
      <c r="X258" s="77" t="e">
        <f>Tabella8[[#This Row],[region fit]]</f>
        <v>#VALUE!</v>
      </c>
      <c r="Y258" s="72" t="e">
        <f>Tabella3[[#This Row],[region cumul. fit]]/Kl</f>
        <v>#VALUE!</v>
      </c>
      <c r="Z258" s="72">
        <f>IFERROR(Kl*psi_l*_xlfn.SECH(psi_l*(Tabella3[[#This Row],[Day]]-pl)-phi_l)^2/(1+TANH(phi_l)),0)</f>
        <v>4.5875684729078099</v>
      </c>
      <c r="AA258" s="72">
        <f>Tabella3[[#This Row],[region fit]]/y_l_peak</f>
        <v>3.1158180834870482E-2</v>
      </c>
      <c r="AB258" s="10">
        <f>Tabella3[[#This Row],[region fit]]*NOT(ISBLANK(Tabella3[[#This Row],[region data]]))</f>
        <v>0</v>
      </c>
      <c r="AC258" s="166">
        <f>IFERROR(kl_m*psi_l_m*_xlfn.SECH(psi_l_m*(Tabella3[[#This Row],[Day]]-pl_m)-phi_l_m)^2/(1+TANH(phi_l_m)),0)</f>
        <v>4.5875684729078099</v>
      </c>
      <c r="AD258" s="72">
        <f>Tabella3[[#This Row],[6-days moving avg fit]]*NOT(ISBLANK(Tabella3[[#This Row],[6-days moving avg]]))</f>
        <v>0</v>
      </c>
      <c r="AE258" s="131"/>
      <c r="AF258" s="131"/>
      <c r="AG258" s="131"/>
      <c r="AH258" s="10"/>
      <c r="AI258" s="10">
        <f>Tabella3[[#This Row],[rest of Italy data]]*NOT(ISBLANK(Tabella3[[#This Row],[rest of Italy data]]))</f>
        <v>0</v>
      </c>
      <c r="AJ258" s="77" t="e">
        <f>Tabella8[[#This Row],[rest of Italy fit]]</f>
        <v>#VALUE!</v>
      </c>
      <c r="AK258" s="72" t="e">
        <f>Tabella3[[#This Row],[rest of Italy cumul. fit]]/Ka</f>
        <v>#VALUE!</v>
      </c>
      <c r="AL258" s="72">
        <f>IFERROR(Ka*psi_a*_xlfn.SECH(psi_a*(Tabella3[[#This Row],[Day]]-pa)-phi_a)^2/(1+TANH(phi_a)),0)</f>
        <v>16.397782972836449</v>
      </c>
      <c r="AM258" s="72">
        <f>Tabella3[[#This Row],[rest of Italy fit]]/y_a_peak</f>
        <v>5.4307213803291531E-3</v>
      </c>
      <c r="AN258" s="10">
        <f>Tabella3[[#This Row],[rest of Italy fit]]*NOT(ISBLANK(Tabella3[[#This Row],[rest of Italy data]]))</f>
        <v>0</v>
      </c>
      <c r="AO258" s="131"/>
      <c r="AP258" s="131"/>
    </row>
    <row r="259" spans="2:42" x14ac:dyDescent="0.3">
      <c r="B259" s="9">
        <v>44082</v>
      </c>
      <c r="C259" s="4">
        <v>252</v>
      </c>
      <c r="D259" s="131"/>
      <c r="E259" s="10"/>
      <c r="F259" s="10">
        <f>Tabella3[[#This Row],[Italy remov. rate data]]*NOT(ISBLANK(Tabella3[[#This Row],[Italy remov. rate data]]))</f>
        <v>0</v>
      </c>
      <c r="G259" s="77" t="e">
        <f>Tabella8[[#This Row],[Italy fit]]</f>
        <v>#VALUE!</v>
      </c>
      <c r="H259" s="77" t="e">
        <f>Tabella3[[#This Row],[Italy cumul. fit]]/Kf</f>
        <v>#VALUE!</v>
      </c>
      <c r="I259" s="77">
        <f>Tabella3[[#This Row],[region fit]]+Tabella3[[#This Row],[rest of Italy fit]]</f>
        <v>19.98885277209439</v>
      </c>
      <c r="J259" s="77">
        <f>Tabella3[[#This Row],[Italy (fit of selected region + fitted sum of the other regions)]]/(y_l_peak+y_a_peak)</f>
        <v>6.3122363467880954E-3</v>
      </c>
      <c r="K259" s="72">
        <f>IFERROR(Kf*psi_f*_xlfn.SECH(psi_f*(Tabella3[[#This Row],[Day]]-pf)-phi_f)^2/(1+TANH(phi_f)),0)</f>
        <v>18.420852000509829</v>
      </c>
      <c r="L259" s="292">
        <f>Tabella3[[#This Row],[Italy remov. rate fit]]-Tabella3[[#This Row],[Italy remov. rate data]]</f>
        <v>18.420852000509829</v>
      </c>
      <c r="M259" s="293">
        <f>Tabella3[[#This Row],[rem. rate residuals]]*NOT(ISBLANK(Tabella3[[#This Row],[Italy remov. rate data]]))</f>
        <v>0</v>
      </c>
      <c r="N259" s="72">
        <f>Tabella3[[#This Row],[Italy remov. rate fit]]/y_f_peak</f>
        <v>5.8312485168470337E-3</v>
      </c>
      <c r="O259" s="10">
        <f>Tabella3[[#This Row],[Italy (fit of selected region + fitted sum of the other regions)]]*NOT(ISBLANK(Tabella3[[#This Row],[Italy remov. rate data]]))</f>
        <v>0</v>
      </c>
      <c r="P259" s="10">
        <f>Tabella3[[#This Row],[Italy remov. rate fit]]*NOT(ISBLANK(Tabella3[[#This Row],[Italy remov. rate data]]))</f>
        <v>0</v>
      </c>
      <c r="Q259" s="72"/>
      <c r="R259" s="72"/>
      <c r="S259" s="131"/>
      <c r="T259" s="10"/>
      <c r="U259" s="10">
        <f>Tabella3[[#This Row],[region data]]*NOT(ISBLANK(Tabella3[[#This Row],[region data]]))</f>
        <v>0</v>
      </c>
      <c r="V259"/>
      <c r="W259" s="72">
        <f>Tabella3[[#This Row],[6-days moving avg]]*NOT(ISBLANK(Tabella3[[#This Row],[6-days moving avg]]))</f>
        <v>0</v>
      </c>
      <c r="X259" s="77" t="e">
        <f>Tabella8[[#This Row],[region fit]]</f>
        <v>#VALUE!</v>
      </c>
      <c r="Y259" s="72" t="e">
        <f>Tabella3[[#This Row],[region cumul. fit]]/Kl</f>
        <v>#VALUE!</v>
      </c>
      <c r="Z259" s="72">
        <f>IFERROR(Kl*psi_l*_xlfn.SECH(psi_l*(Tabella3[[#This Row],[Day]]-pl)-phi_l)^2/(1+TANH(phi_l)),0)</f>
        <v>4.4091515075544034</v>
      </c>
      <c r="AA259" s="72">
        <f>Tabella3[[#This Row],[region fit]]/y_l_peak</f>
        <v>2.99463955278347E-2</v>
      </c>
      <c r="AB259" s="10">
        <f>Tabella3[[#This Row],[region fit]]*NOT(ISBLANK(Tabella3[[#This Row],[region data]]))</f>
        <v>0</v>
      </c>
      <c r="AC259" s="166">
        <f>IFERROR(kl_m*psi_l_m*_xlfn.SECH(psi_l_m*(Tabella3[[#This Row],[Day]]-pl_m)-phi_l_m)^2/(1+TANH(phi_l_m)),0)</f>
        <v>4.4091515075544034</v>
      </c>
      <c r="AD259" s="72">
        <f>Tabella3[[#This Row],[6-days moving avg fit]]*NOT(ISBLANK(Tabella3[[#This Row],[6-days moving avg]]))</f>
        <v>0</v>
      </c>
      <c r="AE259" s="131"/>
      <c r="AF259" s="131"/>
      <c r="AG259" s="131"/>
      <c r="AH259" s="10"/>
      <c r="AI259" s="10">
        <f>Tabella3[[#This Row],[rest of Italy data]]*NOT(ISBLANK(Tabella3[[#This Row],[rest of Italy data]]))</f>
        <v>0</v>
      </c>
      <c r="AJ259" s="77" t="e">
        <f>Tabella8[[#This Row],[rest of Italy fit]]</f>
        <v>#VALUE!</v>
      </c>
      <c r="AK259" s="72" t="e">
        <f>Tabella3[[#This Row],[rest of Italy cumul. fit]]/Ka</f>
        <v>#VALUE!</v>
      </c>
      <c r="AL259" s="72">
        <f>IFERROR(Ka*psi_a*_xlfn.SECH(psi_a*(Tabella3[[#This Row],[Day]]-pa)-phi_a)^2/(1+TANH(phi_a)),0)</f>
        <v>15.579701264539988</v>
      </c>
      <c r="AM259" s="72">
        <f>Tabella3[[#This Row],[rest of Italy fit]]/y_a_peak</f>
        <v>5.1597839108272446E-3</v>
      </c>
      <c r="AN259" s="10">
        <f>Tabella3[[#This Row],[rest of Italy fit]]*NOT(ISBLANK(Tabella3[[#This Row],[rest of Italy data]]))</f>
        <v>0</v>
      </c>
      <c r="AO259" s="131"/>
      <c r="AP259" s="131"/>
    </row>
    <row r="260" spans="2:42" x14ac:dyDescent="0.3">
      <c r="B260" s="9">
        <v>44083</v>
      </c>
      <c r="C260" s="4">
        <v>253</v>
      </c>
      <c r="D260" s="131"/>
      <c r="E260" s="10"/>
      <c r="F260" s="10">
        <f>Tabella3[[#This Row],[Italy remov. rate data]]*NOT(ISBLANK(Tabella3[[#This Row],[Italy remov. rate data]]))</f>
        <v>0</v>
      </c>
      <c r="G260" s="77" t="e">
        <f>Tabella8[[#This Row],[Italy fit]]</f>
        <v>#VALUE!</v>
      </c>
      <c r="H260" s="77" t="e">
        <f>Tabella3[[#This Row],[Italy cumul. fit]]/Kf</f>
        <v>#VALUE!</v>
      </c>
      <c r="I260" s="77">
        <f>Tabella3[[#This Row],[region fit]]+Tabella3[[#This Row],[rest of Italy fit]]</f>
        <v>19.039903320722729</v>
      </c>
      <c r="J260" s="77">
        <f>Tabella3[[#This Row],[Italy (fit of selected region + fitted sum of the other regions)]]/(y_l_peak+y_a_peak)</f>
        <v>6.0125696632365912E-3</v>
      </c>
      <c r="K260" s="72">
        <f>IFERROR(Kf*psi_f*_xlfn.SECH(psi_f*(Tabella3[[#This Row],[Day]]-pf)-phi_f)^2/(1+TANH(phi_f)),0)</f>
        <v>17.515889828304594</v>
      </c>
      <c r="L260" s="292">
        <f>Tabella3[[#This Row],[Italy remov. rate fit]]-Tabella3[[#This Row],[Italy remov. rate data]]</f>
        <v>17.515889828304594</v>
      </c>
      <c r="M260" s="293">
        <f>Tabella3[[#This Row],[rem. rate residuals]]*NOT(ISBLANK(Tabella3[[#This Row],[Italy remov. rate data]]))</f>
        <v>0</v>
      </c>
      <c r="N260" s="72">
        <f>Tabella3[[#This Row],[Italy remov. rate fit]]/y_f_peak</f>
        <v>5.544776462007856E-3</v>
      </c>
      <c r="O260" s="10">
        <f>Tabella3[[#This Row],[Italy (fit of selected region + fitted sum of the other regions)]]*NOT(ISBLANK(Tabella3[[#This Row],[Italy remov. rate data]]))</f>
        <v>0</v>
      </c>
      <c r="P260" s="10">
        <f>Tabella3[[#This Row],[Italy remov. rate fit]]*NOT(ISBLANK(Tabella3[[#This Row],[Italy remov. rate data]]))</f>
        <v>0</v>
      </c>
      <c r="Q260" s="72"/>
      <c r="R260" s="72"/>
      <c r="S260" s="131"/>
      <c r="T260" s="10"/>
      <c r="U260" s="10">
        <f>Tabella3[[#This Row],[region data]]*NOT(ISBLANK(Tabella3[[#This Row],[region data]]))</f>
        <v>0</v>
      </c>
      <c r="V260"/>
      <c r="W260" s="72">
        <f>Tabella3[[#This Row],[6-days moving avg]]*NOT(ISBLANK(Tabella3[[#This Row],[6-days moving avg]]))</f>
        <v>0</v>
      </c>
      <c r="X260" s="77" t="e">
        <f>Tabella8[[#This Row],[region fit]]</f>
        <v>#VALUE!</v>
      </c>
      <c r="Y260" s="72" t="e">
        <f>Tabella3[[#This Row],[region cumul. fit]]/Kl</f>
        <v>#VALUE!</v>
      </c>
      <c r="Z260" s="72">
        <f>IFERROR(Kl*psi_l*_xlfn.SECH(psi_l*(Tabella3[[#This Row],[Day]]-pl)-phi_l)^2/(1+TANH(phi_l)),0)</f>
        <v>4.2375704262312777</v>
      </c>
      <c r="AA260" s="72">
        <f>Tabella3[[#This Row],[region fit]]/y_l_peak</f>
        <v>2.8781038674573406E-2</v>
      </c>
      <c r="AB260" s="10">
        <f>Tabella3[[#This Row],[region fit]]*NOT(ISBLANK(Tabella3[[#This Row],[region data]]))</f>
        <v>0</v>
      </c>
      <c r="AC260" s="166">
        <f>IFERROR(kl_m*psi_l_m*_xlfn.SECH(psi_l_m*(Tabella3[[#This Row],[Day]]-pl_m)-phi_l_m)^2/(1+TANH(phi_l_m)),0)</f>
        <v>4.2375704262312777</v>
      </c>
      <c r="AD260" s="72">
        <f>Tabella3[[#This Row],[6-days moving avg fit]]*NOT(ISBLANK(Tabella3[[#This Row],[6-days moving avg]]))</f>
        <v>0</v>
      </c>
      <c r="AE260" s="131"/>
      <c r="AF260" s="131"/>
      <c r="AG260" s="131"/>
      <c r="AH260" s="10"/>
      <c r="AI260" s="10">
        <f>Tabella3[[#This Row],[rest of Italy data]]*NOT(ISBLANK(Tabella3[[#This Row],[rest of Italy data]]))</f>
        <v>0</v>
      </c>
      <c r="AJ260" s="77" t="e">
        <f>Tabella8[[#This Row],[rest of Italy fit]]</f>
        <v>#VALUE!</v>
      </c>
      <c r="AK260" s="72" t="e">
        <f>Tabella3[[#This Row],[rest of Italy cumul. fit]]/Ka</f>
        <v>#VALUE!</v>
      </c>
      <c r="AL260" s="72">
        <f>IFERROR(Ka*psi_a*_xlfn.SECH(psi_a*(Tabella3[[#This Row],[Day]]-pa)-phi_a)^2/(1+TANH(phi_a)),0)</f>
        <v>14.80233289449145</v>
      </c>
      <c r="AM260" s="72">
        <f>Tabella3[[#This Row],[rest of Italy fit]]/y_a_peak</f>
        <v>4.9023301419483922E-3</v>
      </c>
      <c r="AN260" s="10">
        <f>Tabella3[[#This Row],[rest of Italy fit]]*NOT(ISBLANK(Tabella3[[#This Row],[rest of Italy data]]))</f>
        <v>0</v>
      </c>
      <c r="AO260" s="131"/>
      <c r="AP260" s="131"/>
    </row>
    <row r="261" spans="2:42" x14ac:dyDescent="0.3">
      <c r="B261" s="9">
        <v>44084</v>
      </c>
      <c r="C261" s="4">
        <v>254</v>
      </c>
      <c r="D261" s="131"/>
      <c r="E261" s="10"/>
      <c r="F261" s="10">
        <f>Tabella3[[#This Row],[Italy remov. rate data]]*NOT(ISBLANK(Tabella3[[#This Row],[Italy remov. rate data]]))</f>
        <v>0</v>
      </c>
      <c r="G261" s="77" t="e">
        <f>Tabella8[[#This Row],[Italy fit]]</f>
        <v>#VALUE!</v>
      </c>
      <c r="H261" s="77" t="e">
        <f>Tabella3[[#This Row],[Italy cumul. fit]]/Kf</f>
        <v>#VALUE!</v>
      </c>
      <c r="I261" s="77">
        <f>Tabella3[[#This Row],[region fit]]+Tabella3[[#This Row],[rest of Italy fit]]</f>
        <v>18.136232731397275</v>
      </c>
      <c r="J261" s="77">
        <f>Tabella3[[#This Row],[Italy (fit of selected region + fitted sum of the other regions)]]/(y_l_peak+y_a_peak)</f>
        <v>5.7272014930619163E-3</v>
      </c>
      <c r="K261" s="72">
        <f>IFERROR(Kf*psi_f*_xlfn.SECH(psi_f*(Tabella3[[#This Row],[Day]]-pf)-phi_f)^2/(1+TANH(phi_f)),0)</f>
        <v>16.655267910838919</v>
      </c>
      <c r="L261" s="292">
        <f>Tabella3[[#This Row],[Italy remov. rate fit]]-Tabella3[[#This Row],[Italy remov. rate data]]</f>
        <v>16.655267910838919</v>
      </c>
      <c r="M261" s="293">
        <f>Tabella3[[#This Row],[rem. rate residuals]]*NOT(ISBLANK(Tabella3[[#This Row],[Italy remov. rate data]]))</f>
        <v>0</v>
      </c>
      <c r="N261" s="72">
        <f>Tabella3[[#This Row],[Italy remov. rate fit]]/y_f_peak</f>
        <v>5.2723406224685727E-3</v>
      </c>
      <c r="O261" s="10">
        <f>Tabella3[[#This Row],[Italy (fit of selected region + fitted sum of the other regions)]]*NOT(ISBLANK(Tabella3[[#This Row],[Italy remov. rate data]]))</f>
        <v>0</v>
      </c>
      <c r="P261" s="10">
        <f>Tabella3[[#This Row],[Italy remov. rate fit]]*NOT(ISBLANK(Tabella3[[#This Row],[Italy remov. rate data]]))</f>
        <v>0</v>
      </c>
      <c r="Q261" s="72"/>
      <c r="R261" s="72"/>
      <c r="S261" s="131"/>
      <c r="T261" s="10"/>
      <c r="U261" s="10">
        <f>Tabella3[[#This Row],[region data]]*NOT(ISBLANK(Tabella3[[#This Row],[region data]]))</f>
        <v>0</v>
      </c>
      <c r="V261"/>
      <c r="W261" s="72">
        <f>Tabella3[[#This Row],[6-days moving avg]]*NOT(ISBLANK(Tabella3[[#This Row],[6-days moving avg]]))</f>
        <v>0</v>
      </c>
      <c r="X261" s="77" t="e">
        <f>Tabella8[[#This Row],[region fit]]</f>
        <v>#VALUE!</v>
      </c>
      <c r="Y261" s="72" t="e">
        <f>Tabella3[[#This Row],[region cumul. fit]]/Kl</f>
        <v>#VALUE!</v>
      </c>
      <c r="Z261" s="72">
        <f>IFERROR(Kl*psi_l*_xlfn.SECH(psi_l*(Tabella3[[#This Row],[Day]]-pl)-phi_l)^2/(1+TANH(phi_l)),0)</f>
        <v>4.0725712429572791</v>
      </c>
      <c r="AA261" s="72">
        <f>Tabella3[[#This Row],[region fit]]/y_l_peak</f>
        <v>2.7660385234648064E-2</v>
      </c>
      <c r="AB261" s="10">
        <f>Tabella3[[#This Row],[region fit]]*NOT(ISBLANK(Tabella3[[#This Row],[region data]]))</f>
        <v>0</v>
      </c>
      <c r="AC261" s="166">
        <f>IFERROR(kl_m*psi_l_m*_xlfn.SECH(psi_l_m*(Tabella3[[#This Row],[Day]]-pl_m)-phi_l_m)^2/(1+TANH(phi_l_m)),0)</f>
        <v>4.0725712429572791</v>
      </c>
      <c r="AD261" s="72">
        <f>Tabella3[[#This Row],[6-days moving avg fit]]*NOT(ISBLANK(Tabella3[[#This Row],[6-days moving avg]]))</f>
        <v>0</v>
      </c>
      <c r="AE261" s="131"/>
      <c r="AF261" s="131"/>
      <c r="AG261" s="131"/>
      <c r="AH261" s="10"/>
      <c r="AI261" s="10">
        <f>Tabella3[[#This Row],[rest of Italy data]]*NOT(ISBLANK(Tabella3[[#This Row],[rest of Italy data]]))</f>
        <v>0</v>
      </c>
      <c r="AJ261" s="77" t="e">
        <f>Tabella8[[#This Row],[rest of Italy fit]]</f>
        <v>#VALUE!</v>
      </c>
      <c r="AK261" s="72" t="e">
        <f>Tabella3[[#This Row],[rest of Italy cumul. fit]]/Ka</f>
        <v>#VALUE!</v>
      </c>
      <c r="AL261" s="72">
        <f>IFERROR(Ka*psi_a*_xlfn.SECH(psi_a*(Tabella3[[#This Row],[Day]]-pa)-phi_a)^2/(1+TANH(phi_a)),0)</f>
        <v>14.063661488439996</v>
      </c>
      <c r="AM261" s="72">
        <f>Tabella3[[#This Row],[rest of Italy fit]]/y_a_peak</f>
        <v>4.6576922781270047E-3</v>
      </c>
      <c r="AN261" s="10">
        <f>Tabella3[[#This Row],[rest of Italy fit]]*NOT(ISBLANK(Tabella3[[#This Row],[rest of Italy data]]))</f>
        <v>0</v>
      </c>
      <c r="AO261" s="131"/>
      <c r="AP261" s="131"/>
    </row>
    <row r="262" spans="2:42" x14ac:dyDescent="0.3">
      <c r="B262" s="9">
        <v>44085</v>
      </c>
      <c r="C262" s="4">
        <v>255</v>
      </c>
      <c r="D262" s="131"/>
      <c r="E262" s="10"/>
      <c r="F262" s="10">
        <f>Tabella3[[#This Row],[Italy remov. rate data]]*NOT(ISBLANK(Tabella3[[#This Row],[Italy remov. rate data]]))</f>
        <v>0</v>
      </c>
      <c r="G262" s="77" t="e">
        <f>Tabella8[[#This Row],[Italy fit]]</f>
        <v>#VALUE!</v>
      </c>
      <c r="H262" s="77" t="e">
        <f>Tabella3[[#This Row],[Italy cumul. fit]]/Kf</f>
        <v>#VALUE!</v>
      </c>
      <c r="I262" s="77">
        <f>Tabella3[[#This Row],[region fit]]+Tabella3[[#This Row],[rest of Italy fit]]</f>
        <v>17.275678375531722</v>
      </c>
      <c r="J262" s="77">
        <f>Tabella3[[#This Row],[Italy (fit of selected region + fitted sum of the other regions)]]/(y_l_peak+y_a_peak)</f>
        <v>5.4554489044859088E-3</v>
      </c>
      <c r="K262" s="72">
        <f>IFERROR(Kf*psi_f*_xlfn.SECH(psi_f*(Tabella3[[#This Row],[Day]]-pf)-phi_f)^2/(1+TANH(phi_f)),0)</f>
        <v>15.836825032415771</v>
      </c>
      <c r="L262" s="292">
        <f>Tabella3[[#This Row],[Italy remov. rate fit]]-Tabella3[[#This Row],[Italy remov. rate data]]</f>
        <v>15.836825032415771</v>
      </c>
      <c r="M262" s="293">
        <f>Tabella3[[#This Row],[rem. rate residuals]]*NOT(ISBLANK(Tabella3[[#This Row],[Italy remov. rate data]]))</f>
        <v>0</v>
      </c>
      <c r="N262" s="72">
        <f>Tabella3[[#This Row],[Italy remov. rate fit]]/y_f_peak</f>
        <v>5.0132568504043431E-3</v>
      </c>
      <c r="O262" s="10">
        <f>Tabella3[[#This Row],[Italy (fit of selected region + fitted sum of the other regions)]]*NOT(ISBLANK(Tabella3[[#This Row],[Italy remov. rate data]]))</f>
        <v>0</v>
      </c>
      <c r="P262" s="10">
        <f>Tabella3[[#This Row],[Italy remov. rate fit]]*NOT(ISBLANK(Tabella3[[#This Row],[Italy remov. rate data]]))</f>
        <v>0</v>
      </c>
      <c r="Q262" s="72"/>
      <c r="R262" s="72"/>
      <c r="S262" s="131"/>
      <c r="T262" s="10"/>
      <c r="U262" s="10">
        <f>Tabella3[[#This Row],[region data]]*NOT(ISBLANK(Tabella3[[#This Row],[region data]]))</f>
        <v>0</v>
      </c>
      <c r="V262"/>
      <c r="W262" s="72">
        <f>Tabella3[[#This Row],[6-days moving avg]]*NOT(ISBLANK(Tabella3[[#This Row],[6-days moving avg]]))</f>
        <v>0</v>
      </c>
      <c r="X262" s="77" t="e">
        <f>Tabella8[[#This Row],[region fit]]</f>
        <v>#VALUE!</v>
      </c>
      <c r="Y262" s="72" t="e">
        <f>Tabella3[[#This Row],[region cumul. fit]]/Kl</f>
        <v>#VALUE!</v>
      </c>
      <c r="Z262" s="72">
        <f>IFERROR(Kl*psi_l*_xlfn.SECH(psi_l*(Tabella3[[#This Row],[Day]]-pl)-phi_l)^2/(1+TANH(phi_l)),0)</f>
        <v>3.9139087958180432</v>
      </c>
      <c r="AA262" s="72">
        <f>Tabella3[[#This Row],[region fit]]/y_l_peak</f>
        <v>2.6582770099558017E-2</v>
      </c>
      <c r="AB262" s="10">
        <f>Tabella3[[#This Row],[region fit]]*NOT(ISBLANK(Tabella3[[#This Row],[region data]]))</f>
        <v>0</v>
      </c>
      <c r="AC262" s="166">
        <f>IFERROR(kl_m*psi_l_m*_xlfn.SECH(psi_l_m*(Tabella3[[#This Row],[Day]]-pl_m)-phi_l_m)^2/(1+TANH(phi_l_m)),0)</f>
        <v>3.9139087958180432</v>
      </c>
      <c r="AD262" s="72">
        <f>Tabella3[[#This Row],[6-days moving avg fit]]*NOT(ISBLANK(Tabella3[[#This Row],[6-days moving avg]]))</f>
        <v>0</v>
      </c>
      <c r="AE262" s="131"/>
      <c r="AF262" s="131"/>
      <c r="AG262" s="131"/>
      <c r="AH262" s="10"/>
      <c r="AI262" s="10">
        <f>Tabella3[[#This Row],[rest of Italy data]]*NOT(ISBLANK(Tabella3[[#This Row],[rest of Italy data]]))</f>
        <v>0</v>
      </c>
      <c r="AJ262" s="77" t="e">
        <f>Tabella8[[#This Row],[rest of Italy fit]]</f>
        <v>#VALUE!</v>
      </c>
      <c r="AK262" s="72" t="e">
        <f>Tabella3[[#This Row],[rest of Italy cumul. fit]]/Ka</f>
        <v>#VALUE!</v>
      </c>
      <c r="AL262" s="72">
        <f>IFERROR(Ka*psi_a*_xlfn.SECH(psi_a*(Tabella3[[#This Row],[Day]]-pa)-phi_a)^2/(1+TANH(phi_a)),0)</f>
        <v>13.36176957971368</v>
      </c>
      <c r="AM262" s="72">
        <f>Tabella3[[#This Row],[rest of Italy fit]]/y_a_peak</f>
        <v>4.4252352806344536E-3</v>
      </c>
      <c r="AN262" s="10">
        <f>Tabella3[[#This Row],[rest of Italy fit]]*NOT(ISBLANK(Tabella3[[#This Row],[rest of Italy data]]))</f>
        <v>0</v>
      </c>
      <c r="AO262" s="131"/>
      <c r="AP262" s="131"/>
    </row>
    <row r="263" spans="2:42" x14ac:dyDescent="0.3">
      <c r="B263" s="9">
        <v>44086</v>
      </c>
      <c r="C263" s="4">
        <v>256</v>
      </c>
      <c r="D263" s="131"/>
      <c r="E263" s="10"/>
      <c r="F263" s="10">
        <f>Tabella3[[#This Row],[Italy remov. rate data]]*NOT(ISBLANK(Tabella3[[#This Row],[Italy remov. rate data]]))</f>
        <v>0</v>
      </c>
      <c r="G263" s="77" t="e">
        <f>Tabella8[[#This Row],[Italy fit]]</f>
        <v>#VALUE!</v>
      </c>
      <c r="H263" s="77" t="e">
        <f>Tabella3[[#This Row],[Italy cumul. fit]]/Kf</f>
        <v>#VALUE!</v>
      </c>
      <c r="I263" s="77">
        <f>Tabella3[[#This Row],[region fit]]+Tabella3[[#This Row],[rest of Italy fit]]</f>
        <v>16.456180339557669</v>
      </c>
      <c r="J263" s="77">
        <f>Tabella3[[#This Row],[Italy (fit of selected region + fitted sum of the other regions)]]/(y_l_peak+y_a_peak)</f>
        <v>5.1966614018825324E-3</v>
      </c>
      <c r="K263" s="72">
        <f>IFERROR(Kf*psi_f*_xlfn.SECH(psi_f*(Tabella3[[#This Row],[Day]]-pf)-phi_f)^2/(1+TANH(phi_f)),0)</f>
        <v>15.05850423133303</v>
      </c>
      <c r="L263" s="292">
        <f>Tabella3[[#This Row],[Italy remov. rate fit]]-Tabella3[[#This Row],[Italy remov. rate data]]</f>
        <v>15.05850423133303</v>
      </c>
      <c r="M263" s="293">
        <f>Tabella3[[#This Row],[rem. rate residuals]]*NOT(ISBLANK(Tabella3[[#This Row],[Italy remov. rate data]]))</f>
        <v>0</v>
      </c>
      <c r="N263" s="72">
        <f>Tabella3[[#This Row],[Italy remov. rate fit]]/y_f_peak</f>
        <v>4.7668740003157959E-3</v>
      </c>
      <c r="O263" s="10">
        <f>Tabella3[[#This Row],[Italy (fit of selected region + fitted sum of the other regions)]]*NOT(ISBLANK(Tabella3[[#This Row],[Italy remov. rate data]]))</f>
        <v>0</v>
      </c>
      <c r="P263" s="10">
        <f>Tabella3[[#This Row],[Italy remov. rate fit]]*NOT(ISBLANK(Tabella3[[#This Row],[Italy remov. rate data]]))</f>
        <v>0</v>
      </c>
      <c r="Q263" s="72"/>
      <c r="R263" s="72"/>
      <c r="S263" s="131"/>
      <c r="T263" s="10"/>
      <c r="U263" s="10">
        <f>Tabella3[[#This Row],[region data]]*NOT(ISBLANK(Tabella3[[#This Row],[region data]]))</f>
        <v>0</v>
      </c>
      <c r="V263"/>
      <c r="W263" s="72">
        <f>Tabella3[[#This Row],[6-days moving avg]]*NOT(ISBLANK(Tabella3[[#This Row],[6-days moving avg]]))</f>
        <v>0</v>
      </c>
      <c r="X263" s="77" t="e">
        <f>Tabella8[[#This Row],[region fit]]</f>
        <v>#VALUE!</v>
      </c>
      <c r="Y263" s="72" t="e">
        <f>Tabella3[[#This Row],[region cumul. fit]]/Kl</f>
        <v>#VALUE!</v>
      </c>
      <c r="Z263" s="72">
        <f>IFERROR(Kl*psi_l*_xlfn.SECH(psi_l*(Tabella3[[#This Row],[Day]]-pl)-phi_l)^2/(1+TANH(phi_l)),0)</f>
        <v>3.7613464885542154</v>
      </c>
      <c r="AA263" s="72">
        <f>Tabella3[[#This Row],[region fit]]/y_l_peak</f>
        <v>2.5546586337640585E-2</v>
      </c>
      <c r="AB263" s="10">
        <f>Tabella3[[#This Row],[region fit]]*NOT(ISBLANK(Tabella3[[#This Row],[region data]]))</f>
        <v>0</v>
      </c>
      <c r="AC263" s="166">
        <f>IFERROR(kl_m*psi_l_m*_xlfn.SECH(psi_l_m*(Tabella3[[#This Row],[Day]]-pl_m)-phi_l_m)^2/(1+TANH(phi_l_m)),0)</f>
        <v>3.7613464885542154</v>
      </c>
      <c r="AD263" s="72">
        <f>Tabella3[[#This Row],[6-days moving avg fit]]*NOT(ISBLANK(Tabella3[[#This Row],[6-days moving avg]]))</f>
        <v>0</v>
      </c>
      <c r="AE263" s="131"/>
      <c r="AF263" s="131"/>
      <c r="AG263" s="131"/>
      <c r="AH263" s="10"/>
      <c r="AI263" s="10">
        <f>Tabella3[[#This Row],[rest of Italy data]]*NOT(ISBLANK(Tabella3[[#This Row],[rest of Italy data]]))</f>
        <v>0</v>
      </c>
      <c r="AJ263" s="77" t="e">
        <f>Tabella8[[#This Row],[rest of Italy fit]]</f>
        <v>#VALUE!</v>
      </c>
      <c r="AK263" s="72" t="e">
        <f>Tabella3[[#This Row],[rest of Italy cumul. fit]]/Ka</f>
        <v>#VALUE!</v>
      </c>
      <c r="AL263" s="72">
        <f>IFERROR(Ka*psi_a*_xlfn.SECH(psi_a*(Tabella3[[#This Row],[Day]]-pa)-phi_a)^2/(1+TANH(phi_a)),0)</f>
        <v>12.694833851003454</v>
      </c>
      <c r="AM263" s="72">
        <f>Tabella3[[#This Row],[rest of Italy fit]]/y_a_peak</f>
        <v>4.204355291723031E-3</v>
      </c>
      <c r="AN263" s="10">
        <f>Tabella3[[#This Row],[rest of Italy fit]]*NOT(ISBLANK(Tabella3[[#This Row],[rest of Italy data]]))</f>
        <v>0</v>
      </c>
      <c r="AO263" s="131"/>
      <c r="AP263" s="131"/>
    </row>
    <row r="264" spans="2:42" x14ac:dyDescent="0.3">
      <c r="B264" s="9">
        <v>44087</v>
      </c>
      <c r="C264" s="4">
        <v>257</v>
      </c>
      <c r="D264" s="131"/>
      <c r="E264" s="10"/>
      <c r="F264" s="10">
        <f>Tabella3[[#This Row],[Italy remov. rate data]]*NOT(ISBLANK(Tabella3[[#This Row],[Italy remov. rate data]]))</f>
        <v>0</v>
      </c>
      <c r="G264" s="77" t="e">
        <f>Tabella8[[#This Row],[Italy fit]]</f>
        <v>#VALUE!</v>
      </c>
      <c r="H264" s="77" t="e">
        <f>Tabella3[[#This Row],[Italy cumul. fit]]/Kf</f>
        <v>#VALUE!</v>
      </c>
      <c r="I264" s="77">
        <f>Tabella3[[#This Row],[region fit]]+Tabella3[[#This Row],[rest of Italy fit]]</f>
        <v>15.675776631615003</v>
      </c>
      <c r="J264" s="77">
        <f>Tabella3[[#This Row],[Italy (fit of selected region + fitted sum of the other regions)]]/(y_l_peak+y_a_peak)</f>
        <v>4.9502194121090618E-3</v>
      </c>
      <c r="K264" s="72">
        <f>IFERROR(Kf*psi_f*_xlfn.SECH(psi_f*(Tabella3[[#This Row],[Day]]-pf)-phi_f)^2/(1+TANH(phi_f)),0)</f>
        <v>14.318347875544575</v>
      </c>
      <c r="L264" s="292">
        <f>Tabella3[[#This Row],[Italy remov. rate fit]]-Tabella3[[#This Row],[Italy remov. rate data]]</f>
        <v>14.318347875544575</v>
      </c>
      <c r="M264" s="293">
        <f>Tabella3[[#This Row],[rem. rate residuals]]*NOT(ISBLANK(Tabella3[[#This Row],[Italy remov. rate data]]))</f>
        <v>0</v>
      </c>
      <c r="N264" s="72">
        <f>Tabella3[[#This Row],[Italy remov. rate fit]]/y_f_peak</f>
        <v>4.5325723701953825E-3</v>
      </c>
      <c r="O264" s="10">
        <f>Tabella3[[#This Row],[Italy (fit of selected region + fitted sum of the other regions)]]*NOT(ISBLANK(Tabella3[[#This Row],[Italy remov. rate data]]))</f>
        <v>0</v>
      </c>
      <c r="P264" s="10">
        <f>Tabella3[[#This Row],[Italy remov. rate fit]]*NOT(ISBLANK(Tabella3[[#This Row],[Italy remov. rate data]]))</f>
        <v>0</v>
      </c>
      <c r="Q264" s="72"/>
      <c r="R264" s="72"/>
      <c r="S264" s="131"/>
      <c r="T264" s="10"/>
      <c r="U264" s="10">
        <f>Tabella3[[#This Row],[region data]]*NOT(ISBLANK(Tabella3[[#This Row],[region data]]))</f>
        <v>0</v>
      </c>
      <c r="V264"/>
      <c r="W264" s="72">
        <f>Tabella3[[#This Row],[6-days moving avg]]*NOT(ISBLANK(Tabella3[[#This Row],[6-days moving avg]]))</f>
        <v>0</v>
      </c>
      <c r="X264" s="77" t="e">
        <f>Tabella8[[#This Row],[region fit]]</f>
        <v>#VALUE!</v>
      </c>
      <c r="Y264" s="72" t="e">
        <f>Tabella3[[#This Row],[region cumul. fit]]/Kl</f>
        <v>#VALUE!</v>
      </c>
      <c r="Z264" s="72">
        <f>IFERROR(Kl*psi_l*_xlfn.SECH(psi_l*(Tabella3[[#This Row],[Day]]-pl)-phi_l)^2/(1+TANH(phi_l)),0)</f>
        <v>3.6146560357487769</v>
      </c>
      <c r="AA264" s="72">
        <f>Tabella3[[#This Row],[region fit]]/y_l_peak</f>
        <v>2.4550283463415836E-2</v>
      </c>
      <c r="AB264" s="10">
        <f>Tabella3[[#This Row],[region fit]]*NOT(ISBLANK(Tabella3[[#This Row],[region data]]))</f>
        <v>0</v>
      </c>
      <c r="AC264" s="166">
        <f>IFERROR(kl_m*psi_l_m*_xlfn.SECH(psi_l_m*(Tabella3[[#This Row],[Day]]-pl_m)-phi_l_m)^2/(1+TANH(phi_l_m)),0)</f>
        <v>3.6146560357487769</v>
      </c>
      <c r="AD264" s="72">
        <f>Tabella3[[#This Row],[6-days moving avg fit]]*NOT(ISBLANK(Tabella3[[#This Row],[6-days moving avg]]))</f>
        <v>0</v>
      </c>
      <c r="AE264" s="131"/>
      <c r="AF264" s="131"/>
      <c r="AG264" s="131"/>
      <c r="AH264" s="10"/>
      <c r="AI264" s="10">
        <f>Tabella3[[#This Row],[rest of Italy data]]*NOT(ISBLANK(Tabella3[[#This Row],[rest of Italy data]]))</f>
        <v>0</v>
      </c>
      <c r="AJ264" s="77" t="e">
        <f>Tabella8[[#This Row],[rest of Italy fit]]</f>
        <v>#VALUE!</v>
      </c>
      <c r="AK264" s="72" t="e">
        <f>Tabella3[[#This Row],[rest of Italy cumul. fit]]/Ka</f>
        <v>#VALUE!</v>
      </c>
      <c r="AL264" s="72">
        <f>IFERROR(Ka*psi_a*_xlfn.SECH(psi_a*(Tabella3[[#This Row],[Day]]-pa)-phi_a)^2/(1+TANH(phi_a)),0)</f>
        <v>12.061120595866226</v>
      </c>
      <c r="AM264" s="72">
        <f>Tabella3[[#This Row],[rest of Italy fit]]/y_a_peak</f>
        <v>3.9944781315378562E-3</v>
      </c>
      <c r="AN264" s="10">
        <f>Tabella3[[#This Row],[rest of Italy fit]]*NOT(ISBLANK(Tabella3[[#This Row],[rest of Italy data]]))</f>
        <v>0</v>
      </c>
      <c r="AO264" s="131"/>
      <c r="AP264" s="131"/>
    </row>
    <row r="265" spans="2:42" x14ac:dyDescent="0.3">
      <c r="B265" s="9">
        <v>44088</v>
      </c>
      <c r="C265" s="4">
        <v>258</v>
      </c>
      <c r="D265" s="131"/>
      <c r="E265" s="10"/>
      <c r="F265" s="10">
        <f>Tabella3[[#This Row],[Italy remov. rate data]]*NOT(ISBLANK(Tabella3[[#This Row],[Italy remov. rate data]]))</f>
        <v>0</v>
      </c>
      <c r="G265" s="77" t="e">
        <f>Tabella8[[#This Row],[Italy fit]]</f>
        <v>#VALUE!</v>
      </c>
      <c r="H265" s="77" t="e">
        <f>Tabella3[[#This Row],[Italy cumul. fit]]/Kf</f>
        <v>#VALUE!</v>
      </c>
      <c r="I265" s="77">
        <f>Tabella3[[#This Row],[region fit]]+Tabella3[[#This Row],[rest of Italy fit]]</f>
        <v>14.932598602659811</v>
      </c>
      <c r="J265" s="77">
        <f>Tabella3[[#This Row],[Italy (fit of selected region + fitted sum of the other regions)]]/(y_l_peak+y_a_peak)</f>
        <v>4.7155328385477032E-3</v>
      </c>
      <c r="K265" s="72">
        <f>IFERROR(Kf*psi_f*_xlfn.SECH(psi_f*(Tabella3[[#This Row],[Day]]-pf)-phi_f)^2/(1+TANH(phi_f)),0)</f>
        <v>13.614492960762643</v>
      </c>
      <c r="L265" s="292">
        <f>Tabella3[[#This Row],[Italy remov. rate fit]]-Tabella3[[#This Row],[Italy remov. rate data]]</f>
        <v>13.614492960762643</v>
      </c>
      <c r="M265" s="293">
        <f>Tabella3[[#This Row],[rem. rate residuals]]*NOT(ISBLANK(Tabella3[[#This Row],[Italy remov. rate data]]))</f>
        <v>0</v>
      </c>
      <c r="N265" s="72">
        <f>Tabella3[[#This Row],[Italy remov. rate fit]]/y_f_peak</f>
        <v>4.3097622131090521E-3</v>
      </c>
      <c r="O265" s="10">
        <f>Tabella3[[#This Row],[Italy (fit of selected region + fitted sum of the other regions)]]*NOT(ISBLANK(Tabella3[[#This Row],[Italy remov. rate data]]))</f>
        <v>0</v>
      </c>
      <c r="P265" s="10">
        <f>Tabella3[[#This Row],[Italy remov. rate fit]]*NOT(ISBLANK(Tabella3[[#This Row],[Italy remov. rate data]]))</f>
        <v>0</v>
      </c>
      <c r="Q265" s="72"/>
      <c r="R265" s="72"/>
      <c r="S265" s="131"/>
      <c r="T265" s="10"/>
      <c r="U265" s="10">
        <f>Tabella3[[#This Row],[region data]]*NOT(ISBLANK(Tabella3[[#This Row],[region data]]))</f>
        <v>0</v>
      </c>
      <c r="V265"/>
      <c r="W265" s="72">
        <f>Tabella3[[#This Row],[6-days moving avg]]*NOT(ISBLANK(Tabella3[[#This Row],[6-days moving avg]]))</f>
        <v>0</v>
      </c>
      <c r="X265" s="77" t="e">
        <f>Tabella8[[#This Row],[region fit]]</f>
        <v>#VALUE!</v>
      </c>
      <c r="Y265" s="72" t="e">
        <f>Tabella3[[#This Row],[region cumul. fit]]/Kl</f>
        <v>#VALUE!</v>
      </c>
      <c r="Z265" s="72">
        <f>IFERROR(Kl*psi_l*_xlfn.SECH(psi_l*(Tabella3[[#This Row],[Day]]-pl)-phi_l)^2/(1+TANH(phi_l)),0)</f>
        <v>3.4736172119421966</v>
      </c>
      <c r="AA265" s="72">
        <f>Tabella3[[#This Row],[region fit]]/y_l_peak</f>
        <v>2.3592365733608654E-2</v>
      </c>
      <c r="AB265" s="10">
        <f>Tabella3[[#This Row],[region fit]]*NOT(ISBLANK(Tabella3[[#This Row],[region data]]))</f>
        <v>0</v>
      </c>
      <c r="AC265" s="166">
        <f>IFERROR(kl_m*psi_l_m*_xlfn.SECH(psi_l_m*(Tabella3[[#This Row],[Day]]-pl_m)-phi_l_m)^2/(1+TANH(phi_l_m)),0)</f>
        <v>3.4736172119421966</v>
      </c>
      <c r="AD265" s="72">
        <f>Tabella3[[#This Row],[6-days moving avg fit]]*NOT(ISBLANK(Tabella3[[#This Row],[6-days moving avg]]))</f>
        <v>0</v>
      </c>
      <c r="AE265" s="131"/>
      <c r="AF265" s="131"/>
      <c r="AG265" s="131"/>
      <c r="AH265" s="10"/>
      <c r="AI265" s="10">
        <f>Tabella3[[#This Row],[rest of Italy data]]*NOT(ISBLANK(Tabella3[[#This Row],[rest of Italy data]]))</f>
        <v>0</v>
      </c>
      <c r="AJ265" s="77" t="e">
        <f>Tabella8[[#This Row],[rest of Italy fit]]</f>
        <v>#VALUE!</v>
      </c>
      <c r="AK265" s="72" t="e">
        <f>Tabella3[[#This Row],[rest of Italy cumul. fit]]/Ka</f>
        <v>#VALUE!</v>
      </c>
      <c r="AL265" s="72">
        <f>IFERROR(Ka*psi_a*_xlfn.SECH(psi_a*(Tabella3[[#This Row],[Day]]-pa)-phi_a)^2/(1+TANH(phi_a)),0)</f>
        <v>11.458981390717614</v>
      </c>
      <c r="AM265" s="72">
        <f>Tabella3[[#This Row],[rest of Italy fit]]/y_a_peak</f>
        <v>3.7950578647400865E-3</v>
      </c>
      <c r="AN265" s="10">
        <f>Tabella3[[#This Row],[rest of Italy fit]]*NOT(ISBLANK(Tabella3[[#This Row],[rest of Italy data]]))</f>
        <v>0</v>
      </c>
      <c r="AO265" s="131"/>
      <c r="AP265" s="131"/>
    </row>
    <row r="266" spans="2:42" x14ac:dyDescent="0.3">
      <c r="B266" s="9">
        <v>44089</v>
      </c>
      <c r="C266" s="4">
        <v>259</v>
      </c>
      <c r="D266" s="131"/>
      <c r="E266" s="10"/>
      <c r="F266" s="10">
        <f>Tabella3[[#This Row],[Italy remov. rate data]]*NOT(ISBLANK(Tabella3[[#This Row],[Italy remov. rate data]]))</f>
        <v>0</v>
      </c>
      <c r="G266" s="77" t="e">
        <f>Tabella8[[#This Row],[Italy fit]]</f>
        <v>#VALUE!</v>
      </c>
      <c r="H266" s="77" t="e">
        <f>Tabella3[[#This Row],[Italy cumul. fit]]/Kf</f>
        <v>#VALUE!</v>
      </c>
      <c r="I266" s="77">
        <f>Tabella3[[#This Row],[region fit]]+Tabella3[[#This Row],[rest of Italy fit]]</f>
        <v>14.224866573337845</v>
      </c>
      <c r="J266" s="77">
        <f>Tabella3[[#This Row],[Italy (fit of selected region + fitted sum of the other regions)]]/(y_l_peak+y_a_peak)</f>
        <v>4.4920396801254791E-3</v>
      </c>
      <c r="K266" s="72">
        <f>IFERROR(Kf*psi_f*_xlfn.SECH(psi_f*(Tabella3[[#This Row],[Day]]-pf)-phi_f)^2/(1+TANH(phi_f)),0)</f>
        <v>12.945166621953776</v>
      </c>
      <c r="L266" s="292">
        <f>Tabella3[[#This Row],[Italy remov. rate fit]]-Tabella3[[#This Row],[Italy remov. rate data]]</f>
        <v>12.945166621953776</v>
      </c>
      <c r="M266" s="293">
        <f>Tabella3[[#This Row],[rem. rate residuals]]*NOT(ISBLANK(Tabella3[[#This Row],[Italy remov. rate data]]))</f>
        <v>0</v>
      </c>
      <c r="N266" s="72">
        <f>Tabella3[[#This Row],[Italy remov. rate fit]]/y_f_peak</f>
        <v>4.097882316329151E-3</v>
      </c>
      <c r="O266" s="10">
        <f>Tabella3[[#This Row],[Italy (fit of selected region + fitted sum of the other regions)]]*NOT(ISBLANK(Tabella3[[#This Row],[Italy remov. rate data]]))</f>
        <v>0</v>
      </c>
      <c r="P266" s="10">
        <f>Tabella3[[#This Row],[Italy remov. rate fit]]*NOT(ISBLANK(Tabella3[[#This Row],[Italy remov. rate data]]))</f>
        <v>0</v>
      </c>
      <c r="Q266" s="72"/>
      <c r="R266" s="72"/>
      <c r="S266" s="131"/>
      <c r="T266" s="10"/>
      <c r="U266" s="10">
        <f>Tabella3[[#This Row],[region data]]*NOT(ISBLANK(Tabella3[[#This Row],[region data]]))</f>
        <v>0</v>
      </c>
      <c r="V266"/>
      <c r="W266" s="72">
        <f>Tabella3[[#This Row],[6-days moving avg]]*NOT(ISBLANK(Tabella3[[#This Row],[6-days moving avg]]))</f>
        <v>0</v>
      </c>
      <c r="X266" s="77" t="e">
        <f>Tabella8[[#This Row],[region fit]]</f>
        <v>#VALUE!</v>
      </c>
      <c r="Y266" s="72" t="e">
        <f>Tabella3[[#This Row],[region cumul. fit]]/Kl</f>
        <v>#VALUE!</v>
      </c>
      <c r="Z266" s="72">
        <f>IFERROR(Kl*psi_l*_xlfn.SECH(psi_l*(Tabella3[[#This Row],[Day]]-pl)-phi_l)^2/(1+TANH(phi_l)),0)</f>
        <v>3.3380176049593366</v>
      </c>
      <c r="AA266" s="72">
        <f>Tabella3[[#This Row],[region fit]]/y_l_peak</f>
        <v>2.2671390471776475E-2</v>
      </c>
      <c r="AB266" s="10">
        <f>Tabella3[[#This Row],[region fit]]*NOT(ISBLANK(Tabella3[[#This Row],[region data]]))</f>
        <v>0</v>
      </c>
      <c r="AC266" s="166">
        <f>IFERROR(kl_m*psi_l_m*_xlfn.SECH(psi_l_m*(Tabella3[[#This Row],[Day]]-pl_m)-phi_l_m)^2/(1+TANH(phi_l_m)),0)</f>
        <v>3.3380176049593366</v>
      </c>
      <c r="AD266" s="72">
        <f>Tabella3[[#This Row],[6-days moving avg fit]]*NOT(ISBLANK(Tabella3[[#This Row],[6-days moving avg]]))</f>
        <v>0</v>
      </c>
      <c r="AE266" s="131"/>
      <c r="AF266" s="131"/>
      <c r="AG266" s="131"/>
      <c r="AH266" s="10"/>
      <c r="AI266" s="10">
        <f>Tabella3[[#This Row],[rest of Italy data]]*NOT(ISBLANK(Tabella3[[#This Row],[rest of Italy data]]))</f>
        <v>0</v>
      </c>
      <c r="AJ266" s="77" t="e">
        <f>Tabella8[[#This Row],[rest of Italy fit]]</f>
        <v>#VALUE!</v>
      </c>
      <c r="AK266" s="72" t="e">
        <f>Tabella3[[#This Row],[rest of Italy cumul. fit]]/Ka</f>
        <v>#VALUE!</v>
      </c>
      <c r="AL266" s="72">
        <f>IFERROR(Ka*psi_a*_xlfn.SECH(psi_a*(Tabella3[[#This Row],[Day]]-pa)-phi_a)^2/(1+TANH(phi_a)),0)</f>
        <v>10.886848968378509</v>
      </c>
      <c r="AM266" s="72">
        <f>Tabella3[[#This Row],[rest of Italy fit]]/y_a_peak</f>
        <v>3.6055754338819939E-3</v>
      </c>
      <c r="AN266" s="10">
        <f>Tabella3[[#This Row],[rest of Italy fit]]*NOT(ISBLANK(Tabella3[[#This Row],[rest of Italy data]]))</f>
        <v>0</v>
      </c>
      <c r="AO266" s="131"/>
      <c r="AP266" s="131"/>
    </row>
    <row r="267" spans="2:42" x14ac:dyDescent="0.3">
      <c r="B267" s="9">
        <v>44090</v>
      </c>
      <c r="C267" s="4">
        <v>260</v>
      </c>
      <c r="D267" s="131"/>
      <c r="E267" s="10"/>
      <c r="F267" s="10">
        <f>Tabella3[[#This Row],[Italy remov. rate data]]*NOT(ISBLANK(Tabella3[[#This Row],[Italy remov. rate data]]))</f>
        <v>0</v>
      </c>
      <c r="G267" s="77" t="e">
        <f>Tabella8[[#This Row],[Italy fit]]</f>
        <v>#VALUE!</v>
      </c>
      <c r="H267" s="77" t="e">
        <f>Tabella3[[#This Row],[Italy cumul. fit]]/Kf</f>
        <v>#VALUE!</v>
      </c>
      <c r="I267" s="77">
        <f>Tabella3[[#This Row],[region fit]]+Tabella3[[#This Row],[rest of Italy fit]]</f>
        <v>13.550885658224185</v>
      </c>
      <c r="J267" s="77">
        <f>Tabella3[[#This Row],[Italy (fit of selected region + fitted sum of the other regions)]]/(y_l_peak+y_a_peak)</f>
        <v>4.2792047126599501E-3</v>
      </c>
      <c r="K267" s="72">
        <f>IFERROR(Kf*psi_f*_xlfn.SECH(psi_f*(Tabella3[[#This Row],[Day]]-pf)-phi_f)^2/(1+TANH(phi_f)),0)</f>
        <v>12.308681849446051</v>
      </c>
      <c r="L267" s="292">
        <f>Tabella3[[#This Row],[Italy remov. rate fit]]-Tabella3[[#This Row],[Italy remov. rate data]]</f>
        <v>12.308681849446051</v>
      </c>
      <c r="M267" s="293">
        <f>Tabella3[[#This Row],[rem. rate residuals]]*NOT(ISBLANK(Tabella3[[#This Row],[Italy remov. rate data]]))</f>
        <v>0</v>
      </c>
      <c r="N267" s="72">
        <f>Tabella3[[#This Row],[Italy remov. rate fit]]/y_f_peak</f>
        <v>3.8963986452384396E-3</v>
      </c>
      <c r="O267" s="10">
        <f>Tabella3[[#This Row],[Italy (fit of selected region + fitted sum of the other regions)]]*NOT(ISBLANK(Tabella3[[#This Row],[Italy remov. rate data]]))</f>
        <v>0</v>
      </c>
      <c r="P267" s="10">
        <f>Tabella3[[#This Row],[Italy remov. rate fit]]*NOT(ISBLANK(Tabella3[[#This Row],[Italy remov. rate data]]))</f>
        <v>0</v>
      </c>
      <c r="Q267" s="72"/>
      <c r="R267" s="72"/>
      <c r="S267" s="131"/>
      <c r="T267" s="10"/>
      <c r="U267" s="10">
        <f>Tabella3[[#This Row],[region data]]*NOT(ISBLANK(Tabella3[[#This Row],[region data]]))</f>
        <v>0</v>
      </c>
      <c r="V267"/>
      <c r="W267" s="72">
        <f>Tabella3[[#This Row],[6-days moving avg]]*NOT(ISBLANK(Tabella3[[#This Row],[6-days moving avg]]))</f>
        <v>0</v>
      </c>
      <c r="X267" s="77" t="e">
        <f>Tabella8[[#This Row],[region fit]]</f>
        <v>#VALUE!</v>
      </c>
      <c r="Y267" s="72" t="e">
        <f>Tabella3[[#This Row],[region cumul. fit]]/Kl</f>
        <v>#VALUE!</v>
      </c>
      <c r="Z267" s="72">
        <f>IFERROR(Kl*psi_l*_xlfn.SECH(psi_l*(Tabella3[[#This Row],[Day]]-pl)-phi_l)^2/(1+TANH(phi_l)),0)</f>
        <v>3.2076523736906575</v>
      </c>
      <c r="AA267" s="72">
        <f>Tabella3[[#This Row],[region fit]]/y_l_peak</f>
        <v>2.1785966423190105E-2</v>
      </c>
      <c r="AB267" s="10">
        <f>Tabella3[[#This Row],[region fit]]*NOT(ISBLANK(Tabella3[[#This Row],[region data]]))</f>
        <v>0</v>
      </c>
      <c r="AC267" s="166">
        <f>IFERROR(kl_m*psi_l_m*_xlfn.SECH(psi_l_m*(Tabella3[[#This Row],[Day]]-pl_m)-phi_l_m)^2/(1+TANH(phi_l_m)),0)</f>
        <v>3.2076523736906575</v>
      </c>
      <c r="AD267" s="72">
        <f>Tabella3[[#This Row],[6-days moving avg fit]]*NOT(ISBLANK(Tabella3[[#This Row],[6-days moving avg]]))</f>
        <v>0</v>
      </c>
      <c r="AE267" s="131"/>
      <c r="AF267" s="131"/>
      <c r="AG267" s="131"/>
      <c r="AH267" s="10"/>
      <c r="AI267" s="10">
        <f>Tabella3[[#This Row],[rest of Italy data]]*NOT(ISBLANK(Tabella3[[#This Row],[rest of Italy data]]))</f>
        <v>0</v>
      </c>
      <c r="AJ267" s="77" t="e">
        <f>Tabella8[[#This Row],[rest of Italy fit]]</f>
        <v>#VALUE!</v>
      </c>
      <c r="AK267" s="72" t="e">
        <f>Tabella3[[#This Row],[rest of Italy cumul. fit]]/Ka</f>
        <v>#VALUE!</v>
      </c>
      <c r="AL267" s="72">
        <f>IFERROR(Ka*psi_a*_xlfn.SECH(psi_a*(Tabella3[[#This Row],[Day]]-pa)-phi_a)^2/(1+TANH(phi_a)),0)</f>
        <v>10.343233284533529</v>
      </c>
      <c r="AM267" s="72">
        <f>Tabella3[[#This Row],[rest of Italy fit]]/y_a_peak</f>
        <v>3.4255373566718212E-3</v>
      </c>
      <c r="AN267" s="10">
        <f>Tabella3[[#This Row],[rest of Italy fit]]*NOT(ISBLANK(Tabella3[[#This Row],[rest of Italy data]]))</f>
        <v>0</v>
      </c>
      <c r="AO267" s="131"/>
      <c r="AP267" s="131"/>
    </row>
    <row r="268" spans="2:42" x14ac:dyDescent="0.3">
      <c r="B268" s="9">
        <v>44091</v>
      </c>
      <c r="C268" s="4">
        <v>261</v>
      </c>
      <c r="D268" s="131"/>
      <c r="E268" s="10"/>
      <c r="F268" s="10">
        <f>Tabella3[[#This Row],[Italy remov. rate data]]*NOT(ISBLANK(Tabella3[[#This Row],[Italy remov. rate data]]))</f>
        <v>0</v>
      </c>
      <c r="G268" s="77" t="e">
        <f>Tabella8[[#This Row],[Italy fit]]</f>
        <v>#VALUE!</v>
      </c>
      <c r="H268" s="77" t="e">
        <f>Tabella3[[#This Row],[Italy cumul. fit]]/Kf</f>
        <v>#VALUE!</v>
      </c>
      <c r="I268" s="77">
        <f>Tabella3[[#This Row],[region fit]]+Tabella3[[#This Row],[rest of Italy fit]]</f>
        <v>12.909041779286541</v>
      </c>
      <c r="J268" s="77">
        <f>Tabella3[[#This Row],[Italy (fit of selected region + fitted sum of the other regions)]]/(y_l_peak+y_a_peak)</f>
        <v>4.076518229959465E-3</v>
      </c>
      <c r="K268" s="72">
        <f>IFERROR(Kf*psi_f*_xlfn.SECH(psi_f*(Tabella3[[#This Row],[Day]]-pf)-phi_f)^2/(1+TANH(phi_f)),0)</f>
        <v>11.703433401135261</v>
      </c>
      <c r="L268" s="292">
        <f>Tabella3[[#This Row],[Italy remov. rate fit]]-Tabella3[[#This Row],[Italy remov. rate data]]</f>
        <v>11.703433401135261</v>
      </c>
      <c r="M268" s="293">
        <f>Tabella3[[#This Row],[rem. rate residuals]]*NOT(ISBLANK(Tabella3[[#This Row],[Italy remov. rate data]]))</f>
        <v>0</v>
      </c>
      <c r="N268" s="72">
        <f>Tabella3[[#This Row],[Italy remov. rate fit]]/y_f_peak</f>
        <v>3.7048030493105973E-3</v>
      </c>
      <c r="O268" s="10">
        <f>Tabella3[[#This Row],[Italy (fit of selected region + fitted sum of the other regions)]]*NOT(ISBLANK(Tabella3[[#This Row],[Italy remov. rate data]]))</f>
        <v>0</v>
      </c>
      <c r="P268" s="10">
        <f>Tabella3[[#This Row],[Italy remov. rate fit]]*NOT(ISBLANK(Tabella3[[#This Row],[Italy remov. rate data]]))</f>
        <v>0</v>
      </c>
      <c r="Q268" s="72"/>
      <c r="R268" s="72"/>
      <c r="S268" s="131"/>
      <c r="T268" s="10"/>
      <c r="U268" s="10">
        <f>Tabella3[[#This Row],[region data]]*NOT(ISBLANK(Tabella3[[#This Row],[region data]]))</f>
        <v>0</v>
      </c>
      <c r="V268"/>
      <c r="W268" s="72">
        <f>Tabella3[[#This Row],[6-days moving avg]]*NOT(ISBLANK(Tabella3[[#This Row],[6-days moving avg]]))</f>
        <v>0</v>
      </c>
      <c r="X268" s="77" t="e">
        <f>Tabella8[[#This Row],[region fit]]</f>
        <v>#VALUE!</v>
      </c>
      <c r="Y268" s="72" t="e">
        <f>Tabella3[[#This Row],[region cumul. fit]]/Kl</f>
        <v>#VALUE!</v>
      </c>
      <c r="Z268" s="72">
        <f>IFERROR(Kl*psi_l*_xlfn.SECH(psi_l*(Tabella3[[#This Row],[Day]]-pl)-phi_l)^2/(1+TANH(phi_l)),0)</f>
        <v>3.0823240105326417</v>
      </c>
      <c r="AA268" s="72">
        <f>Tabella3[[#This Row],[region fit]]/y_l_peak</f>
        <v>2.0934752141359321E-2</v>
      </c>
      <c r="AB268" s="10">
        <f>Tabella3[[#This Row],[region fit]]*NOT(ISBLANK(Tabella3[[#This Row],[region data]]))</f>
        <v>0</v>
      </c>
      <c r="AC268" s="166">
        <f>IFERROR(kl_m*psi_l_m*_xlfn.SECH(psi_l_m*(Tabella3[[#This Row],[Day]]-pl_m)-phi_l_m)^2/(1+TANH(phi_l_m)),0)</f>
        <v>3.0823240105326417</v>
      </c>
      <c r="AD268" s="72">
        <f>Tabella3[[#This Row],[6-days moving avg fit]]*NOT(ISBLANK(Tabella3[[#This Row],[6-days moving avg]]))</f>
        <v>0</v>
      </c>
      <c r="AE268" s="131"/>
      <c r="AF268" s="131"/>
      <c r="AG268" s="131"/>
      <c r="AH268" s="10"/>
      <c r="AI268" s="10">
        <f>Tabella3[[#This Row],[rest of Italy data]]*NOT(ISBLANK(Tabella3[[#This Row],[rest of Italy data]]))</f>
        <v>0</v>
      </c>
      <c r="AJ268" s="77" t="e">
        <f>Tabella8[[#This Row],[rest of Italy fit]]</f>
        <v>#VALUE!</v>
      </c>
      <c r="AK268" s="72" t="e">
        <f>Tabella3[[#This Row],[rest of Italy cumul. fit]]/Ka</f>
        <v>#VALUE!</v>
      </c>
      <c r="AL268" s="72">
        <f>IFERROR(Ka*psi_a*_xlfn.SECH(psi_a*(Tabella3[[#This Row],[Day]]-pa)-phi_a)^2/(1+TANH(phi_a)),0)</f>
        <v>9.8267177687539</v>
      </c>
      <c r="AM268" s="72">
        <f>Tabella3[[#This Row],[rest of Italy fit]]/y_a_peak</f>
        <v>3.2544744843638488E-3</v>
      </c>
      <c r="AN268" s="10">
        <f>Tabella3[[#This Row],[rest of Italy fit]]*NOT(ISBLANK(Tabella3[[#This Row],[rest of Italy data]]))</f>
        <v>0</v>
      </c>
      <c r="AO268" s="131"/>
      <c r="AP268" s="131"/>
    </row>
    <row r="269" spans="2:42" x14ac:dyDescent="0.3">
      <c r="B269" s="9">
        <v>44092</v>
      </c>
      <c r="C269" s="4">
        <v>262</v>
      </c>
      <c r="D269" s="131"/>
      <c r="E269" s="10"/>
      <c r="F269" s="10">
        <f>Tabella3[[#This Row],[Italy remov. rate data]]*NOT(ISBLANK(Tabella3[[#This Row],[Italy remov. rate data]]))</f>
        <v>0</v>
      </c>
      <c r="G269" s="77" t="e">
        <f>Tabella8[[#This Row],[Italy fit]]</f>
        <v>#VALUE!</v>
      </c>
      <c r="H269" s="77" t="e">
        <f>Tabella3[[#This Row],[Italy cumul. fit]]/Kf</f>
        <v>#VALUE!</v>
      </c>
      <c r="I269" s="77">
        <f>Tabella3[[#This Row],[region fit]]+Tabella3[[#This Row],[rest of Italy fit]]</f>
        <v>12.297797860687425</v>
      </c>
      <c r="J269" s="77">
        <f>Tabella3[[#This Row],[Italy (fit of selected region + fitted sum of the other regions)]]/(y_l_peak+y_a_peak)</f>
        <v>3.8834948421880089E-3</v>
      </c>
      <c r="K269" s="72">
        <f>IFERROR(Kf*psi_f*_xlfn.SECH(psi_f*(Tabella3[[#This Row],[Day]]-pf)-phi_f)^2/(1+TANH(phi_f)),0)</f>
        <v>11.127893902548786</v>
      </c>
      <c r="L269" s="292">
        <f>Tabella3[[#This Row],[Italy remov. rate fit]]-Tabella3[[#This Row],[Italy remov. rate data]]</f>
        <v>11.127893902548786</v>
      </c>
      <c r="M269" s="293">
        <f>Tabella3[[#This Row],[rem. rate residuals]]*NOT(ISBLANK(Tabella3[[#This Row],[Italy remov. rate data]]))</f>
        <v>0</v>
      </c>
      <c r="N269" s="72">
        <f>Tabella3[[#This Row],[Italy remov. rate fit]]/y_f_peak</f>
        <v>3.5226120275583797E-3</v>
      </c>
      <c r="O269" s="10">
        <f>Tabella3[[#This Row],[Italy (fit of selected region + fitted sum of the other regions)]]*NOT(ISBLANK(Tabella3[[#This Row],[Italy remov. rate data]]))</f>
        <v>0</v>
      </c>
      <c r="P269" s="10">
        <f>Tabella3[[#This Row],[Italy remov. rate fit]]*NOT(ISBLANK(Tabella3[[#This Row],[Italy remov. rate data]]))</f>
        <v>0</v>
      </c>
      <c r="Q269" s="72"/>
      <c r="R269" s="72"/>
      <c r="S269" s="131"/>
      <c r="T269" s="10"/>
      <c r="U269" s="10">
        <f>Tabella3[[#This Row],[region data]]*NOT(ISBLANK(Tabella3[[#This Row],[region data]]))</f>
        <v>0</v>
      </c>
      <c r="V269"/>
      <c r="W269" s="72">
        <f>Tabella3[[#This Row],[6-days moving avg]]*NOT(ISBLANK(Tabella3[[#This Row],[6-days moving avg]]))</f>
        <v>0</v>
      </c>
      <c r="X269" s="77" t="e">
        <f>Tabella8[[#This Row],[region fit]]</f>
        <v>#VALUE!</v>
      </c>
      <c r="Y269" s="72" t="e">
        <f>Tabella3[[#This Row],[region cumul. fit]]/Kl</f>
        <v>#VALUE!</v>
      </c>
      <c r="Z269" s="72">
        <f>IFERROR(Kl*psi_l*_xlfn.SECH(psi_l*(Tabella3[[#This Row],[Day]]-pl)-phi_l)^2/(1+TANH(phi_l)),0)</f>
        <v>2.9618421086578279</v>
      </c>
      <c r="AA269" s="72">
        <f>Tabella3[[#This Row],[region fit]]/y_l_peak</f>
        <v>2.0116454407360571E-2</v>
      </c>
      <c r="AB269" s="10">
        <f>Tabella3[[#This Row],[region fit]]*NOT(ISBLANK(Tabella3[[#This Row],[region data]]))</f>
        <v>0</v>
      </c>
      <c r="AC269" s="166">
        <f>IFERROR(kl_m*psi_l_m*_xlfn.SECH(psi_l_m*(Tabella3[[#This Row],[Day]]-pl_m)-phi_l_m)^2/(1+TANH(phi_l_m)),0)</f>
        <v>2.9618421086578279</v>
      </c>
      <c r="AD269" s="72">
        <f>Tabella3[[#This Row],[6-days moving avg fit]]*NOT(ISBLANK(Tabella3[[#This Row],[6-days moving avg]]))</f>
        <v>0</v>
      </c>
      <c r="AE269" s="131"/>
      <c r="AF269" s="131"/>
      <c r="AG269" s="131"/>
      <c r="AH269" s="10"/>
      <c r="AI269" s="10">
        <f>Tabella3[[#This Row],[rest of Italy data]]*NOT(ISBLANK(Tabella3[[#This Row],[rest of Italy data]]))</f>
        <v>0</v>
      </c>
      <c r="AJ269" s="77" t="e">
        <f>Tabella8[[#This Row],[rest of Italy fit]]</f>
        <v>#VALUE!</v>
      </c>
      <c r="AK269" s="72" t="e">
        <f>Tabella3[[#This Row],[rest of Italy cumul. fit]]/Ka</f>
        <v>#VALUE!</v>
      </c>
      <c r="AL269" s="72">
        <f>IFERROR(Ka*psi_a*_xlfn.SECH(psi_a*(Tabella3[[#This Row],[Day]]-pa)-phi_a)^2/(1+TANH(phi_a)),0)</f>
        <v>9.3359557520295962</v>
      </c>
      <c r="AM269" s="72">
        <f>Tabella3[[#This Row],[rest of Italy fit]]/y_a_peak</f>
        <v>3.0919408186059153E-3</v>
      </c>
      <c r="AN269" s="10">
        <f>Tabella3[[#This Row],[rest of Italy fit]]*NOT(ISBLANK(Tabella3[[#This Row],[rest of Italy data]]))</f>
        <v>0</v>
      </c>
      <c r="AO269" s="131"/>
      <c r="AP269" s="131"/>
    </row>
    <row r="270" spans="2:42" x14ac:dyDescent="0.3">
      <c r="B270" s="9">
        <v>44093</v>
      </c>
      <c r="C270" s="4">
        <v>263</v>
      </c>
      <c r="D270" s="131"/>
      <c r="E270" s="10"/>
      <c r="F270" s="10">
        <f>Tabella3[[#This Row],[Italy remov. rate data]]*NOT(ISBLANK(Tabella3[[#This Row],[Italy remov. rate data]]))</f>
        <v>0</v>
      </c>
      <c r="G270" s="77" t="e">
        <f>Tabella8[[#This Row],[Italy fit]]</f>
        <v>#VALUE!</v>
      </c>
      <c r="H270" s="77" t="e">
        <f>Tabella3[[#This Row],[Italy cumul. fit]]/Kf</f>
        <v>#VALUE!</v>
      </c>
      <c r="I270" s="77">
        <f>Tabella3[[#This Row],[region fit]]+Tabella3[[#This Row],[rest of Italy fit]]</f>
        <v>11.715690197299296</v>
      </c>
      <c r="J270" s="77">
        <f>Tabella3[[#This Row],[Italy (fit of selected region + fitted sum of the other regions)]]/(y_l_peak+y_a_peak)</f>
        <v>3.6996723290865009E-3</v>
      </c>
      <c r="K270" s="72">
        <f>IFERROR(Kf*psi_f*_xlfn.SECH(psi_f*(Tabella3[[#This Row],[Day]]-pf)-phi_f)^2/(1+TANH(phi_f)),0)</f>
        <v>10.580610126797797</v>
      </c>
      <c r="L270" s="292">
        <f>Tabella3[[#This Row],[Italy remov. rate fit]]-Tabella3[[#This Row],[Italy remov. rate data]]</f>
        <v>10.580610126797797</v>
      </c>
      <c r="M270" s="293">
        <f>Tabella3[[#This Row],[rem. rate residuals]]*NOT(ISBLANK(Tabella3[[#This Row],[Italy remov. rate data]]))</f>
        <v>0</v>
      </c>
      <c r="N270" s="72">
        <f>Tabella3[[#This Row],[Italy remov. rate fit]]/y_f_peak</f>
        <v>3.3493655509266762E-3</v>
      </c>
      <c r="O270" s="10">
        <f>Tabella3[[#This Row],[Italy (fit of selected region + fitted sum of the other regions)]]*NOT(ISBLANK(Tabella3[[#This Row],[Italy remov. rate data]]))</f>
        <v>0</v>
      </c>
      <c r="P270" s="10">
        <f>Tabella3[[#This Row],[Italy remov. rate fit]]*NOT(ISBLANK(Tabella3[[#This Row],[Italy remov. rate data]]))</f>
        <v>0</v>
      </c>
      <c r="Q270" s="72"/>
      <c r="R270" s="72"/>
      <c r="S270" s="131"/>
      <c r="T270" s="10"/>
      <c r="U270" s="10">
        <f>Tabella3[[#This Row],[region data]]*NOT(ISBLANK(Tabella3[[#This Row],[region data]]))</f>
        <v>0</v>
      </c>
      <c r="V270"/>
      <c r="W270" s="72">
        <f>Tabella3[[#This Row],[6-days moving avg]]*NOT(ISBLANK(Tabella3[[#This Row],[6-days moving avg]]))</f>
        <v>0</v>
      </c>
      <c r="X270" s="77" t="e">
        <f>Tabella8[[#This Row],[region fit]]</f>
        <v>#VALUE!</v>
      </c>
      <c r="Y270" s="72" t="e">
        <f>Tabella3[[#This Row],[region cumul. fit]]/Kl</f>
        <v>#VALUE!</v>
      </c>
      <c r="Z270" s="72">
        <f>IFERROR(Kl*psi_l*_xlfn.SECH(psi_l*(Tabella3[[#This Row],[Day]]-pl)-phi_l)^2/(1+TANH(phi_l)),0)</f>
        <v>2.8460231342535716</v>
      </c>
      <c r="AA270" s="72">
        <f>Tabella3[[#This Row],[region fit]]/y_l_peak</f>
        <v>1.9329826682911656E-2</v>
      </c>
      <c r="AB270" s="10">
        <f>Tabella3[[#This Row],[region fit]]*NOT(ISBLANK(Tabella3[[#This Row],[region data]]))</f>
        <v>0</v>
      </c>
      <c r="AC270" s="166">
        <f>IFERROR(kl_m*psi_l_m*_xlfn.SECH(psi_l_m*(Tabella3[[#This Row],[Day]]-pl_m)-phi_l_m)^2/(1+TANH(phi_l_m)),0)</f>
        <v>2.8460231342535716</v>
      </c>
      <c r="AD270" s="72">
        <f>Tabella3[[#This Row],[6-days moving avg fit]]*NOT(ISBLANK(Tabella3[[#This Row],[6-days moving avg]]))</f>
        <v>0</v>
      </c>
      <c r="AE270" s="131"/>
      <c r="AF270" s="131"/>
      <c r="AG270" s="131"/>
      <c r="AH270" s="10"/>
      <c r="AI270" s="10">
        <f>Tabella3[[#This Row],[rest of Italy data]]*NOT(ISBLANK(Tabella3[[#This Row],[rest of Italy data]]))</f>
        <v>0</v>
      </c>
      <c r="AJ270" s="77" t="e">
        <f>Tabella8[[#This Row],[rest of Italy fit]]</f>
        <v>#VALUE!</v>
      </c>
      <c r="AK270" s="72" t="e">
        <f>Tabella3[[#This Row],[rest of Italy cumul. fit]]/Ka</f>
        <v>#VALUE!</v>
      </c>
      <c r="AL270" s="72">
        <f>IFERROR(Ka*psi_a*_xlfn.SECH(psi_a*(Tabella3[[#This Row],[Day]]-pa)-phi_a)^2/(1+TANH(phi_a)),0)</f>
        <v>8.8696670630457248</v>
      </c>
      <c r="AM270" s="72">
        <f>Tabella3[[#This Row],[rest of Italy fit]]/y_a_peak</f>
        <v>2.9375123841727246E-3</v>
      </c>
      <c r="AN270" s="10">
        <f>Tabella3[[#This Row],[rest of Italy fit]]*NOT(ISBLANK(Tabella3[[#This Row],[rest of Italy data]]))</f>
        <v>0</v>
      </c>
      <c r="AO270" s="131"/>
      <c r="AP270" s="131"/>
    </row>
    <row r="271" spans="2:42" x14ac:dyDescent="0.3">
      <c r="B271" s="9">
        <v>44094</v>
      </c>
      <c r="C271" s="4">
        <v>264</v>
      </c>
      <c r="D271" s="131"/>
      <c r="E271" s="10"/>
      <c r="F271" s="10">
        <f>Tabella3[[#This Row],[Italy remov. rate data]]*NOT(ISBLANK(Tabella3[[#This Row],[Italy remov. rate data]]))</f>
        <v>0</v>
      </c>
      <c r="G271" s="77" t="e">
        <f>Tabella8[[#This Row],[Italy fit]]</f>
        <v>#VALUE!</v>
      </c>
      <c r="H271" s="77" t="e">
        <f>Tabella3[[#This Row],[Italy cumul. fit]]/Kf</f>
        <v>#VALUE!</v>
      </c>
      <c r="I271" s="77">
        <f>Tabella3[[#This Row],[region fit]]+Tabella3[[#This Row],[rest of Italy fit]]</f>
        <v>11.16132498956398</v>
      </c>
      <c r="J271" s="77">
        <f>Tabella3[[#This Row],[Italy (fit of selected region + fitted sum of the other regions)]]/(y_l_peak+y_a_peak)</f>
        <v>3.5246105457235857E-3</v>
      </c>
      <c r="K271" s="72">
        <f>IFERROR(Kf*psi_f*_xlfn.SECH(psi_f*(Tabella3[[#This Row],[Day]]-pf)-phi_f)^2/(1+TANH(phi_f)),0)</f>
        <v>10.060199446719745</v>
      </c>
      <c r="L271" s="292">
        <f>Tabella3[[#This Row],[Italy remov. rate fit]]-Tabella3[[#This Row],[Italy remov. rate data]]</f>
        <v>10.060199446719745</v>
      </c>
      <c r="M271" s="293">
        <f>Tabella3[[#This Row],[rem. rate residuals]]*NOT(ISBLANK(Tabella3[[#This Row],[Italy remov. rate data]]))</f>
        <v>0</v>
      </c>
      <c r="N271" s="72">
        <f>Tabella3[[#This Row],[Italy remov. rate fit]]/y_f_peak</f>
        <v>3.184625939193597E-3</v>
      </c>
      <c r="O271" s="10">
        <f>Tabella3[[#This Row],[Italy (fit of selected region + fitted sum of the other regions)]]*NOT(ISBLANK(Tabella3[[#This Row],[Italy remov. rate data]]))</f>
        <v>0</v>
      </c>
      <c r="P271" s="10">
        <f>Tabella3[[#This Row],[Italy remov. rate fit]]*NOT(ISBLANK(Tabella3[[#This Row],[Italy remov. rate data]]))</f>
        <v>0</v>
      </c>
      <c r="Q271" s="72"/>
      <c r="R271" s="72"/>
      <c r="S271" s="131"/>
      <c r="T271" s="10"/>
      <c r="U271" s="10">
        <f>Tabella3[[#This Row],[region data]]*NOT(ISBLANK(Tabella3[[#This Row],[region data]]))</f>
        <v>0</v>
      </c>
      <c r="V271"/>
      <c r="W271" s="72">
        <f>Tabella3[[#This Row],[6-days moving avg]]*NOT(ISBLANK(Tabella3[[#This Row],[6-days moving avg]]))</f>
        <v>0</v>
      </c>
      <c r="X271" s="77" t="e">
        <f>Tabella8[[#This Row],[region fit]]</f>
        <v>#VALUE!</v>
      </c>
      <c r="Y271" s="72" t="e">
        <f>Tabella3[[#This Row],[region cumul. fit]]/Kl</f>
        <v>#VALUE!</v>
      </c>
      <c r="Z271" s="72">
        <f>IFERROR(Kl*psi_l*_xlfn.SECH(psi_l*(Tabella3[[#This Row],[Day]]-pl)-phi_l)^2/(1+TANH(phi_l)),0)</f>
        <v>2.7346902038400689</v>
      </c>
      <c r="AA271" s="72">
        <f>Tabella3[[#This Row],[region fit]]/y_l_peak</f>
        <v>1.8573667597944099E-2</v>
      </c>
      <c r="AB271" s="10">
        <f>Tabella3[[#This Row],[region fit]]*NOT(ISBLANK(Tabella3[[#This Row],[region data]]))</f>
        <v>0</v>
      </c>
      <c r="AC271" s="166">
        <f>IFERROR(kl_m*psi_l_m*_xlfn.SECH(psi_l_m*(Tabella3[[#This Row],[Day]]-pl_m)-phi_l_m)^2/(1+TANH(phi_l_m)),0)</f>
        <v>2.7346902038400689</v>
      </c>
      <c r="AD271" s="72">
        <f>Tabella3[[#This Row],[6-days moving avg fit]]*NOT(ISBLANK(Tabella3[[#This Row],[6-days moving avg]]))</f>
        <v>0</v>
      </c>
      <c r="AE271" s="131"/>
      <c r="AF271" s="131"/>
      <c r="AG271" s="131"/>
      <c r="AH271" s="10"/>
      <c r="AI271" s="10">
        <f>Tabella3[[#This Row],[rest of Italy data]]*NOT(ISBLANK(Tabella3[[#This Row],[rest of Italy data]]))</f>
        <v>0</v>
      </c>
      <c r="AJ271" s="77" t="e">
        <f>Tabella8[[#This Row],[rest of Italy fit]]</f>
        <v>#VALUE!</v>
      </c>
      <c r="AK271" s="72" t="e">
        <f>Tabella3[[#This Row],[rest of Italy cumul. fit]]/Ka</f>
        <v>#VALUE!</v>
      </c>
      <c r="AL271" s="72">
        <f>IFERROR(Ka*psi_a*_xlfn.SECH(psi_a*(Tabella3[[#This Row],[Day]]-pa)-phi_a)^2/(1+TANH(phi_a)),0)</f>
        <v>8.4266347857239108</v>
      </c>
      <c r="AM271" s="72">
        <f>Tabella3[[#This Row],[rest of Italy fit]]/y_a_peak</f>
        <v>2.7907861551079117E-3</v>
      </c>
      <c r="AN271" s="10">
        <f>Tabella3[[#This Row],[rest of Italy fit]]*NOT(ISBLANK(Tabella3[[#This Row],[rest of Italy data]]))</f>
        <v>0</v>
      </c>
      <c r="AO271" s="131"/>
      <c r="AP271" s="131"/>
    </row>
    <row r="272" spans="2:42" x14ac:dyDescent="0.3">
      <c r="B272" s="9">
        <v>44095</v>
      </c>
      <c r="C272" s="4">
        <v>265</v>
      </c>
      <c r="D272" s="131"/>
      <c r="E272" s="10"/>
      <c r="F272" s="10">
        <f>Tabella3[[#This Row],[Italy remov. rate data]]*NOT(ISBLANK(Tabella3[[#This Row],[Italy remov. rate data]]))</f>
        <v>0</v>
      </c>
      <c r="G272" s="77" t="e">
        <f>Tabella8[[#This Row],[Italy fit]]</f>
        <v>#VALUE!</v>
      </c>
      <c r="H272" s="77" t="e">
        <f>Tabella3[[#This Row],[Italy cumul. fit]]/Kf</f>
        <v>#VALUE!</v>
      </c>
      <c r="I272" s="77">
        <f>Tabella3[[#This Row],[region fit]]+Tabella3[[#This Row],[rest of Italy fit]]</f>
        <v>10.63337503758356</v>
      </c>
      <c r="J272" s="77">
        <f>Tabella3[[#This Row],[Italy (fit of selected region + fitted sum of the other regions)]]/(y_l_peak+y_a_peak)</f>
        <v>3.3578903785297853E-3</v>
      </c>
      <c r="K272" s="72">
        <f>IFERROR(Kf*psi_f*_xlfn.SECH(psi_f*(Tabella3[[#This Row],[Day]]-pf)-phi_f)^2/(1+TANH(phi_f)),0)</f>
        <v>9.5653464517819895</v>
      </c>
      <c r="L272" s="292">
        <f>Tabella3[[#This Row],[Italy remov. rate fit]]-Tabella3[[#This Row],[Italy remov. rate data]]</f>
        <v>9.5653464517819895</v>
      </c>
      <c r="M272" s="293">
        <f>Tabella3[[#This Row],[rem. rate residuals]]*NOT(ISBLANK(Tabella3[[#This Row],[Italy remov. rate data]]))</f>
        <v>0</v>
      </c>
      <c r="N272" s="72">
        <f>Tabella3[[#This Row],[Italy remov. rate fit]]/y_f_peak</f>
        <v>3.0279767900278456E-3</v>
      </c>
      <c r="O272" s="10">
        <f>Tabella3[[#This Row],[Italy (fit of selected region + fitted sum of the other regions)]]*NOT(ISBLANK(Tabella3[[#This Row],[Italy remov. rate data]]))</f>
        <v>0</v>
      </c>
      <c r="P272" s="10">
        <f>Tabella3[[#This Row],[Italy remov. rate fit]]*NOT(ISBLANK(Tabella3[[#This Row],[Italy remov. rate data]]))</f>
        <v>0</v>
      </c>
      <c r="Q272" s="72"/>
      <c r="R272" s="72"/>
      <c r="S272" s="131"/>
      <c r="T272" s="10"/>
      <c r="U272" s="10">
        <f>Tabella3[[#This Row],[region data]]*NOT(ISBLANK(Tabella3[[#This Row],[region data]]))</f>
        <v>0</v>
      </c>
      <c r="V272"/>
      <c r="W272" s="72">
        <f>Tabella3[[#This Row],[6-days moving avg]]*NOT(ISBLANK(Tabella3[[#This Row],[6-days moving avg]]))</f>
        <v>0</v>
      </c>
      <c r="X272" s="77" t="e">
        <f>Tabella8[[#This Row],[region fit]]</f>
        <v>#VALUE!</v>
      </c>
      <c r="Y272" s="72" t="e">
        <f>Tabella3[[#This Row],[region cumul. fit]]/Kl</f>
        <v>#VALUE!</v>
      </c>
      <c r="Z272" s="72">
        <f>IFERROR(Kl*psi_l*_xlfn.SECH(psi_l*(Tabella3[[#This Row],[Day]]-pl)-phi_l)^2/(1+TANH(phi_l)),0)</f>
        <v>2.6276728667522704</v>
      </c>
      <c r="AA272" s="72">
        <f>Tabella3[[#This Row],[region fit]]/y_l_peak</f>
        <v>1.7846819473248017E-2</v>
      </c>
      <c r="AB272" s="10">
        <f>Tabella3[[#This Row],[region fit]]*NOT(ISBLANK(Tabella3[[#This Row],[region data]]))</f>
        <v>0</v>
      </c>
      <c r="AC272" s="166">
        <f>IFERROR(kl_m*psi_l_m*_xlfn.SECH(psi_l_m*(Tabella3[[#This Row],[Day]]-pl_m)-phi_l_m)^2/(1+TANH(phi_l_m)),0)</f>
        <v>2.6276728667522704</v>
      </c>
      <c r="AD272" s="72">
        <f>Tabella3[[#This Row],[6-days moving avg fit]]*NOT(ISBLANK(Tabella3[[#This Row],[6-days moving avg]]))</f>
        <v>0</v>
      </c>
      <c r="AE272" s="131"/>
      <c r="AF272" s="131"/>
      <c r="AG272" s="131"/>
      <c r="AH272" s="10"/>
      <c r="AI272" s="10">
        <f>Tabella3[[#This Row],[rest of Italy data]]*NOT(ISBLANK(Tabella3[[#This Row],[rest of Italy data]]))</f>
        <v>0</v>
      </c>
      <c r="AJ272" s="77" t="e">
        <f>Tabella8[[#This Row],[rest of Italy fit]]</f>
        <v>#VALUE!</v>
      </c>
      <c r="AK272" s="72" t="e">
        <f>Tabella3[[#This Row],[rest of Italy cumul. fit]]/Ka</f>
        <v>#VALUE!</v>
      </c>
      <c r="AL272" s="72">
        <f>IFERROR(Ka*psi_a*_xlfn.SECH(psi_a*(Tabella3[[#This Row],[Day]]-pa)-phi_a)^2/(1+TANH(phi_a)),0)</f>
        <v>8.0057021708312899</v>
      </c>
      <c r="AM272" s="72">
        <f>Tabella3[[#This Row],[rest of Italy fit]]/y_a_peak</f>
        <v>2.6513790318911934E-3</v>
      </c>
      <c r="AN272" s="10">
        <f>Tabella3[[#This Row],[rest of Italy fit]]*NOT(ISBLANK(Tabella3[[#This Row],[rest of Italy data]]))</f>
        <v>0</v>
      </c>
      <c r="AO272" s="131"/>
      <c r="AP272" s="131"/>
    </row>
    <row r="273" spans="2:42" x14ac:dyDescent="0.3">
      <c r="B273" s="9">
        <v>44096</v>
      </c>
      <c r="C273" s="4">
        <v>266</v>
      </c>
      <c r="D273" s="131"/>
      <c r="E273" s="10"/>
      <c r="F273" s="10">
        <f>Tabella3[[#This Row],[Italy remov. rate data]]*NOT(ISBLANK(Tabella3[[#This Row],[Italy remov. rate data]]))</f>
        <v>0</v>
      </c>
      <c r="G273" s="77" t="e">
        <f>Tabella8[[#This Row],[Italy fit]]</f>
        <v>#VALUE!</v>
      </c>
      <c r="H273" s="77" t="e">
        <f>Tabella3[[#This Row],[Italy cumul. fit]]/Kf</f>
        <v>#VALUE!</v>
      </c>
      <c r="I273" s="77">
        <f>Tabella3[[#This Row],[region fit]]+Tabella3[[#This Row],[rest of Italy fit]]</f>
        <v>10.130576587582889</v>
      </c>
      <c r="J273" s="77">
        <f>Tabella3[[#This Row],[Italy (fit of selected region + fitted sum of the other regions)]]/(y_l_peak+y_a_peak)</f>
        <v>3.1991127494487535E-3</v>
      </c>
      <c r="K273" s="72">
        <f>IFERROR(Kf*psi_f*_xlfn.SECH(psi_f*(Tabella3[[#This Row],[Day]]-pf)-phi_f)^2/(1+TANH(phi_f)),0)</f>
        <v>9.0947997225836108</v>
      </c>
      <c r="L273" s="292">
        <f>Tabella3[[#This Row],[Italy remov. rate fit]]-Tabella3[[#This Row],[Italy remov. rate data]]</f>
        <v>9.0947997225836108</v>
      </c>
      <c r="M273" s="293">
        <f>Tabella3[[#This Row],[rem. rate residuals]]*NOT(ISBLANK(Tabella3[[#This Row],[Italy remov. rate data]]))</f>
        <v>0</v>
      </c>
      <c r="N273" s="72">
        <f>Tabella3[[#This Row],[Italy remov. rate fit]]/y_f_peak</f>
        <v>2.8790219579348823E-3</v>
      </c>
      <c r="O273" s="10">
        <f>Tabella3[[#This Row],[Italy (fit of selected region + fitted sum of the other regions)]]*NOT(ISBLANK(Tabella3[[#This Row],[Italy remov. rate data]]))</f>
        <v>0</v>
      </c>
      <c r="P273" s="10">
        <f>Tabella3[[#This Row],[Italy remov. rate fit]]*NOT(ISBLANK(Tabella3[[#This Row],[Italy remov. rate data]]))</f>
        <v>0</v>
      </c>
      <c r="Q273" s="72"/>
      <c r="R273" s="72"/>
      <c r="S273" s="131"/>
      <c r="T273" s="10"/>
      <c r="U273" s="10">
        <f>Tabella3[[#This Row],[region data]]*NOT(ISBLANK(Tabella3[[#This Row],[region data]]))</f>
        <v>0</v>
      </c>
      <c r="V273"/>
      <c r="W273" s="72">
        <f>Tabella3[[#This Row],[6-days moving avg]]*NOT(ISBLANK(Tabella3[[#This Row],[6-days moving avg]]))</f>
        <v>0</v>
      </c>
      <c r="X273" s="77" t="e">
        <f>Tabella8[[#This Row],[region fit]]</f>
        <v>#VALUE!</v>
      </c>
      <c r="Y273" s="72" t="e">
        <f>Tabella3[[#This Row],[region cumul. fit]]/Kl</f>
        <v>#VALUE!</v>
      </c>
      <c r="Z273" s="72">
        <f>IFERROR(Kl*psi_l*_xlfn.SECH(psi_l*(Tabella3[[#This Row],[Day]]-pl)-phi_l)^2/(1+TANH(phi_l)),0)</f>
        <v>2.5248068928468888</v>
      </c>
      <c r="AA273" s="72">
        <f>Tabella3[[#This Row],[region fit]]/y_l_peak</f>
        <v>1.7148166878605129E-2</v>
      </c>
      <c r="AB273" s="10">
        <f>Tabella3[[#This Row],[region fit]]*NOT(ISBLANK(Tabella3[[#This Row],[region data]]))</f>
        <v>0</v>
      </c>
      <c r="AC273" s="166">
        <f>IFERROR(kl_m*psi_l_m*_xlfn.SECH(psi_l_m*(Tabella3[[#This Row],[Day]]-pl_m)-phi_l_m)^2/(1+TANH(phi_l_m)),0)</f>
        <v>2.5248068928468888</v>
      </c>
      <c r="AD273" s="72">
        <f>Tabella3[[#This Row],[6-days moving avg fit]]*NOT(ISBLANK(Tabella3[[#This Row],[6-days moving avg]]))</f>
        <v>0</v>
      </c>
      <c r="AE273" s="131"/>
      <c r="AF273" s="131"/>
      <c r="AG273" s="131"/>
      <c r="AH273" s="10"/>
      <c r="AI273" s="10">
        <f>Tabella3[[#This Row],[rest of Italy data]]*NOT(ISBLANK(Tabella3[[#This Row],[rest of Italy data]]))</f>
        <v>0</v>
      </c>
      <c r="AJ273" s="77" t="e">
        <f>Tabella8[[#This Row],[rest of Italy fit]]</f>
        <v>#VALUE!</v>
      </c>
      <c r="AK273" s="72" t="e">
        <f>Tabella3[[#This Row],[rest of Italy cumul. fit]]/Ka</f>
        <v>#VALUE!</v>
      </c>
      <c r="AL273" s="72">
        <f>IFERROR(Ka*psi_a*_xlfn.SECH(psi_a*(Tabella3[[#This Row],[Day]]-pa)-phi_a)^2/(1+TANH(phi_a)),0)</f>
        <v>7.6057696947359998</v>
      </c>
      <c r="AM273" s="72">
        <f>Tabella3[[#This Row],[rest of Italy fit]]/y_a_peak</f>
        <v>2.518926867338428E-3</v>
      </c>
      <c r="AN273" s="10">
        <f>Tabella3[[#This Row],[rest of Italy fit]]*NOT(ISBLANK(Tabella3[[#This Row],[rest of Italy data]]))</f>
        <v>0</v>
      </c>
      <c r="AO273" s="131"/>
      <c r="AP273" s="131"/>
    </row>
    <row r="274" spans="2:42" x14ac:dyDescent="0.3">
      <c r="B274" s="9">
        <v>44097</v>
      </c>
      <c r="C274" s="4">
        <v>267</v>
      </c>
      <c r="D274" s="131"/>
      <c r="E274" s="10"/>
      <c r="F274" s="10">
        <f>Tabella3[[#This Row],[Italy remov. rate data]]*NOT(ISBLANK(Tabella3[[#This Row],[Italy remov. rate data]]))</f>
        <v>0</v>
      </c>
      <c r="G274" s="77" t="e">
        <f>Tabella8[[#This Row],[Italy fit]]</f>
        <v>#VALUE!</v>
      </c>
      <c r="H274" s="77" t="e">
        <f>Tabella3[[#This Row],[Italy cumul. fit]]/Kf</f>
        <v>#VALUE!</v>
      </c>
      <c r="I274" s="77">
        <f>Tabella3[[#This Row],[region fit]]+Tabella3[[#This Row],[rest of Italy fit]]</f>
        <v>9.6517263241330564</v>
      </c>
      <c r="J274" s="77">
        <f>Tabella3[[#This Row],[Italy (fit of selected region + fitted sum of the other regions)]]/(y_l_peak+y_a_peak)</f>
        <v>3.0478976661180665E-3</v>
      </c>
      <c r="K274" s="72">
        <f>IFERROR(Kf*psi_f*_xlfn.SECH(psi_f*(Tabella3[[#This Row],[Day]]-pf)-phi_f)^2/(1+TANH(phi_f)),0)</f>
        <v>8.6473687560551031</v>
      </c>
      <c r="L274" s="292">
        <f>Tabella3[[#This Row],[Italy remov. rate fit]]-Tabella3[[#This Row],[Italy remov. rate data]]</f>
        <v>8.6473687560551031</v>
      </c>
      <c r="M274" s="293">
        <f>Tabella3[[#This Row],[rem. rate residuals]]*NOT(ISBLANK(Tabella3[[#This Row],[Italy remov. rate data]]))</f>
        <v>0</v>
      </c>
      <c r="N274" s="72">
        <f>Tabella3[[#This Row],[Italy remov. rate fit]]/y_f_peak</f>
        <v>2.7373845809075554E-3</v>
      </c>
      <c r="O274" s="10">
        <f>Tabella3[[#This Row],[Italy (fit of selected region + fitted sum of the other regions)]]*NOT(ISBLANK(Tabella3[[#This Row],[Italy remov. rate data]]))</f>
        <v>0</v>
      </c>
      <c r="P274" s="10">
        <f>Tabella3[[#This Row],[Italy remov. rate fit]]*NOT(ISBLANK(Tabella3[[#This Row],[Italy remov. rate data]]))</f>
        <v>0</v>
      </c>
      <c r="Q274" s="72"/>
      <c r="R274" s="72"/>
      <c r="S274" s="131"/>
      <c r="T274" s="10"/>
      <c r="U274" s="10">
        <f>Tabella3[[#This Row],[region data]]*NOT(ISBLANK(Tabella3[[#This Row],[region data]]))</f>
        <v>0</v>
      </c>
      <c r="V274"/>
      <c r="W274" s="72">
        <f>Tabella3[[#This Row],[6-days moving avg]]*NOT(ISBLANK(Tabella3[[#This Row],[6-days moving avg]]))</f>
        <v>0</v>
      </c>
      <c r="X274" s="77" t="e">
        <f>Tabella8[[#This Row],[region fit]]</f>
        <v>#VALUE!</v>
      </c>
      <c r="Y274" s="72" t="e">
        <f>Tabella3[[#This Row],[region cumul. fit]]/Kl</f>
        <v>#VALUE!</v>
      </c>
      <c r="Z274" s="72">
        <f>IFERROR(Kl*psi_l*_xlfn.SECH(psi_l*(Tabella3[[#This Row],[Day]]-pl)-phi_l)^2/(1+TANH(phi_l)),0)</f>
        <v>2.4259340654745207</v>
      </c>
      <c r="AA274" s="72">
        <f>Tabella3[[#This Row],[region fit]]/y_l_peak</f>
        <v>1.6476635226681798E-2</v>
      </c>
      <c r="AB274" s="10">
        <f>Tabella3[[#This Row],[region fit]]*NOT(ISBLANK(Tabella3[[#This Row],[region data]]))</f>
        <v>0</v>
      </c>
      <c r="AC274" s="166">
        <f>IFERROR(kl_m*psi_l_m*_xlfn.SECH(psi_l_m*(Tabella3[[#This Row],[Day]]-pl_m)-phi_l_m)^2/(1+TANH(phi_l_m)),0)</f>
        <v>2.4259340654745207</v>
      </c>
      <c r="AD274" s="72">
        <f>Tabella3[[#This Row],[6-days moving avg fit]]*NOT(ISBLANK(Tabella3[[#This Row],[6-days moving avg]]))</f>
        <v>0</v>
      </c>
      <c r="AE274" s="131"/>
      <c r="AF274" s="131"/>
      <c r="AG274" s="131"/>
      <c r="AH274" s="10"/>
      <c r="AI274" s="10">
        <f>Tabella3[[#This Row],[rest of Italy data]]*NOT(ISBLANK(Tabella3[[#This Row],[rest of Italy data]]))</f>
        <v>0</v>
      </c>
      <c r="AJ274" s="77" t="e">
        <f>Tabella8[[#This Row],[rest of Italy fit]]</f>
        <v>#VALUE!</v>
      </c>
      <c r="AK274" s="72" t="e">
        <f>Tabella3[[#This Row],[rest of Italy cumul. fit]]/Ka</f>
        <v>#VALUE!</v>
      </c>
      <c r="AL274" s="72">
        <f>IFERROR(Ka*psi_a*_xlfn.SECH(psi_a*(Tabella3[[#This Row],[Day]]-pa)-phi_a)^2/(1+TANH(phi_a)),0)</f>
        <v>7.2257922586585357</v>
      </c>
      <c r="AM274" s="72">
        <f>Tabella3[[#This Row],[rest of Italy fit]]/y_a_peak</f>
        <v>2.3930835390319804E-3</v>
      </c>
      <c r="AN274" s="10">
        <f>Tabella3[[#This Row],[rest of Italy fit]]*NOT(ISBLANK(Tabella3[[#This Row],[rest of Italy data]]))</f>
        <v>0</v>
      </c>
      <c r="AO274" s="131"/>
      <c r="AP274" s="131"/>
    </row>
    <row r="275" spans="2:42" x14ac:dyDescent="0.3">
      <c r="B275" s="9">
        <v>44098</v>
      </c>
      <c r="C275" s="4">
        <v>268</v>
      </c>
      <c r="D275" s="131"/>
      <c r="E275" s="10"/>
      <c r="F275" s="10">
        <f>Tabella3[[#This Row],[Italy remov. rate data]]*NOT(ISBLANK(Tabella3[[#This Row],[Italy remov. rate data]]))</f>
        <v>0</v>
      </c>
      <c r="G275" s="77" t="e">
        <f>Tabella8[[#This Row],[Italy fit]]</f>
        <v>#VALUE!</v>
      </c>
      <c r="H275" s="77" t="e">
        <f>Tabella3[[#This Row],[Italy cumul. fit]]/Kf</f>
        <v>#VALUE!</v>
      </c>
      <c r="I275" s="77">
        <f>Tabella3[[#This Row],[region fit]]+Tabella3[[#This Row],[rest of Italy fit]]</f>
        <v>9.1956785017704625</v>
      </c>
      <c r="J275" s="77">
        <f>Tabella3[[#This Row],[Italy (fit of selected region + fitted sum of the other regions)]]/(y_l_peak+y_a_peak)</f>
        <v>2.903883316069447E-3</v>
      </c>
      <c r="K275" s="72">
        <f>IFERROR(Kf*psi_f*_xlfn.SECH(psi_f*(Tabella3[[#This Row],[Day]]-pf)-phi_f)^2/(1+TANH(phi_f)),0)</f>
        <v>8.2219210347134872</v>
      </c>
      <c r="L275" s="292">
        <f>Tabella3[[#This Row],[Italy remov. rate fit]]-Tabella3[[#This Row],[Italy remov. rate data]]</f>
        <v>8.2219210347134872</v>
      </c>
      <c r="M275" s="293">
        <f>Tabella3[[#This Row],[rem. rate residuals]]*NOT(ISBLANK(Tabella3[[#This Row],[Italy remov. rate data]]))</f>
        <v>0</v>
      </c>
      <c r="N275" s="72">
        <f>Tabella3[[#This Row],[Italy remov. rate fit]]/y_f_peak</f>
        <v>2.6027061526784712E-3</v>
      </c>
      <c r="O275" s="10">
        <f>Tabella3[[#This Row],[Italy (fit of selected region + fitted sum of the other regions)]]*NOT(ISBLANK(Tabella3[[#This Row],[Italy remov. rate data]]))</f>
        <v>0</v>
      </c>
      <c r="P275" s="10">
        <f>Tabella3[[#This Row],[Italy remov. rate fit]]*NOT(ISBLANK(Tabella3[[#This Row],[Italy remov. rate data]]))</f>
        <v>0</v>
      </c>
      <c r="Q275" s="72"/>
      <c r="R275" s="72"/>
      <c r="S275" s="131"/>
      <c r="T275" s="10"/>
      <c r="U275" s="10">
        <f>Tabella3[[#This Row],[region data]]*NOT(ISBLANK(Tabella3[[#This Row],[region data]]))</f>
        <v>0</v>
      </c>
      <c r="V275"/>
      <c r="W275" s="72">
        <f>Tabella3[[#This Row],[6-days moving avg]]*NOT(ISBLANK(Tabella3[[#This Row],[6-days moving avg]]))</f>
        <v>0</v>
      </c>
      <c r="X275" s="77" t="e">
        <f>Tabella8[[#This Row],[region fit]]</f>
        <v>#VALUE!</v>
      </c>
      <c r="Y275" s="72" t="e">
        <f>Tabella3[[#This Row],[region cumul. fit]]/Kl</f>
        <v>#VALUE!</v>
      </c>
      <c r="Z275" s="72">
        <f>IFERROR(Kl*psi_l*_xlfn.SECH(psi_l*(Tabella3[[#This Row],[Day]]-pl)-phi_l)^2/(1+TANH(phi_l)),0)</f>
        <v>2.3309019797378281</v>
      </c>
      <c r="AA275" s="72">
        <f>Tabella3[[#This Row],[region fit]]/y_l_peak</f>
        <v>1.5831189402824273E-2</v>
      </c>
      <c r="AB275" s="10">
        <f>Tabella3[[#This Row],[region fit]]*NOT(ISBLANK(Tabella3[[#This Row],[region data]]))</f>
        <v>0</v>
      </c>
      <c r="AC275" s="166">
        <f>IFERROR(kl_m*psi_l_m*_xlfn.SECH(psi_l_m*(Tabella3[[#This Row],[Day]]-pl_m)-phi_l_m)^2/(1+TANH(phi_l_m)),0)</f>
        <v>2.3309019797378281</v>
      </c>
      <c r="AD275" s="72">
        <f>Tabella3[[#This Row],[6-days moving avg fit]]*NOT(ISBLANK(Tabella3[[#This Row],[6-days moving avg]]))</f>
        <v>0</v>
      </c>
      <c r="AE275" s="131"/>
      <c r="AF275" s="131"/>
      <c r="AG275" s="131"/>
      <c r="AH275" s="10"/>
      <c r="AI275" s="10">
        <f>Tabella3[[#This Row],[rest of Italy data]]*NOT(ISBLANK(Tabella3[[#This Row],[rest of Italy data]]))</f>
        <v>0</v>
      </c>
      <c r="AJ275" s="77" t="e">
        <f>Tabella8[[#This Row],[rest of Italy fit]]</f>
        <v>#VALUE!</v>
      </c>
      <c r="AK275" s="72" t="e">
        <f>Tabella3[[#This Row],[rest of Italy cumul. fit]]/Ka</f>
        <v>#VALUE!</v>
      </c>
      <c r="AL275" s="72">
        <f>IFERROR(Ka*psi_a*_xlfn.SECH(psi_a*(Tabella3[[#This Row],[Day]]-pa)-phi_a)^2/(1+TANH(phi_a)),0)</f>
        <v>6.8647765220326349</v>
      </c>
      <c r="AM275" s="72">
        <f>Tabella3[[#This Row],[rest of Italy fit]]/y_a_peak</f>
        <v>2.2735200661663296E-3</v>
      </c>
      <c r="AN275" s="10">
        <f>Tabella3[[#This Row],[rest of Italy fit]]*NOT(ISBLANK(Tabella3[[#This Row],[rest of Italy data]]))</f>
        <v>0</v>
      </c>
      <c r="AO275" s="131"/>
      <c r="AP275" s="131"/>
    </row>
    <row r="276" spans="2:42" x14ac:dyDescent="0.3">
      <c r="B276" s="9">
        <v>44099</v>
      </c>
      <c r="C276" s="4">
        <v>269</v>
      </c>
      <c r="D276" s="131"/>
      <c r="E276" s="10"/>
      <c r="F276" s="10">
        <f>Tabella3[[#This Row],[Italy remov. rate data]]*NOT(ISBLANK(Tabella3[[#This Row],[Italy remov. rate data]]))</f>
        <v>0</v>
      </c>
      <c r="G276" s="77" t="e">
        <f>Tabella8[[#This Row],[Italy fit]]</f>
        <v>#VALUE!</v>
      </c>
      <c r="H276" s="77" t="e">
        <f>Tabella3[[#This Row],[Italy cumul. fit]]/Kf</f>
        <v>#VALUE!</v>
      </c>
      <c r="I276" s="77">
        <f>Tabella3[[#This Row],[region fit]]+Tabella3[[#This Row],[rest of Italy fit]]</f>
        <v>8.7613422098864291</v>
      </c>
      <c r="J276" s="77">
        <f>Tabella3[[#This Row],[Italy (fit of selected region + fitted sum of the other regions)]]/(y_l_peak+y_a_peak)</f>
        <v>2.7667252030142025E-3</v>
      </c>
      <c r="K276" s="72">
        <f>IFERROR(Kf*psi_f*_xlfn.SECH(psi_f*(Tabella3[[#This Row],[Day]]-pf)-phi_f)^2/(1+TANH(phi_f)),0)</f>
        <v>7.817379233583563</v>
      </c>
      <c r="L276" s="292">
        <f>Tabella3[[#This Row],[Italy remov. rate fit]]-Tabella3[[#This Row],[Italy remov. rate data]]</f>
        <v>7.817379233583563</v>
      </c>
      <c r="M276" s="293">
        <f>Tabella3[[#This Row],[rem. rate residuals]]*NOT(ISBLANK(Tabella3[[#This Row],[Italy remov. rate data]]))</f>
        <v>0</v>
      </c>
      <c r="N276" s="72">
        <f>Tabella3[[#This Row],[Italy remov. rate fit]]/y_f_peak</f>
        <v>2.4746456385515343E-3</v>
      </c>
      <c r="O276" s="10">
        <f>Tabella3[[#This Row],[Italy (fit of selected region + fitted sum of the other regions)]]*NOT(ISBLANK(Tabella3[[#This Row],[Italy remov. rate data]]))</f>
        <v>0</v>
      </c>
      <c r="P276" s="10">
        <f>Tabella3[[#This Row],[Italy remov. rate fit]]*NOT(ISBLANK(Tabella3[[#This Row],[Italy remov. rate data]]))</f>
        <v>0</v>
      </c>
      <c r="Q276" s="72"/>
      <c r="R276" s="72"/>
      <c r="S276" s="131"/>
      <c r="T276" s="10"/>
      <c r="U276" s="10">
        <f>Tabella3[[#This Row],[region data]]*NOT(ISBLANK(Tabella3[[#This Row],[region data]]))</f>
        <v>0</v>
      </c>
      <c r="V276"/>
      <c r="W276" s="72">
        <f>Tabella3[[#This Row],[6-days moving avg]]*NOT(ISBLANK(Tabella3[[#This Row],[6-days moving avg]]))</f>
        <v>0</v>
      </c>
      <c r="X276" s="77" t="e">
        <f>Tabella8[[#This Row],[region fit]]</f>
        <v>#VALUE!</v>
      </c>
      <c r="Y276" s="72" t="e">
        <f>Tabella3[[#This Row],[region cumul. fit]]/Kl</f>
        <v>#VALUE!</v>
      </c>
      <c r="Z276" s="72">
        <f>IFERROR(Kl*psi_l*_xlfn.SECH(psi_l*(Tabella3[[#This Row],[Day]]-pl)-phi_l)^2/(1+TANH(phi_l)),0)</f>
        <v>2.239563846039514</v>
      </c>
      <c r="AA276" s="72">
        <f>Tabella3[[#This Row],[region fit]]/y_l_peak</f>
        <v>1.5210832430781572E-2</v>
      </c>
      <c r="AB276" s="10">
        <f>Tabella3[[#This Row],[region fit]]*NOT(ISBLANK(Tabella3[[#This Row],[region data]]))</f>
        <v>0</v>
      </c>
      <c r="AC276" s="166">
        <f>IFERROR(kl_m*psi_l_m*_xlfn.SECH(psi_l_m*(Tabella3[[#This Row],[Day]]-pl_m)-phi_l_m)^2/(1+TANH(phi_l_m)),0)</f>
        <v>2.239563846039514</v>
      </c>
      <c r="AD276" s="72">
        <f>Tabella3[[#This Row],[6-days moving avg fit]]*NOT(ISBLANK(Tabella3[[#This Row],[6-days moving avg]]))</f>
        <v>0</v>
      </c>
      <c r="AE276" s="131"/>
      <c r="AF276" s="131"/>
      <c r="AG276" s="131"/>
      <c r="AH276" s="10"/>
      <c r="AI276" s="10">
        <f>Tabella3[[#This Row],[rest of Italy data]]*NOT(ISBLANK(Tabella3[[#This Row],[rest of Italy data]]))</f>
        <v>0</v>
      </c>
      <c r="AJ276" s="77" t="e">
        <f>Tabella8[[#This Row],[rest of Italy fit]]</f>
        <v>#VALUE!</v>
      </c>
      <c r="AK276" s="72" t="e">
        <f>Tabella3[[#This Row],[rest of Italy cumul. fit]]/Ka</f>
        <v>#VALUE!</v>
      </c>
      <c r="AL276" s="72">
        <f>IFERROR(Ka*psi_a*_xlfn.SECH(psi_a*(Tabella3[[#This Row],[Day]]-pa)-phi_a)^2/(1+TANH(phi_a)),0)</f>
        <v>6.5217783638469156</v>
      </c>
      <c r="AM276" s="72">
        <f>Tabella3[[#This Row],[rest of Italy fit]]/y_a_peak</f>
        <v>2.159923768779153E-3</v>
      </c>
      <c r="AN276" s="10">
        <f>Tabella3[[#This Row],[rest of Italy fit]]*NOT(ISBLANK(Tabella3[[#This Row],[rest of Italy data]]))</f>
        <v>0</v>
      </c>
      <c r="AO276" s="131"/>
      <c r="AP276" s="131"/>
    </row>
    <row r="277" spans="2:42" x14ac:dyDescent="0.3">
      <c r="B277" s="9">
        <v>44100</v>
      </c>
      <c r="C277" s="4">
        <v>270</v>
      </c>
      <c r="D277" s="131"/>
      <c r="E277" s="10"/>
      <c r="F277" s="10">
        <f>Tabella3[[#This Row],[Italy remov. rate data]]*NOT(ISBLANK(Tabella3[[#This Row],[Italy remov. rate data]]))</f>
        <v>0</v>
      </c>
      <c r="G277" s="77" t="e">
        <f>Tabella8[[#This Row],[Italy fit]]</f>
        <v>#VALUE!</v>
      </c>
      <c r="H277" s="77" t="e">
        <f>Tabella3[[#This Row],[Italy cumul. fit]]/Kf</f>
        <v>#VALUE!</v>
      </c>
      <c r="I277" s="77">
        <f>Tabella3[[#This Row],[region fit]]+Tabella3[[#This Row],[rest of Italy fit]]</f>
        <v>8.3476787649977098</v>
      </c>
      <c r="J277" s="77">
        <f>Tabella3[[#This Row],[Italy (fit of selected region + fitted sum of the other regions)]]/(y_l_peak+y_a_peak)</f>
        <v>2.6360953233540022E-3</v>
      </c>
      <c r="K277" s="72">
        <f>IFERROR(Kf*psi_f*_xlfn.SECH(psi_f*(Tabella3[[#This Row],[Day]]-pf)-phi_f)^2/(1+TANH(phi_f)),0)</f>
        <v>7.4327185586436002</v>
      </c>
      <c r="L277" s="292">
        <f>Tabella3[[#This Row],[Italy remov. rate fit]]-Tabella3[[#This Row],[Italy remov. rate data]]</f>
        <v>7.4327185586436002</v>
      </c>
      <c r="M277" s="293">
        <f>Tabella3[[#This Row],[rem. rate residuals]]*NOT(ISBLANK(Tabella3[[#This Row],[Italy remov. rate data]]))</f>
        <v>0</v>
      </c>
      <c r="N277" s="72">
        <f>Tabella3[[#This Row],[Italy remov. rate fit]]/y_f_peak</f>
        <v>2.3528786328684665E-3</v>
      </c>
      <c r="O277" s="10">
        <f>Tabella3[[#This Row],[Italy (fit of selected region + fitted sum of the other regions)]]*NOT(ISBLANK(Tabella3[[#This Row],[Italy remov. rate data]]))</f>
        <v>0</v>
      </c>
      <c r="P277" s="10">
        <f>Tabella3[[#This Row],[Italy remov. rate fit]]*NOT(ISBLANK(Tabella3[[#This Row],[Italy remov. rate data]]))</f>
        <v>0</v>
      </c>
      <c r="Q277" s="72"/>
      <c r="R277" s="72"/>
      <c r="S277" s="131"/>
      <c r="T277" s="10"/>
      <c r="U277" s="10">
        <f>Tabella3[[#This Row],[region data]]*NOT(ISBLANK(Tabella3[[#This Row],[region data]]))</f>
        <v>0</v>
      </c>
      <c r="V277"/>
      <c r="W277" s="72">
        <f>Tabella3[[#This Row],[6-days moving avg]]*NOT(ISBLANK(Tabella3[[#This Row],[6-days moving avg]]))</f>
        <v>0</v>
      </c>
      <c r="X277" s="77" t="e">
        <f>Tabella8[[#This Row],[region fit]]</f>
        <v>#VALUE!</v>
      </c>
      <c r="Y277" s="72" t="e">
        <f>Tabella3[[#This Row],[region cumul. fit]]/Kl</f>
        <v>#VALUE!</v>
      </c>
      <c r="Z277" s="72">
        <f>IFERROR(Kl*psi_l*_xlfn.SECH(psi_l*(Tabella3[[#This Row],[Day]]-pl)-phi_l)^2/(1+TANH(phi_l)),0)</f>
        <v>2.1517782989085408</v>
      </c>
      <c r="AA277" s="72">
        <f>Tabella3[[#This Row],[region fit]]/y_l_peak</f>
        <v>1.4614604174277493E-2</v>
      </c>
      <c r="AB277" s="10">
        <f>Tabella3[[#This Row],[region fit]]*NOT(ISBLANK(Tabella3[[#This Row],[region data]]))</f>
        <v>0</v>
      </c>
      <c r="AC277" s="166">
        <f>IFERROR(kl_m*psi_l_m*_xlfn.SECH(psi_l_m*(Tabella3[[#This Row],[Day]]-pl_m)-phi_l_m)^2/(1+TANH(phi_l_m)),0)</f>
        <v>2.1517782989085408</v>
      </c>
      <c r="AD277" s="72">
        <f>Tabella3[[#This Row],[6-days moving avg fit]]*NOT(ISBLANK(Tabella3[[#This Row],[6-days moving avg]]))</f>
        <v>0</v>
      </c>
      <c r="AE277" s="131"/>
      <c r="AF277" s="131"/>
      <c r="AG277" s="131"/>
      <c r="AH277" s="10"/>
      <c r="AI277" s="10">
        <f>Tabella3[[#This Row],[rest of Italy data]]*NOT(ISBLANK(Tabella3[[#This Row],[rest of Italy data]]))</f>
        <v>0</v>
      </c>
      <c r="AJ277" s="77" t="e">
        <f>Tabella8[[#This Row],[rest of Italy fit]]</f>
        <v>#VALUE!</v>
      </c>
      <c r="AK277" s="72" t="e">
        <f>Tabella3[[#This Row],[rest of Italy cumul. fit]]/Ka</f>
        <v>#VALUE!</v>
      </c>
      <c r="AL277" s="72">
        <f>IFERROR(Ka*psi_a*_xlfn.SECH(psi_a*(Tabella3[[#This Row],[Day]]-pa)-phi_a)^2/(1+TANH(phi_a)),0)</f>
        <v>6.1959004660891681</v>
      </c>
      <c r="AM277" s="72">
        <f>Tabella3[[#This Row],[rest of Italy fit]]/y_a_peak</f>
        <v>2.0519974674211355E-3</v>
      </c>
      <c r="AN277" s="10">
        <f>Tabella3[[#This Row],[rest of Italy fit]]*NOT(ISBLANK(Tabella3[[#This Row],[rest of Italy data]]))</f>
        <v>0</v>
      </c>
      <c r="AO277" s="131"/>
      <c r="AP277" s="131"/>
    </row>
    <row r="278" spans="2:42" x14ac:dyDescent="0.3">
      <c r="B278" s="9">
        <v>44101</v>
      </c>
      <c r="C278" s="4">
        <v>271</v>
      </c>
      <c r="D278" s="131"/>
      <c r="E278" s="10"/>
      <c r="F278" s="10">
        <f>Tabella3[[#This Row],[Italy remov. rate data]]*NOT(ISBLANK(Tabella3[[#This Row],[Italy remov. rate data]]))</f>
        <v>0</v>
      </c>
      <c r="G278" s="77" t="e">
        <f>Tabella8[[#This Row],[Italy fit]]</f>
        <v>#VALUE!</v>
      </c>
      <c r="H278" s="77" t="e">
        <f>Tabella3[[#This Row],[Italy cumul. fit]]/Kf</f>
        <v>#VALUE!</v>
      </c>
      <c r="I278" s="77">
        <f>Tabella3[[#This Row],[region fit]]+Tabella3[[#This Row],[rest of Italy fit]]</f>
        <v>7.953699224737889</v>
      </c>
      <c r="J278" s="77">
        <f>Tabella3[[#This Row],[Italy (fit of selected region + fitted sum of the other regions)]]/(y_l_peak+y_a_peak)</f>
        <v>2.5116813811296265E-3</v>
      </c>
      <c r="K278" s="72">
        <f>IFERROR(Kf*psi_f*_xlfn.SECH(psi_f*(Tabella3[[#This Row],[Day]]-pf)-phi_f)^2/(1+TANH(phi_f)),0)</f>
        <v>7.0669642108954065</v>
      </c>
      <c r="L278" s="292">
        <f>Tabella3[[#This Row],[Italy remov. rate fit]]-Tabella3[[#This Row],[Italy remov. rate data]]</f>
        <v>7.0669642108954065</v>
      </c>
      <c r="M278" s="293">
        <f>Tabella3[[#This Row],[rem. rate residuals]]*NOT(ISBLANK(Tabella3[[#This Row],[Italy remov. rate data]]))</f>
        <v>0</v>
      </c>
      <c r="N278" s="72">
        <f>Tabella3[[#This Row],[Italy remov. rate fit]]/y_f_peak</f>
        <v>2.2370965562425872E-3</v>
      </c>
      <c r="O278" s="10">
        <f>Tabella3[[#This Row],[Italy (fit of selected region + fitted sum of the other regions)]]*NOT(ISBLANK(Tabella3[[#This Row],[Italy remov. rate data]]))</f>
        <v>0</v>
      </c>
      <c r="P278" s="10">
        <f>Tabella3[[#This Row],[Italy remov. rate fit]]*NOT(ISBLANK(Tabella3[[#This Row],[Italy remov. rate data]]))</f>
        <v>0</v>
      </c>
      <c r="Q278" s="72"/>
      <c r="R278" s="72"/>
      <c r="S278" s="131"/>
      <c r="T278" s="10"/>
      <c r="U278" s="10">
        <f>Tabella3[[#This Row],[region data]]*NOT(ISBLANK(Tabella3[[#This Row],[region data]]))</f>
        <v>0</v>
      </c>
      <c r="V278"/>
      <c r="W278" s="72">
        <f>Tabella3[[#This Row],[6-days moving avg]]*NOT(ISBLANK(Tabella3[[#This Row],[6-days moving avg]]))</f>
        <v>0</v>
      </c>
      <c r="X278" s="77" t="e">
        <f>Tabella8[[#This Row],[region fit]]</f>
        <v>#VALUE!</v>
      </c>
      <c r="Y278" s="72" t="e">
        <f>Tabella3[[#This Row],[region cumul. fit]]/Kl</f>
        <v>#VALUE!</v>
      </c>
      <c r="Z278" s="72">
        <f>IFERROR(Kl*psi_l*_xlfn.SECH(psi_l*(Tabella3[[#This Row],[Day]]-pl)-phi_l)^2/(1+TANH(phi_l)),0)</f>
        <v>2.0674092110793061</v>
      </c>
      <c r="AA278" s="72">
        <f>Tabella3[[#This Row],[region fit]]/y_l_peak</f>
        <v>1.4041580074260056E-2</v>
      </c>
      <c r="AB278" s="10">
        <f>Tabella3[[#This Row],[region fit]]*NOT(ISBLANK(Tabella3[[#This Row],[region data]]))</f>
        <v>0</v>
      </c>
      <c r="AC278" s="166">
        <f>IFERROR(kl_m*psi_l_m*_xlfn.SECH(psi_l_m*(Tabella3[[#This Row],[Day]]-pl_m)-phi_l_m)^2/(1+TANH(phi_l_m)),0)</f>
        <v>2.0674092110793061</v>
      </c>
      <c r="AD278" s="72">
        <f>Tabella3[[#This Row],[6-days moving avg fit]]*NOT(ISBLANK(Tabella3[[#This Row],[6-days moving avg]]))</f>
        <v>0</v>
      </c>
      <c r="AE278" s="131"/>
      <c r="AF278" s="131"/>
      <c r="AG278" s="131"/>
      <c r="AH278" s="10"/>
      <c r="AI278" s="10">
        <f>Tabella3[[#This Row],[rest of Italy data]]*NOT(ISBLANK(Tabella3[[#This Row],[rest of Italy data]]))</f>
        <v>0</v>
      </c>
      <c r="AJ278" s="77" t="e">
        <f>Tabella8[[#This Row],[rest of Italy fit]]</f>
        <v>#VALUE!</v>
      </c>
      <c r="AK278" s="72" t="e">
        <f>Tabella3[[#This Row],[rest of Italy cumul. fit]]/Ka</f>
        <v>#VALUE!</v>
      </c>
      <c r="AL278" s="72">
        <f>IFERROR(Ka*psi_a*_xlfn.SECH(psi_a*(Tabella3[[#This Row],[Day]]-pa)-phi_a)^2/(1+TANH(phi_a)),0)</f>
        <v>5.8862900136585834</v>
      </c>
      <c r="AM278" s="72">
        <f>Tabella3[[#This Row],[rest of Italy fit]]/y_a_peak</f>
        <v>1.9494587213983667E-3</v>
      </c>
      <c r="AN278" s="10">
        <f>Tabella3[[#This Row],[rest of Italy fit]]*NOT(ISBLANK(Tabella3[[#This Row],[rest of Italy data]]))</f>
        <v>0</v>
      </c>
      <c r="AO278" s="131"/>
      <c r="AP278" s="131"/>
    </row>
    <row r="279" spans="2:42" x14ac:dyDescent="0.3">
      <c r="B279" s="9">
        <v>44102</v>
      </c>
      <c r="C279" s="4">
        <v>272</v>
      </c>
      <c r="D279" s="131"/>
      <c r="E279" s="10"/>
      <c r="F279" s="10">
        <f>Tabella3[[#This Row],[Italy remov. rate data]]*NOT(ISBLANK(Tabella3[[#This Row],[Italy remov. rate data]]))</f>
        <v>0</v>
      </c>
      <c r="G279" s="77" t="e">
        <f>Tabella8[[#This Row],[Italy fit]]</f>
        <v>#VALUE!</v>
      </c>
      <c r="H279" s="77" t="e">
        <f>Tabella3[[#This Row],[Italy cumul. fit]]/Kf</f>
        <v>#VALUE!</v>
      </c>
      <c r="I279" s="77">
        <f>Tabella3[[#This Row],[region fit]]+Tabella3[[#This Row],[rest of Italy fit]]</f>
        <v>7.5784620181338198</v>
      </c>
      <c r="J279" s="77">
        <f>Tabella3[[#This Row],[Italy (fit of selected region + fitted sum of the other regions)]]/(y_l_peak+y_a_peak)</f>
        <v>2.3931860396911161E-3</v>
      </c>
      <c r="K279" s="72">
        <f>IFERROR(Kf*psi_f*_xlfn.SECH(psi_f*(Tabella3[[#This Row],[Day]]-pf)-phi_f)^2/(1+TANH(phi_f)),0)</f>
        <v>6.7191889703944305</v>
      </c>
      <c r="L279" s="292">
        <f>Tabella3[[#This Row],[Italy remov. rate fit]]-Tabella3[[#This Row],[Italy remov. rate data]]</f>
        <v>6.7191889703944305</v>
      </c>
      <c r="M279" s="293">
        <f>Tabella3[[#This Row],[rem. rate residuals]]*NOT(ISBLANK(Tabella3[[#This Row],[Italy remov. rate data]]))</f>
        <v>0</v>
      </c>
      <c r="N279" s="72">
        <f>Tabella3[[#This Row],[Italy remov. rate fit]]/y_f_peak</f>
        <v>2.1270058907667823E-3</v>
      </c>
      <c r="O279" s="10">
        <f>Tabella3[[#This Row],[Italy (fit of selected region + fitted sum of the other regions)]]*NOT(ISBLANK(Tabella3[[#This Row],[Italy remov. rate data]]))</f>
        <v>0</v>
      </c>
      <c r="P279" s="10">
        <f>Tabella3[[#This Row],[Italy remov. rate fit]]*NOT(ISBLANK(Tabella3[[#This Row],[Italy remov. rate data]]))</f>
        <v>0</v>
      </c>
      <c r="Q279" s="72"/>
      <c r="R279" s="72"/>
      <c r="S279" s="131"/>
      <c r="T279" s="10"/>
      <c r="U279" s="10">
        <f>Tabella3[[#This Row],[region data]]*NOT(ISBLANK(Tabella3[[#This Row],[region data]]))</f>
        <v>0</v>
      </c>
      <c r="V279"/>
      <c r="W279" s="72">
        <f>Tabella3[[#This Row],[6-days moving avg]]*NOT(ISBLANK(Tabella3[[#This Row],[6-days moving avg]]))</f>
        <v>0</v>
      </c>
      <c r="X279" s="77" t="e">
        <f>Tabella8[[#This Row],[region fit]]</f>
        <v>#VALUE!</v>
      </c>
      <c r="Y279" s="72" t="e">
        <f>Tabella3[[#This Row],[region cumul. fit]]/Kl</f>
        <v>#VALUE!</v>
      </c>
      <c r="Z279" s="72">
        <f>IFERROR(Kl*psi_l*_xlfn.SECH(psi_l*(Tabella3[[#This Row],[Day]]-pl)-phi_l)^2/(1+TANH(phi_l)),0)</f>
        <v>1.9863255127862396</v>
      </c>
      <c r="AA279" s="72">
        <f>Tabella3[[#This Row],[region fit]]/y_l_peak</f>
        <v>1.3490869921573423E-2</v>
      </c>
      <c r="AB279" s="10">
        <f>Tabella3[[#This Row],[region fit]]*NOT(ISBLANK(Tabella3[[#This Row],[region data]]))</f>
        <v>0</v>
      </c>
      <c r="AC279" s="166">
        <f>IFERROR(kl_m*psi_l_m*_xlfn.SECH(psi_l_m*(Tabella3[[#This Row],[Day]]-pl_m)-phi_l_m)^2/(1+TANH(phi_l_m)),0)</f>
        <v>1.9863255127862396</v>
      </c>
      <c r="AD279" s="72">
        <f>Tabella3[[#This Row],[6-days moving avg fit]]*NOT(ISBLANK(Tabella3[[#This Row],[6-days moving avg]]))</f>
        <v>0</v>
      </c>
      <c r="AE279" s="131"/>
      <c r="AF279" s="131"/>
      <c r="AG279" s="131"/>
      <c r="AH279" s="10"/>
      <c r="AI279" s="10">
        <f>Tabella3[[#This Row],[rest of Italy data]]*NOT(ISBLANK(Tabella3[[#This Row],[rest of Italy data]]))</f>
        <v>0</v>
      </c>
      <c r="AJ279" s="77" t="e">
        <f>Tabella8[[#This Row],[rest of Italy fit]]</f>
        <v>#VALUE!</v>
      </c>
      <c r="AK279" s="72" t="e">
        <f>Tabella3[[#This Row],[rest of Italy cumul. fit]]/Ka</f>
        <v>#VALUE!</v>
      </c>
      <c r="AL279" s="72">
        <f>IFERROR(Ka*psi_a*_xlfn.SECH(psi_a*(Tabella3[[#This Row],[Day]]-pa)-phi_a)^2/(1+TANH(phi_a)),0)</f>
        <v>5.5921365053475807</v>
      </c>
      <c r="AM279" s="72">
        <f>Tabella3[[#This Row],[rest of Italy fit]]/y_a_peak</f>
        <v>1.8520391037994723E-3</v>
      </c>
      <c r="AN279" s="10">
        <f>Tabella3[[#This Row],[rest of Italy fit]]*NOT(ISBLANK(Tabella3[[#This Row],[rest of Italy data]]))</f>
        <v>0</v>
      </c>
      <c r="AO279" s="131"/>
      <c r="AP279" s="131"/>
    </row>
    <row r="280" spans="2:42" x14ac:dyDescent="0.3">
      <c r="B280" s="9">
        <v>44103</v>
      </c>
      <c r="C280" s="4">
        <v>273</v>
      </c>
      <c r="D280" s="131"/>
      <c r="E280" s="10"/>
      <c r="F280" s="10">
        <f>Tabella3[[#This Row],[Italy remov. rate data]]*NOT(ISBLANK(Tabella3[[#This Row],[Italy remov. rate data]]))</f>
        <v>0</v>
      </c>
      <c r="G280" s="77" t="e">
        <f>Tabella8[[#This Row],[Italy fit]]</f>
        <v>#VALUE!</v>
      </c>
      <c r="H280" s="77" t="e">
        <f>Tabella3[[#This Row],[Italy cumul. fit]]/Kf</f>
        <v>#VALUE!</v>
      </c>
      <c r="I280" s="77">
        <f>Tabella3[[#This Row],[region fit]]+Tabella3[[#This Row],[rest of Italy fit]]</f>
        <v>7.221070686948833</v>
      </c>
      <c r="J280" s="77">
        <f>Tabella3[[#This Row],[Italy (fit of selected region + fitted sum of the other regions)]]/(y_l_peak+y_a_peak)</f>
        <v>2.2803262084414569E-3</v>
      </c>
      <c r="K280" s="72">
        <f>IFERROR(Kf*psi_f*_xlfn.SECH(psi_f*(Tabella3[[#This Row],[Day]]-pf)-phi_f)^2/(1+TANH(phi_f)),0)</f>
        <v>6.3885108948045604</v>
      </c>
      <c r="L280" s="292">
        <f>Tabella3[[#This Row],[Italy remov. rate fit]]-Tabella3[[#This Row],[Italy remov. rate data]]</f>
        <v>6.3885108948045604</v>
      </c>
      <c r="M280" s="293">
        <f>Tabella3[[#This Row],[rem. rate residuals]]*NOT(ISBLANK(Tabella3[[#This Row],[Italy remov. rate data]]))</f>
        <v>0</v>
      </c>
      <c r="N280" s="72">
        <f>Tabella3[[#This Row],[Italy remov. rate fit]]/y_f_peak</f>
        <v>2.0223274514750552E-3</v>
      </c>
      <c r="O280" s="10">
        <f>Tabella3[[#This Row],[Italy (fit of selected region + fitted sum of the other regions)]]*NOT(ISBLANK(Tabella3[[#This Row],[Italy remov. rate data]]))</f>
        <v>0</v>
      </c>
      <c r="P280" s="10">
        <f>Tabella3[[#This Row],[Italy remov. rate fit]]*NOT(ISBLANK(Tabella3[[#This Row],[Italy remov. rate data]]))</f>
        <v>0</v>
      </c>
      <c r="Q280" s="72"/>
      <c r="R280" s="72"/>
      <c r="S280" s="131"/>
      <c r="T280" s="10"/>
      <c r="U280" s="10">
        <f>Tabella3[[#This Row],[region data]]*NOT(ISBLANK(Tabella3[[#This Row],[region data]]))</f>
        <v>0</v>
      </c>
      <c r="V280"/>
      <c r="W280" s="72">
        <f>Tabella3[[#This Row],[6-days moving avg]]*NOT(ISBLANK(Tabella3[[#This Row],[6-days moving avg]]))</f>
        <v>0</v>
      </c>
      <c r="X280" s="77" t="e">
        <f>Tabella8[[#This Row],[region fit]]</f>
        <v>#VALUE!</v>
      </c>
      <c r="Y280" s="72" t="e">
        <f>Tabella3[[#This Row],[region cumul. fit]]/Kl</f>
        <v>#VALUE!</v>
      </c>
      <c r="Z280" s="72">
        <f>IFERROR(Kl*psi_l*_xlfn.SECH(psi_l*(Tabella3[[#This Row],[Day]]-pl)-phi_l)^2/(1+TANH(phi_l)),0)</f>
        <v>1.9084010162255507</v>
      </c>
      <c r="AA280" s="72">
        <f>Tabella3[[#This Row],[region fit]]/y_l_peak</f>
        <v>1.2961616664724437E-2</v>
      </c>
      <c r="AB280" s="10">
        <f>Tabella3[[#This Row],[region fit]]*NOT(ISBLANK(Tabella3[[#This Row],[region data]]))</f>
        <v>0</v>
      </c>
      <c r="AC280" s="166">
        <f>IFERROR(kl_m*psi_l_m*_xlfn.SECH(psi_l_m*(Tabella3[[#This Row],[Day]]-pl_m)-phi_l_m)^2/(1+TANH(phi_l_m)),0)</f>
        <v>1.9084010162255507</v>
      </c>
      <c r="AD280" s="72">
        <f>Tabella3[[#This Row],[6-days moving avg fit]]*NOT(ISBLANK(Tabella3[[#This Row],[6-days moving avg]]))</f>
        <v>0</v>
      </c>
      <c r="AE280" s="131"/>
      <c r="AF280" s="131"/>
      <c r="AG280" s="131"/>
      <c r="AH280" s="10"/>
      <c r="AI280" s="10">
        <f>Tabella3[[#This Row],[rest of Italy data]]*NOT(ISBLANK(Tabella3[[#This Row],[rest of Italy data]]))</f>
        <v>0</v>
      </c>
      <c r="AJ280" s="77" t="e">
        <f>Tabella8[[#This Row],[rest of Italy fit]]</f>
        <v>#VALUE!</v>
      </c>
      <c r="AK280" s="72" t="e">
        <f>Tabella3[[#This Row],[rest of Italy cumul. fit]]/Ka</f>
        <v>#VALUE!</v>
      </c>
      <c r="AL280" s="72">
        <f>IFERROR(Ka*psi_a*_xlfn.SECH(psi_a*(Tabella3[[#This Row],[Day]]-pa)-phi_a)^2/(1+TANH(phi_a)),0)</f>
        <v>5.3126696707232828</v>
      </c>
      <c r="AM280" s="72">
        <f>Tabella3[[#This Row],[rest of Italy fit]]/y_a_peak</f>
        <v>1.7594835115952562E-3</v>
      </c>
      <c r="AN280" s="10">
        <f>Tabella3[[#This Row],[rest of Italy fit]]*NOT(ISBLANK(Tabella3[[#This Row],[rest of Italy data]]))</f>
        <v>0</v>
      </c>
      <c r="AO280" s="131"/>
      <c r="AP280" s="131"/>
    </row>
    <row r="281" spans="2:42" x14ac:dyDescent="0.3">
      <c r="B281" s="9">
        <v>44104</v>
      </c>
      <c r="C281" s="4">
        <v>274</v>
      </c>
      <c r="D281" s="131"/>
      <c r="E281" s="10"/>
      <c r="F281" s="10">
        <f>Tabella3[[#This Row],[Italy remov. rate data]]*NOT(ISBLANK(Tabella3[[#This Row],[Italy remov. rate data]]))</f>
        <v>0</v>
      </c>
      <c r="G281" s="77" t="e">
        <f>Tabella8[[#This Row],[Italy fit]]</f>
        <v>#VALUE!</v>
      </c>
      <c r="H281" s="77" t="e">
        <f>Tabella3[[#This Row],[Italy cumul. fit]]/Kf</f>
        <v>#VALUE!</v>
      </c>
      <c r="I281" s="77">
        <f>Tabella3[[#This Row],[region fit]]+Tabella3[[#This Row],[rest of Italy fit]]</f>
        <v>6.8806717330866025</v>
      </c>
      <c r="J281" s="77">
        <f>Tabella3[[#This Row],[Italy (fit of selected region + fitted sum of the other regions)]]/(y_l_peak+y_a_peak)</f>
        <v>2.1728323630729276E-3</v>
      </c>
      <c r="K281" s="72">
        <f>IFERROR(Kf*psi_f*_xlfn.SECH(psi_f*(Tabella3[[#This Row],[Day]]-pf)-phi_f)^2/(1+TANH(phi_f)),0)</f>
        <v>6.0740911272650475</v>
      </c>
      <c r="L281" s="292">
        <f>Tabella3[[#This Row],[Italy remov. rate fit]]-Tabella3[[#This Row],[Italy remov. rate data]]</f>
        <v>6.0740911272650475</v>
      </c>
      <c r="M281" s="293">
        <f>Tabella3[[#This Row],[rem. rate residuals]]*NOT(ISBLANK(Tabella3[[#This Row],[Italy remov. rate data]]))</f>
        <v>0</v>
      </c>
      <c r="N281" s="72">
        <f>Tabella3[[#This Row],[Italy remov. rate fit]]/y_f_peak</f>
        <v>1.9227956924075902E-3</v>
      </c>
      <c r="O281" s="10">
        <f>Tabella3[[#This Row],[Italy (fit of selected region + fitted sum of the other regions)]]*NOT(ISBLANK(Tabella3[[#This Row],[Italy remov. rate data]]))</f>
        <v>0</v>
      </c>
      <c r="P281" s="10">
        <f>Tabella3[[#This Row],[Italy remov. rate fit]]*NOT(ISBLANK(Tabella3[[#This Row],[Italy remov. rate data]]))</f>
        <v>0</v>
      </c>
      <c r="Q281" s="72"/>
      <c r="R281" s="72"/>
      <c r="S281" s="131"/>
      <c r="T281" s="10"/>
      <c r="U281" s="10">
        <f>Tabella3[[#This Row],[region data]]*NOT(ISBLANK(Tabella3[[#This Row],[region data]]))</f>
        <v>0</v>
      </c>
      <c r="V281" s="287"/>
      <c r="W281" s="72">
        <f>Tabella3[[#This Row],[6-days moving avg]]*NOT(ISBLANK(Tabella3[[#This Row],[6-days moving avg]]))</f>
        <v>0</v>
      </c>
      <c r="X281" s="77" t="e">
        <f>Tabella8[[#This Row],[region fit]]</f>
        <v>#VALUE!</v>
      </c>
      <c r="Y281" s="72" t="e">
        <f>Tabella3[[#This Row],[region cumul. fit]]/Kl</f>
        <v>#VALUE!</v>
      </c>
      <c r="Z281" s="72">
        <f>IFERROR(Kl*psi_l*_xlfn.SECH(psi_l*(Tabella3[[#This Row],[Day]]-pl)-phi_l)^2/(1+TANH(phi_l)),0)</f>
        <v>1.8335142451263109</v>
      </c>
      <c r="AA281" s="72">
        <f>Tabella3[[#This Row],[region fit]]/y_l_peak</f>
        <v>1.2452995252351121E-2</v>
      </c>
      <c r="AB281" s="10">
        <f>Tabella3[[#This Row],[region fit]]*NOT(ISBLANK(Tabella3[[#This Row],[region data]]))</f>
        <v>0</v>
      </c>
      <c r="AC281" s="166">
        <f>IFERROR(kl_m*psi_l_m*_xlfn.SECH(psi_l_m*(Tabella3[[#This Row],[Day]]-pl_m)-phi_l_m)^2/(1+TANH(phi_l_m)),0)</f>
        <v>1.8335142451263109</v>
      </c>
      <c r="AD281" s="72">
        <f>Tabella3[[#This Row],[6-days moving avg fit]]*NOT(ISBLANK(Tabella3[[#This Row],[6-days moving avg]]))</f>
        <v>0</v>
      </c>
      <c r="AE281" s="131"/>
      <c r="AF281" s="131"/>
      <c r="AG281" s="131"/>
      <c r="AH281" s="10"/>
      <c r="AI281" s="10">
        <f>Tabella3[[#This Row],[rest of Italy data]]*NOT(ISBLANK(Tabella3[[#This Row],[rest of Italy data]]))</f>
        <v>0</v>
      </c>
      <c r="AJ281" s="77" t="e">
        <f>Tabella8[[#This Row],[rest of Italy fit]]</f>
        <v>#VALUE!</v>
      </c>
      <c r="AK281" s="72" t="e">
        <f>Tabella3[[#This Row],[rest of Italy cumul. fit]]/Ka</f>
        <v>#VALUE!</v>
      </c>
      <c r="AL281" s="72">
        <f>IFERROR(Ka*psi_a*_xlfn.SECH(psi_a*(Tabella3[[#This Row],[Day]]-pa)-phi_a)^2/(1+TANH(phi_a)),0)</f>
        <v>5.0471574879602912</v>
      </c>
      <c r="AM281" s="72">
        <f>Tabella3[[#This Row],[rest of Italy fit]]/y_a_peak</f>
        <v>1.671549509172036E-3</v>
      </c>
      <c r="AN281" s="10">
        <f>Tabella3[[#This Row],[rest of Italy fit]]*NOT(ISBLANK(Tabella3[[#This Row],[rest of Italy data]]))</f>
        <v>0</v>
      </c>
      <c r="AO281" s="131"/>
      <c r="AP281" s="131"/>
    </row>
  </sheetData>
  <mergeCells count="15">
    <mergeCell ref="BF8:BF17"/>
    <mergeCell ref="B2:F2"/>
    <mergeCell ref="F3:F6"/>
    <mergeCell ref="AU3:AY3"/>
    <mergeCell ref="B4:E4"/>
    <mergeCell ref="B5:E5"/>
    <mergeCell ref="AU4:AY4"/>
    <mergeCell ref="AU5:AY5"/>
    <mergeCell ref="K3:P6"/>
    <mergeCell ref="AU6:AY6"/>
    <mergeCell ref="Q5:U5"/>
    <mergeCell ref="Q6:U6"/>
    <mergeCell ref="AB5:AH5"/>
    <mergeCell ref="AB6:AH6"/>
    <mergeCell ref="H4:I4"/>
  </mergeCells>
  <phoneticPr fontId="25" type="noConversion"/>
  <conditionalFormatting sqref="K8:L281">
    <cfRule type="top10" dxfId="20" priority="27" rank="1"/>
  </conditionalFormatting>
  <conditionalFormatting sqref="K8:K281">
    <cfRule type="cellIs" dxfId="19" priority="30" operator="lessThan">
      <formula>0.5</formula>
    </cfRule>
  </conditionalFormatting>
  <conditionalFormatting sqref="Z8:Z281">
    <cfRule type="cellIs" dxfId="18" priority="9" operator="lessThan">
      <formula>0.5</formula>
    </cfRule>
  </conditionalFormatting>
  <conditionalFormatting sqref="Z8:Z281">
    <cfRule type="top10" dxfId="17" priority="8" rank="1"/>
  </conditionalFormatting>
  <conditionalFormatting sqref="AL8:AL281">
    <cfRule type="top10" dxfId="16" priority="6" rank="1"/>
    <cfRule type="cellIs" dxfId="15" priority="7" operator="lessThan">
      <formula>0.5</formula>
    </cfRule>
  </conditionalFormatting>
  <conditionalFormatting sqref="AC8:AC281">
    <cfRule type="cellIs" dxfId="14" priority="5" operator="lessThan">
      <formula>0.5</formula>
    </cfRule>
  </conditionalFormatting>
  <conditionalFormatting sqref="AC8:AC281">
    <cfRule type="top10" dxfId="13" priority="4" rank="1"/>
  </conditionalFormatting>
  <conditionalFormatting sqref="G8:H281">
    <cfRule type="cellIs" dxfId="12" priority="3" operator="equal">
      <formula>0</formula>
    </cfRule>
  </conditionalFormatting>
  <conditionalFormatting sqref="X8:Y281">
    <cfRule type="cellIs" dxfId="11" priority="2" operator="equal">
      <formula>0</formula>
    </cfRule>
  </conditionalFormatting>
  <conditionalFormatting sqref="AJ8:AK281">
    <cfRule type="cellIs" dxfId="1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L185"/>
  <sheetViews>
    <sheetView tabSelected="1" topLeftCell="BQ100" zoomScale="70" zoomScaleNormal="70" workbookViewId="0">
      <selection activeCell="BB163" sqref="A163:XFD163"/>
    </sheetView>
  </sheetViews>
  <sheetFormatPr defaultRowHeight="14.4" x14ac:dyDescent="0.3"/>
  <cols>
    <col min="1" max="1" width="2.77734375" style="104" customWidth="1"/>
    <col min="2" max="2" width="15.109375" style="104" bestFit="1" customWidth="1"/>
    <col min="3" max="3" width="14" style="104" bestFit="1" customWidth="1"/>
    <col min="4" max="4" width="13.44140625" style="104" customWidth="1"/>
    <col min="5" max="6" width="16.33203125" style="104" customWidth="1"/>
    <col min="7" max="7" width="20.109375" style="104" customWidth="1"/>
    <col min="8" max="8" width="19.88671875" style="104" customWidth="1"/>
    <col min="9" max="9" width="19.88671875" style="140" customWidth="1"/>
    <col min="10" max="10" width="19.88671875" style="235" customWidth="1"/>
    <col min="11" max="11" width="19.88671875" style="104" customWidth="1"/>
    <col min="12" max="12" width="19.6640625" style="104" bestFit="1" customWidth="1"/>
    <col min="13" max="13" width="19.6640625" style="104" customWidth="1"/>
    <col min="14" max="14" width="19.6640625" style="140" customWidth="1"/>
    <col min="15" max="15" width="19.6640625" style="157" hidden="1" customWidth="1"/>
    <col min="16" max="16" width="19.6640625" style="140" customWidth="1"/>
    <col min="17" max="17" width="19.6640625" style="157" hidden="1" customWidth="1"/>
    <col min="18" max="19" width="19.6640625" style="235" hidden="1" customWidth="1"/>
    <col min="20" max="20" width="11.33203125" style="235" hidden="1" customWidth="1"/>
    <col min="21" max="23" width="13" style="235" hidden="1" customWidth="1"/>
    <col min="24" max="24" width="19.6640625" style="157" customWidth="1"/>
    <col min="25" max="25" width="19.6640625" style="235" customWidth="1"/>
    <col min="26" max="26" width="19.6640625" style="104" customWidth="1"/>
    <col min="27" max="27" width="19.6640625" style="235" customWidth="1"/>
    <col min="28" max="28" width="19.6640625" style="104" customWidth="1"/>
    <col min="29" max="30" width="14" style="104" customWidth="1"/>
    <col min="31" max="31" width="21.88671875" style="104" customWidth="1"/>
    <col min="32" max="32" width="20.33203125" style="104" customWidth="1"/>
    <col min="33" max="33" width="16.109375" style="104" bestFit="1" customWidth="1"/>
    <col min="34" max="34" width="20.6640625" style="104" bestFit="1" customWidth="1"/>
    <col min="35" max="35" width="20.6640625" style="104" customWidth="1"/>
    <col min="36" max="36" width="20.5546875" style="104" customWidth="1"/>
    <col min="37" max="37" width="21.109375" style="104" customWidth="1"/>
    <col min="38" max="38" width="15.44140625" style="140" customWidth="1"/>
    <col min="39" max="39" width="13.44140625" style="104" customWidth="1"/>
    <col min="40" max="41" width="13.44140625" style="140" customWidth="1"/>
    <col min="42" max="42" width="13.44140625" style="157" hidden="1" customWidth="1"/>
    <col min="43" max="47" width="13.44140625" style="235" hidden="1" customWidth="1"/>
    <col min="48" max="48" width="13.44140625" style="235" customWidth="1"/>
    <col min="49" max="49" width="19.5546875" style="104" bestFit="1" customWidth="1"/>
    <col min="50" max="50" width="19.5546875" style="104" customWidth="1"/>
    <col min="51" max="51" width="18.21875" style="104" customWidth="1"/>
    <col min="52" max="53" width="18.6640625" style="104" customWidth="1"/>
    <col min="54" max="54" width="17.44140625" style="104" bestFit="1" customWidth="1"/>
    <col min="55" max="55" width="18.109375" style="104" bestFit="1" customWidth="1"/>
    <col min="56" max="56" width="18.109375" style="104" customWidth="1"/>
    <col min="57" max="57" width="21.88671875" style="104" customWidth="1"/>
    <col min="58" max="58" width="21.109375" style="104" customWidth="1"/>
    <col min="59" max="59" width="16.109375" style="140" customWidth="1"/>
    <col min="60" max="60" width="21.109375" style="104" customWidth="1"/>
    <col min="61" max="61" width="21.109375" style="140" customWidth="1"/>
    <col min="62" max="62" width="17.109375" style="140" customWidth="1"/>
    <col min="63" max="63" width="17.109375" style="157" hidden="1" customWidth="1"/>
    <col min="64" max="68" width="17.109375" style="235" hidden="1" customWidth="1"/>
    <col min="69" max="69" width="17.109375" style="235" customWidth="1"/>
    <col min="70" max="70" width="24" style="104" bestFit="1" customWidth="1"/>
    <col min="71" max="71" width="17.77734375" style="104" customWidth="1"/>
    <col min="72" max="72" width="23.33203125" style="104" customWidth="1"/>
    <col min="73" max="73" width="21.5546875" style="104" customWidth="1"/>
    <col min="74" max="74" width="19.33203125" style="104" customWidth="1"/>
    <col min="75" max="75" width="1.77734375" style="104" customWidth="1"/>
    <col min="76" max="76" width="24.33203125" style="104" hidden="1" customWidth="1"/>
    <col min="77" max="77" width="23.33203125" style="104" hidden="1" customWidth="1"/>
    <col min="78" max="79" width="8.88671875" style="104"/>
    <col min="80" max="80" width="17.88671875" style="104" bestFit="1" customWidth="1"/>
    <col min="81" max="81" width="8.88671875" style="104"/>
    <col min="82" max="82" width="11" style="104" bestFit="1" customWidth="1"/>
    <col min="83" max="89" width="8.88671875" style="104"/>
    <col min="90" max="90" width="9.5546875" style="104" hidden="1" customWidth="1"/>
    <col min="91" max="16384" width="8.88671875" style="104"/>
  </cols>
  <sheetData>
    <row r="2" spans="2:90" ht="24" thickBot="1" x14ac:dyDescent="0.5">
      <c r="B2" s="322" t="s">
        <v>11</v>
      </c>
      <c r="C2" s="322"/>
      <c r="D2" s="322"/>
      <c r="E2" s="322"/>
      <c r="F2" s="322"/>
      <c r="G2" s="322"/>
      <c r="K2" s="140"/>
      <c r="L2" s="140"/>
    </row>
    <row r="3" spans="2:90" ht="17.399999999999999" customHeight="1" thickBot="1" x14ac:dyDescent="0.65">
      <c r="B3" s="11"/>
      <c r="G3" s="325"/>
      <c r="K3" s="140"/>
      <c r="Z3" s="235"/>
      <c r="AB3" s="235"/>
      <c r="AC3" s="235"/>
      <c r="AD3" s="235"/>
      <c r="BY3" s="75"/>
      <c r="BZ3" s="289" t="s">
        <v>0</v>
      </c>
      <c r="CA3" s="323" t="s">
        <v>115</v>
      </c>
      <c r="CB3" s="323"/>
      <c r="CC3" s="323"/>
      <c r="CD3" s="323"/>
      <c r="CE3" s="323"/>
    </row>
    <row r="4" spans="2:90" ht="20.399999999999999" thickBot="1" x14ac:dyDescent="0.45">
      <c r="B4" s="324" t="s">
        <v>300</v>
      </c>
      <c r="C4" s="324"/>
      <c r="D4" s="324"/>
      <c r="E4" s="324"/>
      <c r="F4" s="105"/>
      <c r="G4" s="325"/>
      <c r="I4" s="300">
        <f>I78</f>
        <v>2.269750841513912</v>
      </c>
      <c r="P4" s="301">
        <f>P78</f>
        <v>0.41924144617310366</v>
      </c>
      <c r="Q4" s="300"/>
      <c r="R4" s="300"/>
      <c r="S4" s="300"/>
      <c r="T4" s="300"/>
      <c r="U4" s="300"/>
      <c r="V4" s="300"/>
      <c r="W4" s="300"/>
      <c r="X4" s="300">
        <f>X78</f>
        <v>118.75763727174457</v>
      </c>
      <c r="Z4" s="300">
        <f>Z78</f>
        <v>35.000328519931195</v>
      </c>
      <c r="AB4" s="235"/>
      <c r="AC4" s="235"/>
      <c r="AD4" s="235"/>
      <c r="BY4" s="73"/>
      <c r="BZ4" s="289" t="s">
        <v>4737</v>
      </c>
      <c r="CA4" s="323" t="s">
        <v>115</v>
      </c>
      <c r="CB4" s="323"/>
      <c r="CC4" s="323"/>
      <c r="CD4" s="323"/>
      <c r="CE4" s="323"/>
    </row>
    <row r="5" spans="2:90" ht="18.600000000000001" thickTop="1" thickBot="1" x14ac:dyDescent="0.4">
      <c r="B5" s="334" t="s">
        <v>132</v>
      </c>
      <c r="C5" s="334"/>
      <c r="D5" s="334"/>
      <c r="E5" s="334"/>
      <c r="F5" s="106"/>
      <c r="G5" s="325"/>
      <c r="I5" s="170" t="s">
        <v>4348</v>
      </c>
      <c r="J5" s="260"/>
      <c r="M5" s="118">
        <f>Cumul_removed_bSIR!H5</f>
        <v>43899.480394693652</v>
      </c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235"/>
      <c r="AB5" s="235"/>
      <c r="AC5" s="235"/>
      <c r="AD5" s="235"/>
      <c r="AE5" s="338" t="s">
        <v>4772</v>
      </c>
      <c r="AF5" s="338"/>
      <c r="AG5" s="338"/>
      <c r="AH5" s="338"/>
      <c r="AI5" s="338"/>
      <c r="AJ5" s="33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9">
        <f>Cumul_removed_bSIR!R5</f>
        <v>43907.356483051342</v>
      </c>
      <c r="AY5" s="338" t="s">
        <v>4772</v>
      </c>
      <c r="AZ5" s="338"/>
      <c r="BA5" s="338"/>
      <c r="BB5" s="338"/>
      <c r="BC5" s="338"/>
      <c r="BD5" s="150"/>
      <c r="BE5" s="148"/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18">
        <f>Cumul_removed_bSIR!Y5</f>
        <v>43898.882529907642</v>
      </c>
      <c r="BY5" s="74"/>
      <c r="BZ5" s="289" t="s">
        <v>4738</v>
      </c>
      <c r="CA5" s="323" t="s">
        <v>4739</v>
      </c>
      <c r="CB5" s="323"/>
      <c r="CC5" s="323"/>
      <c r="CD5" s="323"/>
      <c r="CE5" s="323"/>
    </row>
    <row r="6" spans="2:90" ht="19.2" thickTop="1" thickBot="1" x14ac:dyDescent="0.4">
      <c r="B6" s="263">
        <f ca="1">TODAY()</f>
        <v>43987</v>
      </c>
      <c r="C6" s="111">
        <f ca="1">Oggi-Start_data+1</f>
        <v>157</v>
      </c>
      <c r="D6" s="111">
        <v>1</v>
      </c>
      <c r="E6" s="111">
        <v>80</v>
      </c>
      <c r="F6" s="111"/>
      <c r="G6" s="325"/>
      <c r="I6" s="170">
        <v>2</v>
      </c>
      <c r="J6" s="261"/>
      <c r="K6" s="169"/>
      <c r="L6" s="113"/>
      <c r="M6" s="119">
        <f>pf</f>
        <v>68.480394693650979</v>
      </c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235"/>
      <c r="AB6" s="235"/>
      <c r="AC6" s="235"/>
      <c r="AD6" s="235"/>
      <c r="AE6" s="337" t="s">
        <v>4771</v>
      </c>
      <c r="AF6" s="337"/>
      <c r="AG6" s="337"/>
      <c r="AH6" s="337"/>
      <c r="AI6" s="337"/>
      <c r="AJ6" s="337"/>
      <c r="AK6" s="148"/>
      <c r="AL6" s="148"/>
      <c r="AM6" s="151"/>
      <c r="AN6" s="171"/>
      <c r="AO6" s="171"/>
      <c r="AP6" s="171"/>
      <c r="AQ6" s="171"/>
      <c r="AR6" s="171"/>
      <c r="AS6" s="171"/>
      <c r="AT6" s="171"/>
      <c r="AU6" s="171"/>
      <c r="AV6" s="171"/>
      <c r="AW6" s="152"/>
      <c r="AX6" s="153">
        <f>pl</f>
        <v>76.356483051343162</v>
      </c>
      <c r="AY6" s="337" t="s">
        <v>4771</v>
      </c>
      <c r="AZ6" s="337"/>
      <c r="BA6" s="337"/>
      <c r="BB6" s="337"/>
      <c r="BC6" s="337"/>
      <c r="BD6" s="154"/>
      <c r="BE6" s="148"/>
      <c r="BF6" s="148"/>
      <c r="BG6" s="148"/>
      <c r="BH6" s="155"/>
      <c r="BI6" s="172"/>
      <c r="BJ6" s="172"/>
      <c r="BK6" s="172"/>
      <c r="BL6" s="172"/>
      <c r="BM6" s="172"/>
      <c r="BN6" s="172"/>
      <c r="BO6" s="172"/>
      <c r="BP6" s="172"/>
      <c r="BQ6" s="172"/>
      <c r="BR6" s="156"/>
      <c r="BS6" s="119">
        <f>pa</f>
        <v>67.882529907638357</v>
      </c>
      <c r="BZ6" s="269" t="s">
        <v>356</v>
      </c>
      <c r="CA6" s="323" t="s">
        <v>115</v>
      </c>
      <c r="CB6" s="323"/>
      <c r="CC6" s="323"/>
      <c r="CD6" s="323"/>
      <c r="CE6" s="323"/>
    </row>
    <row r="7" spans="2:90" ht="43.2" x14ac:dyDescent="0.3">
      <c r="B7" s="4" t="s">
        <v>9</v>
      </c>
      <c r="C7" s="4" t="s">
        <v>10</v>
      </c>
      <c r="D7" s="4" t="s">
        <v>4812</v>
      </c>
      <c r="E7" s="4" t="s">
        <v>4817</v>
      </c>
      <c r="F7" s="4" t="s">
        <v>4818</v>
      </c>
      <c r="G7" s="123" t="s">
        <v>100</v>
      </c>
      <c r="H7" s="78" t="s">
        <v>297</v>
      </c>
      <c r="I7" s="78" t="s">
        <v>4347</v>
      </c>
      <c r="J7" s="78" t="s">
        <v>4400</v>
      </c>
      <c r="K7" s="78" t="s">
        <v>306</v>
      </c>
      <c r="L7" s="8" t="s">
        <v>4807</v>
      </c>
      <c r="M7" s="78" t="s">
        <v>305</v>
      </c>
      <c r="N7" s="78" t="s">
        <v>4352</v>
      </c>
      <c r="O7" s="78" t="s">
        <v>4382</v>
      </c>
      <c r="P7" s="78" t="s">
        <v>4350</v>
      </c>
      <c r="Q7" s="78" t="s">
        <v>4381</v>
      </c>
      <c r="R7" s="78" t="s">
        <v>4383</v>
      </c>
      <c r="S7" s="78" t="s">
        <v>4384</v>
      </c>
      <c r="T7" s="78" t="s">
        <v>4385</v>
      </c>
      <c r="U7" s="78" t="s">
        <v>4386</v>
      </c>
      <c r="V7" s="78" t="s">
        <v>4387</v>
      </c>
      <c r="W7" s="78" t="s">
        <v>4401</v>
      </c>
      <c r="X7" s="78" t="s">
        <v>4380</v>
      </c>
      <c r="Y7" s="78" t="s">
        <v>4402</v>
      </c>
      <c r="Z7" s="8" t="s">
        <v>4351</v>
      </c>
      <c r="AA7" s="8" t="s">
        <v>4403</v>
      </c>
      <c r="AB7" s="78" t="s">
        <v>4832</v>
      </c>
      <c r="AC7" s="78" t="s">
        <v>101</v>
      </c>
      <c r="AD7" s="78" t="s">
        <v>124</v>
      </c>
      <c r="AE7" s="78" t="s">
        <v>7</v>
      </c>
      <c r="AF7" s="78" t="s">
        <v>8</v>
      </c>
      <c r="AG7" s="4" t="s">
        <v>4819</v>
      </c>
      <c r="AH7" s="4" t="s">
        <v>4820</v>
      </c>
      <c r="AI7" s="4" t="s">
        <v>4821</v>
      </c>
      <c r="AJ7" s="123" t="s">
        <v>102</v>
      </c>
      <c r="AK7" s="78" t="s">
        <v>4822</v>
      </c>
      <c r="AL7" s="78" t="s">
        <v>4833</v>
      </c>
      <c r="AM7" s="78" t="s">
        <v>4823</v>
      </c>
      <c r="AN7" s="78" t="s">
        <v>4824</v>
      </c>
      <c r="AO7" s="78" t="s">
        <v>4825</v>
      </c>
      <c r="AP7" s="78" t="s">
        <v>4379</v>
      </c>
      <c r="AQ7" s="78" t="s">
        <v>4389</v>
      </c>
      <c r="AR7" s="78" t="s">
        <v>4390</v>
      </c>
      <c r="AS7" s="78" t="s">
        <v>4391</v>
      </c>
      <c r="AT7" s="78" t="s">
        <v>4392</v>
      </c>
      <c r="AU7" s="78" t="s">
        <v>4393</v>
      </c>
      <c r="AV7" s="78" t="s">
        <v>4826</v>
      </c>
      <c r="AW7" s="8" t="s">
        <v>4827</v>
      </c>
      <c r="AX7" s="78" t="s">
        <v>4828</v>
      </c>
      <c r="AY7" s="123" t="s">
        <v>125</v>
      </c>
      <c r="AZ7" s="78" t="s">
        <v>293</v>
      </c>
      <c r="BA7" s="78" t="s">
        <v>292</v>
      </c>
      <c r="BB7" s="4" t="s">
        <v>298</v>
      </c>
      <c r="BC7" s="4" t="s">
        <v>4829</v>
      </c>
      <c r="BD7" s="4" t="s">
        <v>4830</v>
      </c>
      <c r="BE7" s="78" t="s">
        <v>4834</v>
      </c>
      <c r="BF7" s="78" t="s">
        <v>4801</v>
      </c>
      <c r="BG7" s="78" t="s">
        <v>4349</v>
      </c>
      <c r="BH7" s="78" t="s">
        <v>4831</v>
      </c>
      <c r="BI7" s="78" t="s">
        <v>4354</v>
      </c>
      <c r="BJ7" s="78" t="s">
        <v>4355</v>
      </c>
      <c r="BK7" s="78" t="s">
        <v>4388</v>
      </c>
      <c r="BL7" s="78" t="s">
        <v>4394</v>
      </c>
      <c r="BM7" s="78" t="s">
        <v>4395</v>
      </c>
      <c r="BN7" s="78" t="s">
        <v>4396</v>
      </c>
      <c r="BO7" s="78" t="s">
        <v>4397</v>
      </c>
      <c r="BP7" s="78" t="s">
        <v>4398</v>
      </c>
      <c r="BQ7" s="78" t="s">
        <v>4399</v>
      </c>
      <c r="BR7" s="8" t="s">
        <v>4353</v>
      </c>
      <c r="BS7" s="78" t="s">
        <v>303</v>
      </c>
      <c r="BT7" s="123" t="s">
        <v>127</v>
      </c>
      <c r="BU7" s="78" t="s">
        <v>295</v>
      </c>
      <c r="BV7" s="78" t="s">
        <v>296</v>
      </c>
      <c r="BW7" s="8"/>
      <c r="BX7" s="196" t="s">
        <v>120</v>
      </c>
      <c r="BY7" s="197" t="s">
        <v>116</v>
      </c>
      <c r="BZ7" s="3"/>
      <c r="CL7" s="40" t="s">
        <v>99</v>
      </c>
    </row>
    <row r="8" spans="2:90" x14ac:dyDescent="0.3">
      <c r="B8" s="262">
        <v>43831</v>
      </c>
      <c r="C8" s="4">
        <v>1</v>
      </c>
      <c r="D8" s="141"/>
      <c r="E8" s="144"/>
      <c r="F8" s="144"/>
      <c r="G8" s="142">
        <f>Tabella34[[#This Row],[Italy rate data]]*NOT(ISBLANK(Tabella34[[#This Row],[Italy rate data]]))</f>
        <v>0</v>
      </c>
      <c r="H8" s="143">
        <f>Tabella8[[#This Row],[Italy fit]]</f>
        <v>0</v>
      </c>
      <c r="I8" s="143">
        <f>(ATANH(alpha*Tabella34[[#This Row],[Italy cumul. Fit]]/Kf-(1-alpha*Tabella34[[#This Row],[Italy cumul. Fit]]/Kf)*TANH(phi_f))+phi_f)/psi_f-(Tabella34[[#This Row],[Day]]-pf)</f>
        <v>67.480394693650979</v>
      </c>
      <c r="J8" s="143">
        <f>Tabella34[[#This Row],[Italy d.t.]]/Italy_dt_at_lockdown</f>
        <v>29.730309362344769</v>
      </c>
      <c r="K8" s="143">
        <f>Tabella34[[#This Row],[Italy cumul. Fit]]/Kf</f>
        <v>0</v>
      </c>
      <c r="L8" s="146">
        <f>Tabella34[[#This Row],[sel. region acc. fit]]+Tabella34[[#This Row],[rest of Italy acc. fit]]</f>
        <v>1.3361189791669204</v>
      </c>
      <c r="M8" s="143">
        <f>Tabella34[[#This Row],[Italy (fit of selected region + fitted sum of the other regions)]]/(y_l_peak+y_a_peak)</f>
        <v>4.2193010674955082E-4</v>
      </c>
      <c r="N8" s="143">
        <f>Tabella3[[#This Row],[Italy remov. rate fit]]</f>
        <v>26.782756242762876</v>
      </c>
      <c r="O8" s="143" t="e">
        <f>Kt*EXP(-0.5*Tabella34[[#This Row],[x_t]]^2)/(psi_t*SQRTPI(2)*(Tabella34[[#This Row],[Day]]-D_bk))</f>
        <v>#NUM!</v>
      </c>
      <c r="P8" s="183" t="e">
        <f>Tabella34[[#This Row],[Italy velocity]]/Tabella34[[#This Row],[Italy cumul. Fit]]</f>
        <v>#DIV/0!</v>
      </c>
      <c r="Q8" s="244" t="e">
        <f>(LN(Tabella34[[#This Row],[Day]]-D_bk)-phi_t)/psi_t</f>
        <v>#NUM!</v>
      </c>
      <c r="R8" s="244">
        <f>EXP(phi_t+psi_t*Tabella34[[#This Row],[x_t_alpha©+plus]])-(Tabella34[[#This Row],[Day]]-D_bk)</f>
        <v>71.918991111886157</v>
      </c>
      <c r="S8" s="244">
        <f>EXP(phi_t+psi_t*Tabella34[[#This Row],[x_t_alpha©-minus]])-(Tabella34[[#This Row],[Day]]-D_bk)</f>
        <v>70.976524126288865</v>
      </c>
      <c r="T8" s="244">
        <f>-psi_t+SQRT(psi_t^2-2*Tabella34[[#This Row],[c_t]])</f>
        <v>4.6993642934971911</v>
      </c>
      <c r="U8" s="244">
        <f>-psi_t-SQRT(psi_t^2-2*Tabella34[[#This Row],[c_t]])</f>
        <v>-4.7498829681945631</v>
      </c>
      <c r="V8" s="244">
        <f>phi_t-LN(alpha*Kt/(Tabella34[[#This Row],[Italy velocity]]*psi_t*SQRTPI(2)))</f>
        <v>-11.160715209511991</v>
      </c>
      <c r="W8" s="244" t="e">
        <f>Tabella34[[#This Row],[Italy g.r.]]/Italy_gr_at_lockdown</f>
        <v>#DIV/0!</v>
      </c>
      <c r="X8" s="244">
        <f>(ACOSH(SQRT(alpha*Kf*psi_f/(Tabella34[[#This Row],[Italy velocity]]*(1+TANH(phi_f)))))+phi_f)/psi_f-(Tabella34[[#This Row],[Day]]-pf)</f>
        <v>257.32778445016299</v>
      </c>
      <c r="Y8" s="244">
        <f>Tabella34[[#This Row],[Italy h.t.]]/Italy_ht_at_lockdown</f>
        <v>2.1668314591114535</v>
      </c>
      <c r="Z8" s="72">
        <f>-2*$BY$48*TANH($BY$48*(Tabella34[[#This Row],[Day]]-$BY$57)-$BY$47)*Tabella34[[#This Row],[Italy velocity]]</f>
        <v>1.3472814689114128</v>
      </c>
      <c r="AA8" s="72">
        <f>Tabella34[[#This Row],[Italy acc. fit]]/Itali_acc_at_lockdown</f>
        <v>3.84933949446844E-2</v>
      </c>
      <c r="AB8" s="143">
        <f>Tabella34[[#This Row],[Italy acc. fit]]/y_f_peak</f>
        <v>4.2649129731609219E-4</v>
      </c>
      <c r="AC8" s="143">
        <f>Tabella34[[#This Row],[Italy (fit of selected region + fitted sum of the other regions)]]*NOT(ISBLANK(Tabella34[[#This Row],[Italy rate data]]))</f>
        <v>0</v>
      </c>
      <c r="AD8" s="143">
        <f>Tabella34[[#This Row],[Italy acc. fit]]*NOT(ISBLANK(Tabella34[[#This Row],[Italy rate data]]))</f>
        <v>0</v>
      </c>
      <c r="AE8" s="77">
        <f>Tabella34[[#This Row],[Italy acc. fit]]+CIf</f>
        <v>1656.5572503926628</v>
      </c>
      <c r="AF8" s="77">
        <f>MAX(Tabella34[[#This Row],[Italy acc. fit]]-CIf,0)</f>
        <v>0</v>
      </c>
      <c r="AG8" s="141"/>
      <c r="AH8" s="33"/>
      <c r="AI8" s="33"/>
      <c r="AJ8" s="142">
        <f>Tabella34[[#This Row],[selected region rate data]]*NOT(ISBLANK(Tabella34[[#This Row],[selected region rate data]]))</f>
        <v>0</v>
      </c>
      <c r="AK8" s="147">
        <f>Tabella8[[#This Row],[region fit]]</f>
        <v>0</v>
      </c>
      <c r="AL8" s="78">
        <f>(ATANH(alpha*Tabella34[[#This Row],[sel. region cumul. fit]]/Kl-(1-alpha*Tabella34[[#This Row],[sel. region cumul. fit]]/Kl)*TANH(phi_l))+phi_l)/psi_l-(Tabella34[[#This Row],[Day]]-pl)</f>
        <v>75.356483051343162</v>
      </c>
      <c r="AM8" s="142">
        <f>Tabella34[[#This Row],[sel. region cumul. fit]]/Kl</f>
        <v>0</v>
      </c>
      <c r="AN8" s="143">
        <f>Tabella3[[#This Row],[region fit]]</f>
        <v>3.1108008805452214</v>
      </c>
      <c r="AO8" s="183" t="e">
        <f>Tabella34[[#This Row],[sel. region velocity]]/Tabella34[[#This Row],[sel. region cumul. fit]]</f>
        <v>#DIV/0!</v>
      </c>
      <c r="AP8" s="236" t="e">
        <f>(LN(Tabella34[[#This Row],[Day]]-pr)-phi_r)/psi_r</f>
        <v>#NUM!</v>
      </c>
      <c r="AQ8" s="244">
        <f>EXP(phi_r+psi_r*Tabella34[[#This Row],[x_r_alpha©+plus]])-(Tabella34[[#This Row],[Day]]-pr)</f>
        <v>78.650787395332429</v>
      </c>
      <c r="AR8" s="244">
        <f>EXP(phi_r+psi_r*Tabella34[[#This Row],[x_r_alpha©-minus]])-(Tabella34[[#This Row],[Day]]-pr)</f>
        <v>78.085181269549992</v>
      </c>
      <c r="AS8" s="244">
        <f>-psi_r+SQRT(psi_r^2-2*Tabella34[[#This Row],[c_r]])</f>
        <v>4.6554498049263664</v>
      </c>
      <c r="AT8" s="244">
        <f>-psi_r-SQRT(psi_r^2-2*Tabella34[[#This Row],[c_r]])</f>
        <v>-4.6957378145927038</v>
      </c>
      <c r="AU8" s="244">
        <f>phi_r-LN(alpha*Kr/(Tabella34[[#This Row],[sel. region velocity]]*psi_r*SQRTPI(2)))</f>
        <v>-10.930385846465484</v>
      </c>
      <c r="AV8" s="244">
        <f>(ACOSH(SQRT(alpha*Kl*psi_l/(Tabella34[[#This Row],[sel. region velocity]]*(1+TANH(phi_l)))))+phi_l)/psi_l-(Tabella34[[#This Row],[Day]]-pl)</f>
        <v>277.10678355198638</v>
      </c>
      <c r="AW8" s="72">
        <f>-2*$BY$22*TANH($BY$22*(Tabella34[[#This Row],[Day]]-$BY$31)-$BY$21)*Tabella34[[#This Row],[sel. region velocity]]</f>
        <v>0.12399693280944413</v>
      </c>
      <c r="AX8" s="143">
        <f>Tabella34[[#This Row],[sel. region acc. fit]]/y_l_peak</f>
        <v>8.4217137646276272E-4</v>
      </c>
      <c r="AY8" s="143">
        <f>Tabella34[[#This Row],[sel. region acc. fit]]*NOT(ISBLANK(Tabella34[[#This Row],[selected region rate data]]))</f>
        <v>0</v>
      </c>
      <c r="AZ8" s="77">
        <f>Tabella34[[#This Row],[sel. region acc. fit]]+CIl</f>
        <v>69.488983307909848</v>
      </c>
      <c r="BA8" s="77">
        <f>MAX(Tabella34[[#This Row],[sel. region acc. fit]]-CIl,0)</f>
        <v>0</v>
      </c>
      <c r="BB8" s="141"/>
      <c r="BC8" s="33"/>
      <c r="BD8" s="33"/>
      <c r="BE8" s="142">
        <f>Tabella34[[#This Row],[rest of Italy rate data]]*NOT(ISBLANK(Tabella34[[#This Row],[rest of Italy rate data]]))</f>
        <v>0</v>
      </c>
      <c r="BF8" s="188">
        <f>Tabella8[[#This Row],[rest of Italy fit]]</f>
        <v>0</v>
      </c>
      <c r="BG8" s="78">
        <f>(ATANH(alpha*Tabella34[[#This Row],[rest of Italy cumul. fit]]/Ka-(1-alpha*Tabella34[[#This Row],[rest of Italy cumul. fit]]/Ka)*TANH(phi_a))+phi_a)/psi_a-(Tabella34[[#This Row],[Day]]-pa)</f>
        <v>66.882529907638357</v>
      </c>
      <c r="BH8" s="143">
        <f>Tabella34[[#This Row],[rest of Italy cumul. fit]]/Ka</f>
        <v>0</v>
      </c>
      <c r="BI8" s="143">
        <f>Tabella3[[#This Row],[rest of Italy fit]]</f>
        <v>23.715308902266564</v>
      </c>
      <c r="BJ8" s="183" t="e">
        <f>Tabella34[[#This Row],[rest of Italy velocity]]/Tabella34[[#This Row],[rest of Italy cumul. fit]]</f>
        <v>#DIV/0!</v>
      </c>
      <c r="BK8" s="236" t="e">
        <f>(LN(Tabella34[[#This Row],[Day]]-po)-phi_o)/psi_o</f>
        <v>#NUM!</v>
      </c>
      <c r="BL8" s="244">
        <f>EXP(phi_o+psi_o*Tabella34[[#This Row],[x_o_alpha©+plus]])-(Tabella34[[#This Row],[Day]]-po)</f>
        <v>71.451224479517478</v>
      </c>
      <c r="BM8" s="244">
        <f>EXP(phi_o+psi_o*Tabella34[[#This Row],[x_o_alpha©-minus]])-(Tabella34[[#This Row],[Day]]-po)</f>
        <v>70.4668112853971</v>
      </c>
      <c r="BN8" s="244">
        <f>-psi_o+SQRT(psi_o^2-2*Tabella34[[#This Row],[c_o]])</f>
        <v>4.7035185499327277</v>
      </c>
      <c r="BO8" s="244">
        <f>-psi_o-SQRT(psi_o^2-2*Tabella34[[#This Row],[c_o]])</f>
        <v>-4.754831834200381</v>
      </c>
      <c r="BP8" s="244">
        <f>phi_o-LN(alpha*Ko/(Tabella34[[#This Row],[rest of Italy velocity]]*psi_o*SQRTPI(2)))</f>
        <v>-11.182219866986074</v>
      </c>
      <c r="BQ8" s="244">
        <f>(ACOSH(SQRT(alpha*Ka*psi_a/(Tabella34[[#This Row],[rest of Italy velocity]]*(1+TANH(phi_a)))))+phi_a)/psi_a-(Tabella34[[#This Row],[Day]]-pa)</f>
        <v>256.3322198988248</v>
      </c>
      <c r="BR8" s="72">
        <f>-2*$BY$35*TANH($BY$35*(Tabella34[[#This Row],[Day]]-$BY$44)-$BY$34)*Tabella34[[#This Row],[rest of Italy velocity]]</f>
        <v>1.2121220463574762</v>
      </c>
      <c r="BS8" s="143">
        <f>Tabella34[[#This Row],[rest of Italy acc. fit]]/y_a_peak</f>
        <v>4.0143823854885499E-4</v>
      </c>
      <c r="BT8" s="142">
        <f>Tabella34[[#This Row],[rest of Italy acc. fit]]*NOT(ISBLANK(Tabella34[[#This Row],[rest of Italy rate data]]))</f>
        <v>0</v>
      </c>
      <c r="BU8" s="77">
        <f>Tabella34[[#This Row],[rest of Italy acc. fit]]+CIa</f>
        <v>1635.346062000159</v>
      </c>
      <c r="BV8" s="77">
        <f>MAX(Tabella34[[#This Row],[rest of Italy acc. fit]]-CIa,0)</f>
        <v>0</v>
      </c>
      <c r="BW8" s="8"/>
      <c r="BX8" s="198"/>
      <c r="BY8" s="199"/>
      <c r="BZ8" s="3"/>
      <c r="CL8" s="331" t="s">
        <v>131</v>
      </c>
    </row>
    <row r="9" spans="2:90" x14ac:dyDescent="0.3">
      <c r="B9" s="262">
        <v>43832</v>
      </c>
      <c r="C9" s="4">
        <v>2</v>
      </c>
      <c r="D9" s="141"/>
      <c r="E9" s="144"/>
      <c r="F9" s="144"/>
      <c r="G9" s="142">
        <f>Tabella34[[#This Row],[Italy rate data]]*NOT(ISBLANK(Tabella34[[#This Row],[Italy rate data]]))</f>
        <v>0</v>
      </c>
      <c r="H9" s="143">
        <f>Tabella8[[#This Row],[Italy fit]]</f>
        <v>0</v>
      </c>
      <c r="I9" s="143">
        <f>(ATANH(alpha*Tabella34[[#This Row],[Italy cumul. Fit]]/Kf-(1-alpha*Tabella34[[#This Row],[Italy cumul. Fit]]/Kf)*TANH(phi_f))+phi_f)/psi_f-(Tabella34[[#This Row],[Day]]-pf)</f>
        <v>66.480394693650979</v>
      </c>
      <c r="J9" s="143">
        <f>Tabella34[[#This Row],[Italy d.t.]]/Italy_dt_at_lockdown</f>
        <v>29.289732369615027</v>
      </c>
      <c r="K9" s="143">
        <f>Tabella34[[#This Row],[Italy cumul. Fit]]/Kf</f>
        <v>0</v>
      </c>
      <c r="L9" s="146">
        <f>Tabella34[[#This Row],[sel. region acc. fit]]+Tabella34[[#This Row],[rest of Italy acc. fit]]</f>
        <v>1.4043958950211433</v>
      </c>
      <c r="M9" s="143">
        <f>Tabella34[[#This Row],[Italy (fit of selected region + fitted sum of the other regions)]]/(y_l_peak+y_a_peak)</f>
        <v>4.434911255241396E-4</v>
      </c>
      <c r="N9" s="143">
        <f>Tabella3[[#This Row],[Italy remov. rate fit]]</f>
        <v>28.164345071717086</v>
      </c>
      <c r="O9" s="143" t="e">
        <f>Kt*EXP(-0.5*Tabella34[[#This Row],[x_t]]^2)/(psi_t*SQRTPI(2)*(Tabella34[[#This Row],[Day]]-D_bk))</f>
        <v>#NUM!</v>
      </c>
      <c r="P9" s="183" t="e">
        <f>Tabella34[[#This Row],[Italy velocity]]/Tabella34[[#This Row],[Italy cumul. Fit]]</f>
        <v>#DIV/0!</v>
      </c>
      <c r="Q9" s="244" t="e">
        <f>(LN(Tabella34[[#This Row],[Day]]-D_bk)-phi_t)/psi_t</f>
        <v>#NUM!</v>
      </c>
      <c r="R9" s="244">
        <f>EXP(phi_t+psi_t*Tabella34[[#This Row],[x_t_alpha©+plus]])-(Tabella34[[#This Row],[Day]]-D_bk)</f>
        <v>70.91779633273606</v>
      </c>
      <c r="S9" s="244">
        <f>EXP(phi_t+psi_t*Tabella34[[#This Row],[x_t_alpha©-minus]])-(Tabella34[[#This Row],[Day]]-D_bk)</f>
        <v>69.977465466039448</v>
      </c>
      <c r="T9" s="244">
        <f>-psi_t+SQRT(psi_t^2-2*Tabella34[[#This Row],[c_t]])</f>
        <v>4.6887062256180929</v>
      </c>
      <c r="U9" s="244">
        <f>-psi_t-SQRT(psi_t^2-2*Tabella34[[#This Row],[c_t]])</f>
        <v>-4.739224900315465</v>
      </c>
      <c r="V9" s="244">
        <f>phi_t-LN(alpha*Kt/(Tabella34[[#This Row],[Italy velocity]]*psi_t*SQRTPI(2)))</f>
        <v>-11.110416647356702</v>
      </c>
      <c r="W9" s="244" t="e">
        <f>Tabella34[[#This Row],[Italy g.r.]]/Italy_gr_at_lockdown</f>
        <v>#DIV/0!</v>
      </c>
      <c r="X9" s="244">
        <f>(ACOSH(SQRT(alpha*Kf*psi_f/(Tabella34[[#This Row],[Italy velocity]]*(1+TANH(phi_f)))))+phi_f)/psi_f-(Tabella34[[#This Row],[Day]]-pf)</f>
        <v>255.32997011265911</v>
      </c>
      <c r="Y9" s="244">
        <f>Tabella34[[#This Row],[Italy h.t.]]/Italy_ht_at_lockdown</f>
        <v>2.1500088413548166</v>
      </c>
      <c r="Z9" s="72">
        <f>-2*$BY$48*TANH($BY$48*(Tabella34[[#This Row],[Day]]-$BY$57)-$BY$47)*Tabella34[[#This Row],[Italy velocity]]</f>
        <v>1.4164685017059462</v>
      </c>
      <c r="AA9" s="72">
        <f>Tabella34[[#This Row],[Italy acc. fit]]/Itali_acc_at_lockdown</f>
        <v>4.0470148755870329E-2</v>
      </c>
      <c r="AB9" s="143">
        <f>Tabella34[[#This Row],[Italy acc. fit]]/y_f_peak</f>
        <v>4.4839293261271171E-4</v>
      </c>
      <c r="AC9" s="143">
        <f>Tabella34[[#This Row],[Italy (fit of selected region + fitted sum of the other regions)]]*NOT(ISBLANK(Tabella34[[#This Row],[Italy rate data]]))</f>
        <v>0</v>
      </c>
      <c r="AD9" s="143">
        <f>Tabella34[[#This Row],[Italy acc. fit]]*NOT(ISBLANK(Tabella34[[#This Row],[Italy rate data]]))</f>
        <v>0</v>
      </c>
      <c r="AE9" s="77">
        <f>Tabella34[[#This Row],[Italy acc. fit]]+CIf</f>
        <v>1656.6264374254574</v>
      </c>
      <c r="AF9" s="77">
        <f>MAX(Tabella34[[#This Row],[Italy acc. fit]]-CIf,0)</f>
        <v>0</v>
      </c>
      <c r="AG9" s="141"/>
      <c r="AH9" s="33"/>
      <c r="AI9" s="33"/>
      <c r="AJ9" s="142">
        <f>Tabella34[[#This Row],[selected region rate data]]*NOT(ISBLANK(Tabella34[[#This Row],[selected region rate data]]))</f>
        <v>0</v>
      </c>
      <c r="AK9" s="147">
        <f>Tabella8[[#This Row],[region fit]]</f>
        <v>0</v>
      </c>
      <c r="AL9" s="143">
        <f>(ATANH(alpha*Tabella34[[#This Row],[sel. region cumul. fit]]/Kl-(1-alpha*Tabella34[[#This Row],[sel. region cumul. fit]]/Kl)*TANH(phi_l))+phi_l)/psi_l-(Tabella34[[#This Row],[Day]]-pl)</f>
        <v>74.356483051343162</v>
      </c>
      <c r="AM9" s="142">
        <f>Tabella34[[#This Row],[sel. region cumul. fit]]/Kl</f>
        <v>0</v>
      </c>
      <c r="AN9" s="143">
        <f>Tabella3[[#This Row],[region fit]]</f>
        <v>3.2372741182130333</v>
      </c>
      <c r="AO9" s="183" t="e">
        <f>Tabella34[[#This Row],[sel. region velocity]]/Tabella34[[#This Row],[sel. region cumul. fit]]</f>
        <v>#DIV/0!</v>
      </c>
      <c r="AP9" s="236" t="e">
        <f>(LN(Tabella34[[#This Row],[Day]]-pr)-phi_r)/psi_r</f>
        <v>#NUM!</v>
      </c>
      <c r="AQ9" s="244">
        <f>EXP(phi_r+psi_r*Tabella34[[#This Row],[x_r_alpha©+plus]])-(Tabella34[[#This Row],[Day]]-pr)</f>
        <v>77.650221317841741</v>
      </c>
      <c r="AR9" s="244">
        <f>EXP(phi_r+psi_r*Tabella34[[#This Row],[x_r_alpha©-minus]])-(Tabella34[[#This Row],[Day]]-pr)</f>
        <v>77.085650236576271</v>
      </c>
      <c r="AS9" s="244">
        <f>-psi_r+SQRT(psi_r^2-2*Tabella34[[#This Row],[c_r]])</f>
        <v>4.6469187317656653</v>
      </c>
      <c r="AT9" s="244">
        <f>-psi_r-SQRT(psi_r^2-2*Tabella34[[#This Row],[c_r]])</f>
        <v>-4.6872067414320027</v>
      </c>
      <c r="AU9" s="244">
        <f>phi_r-LN(alpha*Kr/(Tabella34[[#This Row],[sel. region velocity]]*psi_r*SQRTPI(2)))</f>
        <v>-10.890534403209337</v>
      </c>
      <c r="AV9" s="244">
        <f>(ACOSH(SQRT(alpha*Kl*psi_l/(Tabella34[[#This Row],[sel. region velocity]]*(1+TANH(phi_l)))))+phi_l)/psi_l-(Tabella34[[#This Row],[Day]]-pl)</f>
        <v>275.11224589900849</v>
      </c>
      <c r="AW9" s="72">
        <f>-2*$BY$22*TANH($BY$22*(Tabella34[[#This Row],[Day]]-$BY$31)-$BY$21)*Tabella34[[#This Row],[sel. region velocity]]</f>
        <v>0.12898154281243804</v>
      </c>
      <c r="AX9" s="143">
        <f>Tabella34[[#This Row],[sel. region acc. fit]]/y_l_peak</f>
        <v>8.7602621280619619E-4</v>
      </c>
      <c r="AY9" s="143">
        <f>Tabella34[[#This Row],[sel. region acc. fit]]*NOT(ISBLANK(Tabella34[[#This Row],[selected region rate data]]))</f>
        <v>0</v>
      </c>
      <c r="AZ9" s="77">
        <f>Tabella34[[#This Row],[sel. region acc. fit]]+CIl</f>
        <v>69.49396791791284</v>
      </c>
      <c r="BA9" s="77">
        <f>MAX(Tabella34[[#This Row],[sel. region acc. fit]]-CIl,0)</f>
        <v>0</v>
      </c>
      <c r="BB9" s="141"/>
      <c r="BC9" s="33"/>
      <c r="BD9" s="33"/>
      <c r="BE9" s="142">
        <f>Tabella34[[#This Row],[rest of Italy rate data]]*NOT(ISBLANK(Tabella34[[#This Row],[rest of Italy rate data]]))</f>
        <v>0</v>
      </c>
      <c r="BF9" s="188">
        <f>Tabella8[[#This Row],[rest of Italy fit]]</f>
        <v>0</v>
      </c>
      <c r="BG9" s="78">
        <f>(ATANH(alpha*Tabella34[[#This Row],[rest of Italy cumul. fit]]/Ka-(1-alpha*Tabella34[[#This Row],[rest of Italy cumul. fit]]/Ka)*TANH(phi_a))+phi_a)/psi_a-(Tabella34[[#This Row],[Day]]-pa)</f>
        <v>65.882529907638357</v>
      </c>
      <c r="BH9" s="143">
        <f>Tabella34[[#This Row],[rest of Italy cumul. fit]]/Ka</f>
        <v>0</v>
      </c>
      <c r="BI9" s="143">
        <f>Tabella3[[#This Row],[rest of Italy fit]]</f>
        <v>24.958810859141177</v>
      </c>
      <c r="BJ9" s="183" t="e">
        <f>Tabella34[[#This Row],[rest of Italy velocity]]/Tabella34[[#This Row],[rest of Italy cumul. fit]]</f>
        <v>#DIV/0!</v>
      </c>
      <c r="BK9" s="236" t="e">
        <f>(LN(Tabella34[[#This Row],[Day]]-po)-phi_o)/psi_o</f>
        <v>#NUM!</v>
      </c>
      <c r="BL9" s="244">
        <f>EXP(phi_o+psi_o*Tabella34[[#This Row],[x_o_alpha©+plus]])-(Tabella34[[#This Row],[Day]]-po)</f>
        <v>70.449956488459094</v>
      </c>
      <c r="BM9" s="244">
        <f>EXP(phi_o+psi_o*Tabella34[[#This Row],[x_o_alpha©-minus]])-(Tabella34[[#This Row],[Day]]-po)</f>
        <v>69.467806339539152</v>
      </c>
      <c r="BN9" s="244">
        <f>-psi_o+SQRT(psi_o^2-2*Tabella34[[#This Row],[c_o]])</f>
        <v>4.6926996146520992</v>
      </c>
      <c r="BO9" s="244">
        <f>-psi_o-SQRT(psi_o^2-2*Tabella34[[#This Row],[c_o]])</f>
        <v>-4.7440128989197525</v>
      </c>
      <c r="BP9" s="244">
        <f>phi_o-LN(alpha*Ko/(Tabella34[[#This Row],[rest of Italy velocity]]*psi_o*SQRTPI(2)))</f>
        <v>-11.131113751332654</v>
      </c>
      <c r="BQ9" s="244">
        <f>(ACOSH(SQRT(alpha*Ka*psi_a/(Tabella34[[#This Row],[rest of Italy velocity]]*(1+TANH(phi_a)))))+phi_a)/psi_a-(Tabella34[[#This Row],[Day]]-pa)</f>
        <v>254.33424468956269</v>
      </c>
      <c r="BR9" s="72">
        <f>-2*$BY$35*TANH($BY$35*(Tabella34[[#This Row],[Day]]-$BY$44)-$BY$34)*Tabella34[[#This Row],[rest of Italy velocity]]</f>
        <v>1.2754143522087051</v>
      </c>
      <c r="BS9" s="143">
        <f>Tabella34[[#This Row],[rest of Italy acc. fit]]/y_a_peak</f>
        <v>4.2239978433623317E-4</v>
      </c>
      <c r="BT9" s="142">
        <f>Tabella34[[#This Row],[rest of Italy acc. fit]]*NOT(ISBLANK(Tabella34[[#This Row],[rest of Italy rate data]]))</f>
        <v>0</v>
      </c>
      <c r="BU9" s="77">
        <f>Tabella34[[#This Row],[rest of Italy acc. fit]]+CIa</f>
        <v>1635.4093543060101</v>
      </c>
      <c r="BV9" s="77">
        <f>MAX(Tabella34[[#This Row],[rest of Italy acc. fit]]-CIa,0)</f>
        <v>0</v>
      </c>
      <c r="BW9" s="8"/>
      <c r="BX9" s="200"/>
      <c r="BY9" s="201"/>
      <c r="BZ9" s="3"/>
      <c r="CL9" s="332"/>
    </row>
    <row r="10" spans="2:90" x14ac:dyDescent="0.3">
      <c r="B10" s="262">
        <v>43833</v>
      </c>
      <c r="C10" s="4">
        <v>3</v>
      </c>
      <c r="D10" s="141"/>
      <c r="E10" s="144"/>
      <c r="F10" s="144"/>
      <c r="G10" s="142">
        <f>Tabella34[[#This Row],[Italy rate data]]*NOT(ISBLANK(Tabella34[[#This Row],[Italy rate data]]))</f>
        <v>0</v>
      </c>
      <c r="H10" s="143">
        <f>Tabella8[[#This Row],[Italy fit]]</f>
        <v>0</v>
      </c>
      <c r="I10" s="143">
        <f>(ATANH(alpha*Tabella34[[#This Row],[Italy cumul. Fit]]/Kf-(1-alpha*Tabella34[[#This Row],[Italy cumul. Fit]]/Kf)*TANH(phi_f))+phi_f)/psi_f-(Tabella34[[#This Row],[Day]]-pf)</f>
        <v>65.480394693650979</v>
      </c>
      <c r="J10" s="143">
        <f>Tabella34[[#This Row],[Italy d.t.]]/Italy_dt_at_lockdown</f>
        <v>28.849155376885285</v>
      </c>
      <c r="K10" s="143">
        <f>Tabella34[[#This Row],[Italy cumul. Fit]]/Kf</f>
        <v>0</v>
      </c>
      <c r="L10" s="146">
        <f>Tabella34[[#This Row],[sel. region acc. fit]]+Tabella34[[#This Row],[rest of Italy acc. fit]]</f>
        <v>1.4761439767200106</v>
      </c>
      <c r="M10" s="143">
        <f>Tabella34[[#This Row],[Italy (fit of selected region + fitted sum of the other regions)]]/(y_l_peak+y_a_peak)</f>
        <v>4.6614829621200295E-4</v>
      </c>
      <c r="N10" s="143">
        <f>Tabella3[[#This Row],[Italy remov. rate fit]]</f>
        <v>29.616866156493174</v>
      </c>
      <c r="O10" s="143" t="e">
        <f>Kt*EXP(-0.5*Tabella34[[#This Row],[x_t]]^2)/(psi_t*SQRTPI(2)*(Tabella34[[#This Row],[Day]]-D_bk))</f>
        <v>#NUM!</v>
      </c>
      <c r="P10" s="183" t="e">
        <f>Tabella34[[#This Row],[Italy velocity]]/Tabella34[[#This Row],[Italy cumul. Fit]]</f>
        <v>#DIV/0!</v>
      </c>
      <c r="Q10" s="244" t="e">
        <f>(LN(Tabella34[[#This Row],[Day]]-D_bk)-phi_t)/psi_t</f>
        <v>#NUM!</v>
      </c>
      <c r="R10" s="244">
        <f>EXP(phi_t+psi_t*Tabella34[[#This Row],[x_t_alpha©+plus]])-(Tabella34[[#This Row],[Day]]-D_bk)</f>
        <v>69.916599439930721</v>
      </c>
      <c r="S10" s="244">
        <f>EXP(phi_t+psi_t*Tabella34[[#This Row],[x_t_alpha©-minus]])-(Tabella34[[#This Row],[Day]]-D_bk)</f>
        <v>68.978408979489927</v>
      </c>
      <c r="T10" s="244">
        <f>-psi_t+SQRT(psi_t^2-2*Tabella34[[#This Row],[c_t]])</f>
        <v>4.6780264250920016</v>
      </c>
      <c r="U10" s="244">
        <f>-psi_t-SQRT(psi_t^2-2*Tabella34[[#This Row],[c_t]])</f>
        <v>-4.7285450997893737</v>
      </c>
      <c r="V10" s="244">
        <f>phi_t-LN(alpha*Kt/(Tabella34[[#This Row],[Italy velocity]]*psi_t*SQRTPI(2)))</f>
        <v>-11.060129464526993</v>
      </c>
      <c r="W10" s="244" t="e">
        <f>Tabella34[[#This Row],[Italy g.r.]]/Italy_gr_at_lockdown</f>
        <v>#DIV/0!</v>
      </c>
      <c r="X10" s="244">
        <f>(ACOSH(SQRT(alpha*Kf*psi_f/(Tabella34[[#This Row],[Italy velocity]]*(1+TANH(phi_f)))))+phi_f)/psi_f-(Tabella34[[#This Row],[Day]]-pf)</f>
        <v>253.33226915788873</v>
      </c>
      <c r="Y10" s="244">
        <f>Tabella34[[#This Row],[Italy h.t.]]/Italy_ht_at_lockdown</f>
        <v>2.1331871783387428</v>
      </c>
      <c r="Z10" s="72">
        <f>-2*$BY$48*TANH($BY$48*(Tabella34[[#This Row],[Day]]-$BY$57)-$BY$47)*Tabella34[[#This Row],[Italy velocity]]</f>
        <v>1.4891745324294052</v>
      </c>
      <c r="AA10" s="72">
        <f>Tabella34[[#This Row],[Italy acc. fit]]/Itali_acc_at_lockdown</f>
        <v>4.2547444421311184E-2</v>
      </c>
      <c r="AB10" s="143">
        <f>Tabella34[[#This Row],[Italy acc. fit]]/y_f_peak</f>
        <v>4.7140853112087361E-4</v>
      </c>
      <c r="AC10" s="143">
        <f>Tabella34[[#This Row],[Italy (fit of selected region + fitted sum of the other regions)]]*NOT(ISBLANK(Tabella34[[#This Row],[Italy rate data]]))</f>
        <v>0</v>
      </c>
      <c r="AD10" s="143">
        <f>Tabella34[[#This Row],[Italy acc. fit]]*NOT(ISBLANK(Tabella34[[#This Row],[Italy rate data]]))</f>
        <v>0</v>
      </c>
      <c r="AE10" s="77">
        <f>Tabella34[[#This Row],[Italy acc. fit]]+CIf</f>
        <v>1656.6991434561808</v>
      </c>
      <c r="AF10" s="77">
        <f>MAX(Tabella34[[#This Row],[Italy acc. fit]]-CIf,0)</f>
        <v>0</v>
      </c>
      <c r="AG10" s="141"/>
      <c r="AH10" s="33"/>
      <c r="AI10" s="33"/>
      <c r="AJ10" s="142">
        <f>Tabella34[[#This Row],[selected region rate data]]*NOT(ISBLANK(Tabella34[[#This Row],[selected region rate data]]))</f>
        <v>0</v>
      </c>
      <c r="AK10" s="147">
        <f>Tabella8[[#This Row],[region fit]]</f>
        <v>0</v>
      </c>
      <c r="AL10" s="143">
        <f>(ATANH(alpha*Tabella34[[#This Row],[sel. region cumul. fit]]/Kl-(1-alpha*Tabella34[[#This Row],[sel. region cumul. fit]]/Kl)*TANH(phi_l))+phi_l)/psi_l-(Tabella34[[#This Row],[Day]]-pl)</f>
        <v>73.356483051343162</v>
      </c>
      <c r="AM10" s="142">
        <f>Tabella34[[#This Row],[sel. region cumul. fit]]/Kl</f>
        <v>0</v>
      </c>
      <c r="AN10" s="143">
        <f>Tabella3[[#This Row],[region fit]]</f>
        <v>3.3688291512846238</v>
      </c>
      <c r="AO10" s="183" t="e">
        <f>Tabella34[[#This Row],[sel. region velocity]]/Tabella34[[#This Row],[sel. region cumul. fit]]</f>
        <v>#DIV/0!</v>
      </c>
      <c r="AP10" s="236" t="e">
        <f>(LN(Tabella34[[#This Row],[Day]]-pr)-phi_r)/psi_r</f>
        <v>#NUM!</v>
      </c>
      <c r="AQ10" s="244">
        <f>EXP(phi_r+psi_r*Tabella34[[#This Row],[x_r_alpha©+plus]])-(Tabella34[[#This Row],[Day]]-pr)</f>
        <v>76.649654555374937</v>
      </c>
      <c r="AR10" s="244">
        <f>EXP(phi_r+psi_r*Tabella34[[#This Row],[x_r_alpha©-minus]])-(Tabella34[[#This Row],[Day]]-pr)</f>
        <v>76.086119932589469</v>
      </c>
      <c r="AS10" s="244">
        <f>-psi_r+SQRT(psi_r^2-2*Tabella34[[#This Row],[c_r]])</f>
        <v>4.6383758666899499</v>
      </c>
      <c r="AT10" s="244">
        <f>-psi_r-SQRT(psi_r^2-2*Tabella34[[#This Row],[c_r]])</f>
        <v>-4.6786638763562873</v>
      </c>
      <c r="AU10" s="244">
        <f>phi_r-LN(alpha*Kr/(Tabella34[[#This Row],[sel. region velocity]]*psi_r*SQRTPI(2)))</f>
        <v>-10.850700806222527</v>
      </c>
      <c r="AV10" s="244">
        <f>(ACOSH(SQRT(alpha*Kl*psi_l/(Tabella34[[#This Row],[sel. region velocity]]*(1+TANH(phi_l)))))+phi_l)/psi_l-(Tabella34[[#This Row],[Day]]-pl)</f>
        <v>273.11793343434829</v>
      </c>
      <c r="AW10" s="72">
        <f>-2*$BY$22*TANH($BY$22*(Tabella34[[#This Row],[Day]]-$BY$31)-$BY$21)*Tabella34[[#This Row],[sel. region velocity]]</f>
        <v>0.13416171587319026</v>
      </c>
      <c r="AX10" s="143">
        <f>Tabella34[[#This Row],[sel. region acc. fit]]/y_l_peak</f>
        <v>9.1120928853270116E-4</v>
      </c>
      <c r="AY10" s="143">
        <f>Tabella34[[#This Row],[sel. region acc. fit]]*NOT(ISBLANK(Tabella34[[#This Row],[selected region rate data]]))</f>
        <v>0</v>
      </c>
      <c r="AZ10" s="77">
        <f>Tabella34[[#This Row],[sel. region acc. fit]]+CIl</f>
        <v>69.499148090973591</v>
      </c>
      <c r="BA10" s="77">
        <f>MAX(Tabella34[[#This Row],[sel. region acc. fit]]-CIl,0)</f>
        <v>0</v>
      </c>
      <c r="BB10" s="141"/>
      <c r="BC10" s="33"/>
      <c r="BD10" s="33"/>
      <c r="BE10" s="142">
        <f>Tabella34[[#This Row],[rest of Italy rate data]]*NOT(ISBLANK(Tabella34[[#This Row],[rest of Italy rate data]]))</f>
        <v>0</v>
      </c>
      <c r="BF10" s="188">
        <f>Tabella8[[#This Row],[rest of Italy fit]]</f>
        <v>0</v>
      </c>
      <c r="BG10" s="78">
        <f>(ATANH(alpha*Tabella34[[#This Row],[rest of Italy cumul. fit]]/Ka-(1-alpha*Tabella34[[#This Row],[rest of Italy cumul. fit]]/Ka)*TANH(phi_a))+phi_a)/psi_a-(Tabella34[[#This Row],[Day]]-pa)</f>
        <v>64.882529907638357</v>
      </c>
      <c r="BH10" s="143">
        <f>Tabella34[[#This Row],[rest of Italy cumul. fit]]/Ka</f>
        <v>0</v>
      </c>
      <c r="BI10" s="143">
        <f>Tabella3[[#This Row],[rest of Italy fit]]</f>
        <v>26.26722938805533</v>
      </c>
      <c r="BJ10" s="183" t="e">
        <f>Tabella34[[#This Row],[rest of Italy velocity]]/Tabella34[[#This Row],[rest of Italy cumul. fit]]</f>
        <v>#DIV/0!</v>
      </c>
      <c r="BK10" s="236" t="e">
        <f>(LN(Tabella34[[#This Row],[Day]]-po)-phi_o)/psi_o</f>
        <v>#NUM!</v>
      </c>
      <c r="BL10" s="244">
        <f>EXP(phi_o+psi_o*Tabella34[[#This Row],[x_o_alpha©+plus]])-(Tabella34[[#This Row],[Day]]-po)</f>
        <v>69.448686207288631</v>
      </c>
      <c r="BM10" s="244">
        <f>EXP(phi_o+psi_o*Tabella34[[#This Row],[x_o_alpha©-minus]])-(Tabella34[[#This Row],[Day]]-po)</f>
        <v>68.468803744981159</v>
      </c>
      <c r="BN10" s="244">
        <f>-psi_o+SQRT(psi_o^2-2*Tabella34[[#This Row],[c_o]])</f>
        <v>4.6818581272771125</v>
      </c>
      <c r="BO10" s="244">
        <f>-psi_o-SQRT(psi_o^2-2*Tabella34[[#This Row],[c_o]])</f>
        <v>-4.7331714115447658</v>
      </c>
      <c r="BP10" s="244">
        <f>phi_o-LN(alpha*Ko/(Tabella34[[#This Row],[rest of Italy velocity]]*psi_o*SQRTPI(2)))</f>
        <v>-11.080018520468274</v>
      </c>
      <c r="BQ10" s="244">
        <f>(ACOSH(SQRT(alpha*Ka*psi_a/(Tabella34[[#This Row],[rest of Italy velocity]]*(1+TANH(phi_a)))))+phi_a)/psi_a-(Tabella34[[#This Row],[Day]]-pa)</f>
        <v>252.3363762037788</v>
      </c>
      <c r="BR10" s="72">
        <f>-2*$BY$35*TANH($BY$35*(Tabella34[[#This Row],[Day]]-$BY$44)-$BY$34)*Tabella34[[#This Row],[rest of Italy velocity]]</f>
        <v>1.3419822608468204</v>
      </c>
      <c r="BS10" s="143">
        <f>Tabella34[[#This Row],[rest of Italy acc. fit]]/y_a_peak</f>
        <v>4.4444616495266576E-4</v>
      </c>
      <c r="BT10" s="142">
        <f>Tabella34[[#This Row],[rest of Italy acc. fit]]*NOT(ISBLANK(Tabella34[[#This Row],[rest of Italy rate data]]))</f>
        <v>0</v>
      </c>
      <c r="BU10" s="77">
        <f>Tabella34[[#This Row],[rest of Italy acc. fit]]+CIa</f>
        <v>1635.4759222146483</v>
      </c>
      <c r="BV10" s="77">
        <f>MAX(Tabella34[[#This Row],[rest of Italy acc. fit]]-CIa,0)</f>
        <v>0</v>
      </c>
      <c r="BW10" s="8"/>
      <c r="BX10" s="198"/>
      <c r="BY10" s="201"/>
      <c r="BZ10" s="3"/>
      <c r="CL10" s="332"/>
    </row>
    <row r="11" spans="2:90" x14ac:dyDescent="0.3">
      <c r="B11" s="262">
        <v>43834</v>
      </c>
      <c r="C11" s="4">
        <v>4</v>
      </c>
      <c r="D11" s="141"/>
      <c r="E11" s="144"/>
      <c r="F11" s="144"/>
      <c r="G11" s="142">
        <f>Tabella34[[#This Row],[Italy rate data]]*NOT(ISBLANK(Tabella34[[#This Row],[Italy rate data]]))</f>
        <v>0</v>
      </c>
      <c r="H11" s="143">
        <f>Tabella8[[#This Row],[Italy fit]]</f>
        <v>0</v>
      </c>
      <c r="I11" s="143">
        <f>(ATANH(alpha*Tabella34[[#This Row],[Italy cumul. Fit]]/Kf-(1-alpha*Tabella34[[#This Row],[Italy cumul. Fit]]/Kf)*TANH(phi_f))+phi_f)/psi_f-(Tabella34[[#This Row],[Day]]-pf)</f>
        <v>64.480394693650979</v>
      </c>
      <c r="J11" s="143">
        <f>Tabella34[[#This Row],[Italy d.t.]]/Italy_dt_at_lockdown</f>
        <v>28.408578384155543</v>
      </c>
      <c r="K11" s="143">
        <f>Tabella34[[#This Row],[Italy cumul. Fit]]/Kf</f>
        <v>0</v>
      </c>
      <c r="L11" s="146">
        <f>Tabella34[[#This Row],[sel. region acc. fit]]+Tabella34[[#This Row],[rest of Italy acc. fit]]</f>
        <v>1.5515368600356823</v>
      </c>
      <c r="M11" s="143">
        <f>Tabella34[[#This Row],[Italy (fit of selected region + fitted sum of the other regions)]]/(y_l_peak+y_a_peak)</f>
        <v>4.8995645087602233E-4</v>
      </c>
      <c r="N11" s="143">
        <f>Tabella3[[#This Row],[Italy remov. rate fit]]</f>
        <v>31.143925502695385</v>
      </c>
      <c r="O11" s="143" t="e">
        <f>Kt*EXP(-0.5*Tabella34[[#This Row],[x_t]]^2)/(psi_t*SQRTPI(2)*(Tabella34[[#This Row],[Day]]-D_bk))</f>
        <v>#NUM!</v>
      </c>
      <c r="P11" s="183" t="e">
        <f>Tabella34[[#This Row],[Italy velocity]]/Tabella34[[#This Row],[Italy cumul. Fit]]</f>
        <v>#DIV/0!</v>
      </c>
      <c r="Q11" s="244" t="e">
        <f>(LN(Tabella34[[#This Row],[Day]]-D_bk)-phi_t)/psi_t</f>
        <v>#NUM!</v>
      </c>
      <c r="R11" s="244">
        <f>EXP(phi_t+psi_t*Tabella34[[#This Row],[x_t_alpha©+plus]])-(Tabella34[[#This Row],[Day]]-D_bk)</f>
        <v>68.915400432741592</v>
      </c>
      <c r="S11" s="244">
        <f>EXP(phi_t+psi_t*Tabella34[[#This Row],[x_t_alpha©-minus]])-(Tabella34[[#This Row],[Day]]-D_bk)</f>
        <v>67.979354670323985</v>
      </c>
      <c r="T11" s="244">
        <f>-psi_t+SQRT(psi_t^2-2*Tabella34[[#This Row],[c_t]])</f>
        <v>4.6673248685978077</v>
      </c>
      <c r="U11" s="244">
        <f>-psi_t-SQRT(psi_t^2-2*Tabella34[[#This Row],[c_t]])</f>
        <v>-4.7178435432951797</v>
      </c>
      <c r="V11" s="244">
        <f>phi_t-LN(alpha*Kt/(Tabella34[[#This Row],[Italy velocity]]*psi_t*SQRTPI(2)))</f>
        <v>-11.009854247887596</v>
      </c>
      <c r="W11" s="244" t="e">
        <f>Tabella34[[#This Row],[Italy g.r.]]/Italy_gr_at_lockdown</f>
        <v>#DIV/0!</v>
      </c>
      <c r="X11" s="244">
        <f>(ACOSH(SQRT(alpha*Kf*psi_f/(Tabella34[[#This Row],[Italy velocity]]*(1+TANH(phi_f)))))+phi_f)/psi_f-(Tabella34[[#This Row],[Day]]-pf)</f>
        <v>251.33468747466668</v>
      </c>
      <c r="Y11" s="244">
        <f>Tabella34[[#This Row],[Italy h.t.]]/Italy_ht_at_lockdown</f>
        <v>2.1163665196500632</v>
      </c>
      <c r="Z11" s="72">
        <f>-2*$BY$48*TANH($BY$48*(Tabella34[[#This Row],[Day]]-$BY$57)-$BY$47)*Tabella34[[#This Row],[Italy velocity]]</f>
        <v>1.5655749400187304</v>
      </c>
      <c r="AA11" s="72">
        <f>Tabella34[[#This Row],[Italy acc. fit]]/Itali_acc_at_lockdown</f>
        <v>4.4730292720744101E-2</v>
      </c>
      <c r="AB11" s="143">
        <f>Tabella34[[#This Row],[Italy acc. fit]]/y_f_peak</f>
        <v>4.9559361025996182E-4</v>
      </c>
      <c r="AC11" s="143">
        <f>Tabella34[[#This Row],[Italy (fit of selected region + fitted sum of the other regions)]]*NOT(ISBLANK(Tabella34[[#This Row],[Italy rate data]]))</f>
        <v>0</v>
      </c>
      <c r="AD11" s="143">
        <f>Tabella34[[#This Row],[Italy acc. fit]]*NOT(ISBLANK(Tabella34[[#This Row],[Italy rate data]]))</f>
        <v>0</v>
      </c>
      <c r="AE11" s="77">
        <f>Tabella34[[#This Row],[Italy acc. fit]]+CIf</f>
        <v>1656.7755438637701</v>
      </c>
      <c r="AF11" s="77">
        <f>MAX(Tabella34[[#This Row],[Italy acc. fit]]-CIf,0)</f>
        <v>0</v>
      </c>
      <c r="AG11" s="141"/>
      <c r="AH11" s="33"/>
      <c r="AI11" s="33"/>
      <c r="AJ11" s="142">
        <f>Tabella34[[#This Row],[selected region rate data]]*NOT(ISBLANK(Tabella34[[#This Row],[selected region rate data]]))</f>
        <v>0</v>
      </c>
      <c r="AK11" s="147">
        <f>Tabella8[[#This Row],[region fit]]</f>
        <v>0</v>
      </c>
      <c r="AL11" s="143">
        <f>(ATANH(alpha*Tabella34[[#This Row],[sel. region cumul. fit]]/Kl-(1-alpha*Tabella34[[#This Row],[sel. region cumul. fit]]/Kl)*TANH(phi_l))+phi_l)/psi_l-(Tabella34[[#This Row],[Day]]-pl)</f>
        <v>72.356483051343162</v>
      </c>
      <c r="AM11" s="142">
        <f>Tabella34[[#This Row],[sel. region cumul. fit]]/Kl</f>
        <v>0</v>
      </c>
      <c r="AN11" s="143">
        <f>Tabella3[[#This Row],[region fit]]</f>
        <v>3.5056651584025116</v>
      </c>
      <c r="AO11" s="183" t="e">
        <f>Tabella34[[#This Row],[sel. region velocity]]/Tabella34[[#This Row],[sel. region cumul. fit]]</f>
        <v>#DIV/0!</v>
      </c>
      <c r="AP11" s="236" t="e">
        <f>(LN(Tabella34[[#This Row],[Day]]-pr)-phi_r)/psi_r</f>
        <v>#NUM!</v>
      </c>
      <c r="AQ11" s="244">
        <f>EXP(phi_r+psi_r*Tabella34[[#This Row],[x_r_alpha©+plus]])-(Tabella34[[#This Row],[Day]]-pr)</f>
        <v>75.649087114352923</v>
      </c>
      <c r="AR11" s="244">
        <f>EXP(phi_r+psi_r*Tabella34[[#This Row],[x_r_alpha©-minus]])-(Tabella34[[#This Row],[Day]]-pr)</f>
        <v>75.086590352935175</v>
      </c>
      <c r="AS11" s="244">
        <f>-psi_r+SQRT(psi_r^2-2*Tabella34[[#This Row],[c_r]])</f>
        <v>4.6298213006710576</v>
      </c>
      <c r="AT11" s="244">
        <f>-psi_r-SQRT(psi_r^2-2*Tabella34[[#This Row],[c_r]])</f>
        <v>-4.670109310337395</v>
      </c>
      <c r="AU11" s="244">
        <f>phi_r-LN(alpha*Kr/(Tabella34[[#This Row],[sel. region velocity]]*psi_r*SQRTPI(2)))</f>
        <v>-10.810885780731148</v>
      </c>
      <c r="AV11" s="244">
        <f>(ACOSH(SQRT(alpha*Kl*psi_l/(Tabella34[[#This Row],[sel. region velocity]]*(1+TANH(phi_l)))))+phi_l)/psi_l-(Tabella34[[#This Row],[Day]]-pl)</f>
        <v>271.12385546801079</v>
      </c>
      <c r="AW11" s="72">
        <f>-2*$BY$22*TANH($BY$22*(Tabella34[[#This Row],[Day]]-$BY$31)-$BY$21)*Tabella34[[#This Row],[sel. region velocity]]</f>
        <v>0.13954472213991376</v>
      </c>
      <c r="AX11" s="143">
        <f>Tabella34[[#This Row],[sel. region acc. fit]]/y_l_peak</f>
        <v>9.477699815630768E-4</v>
      </c>
      <c r="AY11" s="143">
        <f>Tabella34[[#This Row],[sel. region acc. fit]]*NOT(ISBLANK(Tabella34[[#This Row],[selected region rate data]]))</f>
        <v>0</v>
      </c>
      <c r="AZ11" s="77">
        <f>Tabella34[[#This Row],[sel. region acc. fit]]+CIl</f>
        <v>69.504531097240317</v>
      </c>
      <c r="BA11" s="77">
        <f>MAX(Tabella34[[#This Row],[sel. region acc. fit]]-CIl,0)</f>
        <v>0</v>
      </c>
      <c r="BB11" s="141"/>
      <c r="BC11" s="33"/>
      <c r="BD11" s="33"/>
      <c r="BE11" s="142">
        <f>Tabella34[[#This Row],[rest of Italy rate data]]*NOT(ISBLANK(Tabella34[[#This Row],[rest of Italy rate data]]))</f>
        <v>0</v>
      </c>
      <c r="BF11" s="188">
        <f>Tabella8[[#This Row],[rest of Italy fit]]</f>
        <v>0</v>
      </c>
      <c r="BG11" s="78">
        <f>(ATANH(alpha*Tabella34[[#This Row],[rest of Italy cumul. fit]]/Ka-(1-alpha*Tabella34[[#This Row],[rest of Italy cumul. fit]]/Ka)*TANH(phi_a))+phi_a)/psi_a-(Tabella34[[#This Row],[Day]]-pa)</f>
        <v>63.882529907638357</v>
      </c>
      <c r="BH11" s="143">
        <f>Tabella34[[#This Row],[rest of Italy cumul. fit]]/Ka</f>
        <v>0</v>
      </c>
      <c r="BI11" s="143">
        <f>Tabella3[[#This Row],[rest of Italy fit]]</f>
        <v>27.643922613569018</v>
      </c>
      <c r="BJ11" s="183" t="e">
        <f>Tabella34[[#This Row],[rest of Italy velocity]]/Tabella34[[#This Row],[rest of Italy cumul. fit]]</f>
        <v>#DIV/0!</v>
      </c>
      <c r="BK11" s="236" t="e">
        <f>(LN(Tabella34[[#This Row],[Day]]-po)-phi_o)/psi_o</f>
        <v>#NUM!</v>
      </c>
      <c r="BL11" s="244">
        <f>EXP(phi_o+psi_o*Tabella34[[#This Row],[x_o_alpha©+plus]])-(Tabella34[[#This Row],[Day]]-po)</f>
        <v>68.447413634051031</v>
      </c>
      <c r="BM11" s="244">
        <f>EXP(phi_o+psi_o*Tabella34[[#This Row],[x_o_alpha©-minus]])-(Tabella34[[#This Row],[Day]]-po)</f>
        <v>67.469803506723551</v>
      </c>
      <c r="BN11" s="244">
        <f>-psi_o+SQRT(psi_o^2-2*Tabella34[[#This Row],[c_o]])</f>
        <v>4.6709940531273393</v>
      </c>
      <c r="BO11" s="244">
        <f>-psi_o-SQRT(psi_o^2-2*Tabella34[[#This Row],[c_o]])</f>
        <v>-4.7223073373949926</v>
      </c>
      <c r="BP11" s="244">
        <f>phi_o-LN(alpha*Ko/(Tabella34[[#This Row],[rest of Italy velocity]]*psi_o*SQRTPI(2)))</f>
        <v>-11.028934745005806</v>
      </c>
      <c r="BQ11" s="244">
        <f>(ACOSH(SQRT(alpha*Ka*psi_a/(Tabella34[[#This Row],[rest of Italy velocity]]*(1+TANH(phi_a)))))+phi_a)/psi_a-(Tabella34[[#This Row],[Day]]-pa)</f>
        <v>250.33862007292237</v>
      </c>
      <c r="BR11" s="72">
        <f>-2*$BY$35*TANH($BY$35*(Tabella34[[#This Row],[Day]]-$BY$44)-$BY$34)*Tabella34[[#This Row],[rest of Italy velocity]]</f>
        <v>1.4119921378957685</v>
      </c>
      <c r="BS11" s="143">
        <f>Tabella34[[#This Row],[rest of Italy acc. fit]]/y_a_peak</f>
        <v>4.6763247841673347E-4</v>
      </c>
      <c r="BT11" s="142">
        <f>Tabella34[[#This Row],[rest of Italy acc. fit]]*NOT(ISBLANK(Tabella34[[#This Row],[rest of Italy rate data]]))</f>
        <v>0</v>
      </c>
      <c r="BU11" s="77">
        <f>Tabella34[[#This Row],[rest of Italy acc. fit]]+CIa</f>
        <v>1635.5459320916973</v>
      </c>
      <c r="BV11" s="77">
        <f>MAX(Tabella34[[#This Row],[rest of Italy acc. fit]]-CIa,0)</f>
        <v>0</v>
      </c>
      <c r="BW11" s="8"/>
      <c r="BX11" s="202" t="s">
        <v>1</v>
      </c>
      <c r="BY11" s="203">
        <f>AVERAGE(Tabella34[Italy rate data])</f>
        <v>1459.5820895522388</v>
      </c>
      <c r="BZ11" s="3"/>
      <c r="CL11" s="332"/>
    </row>
    <row r="12" spans="2:90" x14ac:dyDescent="0.3">
      <c r="B12" s="262">
        <v>43835</v>
      </c>
      <c r="C12" s="4">
        <v>5</v>
      </c>
      <c r="D12" s="141"/>
      <c r="E12" s="144"/>
      <c r="F12" s="144"/>
      <c r="G12" s="142">
        <f>Tabella34[[#This Row],[Italy rate data]]*NOT(ISBLANK(Tabella34[[#This Row],[Italy rate data]]))</f>
        <v>0</v>
      </c>
      <c r="H12" s="143">
        <f>Tabella8[[#This Row],[Italy fit]]</f>
        <v>0</v>
      </c>
      <c r="I12" s="143">
        <f>(ATANH(alpha*Tabella34[[#This Row],[Italy cumul. Fit]]/Kf-(1-alpha*Tabella34[[#This Row],[Italy cumul. Fit]]/Kf)*TANH(phi_f))+phi_f)/psi_f-(Tabella34[[#This Row],[Day]]-pf)</f>
        <v>63.480394693650979</v>
      </c>
      <c r="J12" s="143">
        <f>Tabella34[[#This Row],[Italy d.t.]]/Italy_dt_at_lockdown</f>
        <v>27.968001391425801</v>
      </c>
      <c r="K12" s="143">
        <f>Tabella34[[#This Row],[Italy cumul. Fit]]/Kf</f>
        <v>0</v>
      </c>
      <c r="L12" s="146">
        <f>Tabella34[[#This Row],[sel. region acc. fit]]+Tabella34[[#This Row],[rest of Italy acc. fit]]</f>
        <v>1.6307565246554467</v>
      </c>
      <c r="M12" s="143">
        <f>Tabella34[[#This Row],[Italy (fit of selected region + fitted sum of the other regions)]]/(y_l_peak+y_a_peak)</f>
        <v>5.1497305648589219E-4</v>
      </c>
      <c r="N12" s="143">
        <f>Tabella3[[#This Row],[Italy remov. rate fit]]</f>
        <v>32.749308643833842</v>
      </c>
      <c r="O12" s="143" t="e">
        <f>Kt*EXP(-0.5*Tabella34[[#This Row],[x_t]]^2)/(psi_t*SQRTPI(2)*(Tabella34[[#This Row],[Day]]-D_bk))</f>
        <v>#NUM!</v>
      </c>
      <c r="P12" s="183" t="e">
        <f>Tabella34[[#This Row],[Italy velocity]]/Tabella34[[#This Row],[Italy cumul. Fit]]</f>
        <v>#DIV/0!</v>
      </c>
      <c r="Q12" s="244" t="e">
        <f>(LN(Tabella34[[#This Row],[Day]]-D_bk)-phi_t)/psi_t</f>
        <v>#NUM!</v>
      </c>
      <c r="R12" s="244">
        <f>EXP(phi_t+psi_t*Tabella34[[#This Row],[x_t_alpha©+plus]])-(Tabella34[[#This Row],[Day]]-D_bk)</f>
        <v>67.91419931110849</v>
      </c>
      <c r="S12" s="244">
        <f>EXP(phi_t+psi_t*Tabella34[[#This Row],[x_t_alpha©-minus]])-(Tabella34[[#This Row],[Day]]-D_bk)</f>
        <v>66.980302541708483</v>
      </c>
      <c r="T12" s="244">
        <f>-psi_t+SQRT(psi_t^2-2*Tabella34[[#This Row],[c_t]])</f>
        <v>4.656601538730512</v>
      </c>
      <c r="U12" s="244">
        <f>-psi_t-SQRT(psi_t^2-2*Tabella34[[#This Row],[c_t]])</f>
        <v>-4.707120213427884</v>
      </c>
      <c r="V12" s="244">
        <f>phi_t-LN(alpha*Kt/(Tabella34[[#This Row],[Italy velocity]]*psi_t*SQRTPI(2)))</f>
        <v>-10.959591614418889</v>
      </c>
      <c r="W12" s="244" t="e">
        <f>Tabella34[[#This Row],[Italy g.r.]]/Italy_gr_at_lockdown</f>
        <v>#DIV/0!</v>
      </c>
      <c r="X12" s="244">
        <f>(ACOSH(SQRT(alpha*Kf*psi_f/(Tabella34[[#This Row],[Italy velocity]]*(1+TANH(phi_f)))))+phi_f)/psi_f-(Tabella34[[#This Row],[Day]]-pf)</f>
        <v>249.33723125839828</v>
      </c>
      <c r="Y12" s="244">
        <f>Tabella34[[#This Row],[Italy h.t.]]/Italy_ht_at_lockdown</f>
        <v>2.0995469174572561</v>
      </c>
      <c r="Z12" s="72">
        <f>-2*$BY$48*TANH($BY$48*(Tabella34[[#This Row],[Day]]-$BY$57)-$BY$47)*Tabella34[[#This Row],[Italy velocity]]</f>
        <v>1.6458534599188384</v>
      </c>
      <c r="AA12" s="72">
        <f>Tabella34[[#This Row],[Italy acc. fit]]/Itali_acc_at_lockdown</f>
        <v>4.7023943189035924E-2</v>
      </c>
      <c r="AB12" s="143">
        <f>Tabella34[[#This Row],[Italy acc. fit]]/y_f_peak</f>
        <v>5.2100633275994305E-4</v>
      </c>
      <c r="AC12" s="143">
        <f>Tabella34[[#This Row],[Italy (fit of selected region + fitted sum of the other regions)]]*NOT(ISBLANK(Tabella34[[#This Row],[Italy rate data]]))</f>
        <v>0</v>
      </c>
      <c r="AD12" s="143">
        <f>Tabella34[[#This Row],[Italy acc. fit]]*NOT(ISBLANK(Tabella34[[#This Row],[Italy rate data]]))</f>
        <v>0</v>
      </c>
      <c r="AE12" s="77">
        <f>Tabella34[[#This Row],[Italy acc. fit]]+CIf</f>
        <v>1656.8558223836701</v>
      </c>
      <c r="AF12" s="77">
        <f>MAX(Tabella34[[#This Row],[Italy acc. fit]]-CIf,0)</f>
        <v>0</v>
      </c>
      <c r="AG12" s="141"/>
      <c r="AH12" s="33"/>
      <c r="AI12" s="33"/>
      <c r="AJ12" s="142">
        <f>Tabella34[[#This Row],[selected region rate data]]*NOT(ISBLANK(Tabella34[[#This Row],[selected region rate data]]))</f>
        <v>0</v>
      </c>
      <c r="AK12" s="147">
        <f>Tabella8[[#This Row],[region fit]]</f>
        <v>0</v>
      </c>
      <c r="AL12" s="143">
        <f>(ATANH(alpha*Tabella34[[#This Row],[sel. region cumul. fit]]/Kl-(1-alpha*Tabella34[[#This Row],[sel. region cumul. fit]]/Kl)*TANH(phi_l))+phi_l)/psi_l-(Tabella34[[#This Row],[Day]]-pl)</f>
        <v>71.356483051343162</v>
      </c>
      <c r="AM12" s="142">
        <f>Tabella34[[#This Row],[sel. region cumul. fit]]/Kl</f>
        <v>0</v>
      </c>
      <c r="AN12" s="143">
        <f>Tabella3[[#This Row],[region fit]]</f>
        <v>3.6479887060982885</v>
      </c>
      <c r="AO12" s="183" t="e">
        <f>Tabella34[[#This Row],[sel. region velocity]]/Tabella34[[#This Row],[sel. region cumul. fit]]</f>
        <v>#DIV/0!</v>
      </c>
      <c r="AP12" s="236" t="e">
        <f>(LN(Tabella34[[#This Row],[Day]]-pr)-phi_r)/psi_r</f>
        <v>#NUM!</v>
      </c>
      <c r="AQ12" s="244">
        <f>EXP(phi_r+psi_r*Tabella34[[#This Row],[x_r_alpha©+plus]])-(Tabella34[[#This Row],[Day]]-pr)</f>
        <v>74.648519001647387</v>
      </c>
      <c r="AR12" s="244">
        <f>EXP(phi_r+psi_r*Tabella34[[#This Row],[x_r_alpha©-minus]])-(Tabella34[[#This Row],[Day]]-pr)</f>
        <v>74.087061492579139</v>
      </c>
      <c r="AS12" s="244">
        <f>-psi_r+SQRT(psi_r^2-2*Tabella34[[#This Row],[c_r]])</f>
        <v>4.6212551315348511</v>
      </c>
      <c r="AT12" s="244">
        <f>-psi_r-SQRT(psi_r^2-2*Tabella34[[#This Row],[c_r]])</f>
        <v>-4.6615431412011885</v>
      </c>
      <c r="AU12" s="244">
        <f>phi_r-LN(alpha*Kr/(Tabella34[[#This Row],[sel. region velocity]]*psi_r*SQRTPI(2)))</f>
        <v>-10.771090081073538</v>
      </c>
      <c r="AV12" s="244">
        <f>(ACOSH(SQRT(alpha*Kl*psi_l/(Tabella34[[#This Row],[sel. region velocity]]*(1+TANH(phi_l)))))+phi_l)/psi_l-(Tabella34[[#This Row],[Day]]-pl)</f>
        <v>269.130021697095</v>
      </c>
      <c r="AW12" s="72">
        <f>-2*$BY$22*TANH($BY$22*(Tabella34[[#This Row],[Day]]-$BY$31)-$BY$21)*Tabella34[[#This Row],[sel. region velocity]]</f>
        <v>0.14513806804194634</v>
      </c>
      <c r="AX12" s="143">
        <f>Tabella34[[#This Row],[sel. region acc. fit]]/y_l_peak</f>
        <v>9.8575927460943166E-4</v>
      </c>
      <c r="AY12" s="143">
        <f>Tabella34[[#This Row],[sel. region acc. fit]]*NOT(ISBLANK(Tabella34[[#This Row],[selected region rate data]]))</f>
        <v>0</v>
      </c>
      <c r="AZ12" s="77">
        <f>Tabella34[[#This Row],[sel. region acc. fit]]+CIl</f>
        <v>69.510124443142345</v>
      </c>
      <c r="BA12" s="77">
        <f>MAX(Tabella34[[#This Row],[sel. region acc. fit]]-CIl,0)</f>
        <v>0</v>
      </c>
      <c r="BB12" s="141"/>
      <c r="BC12" s="33"/>
      <c r="BD12" s="33"/>
      <c r="BE12" s="142">
        <f>Tabella34[[#This Row],[rest of Italy rate data]]*NOT(ISBLANK(Tabella34[[#This Row],[rest of Italy rate data]]))</f>
        <v>0</v>
      </c>
      <c r="BF12" s="188">
        <f>Tabella8[[#This Row],[rest of Italy fit]]</f>
        <v>0</v>
      </c>
      <c r="BG12" s="78">
        <f>(ATANH(alpha*Tabella34[[#This Row],[rest of Italy cumul. fit]]/Ka-(1-alpha*Tabella34[[#This Row],[rest of Italy cumul. fit]]/Ka)*TANH(phi_a))+phi_a)/psi_a-(Tabella34[[#This Row],[Day]]-pa)</f>
        <v>62.882529907638357</v>
      </c>
      <c r="BH12" s="143">
        <f>Tabella34[[#This Row],[rest of Italy cumul. fit]]/Ka</f>
        <v>0</v>
      </c>
      <c r="BI12" s="143">
        <f>Tabella3[[#This Row],[rest of Italy fit]]</f>
        <v>29.092419050359197</v>
      </c>
      <c r="BJ12" s="183" t="e">
        <f>Tabella34[[#This Row],[rest of Italy velocity]]/Tabella34[[#This Row],[rest of Italy cumul. fit]]</f>
        <v>#DIV/0!</v>
      </c>
      <c r="BK12" s="236" t="e">
        <f>(LN(Tabella34[[#This Row],[Day]]-po)-phi_o)/psi_o</f>
        <v>#NUM!</v>
      </c>
      <c r="BL12" s="244">
        <f>EXP(phi_o+psi_o*Tabella34[[#This Row],[x_o_alpha©+plus]])-(Tabella34[[#This Row],[Day]]-po)</f>
        <v>67.446138767467332</v>
      </c>
      <c r="BM12" s="244">
        <f>EXP(phi_o+psi_o*Tabella34[[#This Row],[x_o_alpha©-minus]])-(Tabella34[[#This Row],[Day]]-po)</f>
        <v>66.470805629249497</v>
      </c>
      <c r="BN12" s="244">
        <f>-psi_o+SQRT(psi_o^2-2*Tabella34[[#This Row],[c_o]])</f>
        <v>4.6601073632287875</v>
      </c>
      <c r="BO12" s="244">
        <f>-psi_o-SQRT(psi_o^2-2*Tabella34[[#This Row],[c_o]])</f>
        <v>-4.7114206474964408</v>
      </c>
      <c r="BP12" s="244">
        <f>phi_o-LN(alpha*Ko/(Tabella34[[#This Row],[rest of Italy velocity]]*psi_o*SQRTPI(2)))</f>
        <v>-10.977863025333152</v>
      </c>
      <c r="BQ12" s="244">
        <f>(ACOSH(SQRT(alpha*Ka*psi_a/(Tabella34[[#This Row],[rest of Italy velocity]]*(1+TANH(phi_a)))))+phi_a)/psi_a-(Tabella34[[#This Row],[Day]]-pa)</f>
        <v>248.340982226265</v>
      </c>
      <c r="BR12" s="72">
        <f>-2*$BY$35*TANH($BY$35*(Tabella34[[#This Row],[Day]]-$BY$44)-$BY$34)*Tabella34[[#This Row],[rest of Italy velocity]]</f>
        <v>1.4856184566135004</v>
      </c>
      <c r="BS12" s="143">
        <f>Tabella34[[#This Row],[rest of Italy acc. fit]]/y_a_peak</f>
        <v>4.9201650788447749E-4</v>
      </c>
      <c r="BT12" s="142">
        <f>Tabella34[[#This Row],[rest of Italy acc. fit]]*NOT(ISBLANK(Tabella34[[#This Row],[rest of Italy rate data]]))</f>
        <v>0</v>
      </c>
      <c r="BU12" s="77">
        <f>Tabella34[[#This Row],[rest of Italy acc. fit]]+CIa</f>
        <v>1635.619558410415</v>
      </c>
      <c r="BV12" s="77">
        <f>MAX(Tabella34[[#This Row],[rest of Italy acc. fit]]-CIa,0)</f>
        <v>0</v>
      </c>
      <c r="BW12" s="1"/>
      <c r="BX12" s="202" t="s">
        <v>2</v>
      </c>
      <c r="BY12" s="204">
        <f>COUNT(Tabella34[Italy rate data])-COUNT(BY8:BY10)</f>
        <v>134</v>
      </c>
      <c r="CL12" s="332"/>
    </row>
    <row r="13" spans="2:90" x14ac:dyDescent="0.3">
      <c r="B13" s="262">
        <v>43836</v>
      </c>
      <c r="C13" s="4">
        <v>6</v>
      </c>
      <c r="D13" s="141"/>
      <c r="E13" s="144"/>
      <c r="F13" s="144"/>
      <c r="G13" s="142">
        <f>Tabella34[[#This Row],[Italy rate data]]*NOT(ISBLANK(Tabella34[[#This Row],[Italy rate data]]))</f>
        <v>0</v>
      </c>
      <c r="H13" s="143">
        <f>Tabella8[[#This Row],[Italy fit]]</f>
        <v>0</v>
      </c>
      <c r="I13" s="143">
        <f>(ATANH(alpha*Tabella34[[#This Row],[Italy cumul. Fit]]/Kf-(1-alpha*Tabella34[[#This Row],[Italy cumul. Fit]]/Kf)*TANH(phi_f))+phi_f)/psi_f-(Tabella34[[#This Row],[Day]]-pf)</f>
        <v>62.480394693650979</v>
      </c>
      <c r="J13" s="143">
        <f>Tabella34[[#This Row],[Italy d.t.]]/Italy_dt_at_lockdown</f>
        <v>27.527424398696063</v>
      </c>
      <c r="K13" s="143">
        <f>Tabella34[[#This Row],[Italy cumul. Fit]]/Kf</f>
        <v>0</v>
      </c>
      <c r="L13" s="146">
        <f>Tabella34[[#This Row],[sel. region acc. fit]]+Tabella34[[#This Row],[rest of Italy acc. fit]]</f>
        <v>1.7139936565888494</v>
      </c>
      <c r="M13" s="143">
        <f>Tabella34[[#This Row],[Italy (fit of selected region + fitted sum of the other regions)]]/(y_l_peak+y_a_peak)</f>
        <v>5.4125832936187878E-4</v>
      </c>
      <c r="N13" s="143">
        <f>Tabella3[[#This Row],[Italy remov. rate fit]]</f>
        <v>34.436989175335924</v>
      </c>
      <c r="O13" s="143" t="e">
        <f>Kt*EXP(-0.5*Tabella34[[#This Row],[x_t]]^2)/(psi_t*SQRTPI(2)*(Tabella34[[#This Row],[Day]]-D_bk))</f>
        <v>#NUM!</v>
      </c>
      <c r="P13" s="183" t="e">
        <f>Tabella34[[#This Row],[Italy velocity]]/Tabella34[[#This Row],[Italy cumul. Fit]]</f>
        <v>#DIV/0!</v>
      </c>
      <c r="Q13" s="244" t="e">
        <f>(LN(Tabella34[[#This Row],[Day]]-D_bk)-phi_t)/psi_t</f>
        <v>#NUM!</v>
      </c>
      <c r="R13" s="244">
        <f>EXP(phi_t+psi_t*Tabella34[[#This Row],[x_t_alpha©+plus]])-(Tabella34[[#This Row],[Day]]-D_bk)</f>
        <v>66.912996075682898</v>
      </c>
      <c r="S13" s="244">
        <f>EXP(phi_t+psi_t*Tabella34[[#This Row],[x_t_alpha©-minus]])-(Tabella34[[#This Row],[Day]]-D_bk)</f>
        <v>65.981252596257974</v>
      </c>
      <c r="T13" s="244">
        <f>-psi_t+SQRT(psi_t^2-2*Tabella34[[#This Row],[c_t]])</f>
        <v>4.6458564243956086</v>
      </c>
      <c r="U13" s="244">
        <f>-psi_t-SQRT(psi_t^2-2*Tabella34[[#This Row],[c_t]])</f>
        <v>-4.6963750990929807</v>
      </c>
      <c r="V13" s="244">
        <f>phi_t-LN(alpha*Kt/(Tabella34[[#This Row],[Italy velocity]]*psi_t*SQRTPI(2)))</f>
        <v>-10.909342212746342</v>
      </c>
      <c r="W13" s="244" t="e">
        <f>Tabella34[[#This Row],[Italy g.r.]]/Italy_gr_at_lockdown</f>
        <v>#DIV/0!</v>
      </c>
      <c r="X13" s="244">
        <f>(ACOSH(SQRT(alpha*Kf*psi_f/(Tabella34[[#This Row],[Italy velocity]]*(1+TANH(phi_f)))))+phi_f)/psi_f-(Tabella34[[#This Row],[Day]]-pf)</f>
        <v>247.33990702711981</v>
      </c>
      <c r="Y13" s="244">
        <f>Tabella34[[#This Row],[Italy h.t.]]/Italy_ht_at_lockdown</f>
        <v>2.0827284266455188</v>
      </c>
      <c r="Z13" s="72">
        <f>-2*$BY$48*TANH($BY$48*(Tabella34[[#This Row],[Day]]-$BY$57)-$BY$47)*Tabella34[[#This Row],[Italy velocity]]</f>
        <v>1.7302025408771835</v>
      </c>
      <c r="AA13" s="72">
        <f>Tabella34[[#This Row],[Italy acc. fit]]/Itali_acc_at_lockdown</f>
        <v>4.9433894310217885E-2</v>
      </c>
      <c r="AB13" s="143">
        <f>Tabella34[[#This Row],[Italy acc. fit]]/y_f_peak</f>
        <v>5.4770761960716086E-4</v>
      </c>
      <c r="AC13" s="143">
        <f>Tabella34[[#This Row],[Italy (fit of selected region + fitted sum of the other regions)]]*NOT(ISBLANK(Tabella34[[#This Row],[Italy rate data]]))</f>
        <v>0</v>
      </c>
      <c r="AD13" s="143">
        <f>Tabella34[[#This Row],[Italy acc. fit]]*NOT(ISBLANK(Tabella34[[#This Row],[Italy rate data]]))</f>
        <v>0</v>
      </c>
      <c r="AE13" s="77">
        <f>Tabella34[[#This Row],[Italy acc. fit]]+CIf</f>
        <v>1656.9401714646285</v>
      </c>
      <c r="AF13" s="77">
        <f>MAX(Tabella34[[#This Row],[Italy acc. fit]]-CIf,0)</f>
        <v>0</v>
      </c>
      <c r="AG13" s="141"/>
      <c r="AH13" s="33"/>
      <c r="AI13" s="33"/>
      <c r="AJ13" s="142">
        <f>Tabella34[[#This Row],[selected region rate data]]*NOT(ISBLANK(Tabella34[[#This Row],[selected region rate data]]))</f>
        <v>0</v>
      </c>
      <c r="AK13" s="147">
        <f>Tabella8[[#This Row],[region fit]]</f>
        <v>0</v>
      </c>
      <c r="AL13" s="143">
        <f>(ATANH(alpha*Tabella34[[#This Row],[sel. region cumul. fit]]/Kl-(1-alpha*Tabella34[[#This Row],[sel. region cumul. fit]]/Kl)*TANH(phi_l))+phi_l)/psi_l-(Tabella34[[#This Row],[Day]]-pl)</f>
        <v>70.356483051343162</v>
      </c>
      <c r="AM13" s="142">
        <f>Tabella34[[#This Row],[sel. region cumul. fit]]/Kl</f>
        <v>0</v>
      </c>
      <c r="AN13" s="143">
        <f>Tabella3[[#This Row],[region fit]]</f>
        <v>3.7960139874434327</v>
      </c>
      <c r="AO13" s="183" t="e">
        <f>Tabella34[[#This Row],[sel. region velocity]]/Tabella34[[#This Row],[sel. region cumul. fit]]</f>
        <v>#DIV/0!</v>
      </c>
      <c r="AP13" s="236" t="e">
        <f>(LN(Tabella34[[#This Row],[Day]]-pr)-phi_r)/psi_r</f>
        <v>#NUM!</v>
      </c>
      <c r="AQ13" s="244">
        <f>EXP(phi_r+psi_r*Tabella34[[#This Row],[x_r_alpha©+plus]])-(Tabella34[[#This Row],[Day]]-pr)</f>
        <v>73.647950224601075</v>
      </c>
      <c r="AR13" s="244">
        <f>EXP(phi_r+psi_r*Tabella34[[#This Row],[x_r_alpha©-minus]])-(Tabella34[[#This Row],[Day]]-pr)</f>
        <v>73.087533346089685</v>
      </c>
      <c r="AS13" s="244">
        <f>-psi_r+SQRT(psi_r^2-2*Tabella34[[#This Row],[c_r]])</f>
        <v>4.6126774642727524</v>
      </c>
      <c r="AT13" s="244">
        <f>-psi_r-SQRT(psi_r^2-2*Tabella34[[#This Row],[c_r]])</f>
        <v>-4.6529654739390898</v>
      </c>
      <c r="AU13" s="244">
        <f>phi_r-LN(alpha*Kr/(Tabella34[[#This Row],[sel. region velocity]]*psi_r*SQRTPI(2)))</f>
        <v>-10.731314491839012</v>
      </c>
      <c r="AV13" s="244">
        <f>(ACOSH(SQRT(alpha*Kl*psi_l/(Tabella34[[#This Row],[sel. region velocity]]*(1+TANH(phi_l)))))+phi_l)/psi_l-(Tabella34[[#This Row],[Day]]-pl)</f>
        <v>267.13644222206779</v>
      </c>
      <c r="AW13" s="72">
        <f>-2*$BY$22*TANH($BY$22*(Tabella34[[#This Row],[Day]]-$BY$31)-$BY$21)*Tabella34[[#This Row],[sel. region velocity]]</f>
        <v>0.15094950099949925</v>
      </c>
      <c r="AX13" s="143">
        <f>Tabella34[[#This Row],[sel. region acc. fit]]/y_l_peak</f>
        <v>1.0252297871631956E-3</v>
      </c>
      <c r="AY13" s="143">
        <f>Tabella34[[#This Row],[sel. region acc. fit]]*NOT(ISBLANK(Tabella34[[#This Row],[selected region rate data]]))</f>
        <v>0</v>
      </c>
      <c r="AZ13" s="77">
        <f>Tabella34[[#This Row],[sel. region acc. fit]]+CIl</f>
        <v>69.515935876099903</v>
      </c>
      <c r="BA13" s="77">
        <f>MAX(Tabella34[[#This Row],[sel. region acc. fit]]-CIl,0)</f>
        <v>0</v>
      </c>
      <c r="BB13" s="141"/>
      <c r="BC13" s="33"/>
      <c r="BD13" s="33"/>
      <c r="BE13" s="142">
        <f>Tabella34[[#This Row],[rest of Italy rate data]]*NOT(ISBLANK(Tabella34[[#This Row],[rest of Italy rate data]]))</f>
        <v>0</v>
      </c>
      <c r="BF13" s="188">
        <f>Tabella8[[#This Row],[rest of Italy fit]]</f>
        <v>0</v>
      </c>
      <c r="BG13" s="78">
        <f>(ATANH(alpha*Tabella34[[#This Row],[rest of Italy cumul. fit]]/Ka-(1-alpha*Tabella34[[#This Row],[rest of Italy cumul. fit]]/Ka)*TANH(phi_a))+phi_a)/psi_a-(Tabella34[[#This Row],[Day]]-pa)</f>
        <v>61.882529907638357</v>
      </c>
      <c r="BH13" s="143">
        <f>Tabella34[[#This Row],[rest of Italy cumul. fit]]/Ka</f>
        <v>0</v>
      </c>
      <c r="BI13" s="143">
        <f>Tabella3[[#This Row],[rest of Italy fit]]</f>
        <v>30.616425888735023</v>
      </c>
      <c r="BJ13" s="183" t="e">
        <f>Tabella34[[#This Row],[rest of Italy velocity]]/Tabella34[[#This Row],[rest of Italy cumul. fit]]</f>
        <v>#DIV/0!</v>
      </c>
      <c r="BK13" s="236" t="e">
        <f>(LN(Tabella34[[#This Row],[Day]]-po)-phi_o)/psi_o</f>
        <v>#NUM!</v>
      </c>
      <c r="BL13" s="244">
        <f>EXP(phi_o+psi_o*Tabella34[[#This Row],[x_o_alpha©+plus]])-(Tabella34[[#This Row],[Day]]-po)</f>
        <v>66.444861606979828</v>
      </c>
      <c r="BM13" s="244">
        <f>EXP(phi_o+psi_o*Tabella34[[#This Row],[x_o_alpha©-minus]])-(Tabella34[[#This Row],[Day]]-po)</f>
        <v>65.471810116488015</v>
      </c>
      <c r="BN13" s="244">
        <f>-psi_o+SQRT(psi_o^2-2*Tabella34[[#This Row],[c_o]])</f>
        <v>4.6491980347079709</v>
      </c>
      <c r="BO13" s="244">
        <f>-psi_o-SQRT(psi_o^2-2*Tabella34[[#This Row],[c_o]])</f>
        <v>-4.7005113189756242</v>
      </c>
      <c r="BP13" s="244">
        <f>phi_o-LN(alpha*Ko/(Tabella34[[#This Row],[rest of Italy velocity]]*psi_o*SQRTPI(2)))</f>
        <v>-10.926803993152022</v>
      </c>
      <c r="BQ13" s="244">
        <f>(ACOSH(SQRT(alpha*Ka*psi_a/(Tabella34[[#This Row],[rest of Italy velocity]]*(1+TANH(phi_a)))))+phi_a)/psi_a-(Tabella34[[#This Row],[Day]]-pa)</f>
        <v>246.34346890672265</v>
      </c>
      <c r="BR13" s="72">
        <f>-2*$BY$35*TANH($BY$35*(Tabella34[[#This Row],[Day]]-$BY$44)-$BY$34)*Tabella34[[#This Row],[rest of Italy velocity]]</f>
        <v>1.5630441555893502</v>
      </c>
      <c r="BS13" s="143">
        <f>Tabella34[[#This Row],[rest of Italy acc. fit]]/y_a_peak</f>
        <v>5.1765884011387782E-4</v>
      </c>
      <c r="BT13" s="142">
        <f>Tabella34[[#This Row],[rest of Italy acc. fit]]*NOT(ISBLANK(Tabella34[[#This Row],[rest of Italy rate data]]))</f>
        <v>0</v>
      </c>
      <c r="BU13" s="77">
        <f>Tabella34[[#This Row],[rest of Italy acc. fit]]+CIa</f>
        <v>1635.6969841093908</v>
      </c>
      <c r="BV13" s="77">
        <f>MAX(Tabella34[[#This Row],[rest of Italy acc. fit]]-CIa,0)</f>
        <v>0</v>
      </c>
      <c r="BW13" s="1"/>
      <c r="BX13" s="202" t="s">
        <v>3</v>
      </c>
      <c r="BY13" s="203" cm="1">
        <f t="array" ref="BY13">SQRT(SUM((Tabella34[Colonna1]-Tabella34[Colonna2])^2)/dfw)</f>
        <v>2317.0178999921268</v>
      </c>
      <c r="CL13" s="332"/>
    </row>
    <row r="14" spans="2:90" ht="16.2" x14ac:dyDescent="0.3">
      <c r="B14" s="262">
        <v>43837</v>
      </c>
      <c r="C14" s="4">
        <v>7</v>
      </c>
      <c r="D14" s="141"/>
      <c r="E14" s="144"/>
      <c r="F14" s="144"/>
      <c r="G14" s="142">
        <f>Tabella34[[#This Row],[Italy rate data]]*NOT(ISBLANK(Tabella34[[#This Row],[Italy rate data]]))</f>
        <v>0</v>
      </c>
      <c r="H14" s="143">
        <f>Tabella8[[#This Row],[Italy fit]]</f>
        <v>0</v>
      </c>
      <c r="I14" s="143">
        <f>(ATANH(alpha*Tabella34[[#This Row],[Italy cumul. Fit]]/Kf-(1-alpha*Tabella34[[#This Row],[Italy cumul. Fit]]/Kf)*TANH(phi_f))+phi_f)/psi_f-(Tabella34[[#This Row],[Day]]-pf)</f>
        <v>61.480394693650979</v>
      </c>
      <c r="J14" s="143">
        <f>Tabella34[[#This Row],[Italy d.t.]]/Italy_dt_at_lockdown</f>
        <v>27.086847405966321</v>
      </c>
      <c r="K14" s="143">
        <f>Tabella34[[#This Row],[Italy cumul. Fit]]/Kf</f>
        <v>0</v>
      </c>
      <c r="L14" s="146">
        <f>Tabella34[[#This Row],[sel. region acc. fit]]+Tabella34[[#This Row],[rest of Italy acc. fit]]</f>
        <v>1.8014480219445981</v>
      </c>
      <c r="M14" s="143">
        <f>Tabella34[[#This Row],[Italy (fit of selected region + fitted sum of the other regions)]]/(y_l_peak+y_a_peak)</f>
        <v>5.6887535320901579E-4</v>
      </c>
      <c r="N14" s="143">
        <f>Tabella3[[#This Row],[Italy remov. rate fit]]</f>
        <v>36.211137650684144</v>
      </c>
      <c r="O14" s="143" t="e">
        <f>Kt*EXP(-0.5*Tabella34[[#This Row],[x_t]]^2)/(psi_t*SQRTPI(2)*(Tabella34[[#This Row],[Day]]-D_bk))</f>
        <v>#NUM!</v>
      </c>
      <c r="P14" s="183" t="e">
        <f>Tabella34[[#This Row],[Italy velocity]]/Tabella34[[#This Row],[Italy cumul. Fit]]</f>
        <v>#DIV/0!</v>
      </c>
      <c r="Q14" s="244" t="e">
        <f>(LN(Tabella34[[#This Row],[Day]]-D_bk)-phi_t)/psi_t</f>
        <v>#NUM!</v>
      </c>
      <c r="R14" s="244">
        <f>EXP(phi_t+psi_t*Tabella34[[#This Row],[x_t_alpha©+plus]])-(Tabella34[[#This Row],[Day]]-D_bk)</f>
        <v>65.91179072787358</v>
      </c>
      <c r="S14" s="244">
        <f>EXP(phi_t+psi_t*Tabella34[[#This Row],[x_t_alpha©-minus]])-(Tabella34[[#This Row],[Day]]-D_bk)</f>
        <v>64.982204835997109</v>
      </c>
      <c r="T14" s="244">
        <f>-psi_t+SQRT(psi_t^2-2*Tabella34[[#This Row],[c_t]])</f>
        <v>4.6350895212256562</v>
      </c>
      <c r="U14" s="244">
        <f>-psi_t-SQRT(psi_t^2-2*Tabella34[[#This Row],[c_t]])</f>
        <v>-4.6856081959230282</v>
      </c>
      <c r="V14" s="244">
        <f>phi_t-LN(alpha*Kt/(Tabella34[[#This Row],[Italy velocity]]*psi_t*SQRTPI(2)))</f>
        <v>-10.859106724745939</v>
      </c>
      <c r="W14" s="244" t="e">
        <f>Tabella34[[#This Row],[Italy g.r.]]/Italy_gr_at_lockdown</f>
        <v>#DIV/0!</v>
      </c>
      <c r="X14" s="244">
        <f>(ACOSH(SQRT(alpha*Kf*psi_f/(Tabella34[[#This Row],[Italy velocity]]*(1+TANH(phi_f)))))+phi_f)/psi_f-(Tabella34[[#This Row],[Day]]-pf)</f>
        <v>245.34272163838563</v>
      </c>
      <c r="Y14" s="244">
        <f>Tabella34[[#This Row],[Italy h.t.]]/Italy_ht_at_lockdown</f>
        <v>2.0659111049589636</v>
      </c>
      <c r="Z14" s="72">
        <f>-2*$BY$48*TANH($BY$48*(Tabella34[[#This Row],[Day]]-$BY$57)-$BY$47)*Tabella34[[#This Row],[Italy velocity]]</f>
        <v>1.8188237123678896</v>
      </c>
      <c r="AA14" s="72">
        <f>Tabella34[[#This Row],[Italy acc. fit]]/Itali_acc_at_lockdown</f>
        <v>5.1965904015219375E-2</v>
      </c>
      <c r="AB14" s="143">
        <f>Tabella34[[#This Row],[Italy acc. fit]]/y_f_peak</f>
        <v>5.7576126635499453E-4</v>
      </c>
      <c r="AC14" s="143">
        <f>Tabella34[[#This Row],[Italy (fit of selected region + fitted sum of the other regions)]]*NOT(ISBLANK(Tabella34[[#This Row],[Italy rate data]]))</f>
        <v>0</v>
      </c>
      <c r="AD14" s="143">
        <f>Tabella34[[#This Row],[Italy acc. fit]]*NOT(ISBLANK(Tabella34[[#This Row],[Italy rate data]]))</f>
        <v>0</v>
      </c>
      <c r="AE14" s="77">
        <f>Tabella34[[#This Row],[Italy acc. fit]]+CIf</f>
        <v>1657.0287926361193</v>
      </c>
      <c r="AF14" s="77">
        <f>MAX(Tabella34[[#This Row],[Italy acc. fit]]-CIf,0)</f>
        <v>0</v>
      </c>
      <c r="AG14" s="141"/>
      <c r="AH14" s="33"/>
      <c r="AI14" s="33"/>
      <c r="AJ14" s="142">
        <f>Tabella34[[#This Row],[selected region rate data]]*NOT(ISBLANK(Tabella34[[#This Row],[selected region rate data]]))</f>
        <v>0</v>
      </c>
      <c r="AK14" s="147">
        <f>Tabella8[[#This Row],[region fit]]</f>
        <v>0</v>
      </c>
      <c r="AL14" s="143">
        <f>(ATANH(alpha*Tabella34[[#This Row],[sel. region cumul. fit]]/Kl-(1-alpha*Tabella34[[#This Row],[sel. region cumul. fit]]/Kl)*TANH(phi_l))+phi_l)/psi_l-(Tabella34[[#This Row],[Day]]-pl)</f>
        <v>69.356483051343162</v>
      </c>
      <c r="AM14" s="142">
        <f>Tabella34[[#This Row],[sel. region cumul. fit]]/Kl</f>
        <v>0</v>
      </c>
      <c r="AN14" s="143">
        <f>Tabella3[[#This Row],[region fit]]</f>
        <v>3.9499630653152336</v>
      </c>
      <c r="AO14" s="183" t="e">
        <f>Tabella34[[#This Row],[sel. region velocity]]/Tabella34[[#This Row],[sel. region cumul. fit]]</f>
        <v>#DIV/0!</v>
      </c>
      <c r="AP14" s="236" t="e">
        <f>(LN(Tabella34[[#This Row],[Day]]-pr)-phi_r)/psi_r</f>
        <v>#NUM!</v>
      </c>
      <c r="AQ14" s="244">
        <f>EXP(phi_r+psi_r*Tabella34[[#This Row],[x_r_alpha©+plus]])-(Tabella34[[#This Row],[Day]]-pr)</f>
        <v>72.647380791048789</v>
      </c>
      <c r="AR14" s="244">
        <f>EXP(phi_r+psi_r*Tabella34[[#This Row],[x_r_alpha©-minus]])-(Tabella34[[#This Row],[Day]]-pr)</f>
        <v>72.088005907619646</v>
      </c>
      <c r="AS14" s="244">
        <f>-psi_r+SQRT(psi_r^2-2*Tabella34[[#This Row],[c_r]])</f>
        <v>4.6040884113660745</v>
      </c>
      <c r="AT14" s="244">
        <f>-psi_r-SQRT(psi_r^2-2*Tabella34[[#This Row],[c_r]])</f>
        <v>-4.6443764210324119</v>
      </c>
      <c r="AU14" s="244">
        <f>phi_r-LN(alpha*Kr/(Tabella34[[#This Row],[sel. region velocity]]*psi_r*SQRTPI(2)))</f>
        <v>-10.691559829048586</v>
      </c>
      <c r="AV14" s="244">
        <f>(ACOSH(SQRT(alpha*Kl*psi_l/(Tabella34[[#This Row],[sel. region velocity]]*(1+TANH(phi_l)))))+phi_l)/psi_l-(Tabella34[[#This Row],[Day]]-pl)</f>
        <v>265.14312756373579</v>
      </c>
      <c r="AW14" s="72">
        <f>-2*$BY$22*TANH($BY$22*(Tabella34[[#This Row],[Day]]-$BY$31)-$BY$21)*Tabella34[[#This Row],[sel. region velocity]]</f>
        <v>0.15698701393824852</v>
      </c>
      <c r="AX14" s="143">
        <f>Tabella34[[#This Row],[sel. region acc. fit]]/y_l_peak</f>
        <v>1.0662358061576504E-3</v>
      </c>
      <c r="AY14" s="143">
        <f>Tabella34[[#This Row],[sel. region acc. fit]]*NOT(ISBLANK(Tabella34[[#This Row],[selected region rate data]]))</f>
        <v>0</v>
      </c>
      <c r="AZ14" s="77">
        <f>Tabella34[[#This Row],[sel. region acc. fit]]+CIl</f>
        <v>69.521973389038649</v>
      </c>
      <c r="BA14" s="77">
        <f>MAX(Tabella34[[#This Row],[sel. region acc. fit]]-CIl,0)</f>
        <v>0</v>
      </c>
      <c r="BB14" s="141"/>
      <c r="BC14" s="33"/>
      <c r="BD14" s="33"/>
      <c r="BE14" s="142">
        <f>Tabella34[[#This Row],[rest of Italy rate data]]*NOT(ISBLANK(Tabella34[[#This Row],[rest of Italy rate data]]))</f>
        <v>0</v>
      </c>
      <c r="BF14" s="188">
        <f>Tabella8[[#This Row],[rest of Italy fit]]</f>
        <v>0</v>
      </c>
      <c r="BG14" s="78">
        <f>(ATANH(alpha*Tabella34[[#This Row],[rest of Italy cumul. fit]]/Ka-(1-alpha*Tabella34[[#This Row],[rest of Italy cumul. fit]]/Ka)*TANH(phi_a))+phi_a)/psi_a-(Tabella34[[#This Row],[Day]]-pa)</f>
        <v>60.882529907638357</v>
      </c>
      <c r="BH14" s="143">
        <f>Tabella34[[#This Row],[rest of Italy cumul. fit]]/Ka</f>
        <v>0</v>
      </c>
      <c r="BI14" s="143">
        <f>Tabella3[[#This Row],[rest of Italy fit]]</f>
        <v>32.219837643641121</v>
      </c>
      <c r="BJ14" s="183" t="e">
        <f>Tabella34[[#This Row],[rest of Italy velocity]]/Tabella34[[#This Row],[rest of Italy cumul. fit]]</f>
        <v>#DIV/0!</v>
      </c>
      <c r="BK14" s="236" t="e">
        <f>(LN(Tabella34[[#This Row],[Day]]-po)-phi_o)/psi_o</f>
        <v>#NUM!</v>
      </c>
      <c r="BL14" s="244">
        <f>EXP(phi_o+psi_o*Tabella34[[#This Row],[x_o_alpha©+plus]])-(Tabella34[[#This Row],[Day]]-po)</f>
        <v>65.443582152799891</v>
      </c>
      <c r="BM14" s="244">
        <f>EXP(phi_o+psi_o*Tabella34[[#This Row],[x_o_alpha©-minus]])-(Tabella34[[#This Row],[Day]]-po)</f>
        <v>64.472816971774776</v>
      </c>
      <c r="BN14" s="244">
        <f>-psi_o+SQRT(psi_o^2-2*Tabella34[[#This Row],[c_o]])</f>
        <v>4.6382660512086424</v>
      </c>
      <c r="BO14" s="244">
        <f>-psi_o-SQRT(psi_o^2-2*Tabella34[[#This Row],[c_o]])</f>
        <v>-4.6895793354762958</v>
      </c>
      <c r="BP14" s="244">
        <f>phi_o-LN(alpha*Ko/(Tabella34[[#This Row],[rest of Italy velocity]]*psi_o*SQRTPI(2)))</f>
        <v>-10.875758313094645</v>
      </c>
      <c r="BQ14" s="244">
        <f>(ACOSH(SQRT(alpha*Ka*psi_a/(Tabella34[[#This Row],[rest of Italy velocity]]*(1+TANH(phi_a)))))+phi_a)/psi_a-(Tabella34[[#This Row],[Day]]-pa)</f>
        <v>244.34608668752566</v>
      </c>
      <c r="BR14" s="72">
        <f>-2*$BY$35*TANH($BY$35*(Tabella34[[#This Row],[Day]]-$BY$44)-$BY$34)*Tabella34[[#This Row],[rest of Italy velocity]]</f>
        <v>1.6444610080063495</v>
      </c>
      <c r="BS14" s="143">
        <f>Tabella34[[#This Row],[rest of Italy acc. fit]]/y_a_peak</f>
        <v>5.4462298775947993E-4</v>
      </c>
      <c r="BT14" s="142">
        <f>Tabella34[[#This Row],[rest of Italy acc. fit]]*NOT(ISBLANK(Tabella34[[#This Row],[rest of Italy rate data]]))</f>
        <v>0</v>
      </c>
      <c r="BU14" s="77">
        <f>Tabella34[[#This Row],[rest of Italy acc. fit]]+CIa</f>
        <v>1635.7784009618078</v>
      </c>
      <c r="BV14" s="77">
        <f>MAX(Tabella34[[#This Row],[rest of Italy acc. fit]]-CIa,0)</f>
        <v>0</v>
      </c>
      <c r="BW14" s="1"/>
      <c r="BX14" s="202" t="s">
        <v>4356</v>
      </c>
      <c r="BY14" s="205" cm="1">
        <f t="array" ref="BY14">1-SUM((Tabella34[Colonna1]-Tabella34[Colonna2])^2)/SUM((Tabella34[Colonna1]-Mean_of_yw)^2)</f>
        <v>-0.21716183728494687</v>
      </c>
      <c r="CL14" s="332"/>
    </row>
    <row r="15" spans="2:90" x14ac:dyDescent="0.3">
      <c r="B15" s="262">
        <v>43838</v>
      </c>
      <c r="C15" s="4">
        <v>8</v>
      </c>
      <c r="D15" s="141"/>
      <c r="E15" s="144"/>
      <c r="F15" s="144"/>
      <c r="G15" s="142">
        <f>Tabella34[[#This Row],[Italy rate data]]*NOT(ISBLANK(Tabella34[[#This Row],[Italy rate data]]))</f>
        <v>0</v>
      </c>
      <c r="H15" s="143">
        <f>Tabella8[[#This Row],[Italy fit]]</f>
        <v>0</v>
      </c>
      <c r="I15" s="143">
        <f>(ATANH(alpha*Tabella34[[#This Row],[Italy cumul. Fit]]/Kf-(1-alpha*Tabella34[[#This Row],[Italy cumul. Fit]]/Kf)*TANH(phi_f))+phi_f)/psi_f-(Tabella34[[#This Row],[Day]]-pf)</f>
        <v>60.480394693650979</v>
      </c>
      <c r="J15" s="143">
        <f>Tabella34[[#This Row],[Italy d.t.]]/Italy_dt_at_lockdown</f>
        <v>26.646270413236579</v>
      </c>
      <c r="K15" s="143">
        <f>Tabella34[[#This Row],[Italy cumul. Fit]]/Kf</f>
        <v>0</v>
      </c>
      <c r="L15" s="146">
        <f>Tabella34[[#This Row],[sel. region acc. fit]]+Tabella34[[#This Row],[rest of Italy acc. fit]]</f>
        <v>1.8933288518981535</v>
      </c>
      <c r="M15" s="143">
        <f>Tabella34[[#This Row],[Italy (fit of selected region + fitted sum of the other regions)]]/(y_l_peak+y_a_peak)</f>
        <v>5.9789020068518343E-4</v>
      </c>
      <c r="N15" s="143">
        <f>Tabella3[[#This Row],[Italy remov. rate fit]]</f>
        <v>38.076130850193934</v>
      </c>
      <c r="O15" s="143" t="e">
        <f>Kt*EXP(-0.5*Tabella34[[#This Row],[x_t]]^2)/(psi_t*SQRTPI(2)*(Tabella34[[#This Row],[Day]]-D_bk))</f>
        <v>#NUM!</v>
      </c>
      <c r="P15" s="183" t="e">
        <f>Tabella34[[#This Row],[Italy velocity]]/Tabella34[[#This Row],[Italy cumul. Fit]]</f>
        <v>#DIV/0!</v>
      </c>
      <c r="Q15" s="244" t="e">
        <f>(LN(Tabella34[[#This Row],[Day]]-D_bk)-phi_t)/psi_t</f>
        <v>#NUM!</v>
      </c>
      <c r="R15" s="244">
        <f>EXP(phi_t+psi_t*Tabella34[[#This Row],[x_t_alpha©+plus]])-(Tabella34[[#This Row],[Day]]-D_bk)</f>
        <v>64.910583269894829</v>
      </c>
      <c r="S15" s="244">
        <f>EXP(phi_t+psi_t*Tabella34[[#This Row],[x_t_alpha©-minus]])-(Tabella34[[#This Row],[Day]]-D_bk)</f>
        <v>63.983159262320875</v>
      </c>
      <c r="T15" s="244">
        <f>-psi_t+SQRT(psi_t^2-2*Tabella34[[#This Row],[c_t]])</f>
        <v>4.6243008320202037</v>
      </c>
      <c r="U15" s="244">
        <f>-psi_t-SQRT(psi_t^2-2*Tabella34[[#This Row],[c_t]])</f>
        <v>-4.6748195067175757</v>
      </c>
      <c r="V15" s="244">
        <f>phi_t-LN(alpha*Kt/(Tabella34[[#This Row],[Italy velocity]]*psi_t*SQRTPI(2)))</f>
        <v>-10.808885867229181</v>
      </c>
      <c r="W15" s="244" t="e">
        <f>Tabella34[[#This Row],[Italy g.r.]]/Italy_gr_at_lockdown</f>
        <v>#DIV/0!</v>
      </c>
      <c r="X15" s="244">
        <f>(ACOSH(SQRT(alpha*Kf*psi_f/(Tabella34[[#This Row],[Italy velocity]]*(1+TANH(phi_f)))))+phi_f)/psi_f-(Tabella34[[#This Row],[Day]]-pf)</f>
        <v>243.34568230704843</v>
      </c>
      <c r="Y15" s="244">
        <f>Tabella34[[#This Row],[Italy h.t.]]/Italy_ht_at_lockdown</f>
        <v>2.0490950131503372</v>
      </c>
      <c r="Z15" s="72">
        <f>-2*$BY$48*TANH($BY$48*(Tabella34[[#This Row],[Day]]-$BY$57)-$BY$47)*Tabella34[[#This Row],[Italy velocity]]</f>
        <v>1.9119279624000736</v>
      </c>
      <c r="AA15" s="72">
        <f>Tabella34[[#This Row],[Italy acc. fit]]/Itali_acc_at_lockdown</f>
        <v>5.4626000476290161E-2</v>
      </c>
      <c r="AB15" s="143">
        <f>Tabella34[[#This Row],[Italy acc. fit]]/y_f_peak</f>
        <v>6.0523406272170452E-4</v>
      </c>
      <c r="AC15" s="143">
        <f>Tabella34[[#This Row],[Italy (fit of selected region + fitted sum of the other regions)]]*NOT(ISBLANK(Tabella34[[#This Row],[Italy rate data]]))</f>
        <v>0</v>
      </c>
      <c r="AD15" s="143">
        <f>Tabella34[[#This Row],[Italy acc. fit]]*NOT(ISBLANK(Tabella34[[#This Row],[Italy rate data]]))</f>
        <v>0</v>
      </c>
      <c r="AE15" s="77">
        <f>Tabella34[[#This Row],[Italy acc. fit]]+CIf</f>
        <v>1657.1218968861515</v>
      </c>
      <c r="AF15" s="77">
        <f>MAX(Tabella34[[#This Row],[Italy acc. fit]]-CIf,0)</f>
        <v>0</v>
      </c>
      <c r="AG15" s="141"/>
      <c r="AH15" s="33"/>
      <c r="AI15" s="33"/>
      <c r="AJ15" s="142">
        <f>Tabella34[[#This Row],[selected region rate data]]*NOT(ISBLANK(Tabella34[[#This Row],[selected region rate data]]))</f>
        <v>0</v>
      </c>
      <c r="AK15" s="147">
        <f>Tabella8[[#This Row],[region fit]]</f>
        <v>0</v>
      </c>
      <c r="AL15" s="143">
        <f>(ATANH(alpha*Tabella34[[#This Row],[sel. region cumul. fit]]/Kl-(1-alpha*Tabella34[[#This Row],[sel. region cumul. fit]]/Kl)*TANH(phi_l))+phi_l)/psi_l-(Tabella34[[#This Row],[Day]]-pl)</f>
        <v>68.356483051343162</v>
      </c>
      <c r="AM15" s="142">
        <f>Tabella34[[#This Row],[sel. region cumul. fit]]/Kl</f>
        <v>0</v>
      </c>
      <c r="AN15" s="143">
        <f>Tabella3[[#This Row],[region fit]]</f>
        <v>4.1100661200645199</v>
      </c>
      <c r="AO15" s="183" t="e">
        <f>Tabella34[[#This Row],[sel. region velocity]]/Tabella34[[#This Row],[sel. region cumul. fit]]</f>
        <v>#DIV/0!</v>
      </c>
      <c r="AP15" s="236" t="e">
        <f>(LN(Tabella34[[#This Row],[Day]]-pr)-phi_r)/psi_r</f>
        <v>#NUM!</v>
      </c>
      <c r="AQ15" s="244">
        <f>EXP(phi_r+psi_r*Tabella34[[#This Row],[x_r_alpha©+plus]])-(Tabella34[[#This Row],[Day]]-pr)</f>
        <v>71.646810709339405</v>
      </c>
      <c r="AR15" s="244">
        <f>EXP(phi_r+psi_r*Tabella34[[#This Row],[x_r_alpha©-minus]])-(Tabella34[[#This Row],[Day]]-pr)</f>
        <v>71.088479170887297</v>
      </c>
      <c r="AS15" s="244">
        <f>-psi_r+SQRT(psi_r^2-2*Tabella34[[#This Row],[c_r]])</f>
        <v>4.5954880931236159</v>
      </c>
      <c r="AT15" s="244">
        <f>-psi_r-SQRT(psi_r^2-2*Tabella34[[#This Row],[c_r]])</f>
        <v>-4.6357761027899533</v>
      </c>
      <c r="AU15" s="244">
        <f>phi_r-LN(alpha*Kr/(Tabella34[[#This Row],[sel. region velocity]]*psi_r*SQRTPI(2)))</f>
        <v>-10.651826941379113</v>
      </c>
      <c r="AV15" s="244">
        <f>(ACOSH(SQRT(alpha*Kl*psi_l/(Tabella34[[#This Row],[sel. region velocity]]*(1+TANH(phi_l)))))+phi_l)/psi_l-(Tabella34[[#This Row],[Day]]-pl)</f>
        <v>263.15008868094793</v>
      </c>
      <c r="AW15" s="72">
        <f>-2*$BY$22*TANH($BY$22*(Tabella34[[#This Row],[Day]]-$BY$31)-$BY$21)*Tabella34[[#This Row],[sel. region velocity]]</f>
        <v>0.16325884957196909</v>
      </c>
      <c r="AX15" s="143">
        <f>Tabella34[[#This Row],[sel. region acc. fit]]/y_l_peak</f>
        <v>1.1088333150550348E-3</v>
      </c>
      <c r="AY15" s="143">
        <f>Tabella34[[#This Row],[sel. region acc. fit]]*NOT(ISBLANK(Tabella34[[#This Row],[selected region rate data]]))</f>
        <v>0</v>
      </c>
      <c r="AZ15" s="77">
        <f>Tabella34[[#This Row],[sel. region acc. fit]]+CIl</f>
        <v>69.528245224672375</v>
      </c>
      <c r="BA15" s="77">
        <f>MAX(Tabella34[[#This Row],[sel. region acc. fit]]-CIl,0)</f>
        <v>0</v>
      </c>
      <c r="BB15" s="141"/>
      <c r="BC15" s="33"/>
      <c r="BD15" s="33"/>
      <c r="BE15" s="142">
        <f>Tabella34[[#This Row],[rest of Italy rate data]]*NOT(ISBLANK(Tabella34[[#This Row],[rest of Italy rate data]]))</f>
        <v>0</v>
      </c>
      <c r="BF15" s="188">
        <f>Tabella8[[#This Row],[rest of Italy fit]]</f>
        <v>0</v>
      </c>
      <c r="BG15" s="78">
        <f>(ATANH(alpha*Tabella34[[#This Row],[rest of Italy cumul. fit]]/Ka-(1-alpha*Tabella34[[#This Row],[rest of Italy cumul. fit]]/Ka)*TANH(phi_a))+phi_a)/psi_a-(Tabella34[[#This Row],[Day]]-pa)</f>
        <v>59.882529907638357</v>
      </c>
      <c r="BH15" s="143">
        <f>Tabella34[[#This Row],[rest of Italy cumul. fit]]/Ka</f>
        <v>0</v>
      </c>
      <c r="BI15" s="143">
        <f>Tabella3[[#This Row],[rest of Italy fit]]</f>
        <v>33.906745178650148</v>
      </c>
      <c r="BJ15" s="183" t="e">
        <f>Tabella34[[#This Row],[rest of Italy velocity]]/Tabella34[[#This Row],[rest of Italy cumul. fit]]</f>
        <v>#DIV/0!</v>
      </c>
      <c r="BK15" s="236" t="e">
        <f>(LN(Tabella34[[#This Row],[Day]]-po)-phi_o)/psi_o</f>
        <v>#NUM!</v>
      </c>
      <c r="BL15" s="244">
        <f>EXP(phi_o+psi_o*Tabella34[[#This Row],[x_o_alpha©+plus]])-(Tabella34[[#This Row],[Day]]-po)</f>
        <v>64.442300405958406</v>
      </c>
      <c r="BM15" s="244">
        <f>EXP(phi_o+psi_o*Tabella34[[#This Row],[x_o_alpha©-minus]])-(Tabella34[[#This Row],[Day]]-po)</f>
        <v>63.473826197810638</v>
      </c>
      <c r="BN15" s="244">
        <f>-psi_o+SQRT(psi_o^2-2*Tabella34[[#This Row],[c_o]])</f>
        <v>4.6273114033324116</v>
      </c>
      <c r="BO15" s="244">
        <f>-psi_o-SQRT(psi_o^2-2*Tabella34[[#This Row],[c_o]])</f>
        <v>-4.678624687600065</v>
      </c>
      <c r="BP15" s="244">
        <f>phi_o-LN(alpha*Ko/(Tabella34[[#This Row],[rest of Italy velocity]]*psi_o*SQRTPI(2)))</f>
        <v>-10.824726684422163</v>
      </c>
      <c r="BQ15" s="244">
        <f>(ACOSH(SQRT(alpha*Ka*psi_a/(Tabella34[[#This Row],[rest of Italy velocity]]*(1+TANH(phi_a)))))+phi_a)/psi_a-(Tabella34[[#This Row],[Day]]-pa)</f>
        <v>242.34884248978381</v>
      </c>
      <c r="BR15" s="72">
        <f>-2*$BY$35*TANH($BY$35*(Tabella34[[#This Row],[Day]]-$BY$44)-$BY$34)*Tabella34[[#This Row],[rest of Italy velocity]]</f>
        <v>1.7300700023261844</v>
      </c>
      <c r="BS15" s="143">
        <f>Tabella34[[#This Row],[rest of Italy acc. fit]]/y_a_peak</f>
        <v>5.7297551545004385E-4</v>
      </c>
      <c r="BT15" s="142">
        <f>Tabella34[[#This Row],[rest of Italy acc. fit]]*NOT(ISBLANK(Tabella34[[#This Row],[rest of Italy rate data]]))</f>
        <v>0</v>
      </c>
      <c r="BU15" s="77">
        <f>Tabella34[[#This Row],[rest of Italy acc. fit]]+CIa</f>
        <v>1635.8640099561276</v>
      </c>
      <c r="BV15" s="77">
        <f>MAX(Tabella34[[#This Row],[rest of Italy acc. fit]]-CIa,0)</f>
        <v>0</v>
      </c>
      <c r="BW15" s="1"/>
      <c r="BX15" s="202" t="s">
        <v>5</v>
      </c>
      <c r="BY15" s="205">
        <f>TINV(0.05,dfw)</f>
        <v>1.9834952585628811</v>
      </c>
      <c r="CL15" s="332"/>
    </row>
    <row r="16" spans="2:90" x14ac:dyDescent="0.3">
      <c r="B16" s="262">
        <v>43839</v>
      </c>
      <c r="C16" s="4">
        <v>9</v>
      </c>
      <c r="D16" s="141"/>
      <c r="E16" s="144"/>
      <c r="F16" s="144"/>
      <c r="G16" s="142">
        <f>Tabella34[[#This Row],[Italy rate data]]*NOT(ISBLANK(Tabella34[[#This Row],[Italy rate data]]))</f>
        <v>0</v>
      </c>
      <c r="H16" s="143">
        <f>Tabella8[[#This Row],[Italy fit]]</f>
        <v>0</v>
      </c>
      <c r="I16" s="143">
        <f>(ATANH(alpha*Tabella34[[#This Row],[Italy cumul. Fit]]/Kf-(1-alpha*Tabella34[[#This Row],[Italy cumul. Fit]]/Kf)*TANH(phi_f))+phi_f)/psi_f-(Tabella34[[#This Row],[Day]]-pf)</f>
        <v>59.480394693650979</v>
      </c>
      <c r="J16" s="143">
        <f>Tabella34[[#This Row],[Italy d.t.]]/Italy_dt_at_lockdown</f>
        <v>26.205693420506837</v>
      </c>
      <c r="K16" s="143">
        <f>Tabella34[[#This Row],[Italy cumul. Fit]]/Kf</f>
        <v>0</v>
      </c>
      <c r="L16" s="146">
        <f>Tabella34[[#This Row],[sel. region acc. fit]]+Tabella34[[#This Row],[rest of Italy acc. fit]]</f>
        <v>1.9898552385842729</v>
      </c>
      <c r="M16" s="143">
        <f>Tabella34[[#This Row],[Italy (fit of selected region + fitted sum of the other regions)]]/(y_l_peak+y_a_peak)</f>
        <v>6.2837205841915307E-4</v>
      </c>
      <c r="N16" s="143">
        <f>Tabella3[[#This Row],[Italy remov. rate fit]]</f>
        <v>40.036561432656249</v>
      </c>
      <c r="O16" s="143" t="e">
        <f>Kt*EXP(-0.5*Tabella34[[#This Row],[x_t]]^2)/(psi_t*SQRTPI(2)*(Tabella34[[#This Row],[Day]]-D_bk))</f>
        <v>#NUM!</v>
      </c>
      <c r="P16" s="183" t="e">
        <f>Tabella34[[#This Row],[Italy velocity]]/Tabella34[[#This Row],[Italy cumul. Fit]]</f>
        <v>#DIV/0!</v>
      </c>
      <c r="Q16" s="244" t="e">
        <f>(LN(Tabella34[[#This Row],[Day]]-D_bk)-phi_t)/psi_t</f>
        <v>#NUM!</v>
      </c>
      <c r="R16" s="244">
        <f>EXP(phi_t+psi_t*Tabella34[[#This Row],[x_t_alpha©+plus]])-(Tabella34[[#This Row],[Day]]-D_bk)</f>
        <v>63.909373704817341</v>
      </c>
      <c r="S16" s="244">
        <f>EXP(phi_t+psi_t*Tabella34[[#This Row],[x_t_alpha©-minus]])-(Tabella34[[#This Row],[Day]]-D_bk)</f>
        <v>62.984115875952654</v>
      </c>
      <c r="T16" s="244">
        <f>-psi_t+SQRT(psi_t^2-2*Tabella34[[#This Row],[c_t]])</f>
        <v>4.6134903672103027</v>
      </c>
      <c r="U16" s="244">
        <f>-psi_t-SQRT(psi_t^2-2*Tabella34[[#This Row],[c_t]])</f>
        <v>-4.6640090419076747</v>
      </c>
      <c r="V16" s="244">
        <f>phi_t-LN(alpha*Kt/(Tabella34[[#This Row],[Italy velocity]]*psi_t*SQRTPI(2)))</f>
        <v>-10.758680393711407</v>
      </c>
      <c r="W16" s="244" t="e">
        <f>Tabella34[[#This Row],[Italy g.r.]]/Italy_gr_at_lockdown</f>
        <v>#DIV/0!</v>
      </c>
      <c r="X16" s="244">
        <f>(ACOSH(SQRT(alpha*Kf*psi_f/(Tabella34[[#This Row],[Italy velocity]]*(1+TANH(phi_f)))))+phi_f)/psi_f-(Tabella34[[#This Row],[Day]]-pf)</f>
        <v>241.34879662398077</v>
      </c>
      <c r="Y16" s="244">
        <f>Tabella34[[#This Row],[Italy h.t.]]/Italy_ht_at_lockdown</f>
        <v>2.0322802151386665</v>
      </c>
      <c r="Z16" s="72">
        <f>-2*$BY$48*TANH($BY$48*(Tabella34[[#This Row],[Day]]-$BY$57)-$BY$47)*Tabella34[[#This Row],[Italy velocity]]</f>
        <v>2.0097361253740167</v>
      </c>
      <c r="AA16" s="72">
        <f>Tabella34[[#This Row],[Italy acc. fit]]/Itali_acc_at_lockdown</f>
        <v>5.7420493188501294E-2</v>
      </c>
      <c r="AB16" s="143">
        <f>Tabella34[[#This Row],[Italy acc. fit]]/y_f_peak</f>
        <v>6.3619591536899533E-4</v>
      </c>
      <c r="AC16" s="143">
        <f>Tabella34[[#This Row],[Italy (fit of selected region + fitted sum of the other regions)]]*NOT(ISBLANK(Tabella34[[#This Row],[Italy rate data]]))</f>
        <v>0</v>
      </c>
      <c r="AD16" s="143">
        <f>Tabella34[[#This Row],[Italy acc. fit]]*NOT(ISBLANK(Tabella34[[#This Row],[Italy rate data]]))</f>
        <v>0</v>
      </c>
      <c r="AE16" s="77">
        <f>Tabella34[[#This Row],[Italy acc. fit]]+CIf</f>
        <v>1657.2197050491254</v>
      </c>
      <c r="AF16" s="77">
        <f>MAX(Tabella34[[#This Row],[Italy acc. fit]]-CIf,0)</f>
        <v>0</v>
      </c>
      <c r="AG16" s="141"/>
      <c r="AH16" s="33"/>
      <c r="AI16" s="33"/>
      <c r="AJ16" s="142">
        <f>Tabella34[[#This Row],[selected region rate data]]*NOT(ISBLANK(Tabella34[[#This Row],[selected region rate data]]))</f>
        <v>0</v>
      </c>
      <c r="AK16" s="147">
        <f>Tabella8[[#This Row],[region fit]]</f>
        <v>0</v>
      </c>
      <c r="AL16" s="143">
        <f>(ATANH(alpha*Tabella34[[#This Row],[sel. region cumul. fit]]/Kl-(1-alpha*Tabella34[[#This Row],[sel. region cumul. fit]]/Kl)*TANH(phi_l))+phi_l)/psi_l-(Tabella34[[#This Row],[Day]]-pl)</f>
        <v>67.356483051343162</v>
      </c>
      <c r="AM16" s="142">
        <f>Tabella34[[#This Row],[sel. region cumul. fit]]/Kl</f>
        <v>0</v>
      </c>
      <c r="AN16" s="143">
        <f>Tabella3[[#This Row],[region fit]]</f>
        <v>4.2765617013334154</v>
      </c>
      <c r="AO16" s="183" t="e">
        <f>Tabella34[[#This Row],[sel. region velocity]]/Tabella34[[#This Row],[sel. region cumul. fit]]</f>
        <v>#DIV/0!</v>
      </c>
      <c r="AP16" s="236" t="e">
        <f>(LN(Tabella34[[#This Row],[Day]]-pr)-phi_r)/psi_r</f>
        <v>#NUM!</v>
      </c>
      <c r="AQ16" s="244">
        <f>EXP(phi_r+psi_r*Tabella34[[#This Row],[x_r_alpha©+plus]])-(Tabella34[[#This Row],[Day]]-pr)</f>
        <v>70.646239988358673</v>
      </c>
      <c r="AR16" s="244">
        <f>EXP(phi_r+psi_r*Tabella34[[#This Row],[x_r_alpha©-minus]])-(Tabella34[[#This Row],[Day]]-pr)</f>
        <v>70.088953129156735</v>
      </c>
      <c r="AS16" s="244">
        <f>-psi_r+SQRT(psi_r^2-2*Tabella34[[#This Row],[c_r]])</f>
        <v>4.5868766380330088</v>
      </c>
      <c r="AT16" s="244">
        <f>-psi_r-SQRT(psi_r^2-2*Tabella34[[#This Row],[c_r]])</f>
        <v>-4.6271646476993462</v>
      </c>
      <c r="AU16" s="244">
        <f>phi_r-LN(alpha*Kr/(Tabella34[[#This Row],[sel. region velocity]]*psi_r*SQRTPI(2)))</f>
        <v>-10.612116711432183</v>
      </c>
      <c r="AV16" s="244">
        <f>(ACOSH(SQRT(alpha*Kl*psi_l/(Tabella34[[#This Row],[sel. region velocity]]*(1+TANH(phi_l)))))+phi_l)/psi_l-(Tabella34[[#This Row],[Day]]-pl)</f>
        <v>261.1573369890591</v>
      </c>
      <c r="AW16" s="72">
        <f>-2*$BY$22*TANH($BY$22*(Tabella34[[#This Row],[Day]]-$BY$31)-$BY$21)*Tabella34[[#This Row],[sel. region velocity]]</f>
        <v>0.16977350441295641</v>
      </c>
      <c r="AX16" s="143">
        <f>Tabella34[[#This Row],[sel. region acc. fit]]/y_l_peak</f>
        <v>1.1530800210848167E-3</v>
      </c>
      <c r="AY16" s="143">
        <f>Tabella34[[#This Row],[sel. region acc. fit]]*NOT(ISBLANK(Tabella34[[#This Row],[selected region rate data]]))</f>
        <v>0</v>
      </c>
      <c r="AZ16" s="77">
        <f>Tabella34[[#This Row],[sel. region acc. fit]]+CIl</f>
        <v>69.534759879513359</v>
      </c>
      <c r="BA16" s="77">
        <f>MAX(Tabella34[[#This Row],[sel. region acc. fit]]-CIl,0)</f>
        <v>0</v>
      </c>
      <c r="BB16" s="141"/>
      <c r="BC16" s="33"/>
      <c r="BD16" s="33"/>
      <c r="BE16" s="142">
        <f>Tabella34[[#This Row],[rest of Italy rate data]]*NOT(ISBLANK(Tabella34[[#This Row],[rest of Italy rate data]]))</f>
        <v>0</v>
      </c>
      <c r="BF16" s="188">
        <f>Tabella8[[#This Row],[rest of Italy fit]]</f>
        <v>0</v>
      </c>
      <c r="BG16" s="78">
        <f>(ATANH(alpha*Tabella34[[#This Row],[rest of Italy cumul. fit]]/Ka-(1-alpha*Tabella34[[#This Row],[rest of Italy cumul. fit]]/Ka)*TANH(phi_a))+phi_a)/psi_a-(Tabella34[[#This Row],[Day]]-pa)</f>
        <v>58.882529907638357</v>
      </c>
      <c r="BH16" s="143">
        <f>Tabella34[[#This Row],[rest of Italy cumul. fit]]/Ka</f>
        <v>0</v>
      </c>
      <c r="BI16" s="143">
        <f>Tabella3[[#This Row],[rest of Italy fit]]</f>
        <v>35.681445116261102</v>
      </c>
      <c r="BJ16" s="183" t="e">
        <f>Tabella34[[#This Row],[rest of Italy velocity]]/Tabella34[[#This Row],[rest of Italy cumul. fit]]</f>
        <v>#DIV/0!</v>
      </c>
      <c r="BK16" s="236" t="e">
        <f>(LN(Tabella34[[#This Row],[Day]]-po)-phi_o)/psi_o</f>
        <v>#NUM!</v>
      </c>
      <c r="BL16" s="244">
        <f>EXP(phi_o+psi_o*Tabella34[[#This Row],[x_o_alpha©+plus]])-(Tabella34[[#This Row],[Day]]-po)</f>
        <v>63.441016368359143</v>
      </c>
      <c r="BM16" s="244">
        <f>EXP(phi_o+psi_o*Tabella34[[#This Row],[x_o_alpha©-minus]])-(Tabella34[[#This Row],[Day]]-po)</f>
        <v>62.474837796617926</v>
      </c>
      <c r="BN16" s="244">
        <f>-psi_o+SQRT(psi_o^2-2*Tabella34[[#This Row],[c_o]])</f>
        <v>4.616334089104539</v>
      </c>
      <c r="BO16" s="244">
        <f>-psi_o-SQRT(psi_o^2-2*Tabella34[[#This Row],[c_o]])</f>
        <v>-4.6676473733721924</v>
      </c>
      <c r="BP16" s="244">
        <f>phi_o-LN(alpha*Ko/(Tabella34[[#This Row],[rest of Italy velocity]]*psi_o*SQRTPI(2)))</f>
        <v>-10.773709842808659</v>
      </c>
      <c r="BQ16" s="244">
        <f>(ACOSH(SQRT(alpha*Ka*psi_a/(Tabella34[[#This Row],[rest of Italy velocity]]*(1+TANH(phi_a)))))+phi_a)/psi_a-(Tabella34[[#This Row],[Day]]-pa)</f>
        <v>240.35174360099438</v>
      </c>
      <c r="BR16" s="72">
        <f>-2*$BY$35*TANH($BY$35*(Tabella34[[#This Row],[Day]]-$BY$44)-$BY$34)*Tabella34[[#This Row],[rest of Italy velocity]]</f>
        <v>1.8200817341713165</v>
      </c>
      <c r="BS16" s="143">
        <f>Tabella34[[#This Row],[rest of Italy acc. fit]]/y_a_peak</f>
        <v>6.0278616957454214E-4</v>
      </c>
      <c r="BT16" s="142">
        <f>Tabella34[[#This Row],[rest of Italy acc. fit]]*NOT(ISBLANK(Tabella34[[#This Row],[rest of Italy rate data]]))</f>
        <v>0</v>
      </c>
      <c r="BU16" s="77">
        <f>Tabella34[[#This Row],[rest of Italy acc. fit]]+CIa</f>
        <v>1635.9540216879727</v>
      </c>
      <c r="BV16" s="77">
        <f>MAX(Tabella34[[#This Row],[rest of Italy acc. fit]]-CIa,0)</f>
        <v>0</v>
      </c>
      <c r="BW16" s="1"/>
      <c r="BX16" s="202" t="s">
        <v>6</v>
      </c>
      <c r="BY16" s="203">
        <f>Critical_tw*SE_of_yw</f>
        <v>1621.636434676944</v>
      </c>
      <c r="CL16" s="332"/>
    </row>
    <row r="17" spans="2:90" ht="15" thickBot="1" x14ac:dyDescent="0.35">
      <c r="B17" s="262">
        <v>43840</v>
      </c>
      <c r="C17" s="4">
        <v>10</v>
      </c>
      <c r="D17" s="141"/>
      <c r="E17" s="144"/>
      <c r="F17" s="144"/>
      <c r="G17" s="142">
        <f>Tabella34[[#This Row],[Italy rate data]]*NOT(ISBLANK(Tabella34[[#This Row],[Italy rate data]]))</f>
        <v>0</v>
      </c>
      <c r="H17" s="143">
        <f>Tabella8[[#This Row],[Italy fit]]</f>
        <v>0</v>
      </c>
      <c r="I17" s="143">
        <f>(ATANH(alpha*Tabella34[[#This Row],[Italy cumul. Fit]]/Kf-(1-alpha*Tabella34[[#This Row],[Italy cumul. Fit]]/Kf)*TANH(phi_f))+phi_f)/psi_f-(Tabella34[[#This Row],[Day]]-pf)</f>
        <v>58.480394693650979</v>
      </c>
      <c r="J17" s="143">
        <f>Tabella34[[#This Row],[Italy d.t.]]/Italy_dt_at_lockdown</f>
        <v>25.765116427777095</v>
      </c>
      <c r="K17" s="143">
        <f>Tabella34[[#This Row],[Italy cumul. Fit]]/Kf</f>
        <v>0</v>
      </c>
      <c r="L17" s="146">
        <f>Tabella34[[#This Row],[sel. region acc. fit]]+Tabella34[[#This Row],[rest of Italy acc. fit]]</f>
        <v>2.091256541550401</v>
      </c>
      <c r="M17" s="143">
        <f>Tabella34[[#This Row],[Italy (fit of selected region + fitted sum of the other regions)]]/(y_l_peak+y_a_peak)</f>
        <v>6.6039335536361994E-4</v>
      </c>
      <c r="N17" s="143">
        <f>Tabella3[[#This Row],[Italy remov. rate fit]]</f>
        <v>42.097247979681484</v>
      </c>
      <c r="O17" s="143" t="e">
        <f>Kt*EXP(-0.5*Tabella34[[#This Row],[x_t]]^2)/(psi_t*SQRTPI(2)*(Tabella34[[#This Row],[Day]]-D_bk))</f>
        <v>#NUM!</v>
      </c>
      <c r="P17" s="183" t="e">
        <f>Tabella34[[#This Row],[Italy velocity]]/Tabella34[[#This Row],[Italy cumul. Fit]]</f>
        <v>#DIV/0!</v>
      </c>
      <c r="Q17" s="244" t="e">
        <f>(LN(Tabella34[[#This Row],[Day]]-D_bk)-phi_t)/psi_t</f>
        <v>#NUM!</v>
      </c>
      <c r="R17" s="244">
        <f>EXP(phi_t+psi_t*Tabella34[[#This Row],[x_t_alpha©+plus]])-(Tabella34[[#This Row],[Day]]-D_bk)</f>
        <v>62.908162036621832</v>
      </c>
      <c r="S17" s="244">
        <f>EXP(phi_t+psi_t*Tabella34[[#This Row],[x_t_alpha©-minus]])-(Tabella34[[#This Row],[Day]]-D_bk)</f>
        <v>61.985074676899877</v>
      </c>
      <c r="T17" s="244">
        <f>-psi_t+SQRT(psi_t^2-2*Tabella34[[#This Row],[c_t]])</f>
        <v>4.6026581453488973</v>
      </c>
      <c r="U17" s="244">
        <f>-psi_t-SQRT(psi_t^2-2*Tabella34[[#This Row],[c_t]])</f>
        <v>-4.6531768200462693</v>
      </c>
      <c r="V17" s="244">
        <f>phi_t-LN(alpha*Kt/(Tabella34[[#This Row],[Italy velocity]]*psi_t*SQRTPI(2)))</f>
        <v>-10.70849109626732</v>
      </c>
      <c r="W17" s="244" t="e">
        <f>Tabella34[[#This Row],[Italy g.r.]]/Italy_gr_at_lockdown</f>
        <v>#DIV/0!</v>
      </c>
      <c r="X17" s="244">
        <f>(ACOSH(SQRT(alpha*Kf*psi_f/(Tabella34[[#This Row],[Italy velocity]]*(1+TANH(phi_f)))))+phi_f)/psi_f-(Tabella34[[#This Row],[Day]]-pf)</f>
        <v>239.35207257578799</v>
      </c>
      <c r="Y17" s="244">
        <f>Tabella34[[#This Row],[Italy h.t.]]/Italy_ht_at_lockdown</f>
        <v>2.0154667781752496</v>
      </c>
      <c r="Z17" s="72">
        <f>-2*$BY$48*TANH($BY$48*(Tabella34[[#This Row],[Day]]-$BY$57)-$BY$47)*Tabella34[[#This Row],[Italy velocity]]</f>
        <v>2.1124792795456573</v>
      </c>
      <c r="AA17" s="72">
        <f>Tabella34[[#This Row],[Italy acc. fit]]/Itali_acc_at_lockdown</f>
        <v>6.0355984325766839E-2</v>
      </c>
      <c r="AB17" s="143">
        <f>Tabella34[[#This Row],[Italy acc. fit]]/y_f_peak</f>
        <v>6.6871997372215859E-4</v>
      </c>
      <c r="AC17" s="143">
        <f>Tabella34[[#This Row],[Italy (fit of selected region + fitted sum of the other regions)]]*NOT(ISBLANK(Tabella34[[#This Row],[Italy rate data]]))</f>
        <v>0</v>
      </c>
      <c r="AD17" s="143">
        <f>Tabella34[[#This Row],[Italy acc. fit]]*NOT(ISBLANK(Tabella34[[#This Row],[Italy rate data]]))</f>
        <v>0</v>
      </c>
      <c r="AE17" s="77">
        <f>Tabella34[[#This Row],[Italy acc. fit]]+CIf</f>
        <v>1657.322448203297</v>
      </c>
      <c r="AF17" s="77">
        <f>MAX(Tabella34[[#This Row],[Italy acc. fit]]-CIf,0)</f>
        <v>0</v>
      </c>
      <c r="AG17" s="141"/>
      <c r="AH17" s="33"/>
      <c r="AI17" s="33"/>
      <c r="AJ17" s="142">
        <f>Tabella34[[#This Row],[selected region rate data]]*NOT(ISBLANK(Tabella34[[#This Row],[selected region rate data]]))</f>
        <v>0</v>
      </c>
      <c r="AK17" s="147">
        <f>Tabella8[[#This Row],[region fit]]</f>
        <v>0</v>
      </c>
      <c r="AL17" s="143">
        <f>(ATANH(alpha*Tabella34[[#This Row],[sel. region cumul. fit]]/Kl-(1-alpha*Tabella34[[#This Row],[sel. region cumul. fit]]/Kl)*TANH(phi_l))+phi_l)/psi_l-(Tabella34[[#This Row],[Day]]-pl)</f>
        <v>66.356483051343162</v>
      </c>
      <c r="AM17" s="142">
        <f>Tabella34[[#This Row],[sel. region cumul. fit]]/Kl</f>
        <v>0</v>
      </c>
      <c r="AN17" s="143">
        <f>Tabella3[[#This Row],[region fit]]</f>
        <v>4.449696983729293</v>
      </c>
      <c r="AO17" s="183" t="e">
        <f>Tabella34[[#This Row],[sel. region velocity]]/Tabella34[[#This Row],[sel. region cumul. fit]]</f>
        <v>#DIV/0!</v>
      </c>
      <c r="AP17" s="236" t="e">
        <f>(LN(Tabella34[[#This Row],[Day]]-pr)-phi_r)/psi_r</f>
        <v>#NUM!</v>
      </c>
      <c r="AQ17" s="244">
        <f>EXP(phi_r+psi_r*Tabella34[[#This Row],[x_r_alpha©+plus]])-(Tabella34[[#This Row],[Day]]-pr)</f>
        <v>69.645668637552873</v>
      </c>
      <c r="AR17" s="244">
        <f>EXP(phi_r+psi_r*Tabella34[[#This Row],[x_r_alpha©-minus]])-(Tabella34[[#This Row],[Day]]-pr)</f>
        <v>69.089427775217231</v>
      </c>
      <c r="AS17" s="244">
        <f>-psi_r+SQRT(psi_r^2-2*Tabella34[[#This Row],[c_r]])</f>
        <v>4.5782541831262975</v>
      </c>
      <c r="AT17" s="244">
        <f>-psi_r-SQRT(psi_r^2-2*Tabella34[[#This Row],[c_r]])</f>
        <v>-4.6185421927926349</v>
      </c>
      <c r="AU17" s="244">
        <f>phi_r-LN(alpha*Kr/(Tabella34[[#This Row],[sel. region velocity]]*psi_r*SQRTPI(2)))</f>
        <v>-10.572430057049093</v>
      </c>
      <c r="AV17" s="244">
        <f>(ACOSH(SQRT(alpha*Kl*psi_l/(Tabella34[[#This Row],[sel. region velocity]]*(1+TANH(phi_l)))))+phi_l)/psi_l-(Tabella34[[#This Row],[Day]]-pl)</f>
        <v>259.16488437919071</v>
      </c>
      <c r="AW17" s="72">
        <f>-2*$BY$22*TANH($BY$22*(Tabella34[[#This Row],[Day]]-$BY$31)-$BY$21)*Tabella34[[#This Row],[sel. region velocity]]</f>
        <v>0.17653973246627358</v>
      </c>
      <c r="AX17" s="143">
        <f>Tabella34[[#This Row],[sel. region acc. fit]]/y_l_peak</f>
        <v>1.1990353803345503E-3</v>
      </c>
      <c r="AY17" s="143">
        <f>Tabella34[[#This Row],[sel. region acc. fit]]*NOT(ISBLANK(Tabella34[[#This Row],[selected region rate data]]))</f>
        <v>0</v>
      </c>
      <c r="AZ17" s="77">
        <f>Tabella34[[#This Row],[sel. region acc. fit]]+CIl</f>
        <v>69.541526107566668</v>
      </c>
      <c r="BA17" s="77">
        <f>MAX(Tabella34[[#This Row],[sel. region acc. fit]]-CIl,0)</f>
        <v>0</v>
      </c>
      <c r="BB17" s="141"/>
      <c r="BC17" s="33"/>
      <c r="BD17" s="33"/>
      <c r="BE17" s="142">
        <f>Tabella34[[#This Row],[rest of Italy rate data]]*NOT(ISBLANK(Tabella34[[#This Row],[rest of Italy rate data]]))</f>
        <v>0</v>
      </c>
      <c r="BF17" s="188">
        <f>Tabella8[[#This Row],[rest of Italy fit]]</f>
        <v>0</v>
      </c>
      <c r="BG17" s="78">
        <f>(ATANH(alpha*Tabella34[[#This Row],[rest of Italy cumul. fit]]/Ka-(1-alpha*Tabella34[[#This Row],[rest of Italy cumul. fit]]/Ka)*TANH(phi_a))+phi_a)/psi_a-(Tabella34[[#This Row],[Day]]-pa)</f>
        <v>57.882529907638357</v>
      </c>
      <c r="BH17" s="143">
        <f>Tabella34[[#This Row],[rest of Italy cumul. fit]]/Ka</f>
        <v>0</v>
      </c>
      <c r="BI17" s="143">
        <f>Tabella3[[#This Row],[rest of Italy fit]]</f>
        <v>37.548449645549283</v>
      </c>
      <c r="BJ17" s="183" t="e">
        <f>Tabella34[[#This Row],[rest of Italy velocity]]/Tabella34[[#This Row],[rest of Italy cumul. fit]]</f>
        <v>#DIV/0!</v>
      </c>
      <c r="BK17" s="236" t="e">
        <f>(LN(Tabella34[[#This Row],[Day]]-po)-phi_o)/psi_o</f>
        <v>#NUM!</v>
      </c>
      <c r="BL17" s="244">
        <f>EXP(phi_o+psi_o*Tabella34[[#This Row],[x_o_alpha©+plus]])-(Tabella34[[#This Row],[Day]]-po)</f>
        <v>62.439730042835073</v>
      </c>
      <c r="BM17" s="244">
        <f>EXP(phi_o+psi_o*Tabella34[[#This Row],[x_o_alpha©-minus]])-(Tabella34[[#This Row],[Day]]-po)</f>
        <v>61.475851769493993</v>
      </c>
      <c r="BN17" s="244">
        <f>-psi_o+SQRT(psi_o^2-2*Tabella34[[#This Row],[c_o]])</f>
        <v>4.6053341144662534</v>
      </c>
      <c r="BO17" s="244">
        <f>-psi_o-SQRT(psi_o^2-2*Tabella34[[#This Row],[c_o]])</f>
        <v>-4.6566473987339068</v>
      </c>
      <c r="BP17" s="244">
        <f>phi_o-LN(alpha*Ko/(Tabella34[[#This Row],[rest of Italy velocity]]*psi_o*SQRTPI(2)))</f>
        <v>-10.722708562214898</v>
      </c>
      <c r="BQ17" s="244">
        <f>(ACOSH(SQRT(alpha*Ka*psi_a/(Tabella34[[#This Row],[rest of Italy velocity]]*(1+TANH(phi_a)))))+phi_a)/psi_a-(Tabella34[[#This Row],[Day]]-pa)</f>
        <v>238.35479769454491</v>
      </c>
      <c r="BR17" s="72">
        <f>-2*$BY$35*TANH($BY$35*(Tabella34[[#This Row],[Day]]-$BY$44)-$BY$34)*Tabella34[[#This Row],[rest of Italy velocity]]</f>
        <v>1.9147168090841273</v>
      </c>
      <c r="BS17" s="143">
        <f>Tabella34[[#This Row],[rest of Italy acc. fit]]/y_a_peak</f>
        <v>6.3412801167047716E-4</v>
      </c>
      <c r="BT17" s="142">
        <f>Tabella34[[#This Row],[rest of Italy acc. fit]]*NOT(ISBLANK(Tabella34[[#This Row],[rest of Italy rate data]]))</f>
        <v>0</v>
      </c>
      <c r="BU17" s="77">
        <f>Tabella34[[#This Row],[rest of Italy acc. fit]]+CIa</f>
        <v>1636.0486567628857</v>
      </c>
      <c r="BV17" s="77">
        <f>MAX(Tabella34[[#This Row],[rest of Italy acc. fit]]-CIa,0)</f>
        <v>0</v>
      </c>
      <c r="BW17" s="1"/>
      <c r="BX17" s="206" t="s">
        <v>98</v>
      </c>
      <c r="BY17" s="207">
        <f>MAX(Tabella34[Italy (fit of selected region + fitted sum of the other regions)])</f>
        <v>61.910291524739925</v>
      </c>
      <c r="CL17" s="332"/>
    </row>
    <row r="18" spans="2:90" x14ac:dyDescent="0.3">
      <c r="B18" s="262">
        <v>43841</v>
      </c>
      <c r="C18" s="4">
        <v>11</v>
      </c>
      <c r="D18" s="141"/>
      <c r="E18" s="144"/>
      <c r="F18" s="144"/>
      <c r="G18" s="142">
        <f>Tabella34[[#This Row],[Italy rate data]]*NOT(ISBLANK(Tabella34[[#This Row],[Italy rate data]]))</f>
        <v>0</v>
      </c>
      <c r="H18" s="143">
        <f>Tabella8[[#This Row],[Italy fit]]</f>
        <v>0</v>
      </c>
      <c r="I18" s="143">
        <f>(ATANH(alpha*Tabella34[[#This Row],[Italy cumul. Fit]]/Kf-(1-alpha*Tabella34[[#This Row],[Italy cumul. Fit]]/Kf)*TANH(phi_f))+phi_f)/psi_f-(Tabella34[[#This Row],[Day]]-pf)</f>
        <v>57.480394693650979</v>
      </c>
      <c r="J18" s="143">
        <f>Tabella34[[#This Row],[Italy d.t.]]/Italy_dt_at_lockdown</f>
        <v>25.324539435047352</v>
      </c>
      <c r="K18" s="143">
        <f>Tabella34[[#This Row],[Italy cumul. Fit]]/Kf</f>
        <v>0</v>
      </c>
      <c r="L18" s="146">
        <f>Tabella34[[#This Row],[sel. region acc. fit]]+Tabella34[[#This Row],[rest of Italy acc. fit]]</f>
        <v>2.1977728042951803</v>
      </c>
      <c r="M18" s="143">
        <f>Tabella34[[#This Row],[Italy (fit of selected region + fitted sum of the other regions)]]/(y_l_peak+y_a_peak)</f>
        <v>6.9402989433299371E-4</v>
      </c>
      <c r="N18" s="143">
        <f>Tabella3[[#This Row],[Italy remov. rate fit]]</f>
        <v>44.263245442085697</v>
      </c>
      <c r="O18" s="143" t="e">
        <f>Kt*EXP(-0.5*Tabella34[[#This Row],[x_t]]^2)/(psi_t*SQRTPI(2)*(Tabella34[[#This Row],[Day]]-D_bk))</f>
        <v>#NUM!</v>
      </c>
      <c r="P18" s="183" t="e">
        <f>Tabella34[[#This Row],[Italy velocity]]/Tabella34[[#This Row],[Italy cumul. Fit]]</f>
        <v>#DIV/0!</v>
      </c>
      <c r="Q18" s="244" t="e">
        <f>(LN(Tabella34[[#This Row],[Day]]-D_bk)-phi_t)/psi_t</f>
        <v>#NUM!</v>
      </c>
      <c r="R18" s="244">
        <f>EXP(phi_t+psi_t*Tabella34[[#This Row],[x_t_alpha©+plus]])-(Tabella34[[#This Row],[Day]]-D_bk)</f>
        <v>61.906948270255711</v>
      </c>
      <c r="S18" s="244">
        <f>EXP(phi_t+psi_t*Tabella34[[#This Row],[x_t_alpha©-minus]])-(Tabella34[[#This Row],[Day]]-D_bk)</f>
        <v>60.986035664407211</v>
      </c>
      <c r="T18" s="244">
        <f>-psi_t+SQRT(psi_t^2-2*Tabella34[[#This Row],[c_t]])</f>
        <v>4.5918041936284331</v>
      </c>
      <c r="U18" s="244">
        <f>-psi_t-SQRT(psi_t^2-2*Tabella34[[#This Row],[c_t]])</f>
        <v>-4.6423228683258051</v>
      </c>
      <c r="V18" s="244">
        <f>phi_t-LN(alpha*Kt/(Tabella34[[#This Row],[Italy velocity]]*psi_t*SQRTPI(2)))</f>
        <v>-10.658318807477803</v>
      </c>
      <c r="W18" s="244" t="e">
        <f>Tabella34[[#This Row],[Italy g.r.]]/Italy_gr_at_lockdown</f>
        <v>#DIV/0!</v>
      </c>
      <c r="X18" s="244">
        <f>(ACOSH(SQRT(alpha*Kf*psi_f/(Tabella34[[#This Row],[Italy velocity]]*(1+TANH(phi_f)))))+phi_f)/psi_f-(Tabella34[[#This Row],[Day]]-pf)</f>
        <v>237.35551856556702</v>
      </c>
      <c r="Y18" s="244">
        <f>Tabella34[[#This Row],[Italy h.t.]]/Italy_ht_at_lockdown</f>
        <v>1.9986547730184581</v>
      </c>
      <c r="Z18" s="72">
        <f>-2*$BY$48*TANH($BY$48*(Tabella34[[#This Row],[Day]]-$BY$57)-$BY$47)*Tabella34[[#This Row],[Italy velocity]]</f>
        <v>2.220399153543525</v>
      </c>
      <c r="AA18" s="72">
        <f>Tabella34[[#This Row],[Italy acc. fit]]/Itali_acc_at_lockdown</f>
        <v>6.3439380355504449E-2</v>
      </c>
      <c r="AB18" s="143">
        <f>Tabella34[[#This Row],[Italy acc. fit]]/y_f_peak</f>
        <v>7.0288275865582875E-4</v>
      </c>
      <c r="AC18" s="143">
        <f>Tabella34[[#This Row],[Italy (fit of selected region + fitted sum of the other regions)]]*NOT(ISBLANK(Tabella34[[#This Row],[Italy rate data]]))</f>
        <v>0</v>
      </c>
      <c r="AD18" s="143">
        <f>Tabella34[[#This Row],[Italy acc. fit]]*NOT(ISBLANK(Tabella34[[#This Row],[Italy rate data]]))</f>
        <v>0</v>
      </c>
      <c r="AE18" s="77">
        <f>Tabella34[[#This Row],[Italy acc. fit]]+CIf</f>
        <v>1657.4303680772948</v>
      </c>
      <c r="AF18" s="77">
        <f>MAX(Tabella34[[#This Row],[Italy acc. fit]]-CIf,0)</f>
        <v>0</v>
      </c>
      <c r="AG18" s="141"/>
      <c r="AH18" s="33"/>
      <c r="AI18" s="33"/>
      <c r="AJ18" s="142">
        <f>Tabella34[[#This Row],[selected region rate data]]*NOT(ISBLANK(Tabella34[[#This Row],[selected region rate data]]))</f>
        <v>0</v>
      </c>
      <c r="AK18" s="147">
        <f>Tabella8[[#This Row],[region fit]]</f>
        <v>0</v>
      </c>
      <c r="AL18" s="143">
        <f>(ATANH(alpha*Tabella34[[#This Row],[sel. region cumul. fit]]/Kl-(1-alpha*Tabella34[[#This Row],[sel. region cumul. fit]]/Kl)*TANH(phi_l))+phi_l)/psi_l-(Tabella34[[#This Row],[Day]]-pl)</f>
        <v>65.356483051343162</v>
      </c>
      <c r="AM18" s="142">
        <f>Tabella34[[#This Row],[sel. region cumul. fit]]/Kl</f>
        <v>0</v>
      </c>
      <c r="AN18" s="143">
        <f>Tabella3[[#This Row],[region fit]]</f>
        <v>4.6297280260150302</v>
      </c>
      <c r="AO18" s="183" t="e">
        <f>Tabella34[[#This Row],[sel. region velocity]]/Tabella34[[#This Row],[sel. region cumul. fit]]</f>
        <v>#DIV/0!</v>
      </c>
      <c r="AP18" s="236" t="e">
        <f>(LN(Tabella34[[#This Row],[Day]]-pr)-phi_r)/psi_r</f>
        <v>#NUM!</v>
      </c>
      <c r="AQ18" s="244">
        <f>EXP(phi_r+psi_r*Tabella34[[#This Row],[x_r_alpha©+plus]])-(Tabella34[[#This Row],[Day]]-pr)</f>
        <v>68.645096666953634</v>
      </c>
      <c r="AR18" s="244">
        <f>EXP(phi_r+psi_r*Tabella34[[#This Row],[x_r_alpha©-minus]])-(Tabella34[[#This Row],[Day]]-pr)</f>
        <v>68.089903101361969</v>
      </c>
      <c r="AS18" s="244">
        <f>-psi_r+SQRT(psi_r^2-2*Tabella34[[#This Row],[c_r]])</f>
        <v>4.5696208743602718</v>
      </c>
      <c r="AT18" s="244">
        <f>-psi_r-SQRT(psi_r^2-2*Tabella34[[#This Row],[c_r]])</f>
        <v>-4.6099088840266091</v>
      </c>
      <c r="AU18" s="244">
        <f>phi_r-LN(alpha*Kr/(Tabella34[[#This Row],[sel. region velocity]]*psi_r*SQRTPI(2)))</f>
        <v>-10.53276793267343</v>
      </c>
      <c r="AV18" s="244">
        <f>(ACOSH(SQRT(alpha*Kl*psi_l/(Tabella34[[#This Row],[sel. region velocity]]*(1+TANH(phi_l)))))+phi_l)/psi_l-(Tabella34[[#This Row],[Day]]-pl)</f>
        <v>257.17274323832351</v>
      </c>
      <c r="AW18" s="72">
        <f>-2*$BY$22*TANH($BY$22*(Tabella34[[#This Row],[Day]]-$BY$31)-$BY$21)*Tabella34[[#This Row],[sel. region velocity]]</f>
        <v>0.18356654855988683</v>
      </c>
      <c r="AX18" s="143">
        <f>Tabella34[[#This Row],[sel. region acc. fit]]/y_l_peak</f>
        <v>1.2467606203677313E-3</v>
      </c>
      <c r="AY18" s="143">
        <f>Tabella34[[#This Row],[sel. region acc. fit]]*NOT(ISBLANK(Tabella34[[#This Row],[selected region rate data]]))</f>
        <v>0</v>
      </c>
      <c r="AZ18" s="77">
        <f>Tabella34[[#This Row],[sel. region acc. fit]]+CIl</f>
        <v>69.548552923660282</v>
      </c>
      <c r="BA18" s="77">
        <f>MAX(Tabella34[[#This Row],[sel. region acc. fit]]-CIl,0)</f>
        <v>0</v>
      </c>
      <c r="BB18" s="141"/>
      <c r="BC18" s="33"/>
      <c r="BD18" s="33"/>
      <c r="BE18" s="142">
        <f>Tabella34[[#This Row],[rest of Italy rate data]]*NOT(ISBLANK(Tabella34[[#This Row],[rest of Italy rate data]]))</f>
        <v>0</v>
      </c>
      <c r="BF18" s="188">
        <f>Tabella8[[#This Row],[rest of Italy fit]]</f>
        <v>0</v>
      </c>
      <c r="BG18" s="78">
        <f>(ATANH(alpha*Tabella34[[#This Row],[rest of Italy cumul. fit]]/Ka-(1-alpha*Tabella34[[#This Row],[rest of Italy cumul. fit]]/Ka)*TANH(phi_a))+phi_a)/psi_a-(Tabella34[[#This Row],[Day]]-pa)</f>
        <v>56.882529907638357</v>
      </c>
      <c r="BH18" s="143">
        <f>Tabella34[[#This Row],[rest of Italy cumul. fit]]/Ka</f>
        <v>0</v>
      </c>
      <c r="BI18" s="143">
        <f>Tabella3[[#This Row],[rest of Italy fit]]</f>
        <v>39.512496737840635</v>
      </c>
      <c r="BJ18" s="183" t="e">
        <f>Tabella34[[#This Row],[rest of Italy velocity]]/Tabella34[[#This Row],[rest of Italy cumul. fit]]</f>
        <v>#DIV/0!</v>
      </c>
      <c r="BK18" s="236" t="e">
        <f>(LN(Tabella34[[#This Row],[Day]]-po)-phi_o)/psi_o</f>
        <v>#NUM!</v>
      </c>
      <c r="BL18" s="244">
        <f>EXP(phi_o+psi_o*Tabella34[[#This Row],[x_o_alpha©+plus]])-(Tabella34[[#This Row],[Day]]-po)</f>
        <v>61.438441433207899</v>
      </c>
      <c r="BM18" s="244">
        <f>EXP(phi_o+psi_o*Tabella34[[#This Row],[x_o_alpha©-minus]])-(Tabella34[[#This Row],[Day]]-po)</f>
        <v>60.476868116962272</v>
      </c>
      <c r="BN18" s="244">
        <f>-psi_o+SQRT(psi_o^2-2*Tabella34[[#This Row],[c_o]])</f>
        <v>4.5943114937950105</v>
      </c>
      <c r="BO18" s="244">
        <f>-psi_o-SQRT(psi_o^2-2*Tabella34[[#This Row],[c_o]])</f>
        <v>-4.6456247780626638</v>
      </c>
      <c r="BP18" s="244">
        <f>phi_o-LN(alpha*Ko/(Tabella34[[#This Row],[rest of Italy velocity]]*psi_o*SQRTPI(2)))</f>
        <v>-10.671723656856095</v>
      </c>
      <c r="BQ18" s="244">
        <f>(ACOSH(SQRT(alpha*Ka*psi_a/(Tabella34[[#This Row],[rest of Italy velocity]]*(1+TANH(phi_a)))))+phi_a)/psi_a-(Tabella34[[#This Row],[Day]]-pa)</f>
        <v>236.35801285026622</v>
      </c>
      <c r="BR18" s="72">
        <f>-2*$BY$35*TANH($BY$35*(Tabella34[[#This Row],[Day]]-$BY$44)-$BY$34)*Tabella34[[#This Row],[rest of Italy velocity]]</f>
        <v>2.0142062557352935</v>
      </c>
      <c r="BS18" s="143">
        <f>Tabella34[[#This Row],[rest of Italy acc. fit]]/y_a_peak</f>
        <v>6.6707755527284297E-4</v>
      </c>
      <c r="BT18" s="142">
        <f>Tabella34[[#This Row],[rest of Italy acc. fit]]*NOT(ISBLANK(Tabella34[[#This Row],[rest of Italy rate data]]))</f>
        <v>0</v>
      </c>
      <c r="BU18" s="77">
        <f>Tabella34[[#This Row],[rest of Italy acc. fit]]+CIa</f>
        <v>1636.1481462095367</v>
      </c>
      <c r="BV18" s="77">
        <f>MAX(Tabella34[[#This Row],[rest of Italy acc. fit]]-CIa,0)</f>
        <v>0</v>
      </c>
      <c r="BW18" s="1"/>
      <c r="BX18" s="206" t="s">
        <v>128</v>
      </c>
      <c r="BY18" s="208" t="e">
        <f>_xlfn.XLOOKUP(Peak_w,Tabella34[Italy (fit of selected region + fitted sum of the other regions)],Tabella34[Date])</f>
        <v>#N/A</v>
      </c>
      <c r="CL18" s="124">
        <f>MAX($BY$26)</f>
        <v>-0.19895782502028414</v>
      </c>
    </row>
    <row r="19" spans="2:90" x14ac:dyDescent="0.3">
      <c r="B19" s="262">
        <v>43842</v>
      </c>
      <c r="C19" s="4">
        <v>12</v>
      </c>
      <c r="D19" s="141"/>
      <c r="E19" s="144"/>
      <c r="F19" s="144"/>
      <c r="G19" s="142">
        <f>Tabella34[[#This Row],[Italy rate data]]*NOT(ISBLANK(Tabella34[[#This Row],[Italy rate data]]))</f>
        <v>0</v>
      </c>
      <c r="H19" s="143">
        <f>Tabella8[[#This Row],[Italy fit]]</f>
        <v>0</v>
      </c>
      <c r="I19" s="143">
        <f>(ATANH(alpha*Tabella34[[#This Row],[Italy cumul. Fit]]/Kf-(1-alpha*Tabella34[[#This Row],[Italy cumul. Fit]]/Kf)*TANH(phi_f))+phi_f)/psi_f-(Tabella34[[#This Row],[Day]]-pf)</f>
        <v>56.480394693650979</v>
      </c>
      <c r="J19" s="143">
        <f>Tabella34[[#This Row],[Italy d.t.]]/Italy_dt_at_lockdown</f>
        <v>24.88396244231761</v>
      </c>
      <c r="K19" s="143">
        <f>Tabella34[[#This Row],[Italy cumul. Fit]]/Kf</f>
        <v>0</v>
      </c>
      <c r="L19" s="146">
        <f>Tabella34[[#This Row],[sel. region acc. fit]]+Tabella34[[#This Row],[rest of Italy acc. fit]]</f>
        <v>2.309655180290235</v>
      </c>
      <c r="M19" s="143">
        <f>Tabella34[[#This Row],[Italy (fit of selected region + fitted sum of the other regions)]]/(y_l_peak+y_a_peak)</f>
        <v>7.2936098653589049E-4</v>
      </c>
      <c r="N19" s="143">
        <f>Tabella3[[#This Row],[Italy remov. rate fit]]</f>
        <v>46.539855997039737</v>
      </c>
      <c r="O19" s="143" t="e">
        <f>Kt*EXP(-0.5*Tabella34[[#This Row],[x_t]]^2)/(psi_t*SQRTPI(2)*(Tabella34[[#This Row],[Day]]-D_bk))</f>
        <v>#NUM!</v>
      </c>
      <c r="P19" s="183" t="e">
        <f>Tabella34[[#This Row],[Italy velocity]]/Tabella34[[#This Row],[Italy cumul. Fit]]</f>
        <v>#DIV/0!</v>
      </c>
      <c r="Q19" s="244" t="e">
        <f>(LN(Tabella34[[#This Row],[Day]]-D_bk)-phi_t)/psi_t</f>
        <v>#NUM!</v>
      </c>
      <c r="R19" s="244">
        <f>EXP(phi_t+psi_t*Tabella34[[#This Row],[x_t_alpha©+plus]])-(Tabella34[[#This Row],[Day]]-D_bk)</f>
        <v>60.905732411692796</v>
      </c>
      <c r="S19" s="244">
        <f>EXP(phi_t+psi_t*Tabella34[[#This Row],[x_t_alpha©-minus]])-(Tabella34[[#This Row],[Day]]-D_bk)</f>
        <v>59.986998836907119</v>
      </c>
      <c r="T19" s="244">
        <f>-psi_t+SQRT(psi_t^2-2*Tabella34[[#This Row],[c_t]])</f>
        <v>4.5809285484271154</v>
      </c>
      <c r="U19" s="244">
        <f>-psi_t-SQRT(psi_t^2-2*Tabella34[[#This Row],[c_t]])</f>
        <v>-4.6314472231244874</v>
      </c>
      <c r="V19" s="244">
        <f>phi_t-LN(alpha*Kt/(Tabella34[[#This Row],[Italy velocity]]*psi_t*SQRTPI(2)))</f>
        <v>-10.608164402472225</v>
      </c>
      <c r="W19" s="244" t="e">
        <f>Tabella34[[#This Row],[Italy g.r.]]/Italy_gr_at_lockdown</f>
        <v>#DIV/0!</v>
      </c>
      <c r="X19" s="244">
        <f>(ACOSH(SQRT(alpha*Kf*psi_f/(Tabella34[[#This Row],[Italy velocity]]*(1+TANH(phi_f)))))+phi_f)/psi_f-(Tabella34[[#This Row],[Day]]-pf)</f>
        <v>235.35914343476776</v>
      </c>
      <c r="Y19" s="244">
        <f>Tabella34[[#This Row],[Italy h.t.]]/Italy_ht_at_lockdown</f>
        <v>1.9818442741178182</v>
      </c>
      <c r="Z19" s="72">
        <f>-2*$BY$48*TANH($BY$48*(Tabella34[[#This Row],[Day]]-$BY$57)-$BY$47)*Tabella34[[#This Row],[Italy velocity]]</f>
        <v>2.3337485412512224</v>
      </c>
      <c r="AA19" s="72">
        <f>Tabella34[[#This Row],[Italy acc. fit]]/Itali_acc_at_lockdown</f>
        <v>6.6677903892309237E-2</v>
      </c>
      <c r="AB19" s="143">
        <f>Tabella34[[#This Row],[Italy acc. fit]]/y_f_peak</f>
        <v>7.3876429382791181E-4</v>
      </c>
      <c r="AC19" s="143">
        <f>Tabella34[[#This Row],[Italy (fit of selected region + fitted sum of the other regions)]]*NOT(ISBLANK(Tabella34[[#This Row],[Italy rate data]]))</f>
        <v>0</v>
      </c>
      <c r="AD19" s="143">
        <f>Tabella34[[#This Row],[Italy acc. fit]]*NOT(ISBLANK(Tabella34[[#This Row],[Italy rate data]]))</f>
        <v>0</v>
      </c>
      <c r="AE19" s="77">
        <f>Tabella34[[#This Row],[Italy acc. fit]]+CIf</f>
        <v>1657.5437174650026</v>
      </c>
      <c r="AF19" s="77">
        <f>MAX(Tabella34[[#This Row],[Italy acc. fit]]-CIf,0)</f>
        <v>0</v>
      </c>
      <c r="AG19" s="141"/>
      <c r="AH19" s="33"/>
      <c r="AI19" s="33"/>
      <c r="AJ19" s="142">
        <f>Tabella34[[#This Row],[selected region rate data]]*NOT(ISBLANK(Tabella34[[#This Row],[selected region rate data]]))</f>
        <v>0</v>
      </c>
      <c r="AK19" s="147">
        <f>Tabella8[[#This Row],[region fit]]</f>
        <v>0</v>
      </c>
      <c r="AL19" s="143">
        <f>(ATANH(alpha*Tabella34[[#This Row],[sel. region cumul. fit]]/Kl-(1-alpha*Tabella34[[#This Row],[sel. region cumul. fit]]/Kl)*TANH(phi_l))+phi_l)/psi_l-(Tabella34[[#This Row],[Day]]-pl)</f>
        <v>64.356483051343162</v>
      </c>
      <c r="AM19" s="142">
        <f>Tabella34[[#This Row],[sel. region cumul. fit]]/Kl</f>
        <v>0</v>
      </c>
      <c r="AN19" s="143">
        <f>Tabella3[[#This Row],[region fit]]</f>
        <v>4.8169200334258342</v>
      </c>
      <c r="AO19" s="183" t="e">
        <f>Tabella34[[#This Row],[sel. region velocity]]/Tabella34[[#This Row],[sel. region cumul. fit]]</f>
        <v>#DIV/0!</v>
      </c>
      <c r="AP19" s="236" t="e">
        <f>(LN(Tabella34[[#This Row],[Day]]-pr)-phi_r)/psi_r</f>
        <v>#NUM!</v>
      </c>
      <c r="AQ19" s="244">
        <f>EXP(phi_r+psi_r*Tabella34[[#This Row],[x_r_alpha©+plus]])-(Tabella34[[#This Row],[Day]]-pr)</f>
        <v>67.644524087203479</v>
      </c>
      <c r="AR19" s="244">
        <f>EXP(phi_r+psi_r*Tabella34[[#This Row],[x_r_alpha©-minus]])-(Tabella34[[#This Row],[Day]]-pr)</f>
        <v>67.09037909936572</v>
      </c>
      <c r="AS19" s="244">
        <f>-psi_r+SQRT(psi_r^2-2*Tabella34[[#This Row],[c_r]])</f>
        <v>4.5609768670120463</v>
      </c>
      <c r="AT19" s="244">
        <f>-psi_r-SQRT(psi_r^2-2*Tabella34[[#This Row],[c_r]])</f>
        <v>-4.6012648766783837</v>
      </c>
      <c r="AU19" s="244">
        <f>phi_r-LN(alpha*Kr/(Tabella34[[#This Row],[sel. region velocity]]*psi_r*SQRTPI(2)))</f>
        <v>-10.493131330762573</v>
      </c>
      <c r="AV19" s="244">
        <f>(ACOSH(SQRT(alpha*Kl*psi_l/(Tabella34[[#This Row],[sel. region velocity]]*(1+TANH(phi_l)))))+phi_l)/psi_l-(Tabella34[[#This Row],[Day]]-pl)</f>
        <v>255.18092647025941</v>
      </c>
      <c r="AW19" s="72">
        <f>-2*$BY$22*TANH($BY$22*(Tabella34[[#This Row],[Day]]-$BY$31)-$BY$21)*Tabella34[[#This Row],[sel. region velocity]]</f>
        <v>0.19086323125851468</v>
      </c>
      <c r="AX19" s="143">
        <f>Tabella34[[#This Row],[sel. region acc. fit]]/y_l_peak</f>
        <v>1.2963187600142905E-3</v>
      </c>
      <c r="AY19" s="143">
        <f>Tabella34[[#This Row],[sel. region acc. fit]]*NOT(ISBLANK(Tabella34[[#This Row],[selected region rate data]]))</f>
        <v>0</v>
      </c>
      <c r="AZ19" s="77">
        <f>Tabella34[[#This Row],[sel. region acc. fit]]+CIl</f>
        <v>69.555849606358919</v>
      </c>
      <c r="BA19" s="77">
        <f>MAX(Tabella34[[#This Row],[sel. region acc. fit]]-CIl,0)</f>
        <v>0</v>
      </c>
      <c r="BB19" s="141"/>
      <c r="BC19" s="33"/>
      <c r="BD19" s="33"/>
      <c r="BE19" s="142">
        <f>Tabella34[[#This Row],[rest of Italy rate data]]*NOT(ISBLANK(Tabella34[[#This Row],[rest of Italy rate data]]))</f>
        <v>0</v>
      </c>
      <c r="BF19" s="188">
        <f>Tabella8[[#This Row],[rest of Italy fit]]</f>
        <v>0</v>
      </c>
      <c r="BG19" s="78">
        <f>(ATANH(alpha*Tabella34[[#This Row],[rest of Italy cumul. fit]]/Ka-(1-alpha*Tabella34[[#This Row],[rest of Italy cumul. fit]]/Ka)*TANH(phi_a))+phi_a)/psi_a-(Tabella34[[#This Row],[Day]]-pa)</f>
        <v>55.882529907638357</v>
      </c>
      <c r="BH19" s="143">
        <f>Tabella34[[#This Row],[rest of Italy cumul. fit]]/Ka</f>
        <v>0</v>
      </c>
      <c r="BI19" s="143">
        <f>Tabella3[[#This Row],[rest of Italy fit]]</f>
        <v>41.578560780595438</v>
      </c>
      <c r="BJ19" s="183" t="e">
        <f>Tabella34[[#This Row],[rest of Italy velocity]]/Tabella34[[#This Row],[rest of Italy cumul. fit]]</f>
        <v>#DIV/0!</v>
      </c>
      <c r="BK19" s="236" t="e">
        <f>(LN(Tabella34[[#This Row],[Day]]-po)-phi_o)/psi_o</f>
        <v>#NUM!</v>
      </c>
      <c r="BL19" s="244">
        <f>EXP(phi_o+psi_o*Tabella34[[#This Row],[x_o_alpha©+plus]])-(Tabella34[[#This Row],[Day]]-po)</f>
        <v>60.437150544350828</v>
      </c>
      <c r="BM19" s="244">
        <f>EXP(phi_o+psi_o*Tabella34[[#This Row],[x_o_alpha©-minus]])-(Tabella34[[#This Row],[Day]]-po)</f>
        <v>59.477886838720472</v>
      </c>
      <c r="BN19" s="244">
        <f>-psi_o+SQRT(psi_o^2-2*Tabella34[[#This Row],[c_o]])</f>
        <v>4.5832662504541828</v>
      </c>
      <c r="BO19" s="244">
        <f>-psi_o-SQRT(psi_o^2-2*Tabella34[[#This Row],[c_o]])</f>
        <v>-4.6345795347218361</v>
      </c>
      <c r="BP19" s="244">
        <f>phi_o-LN(alpha*Ko/(Tabella34[[#This Row],[rest of Italy velocity]]*psi_o*SQRTPI(2)))</f>
        <v>-10.62075598326812</v>
      </c>
      <c r="BQ19" s="244">
        <f>(ACOSH(SQRT(alpha*Ka*psi_a/(Tabella34[[#This Row],[rest of Italy velocity]]*(1+TANH(phi_a)))))+phi_a)/psi_a-(Tabella34[[#This Row],[Day]]-pa)</f>
        <v>234.36139757609186</v>
      </c>
      <c r="BR19" s="72">
        <f>-2*$BY$35*TANH($BY$35*(Tabella34[[#This Row],[Day]]-$BY$44)-$BY$34)*Tabella34[[#This Row],[rest of Italy velocity]]</f>
        <v>2.1187919490317202</v>
      </c>
      <c r="BS19" s="143">
        <f>Tabella34[[#This Row],[rest of Italy acc. fit]]/y_a_peak</f>
        <v>7.0171490604168318E-4</v>
      </c>
      <c r="BT19" s="142">
        <f>Tabella34[[#This Row],[rest of Italy acc. fit]]*NOT(ISBLANK(Tabella34[[#This Row],[rest of Italy rate data]]))</f>
        <v>0</v>
      </c>
      <c r="BU19" s="77">
        <f>Tabella34[[#This Row],[rest of Italy acc. fit]]+CIa</f>
        <v>1636.2527319028331</v>
      </c>
      <c r="BV19" s="77">
        <f>MAX(Tabella34[[#This Row],[rest of Italy acc. fit]]-CIa,0)</f>
        <v>0</v>
      </c>
      <c r="BW19" s="1"/>
      <c r="BX19" s="209" t="s">
        <v>78</v>
      </c>
      <c r="BY19" s="210" t="s">
        <v>117</v>
      </c>
      <c r="CL19" s="45">
        <f>COUNT($BY$20,$BY$21,$BY$22,$BY$31)</f>
        <v>4</v>
      </c>
    </row>
    <row r="20" spans="2:90" x14ac:dyDescent="0.3">
      <c r="B20" s="262">
        <v>43843</v>
      </c>
      <c r="C20" s="4">
        <v>13</v>
      </c>
      <c r="D20" s="141"/>
      <c r="E20" s="144"/>
      <c r="F20" s="144"/>
      <c r="G20" s="142">
        <f>Tabella34[[#This Row],[Italy rate data]]*NOT(ISBLANK(Tabella34[[#This Row],[Italy rate data]]))</f>
        <v>0</v>
      </c>
      <c r="H20" s="143">
        <f>Tabella8[[#This Row],[Italy fit]]</f>
        <v>0</v>
      </c>
      <c r="I20" s="143">
        <f>(ATANH(alpha*Tabella34[[#This Row],[Italy cumul. Fit]]/Kf-(1-alpha*Tabella34[[#This Row],[Italy cumul. Fit]]/Kf)*TANH(phi_f))+phi_f)/psi_f-(Tabella34[[#This Row],[Day]]-pf)</f>
        <v>55.480394693650979</v>
      </c>
      <c r="J20" s="143">
        <f>Tabella34[[#This Row],[Italy d.t.]]/Italy_dt_at_lockdown</f>
        <v>24.443385449587868</v>
      </c>
      <c r="K20" s="143">
        <f>Tabella34[[#This Row],[Italy cumul. Fit]]/Kf</f>
        <v>0</v>
      </c>
      <c r="L20" s="146">
        <f>Tabella34[[#This Row],[sel. region acc. fit]]+Tabella34[[#This Row],[rest of Italy acc. fit]]</f>
        <v>2.4271663677412283</v>
      </c>
      <c r="M20" s="143">
        <f>Tabella34[[#This Row],[Italy (fit of selected region + fitted sum of the other regions)]]/(y_l_peak+y_a_peak)</f>
        <v>7.6646958886738236E-4</v>
      </c>
      <c r="N20" s="143">
        <f>Tabella3[[#This Row],[Italy remov. rate fit]]</f>
        <v>48.932640323942557</v>
      </c>
      <c r="O20" s="143" t="e">
        <f>Kt*EXP(-0.5*Tabella34[[#This Row],[x_t]]^2)/(psi_t*SQRTPI(2)*(Tabella34[[#This Row],[Day]]-D_bk))</f>
        <v>#NUM!</v>
      </c>
      <c r="P20" s="183" t="e">
        <f>Tabella34[[#This Row],[Italy velocity]]/Tabella34[[#This Row],[Italy cumul. Fit]]</f>
        <v>#DIV/0!</v>
      </c>
      <c r="Q20" s="244" t="e">
        <f>(LN(Tabella34[[#This Row],[Day]]-D_bk)-phi_t)/psi_t</f>
        <v>#NUM!</v>
      </c>
      <c r="R20" s="244">
        <f>EXP(phi_t+psi_t*Tabella34[[#This Row],[x_t_alpha©+plus]])-(Tabella34[[#This Row],[Day]]-D_bk)</f>
        <v>59.90451446799625</v>
      </c>
      <c r="S20" s="244">
        <f>EXP(phi_t+psi_t*Tabella34[[#This Row],[x_t_alpha©-minus]])-(Tabella34[[#This Row],[Day]]-D_bk)</f>
        <v>58.987964191967649</v>
      </c>
      <c r="T20" s="244">
        <f>-psi_t+SQRT(psi_t^2-2*Tabella34[[#This Row],[c_t]])</f>
        <v>4.5700312558852749</v>
      </c>
      <c r="U20" s="244">
        <f>-psi_t-SQRT(psi_t^2-2*Tabella34[[#This Row],[c_t]])</f>
        <v>-4.620549930582647</v>
      </c>
      <c r="V20" s="244">
        <f>phi_t-LN(alpha*Kt/(Tabella34[[#This Row],[Italy velocity]]*psi_t*SQRTPI(2)))</f>
        <v>-10.558028801070616</v>
      </c>
      <c r="W20" s="244" t="e">
        <f>Tabella34[[#This Row],[Italy g.r.]]/Italy_gr_at_lockdown</f>
        <v>#DIV/0!</v>
      </c>
      <c r="X20" s="244">
        <f>(ACOSH(SQRT(alpha*Kf*psi_f/(Tabella34[[#This Row],[Italy velocity]]*(1+TANH(phi_f)))))+phi_f)/psi_f-(Tabella34[[#This Row],[Day]]-pf)</f>
        <v>233.36295648621598</v>
      </c>
      <c r="Y20" s="244">
        <f>Tabella34[[#This Row],[Italy h.t.]]/Italy_ht_at_lockdown</f>
        <v>1.9650353598078774</v>
      </c>
      <c r="Z20" s="72">
        <f>-2*$BY$48*TANH($BY$48*(Tabella34[[#This Row],[Day]]-$BY$57)-$BY$47)*Tabella34[[#This Row],[Italy velocity]]</f>
        <v>2.4527917242213584</v>
      </c>
      <c r="AA20" s="72">
        <f>Tabella34[[#This Row],[Italy acc. fit]]/Itali_acc_at_lockdown</f>
        <v>7.0079105766810104E-2</v>
      </c>
      <c r="AB20" s="143">
        <f>Tabella34[[#This Row],[Italy acc. fit]]/y_f_peak</f>
        <v>7.7644823939764678E-4</v>
      </c>
      <c r="AC20" s="143">
        <f>Tabella34[[#This Row],[Italy (fit of selected region + fitted sum of the other regions)]]*NOT(ISBLANK(Tabella34[[#This Row],[Italy rate data]]))</f>
        <v>0</v>
      </c>
      <c r="AD20" s="143">
        <f>Tabella34[[#This Row],[Italy acc. fit]]*NOT(ISBLANK(Tabella34[[#This Row],[Italy rate data]]))</f>
        <v>0</v>
      </c>
      <c r="AE20" s="77">
        <f>Tabella34[[#This Row],[Italy acc. fit]]+CIf</f>
        <v>1657.6627606479728</v>
      </c>
      <c r="AF20" s="77">
        <f>MAX(Tabella34[[#This Row],[Italy acc. fit]]-CIf,0)</f>
        <v>0</v>
      </c>
      <c r="AG20" s="141"/>
      <c r="AH20" s="33"/>
      <c r="AI20" s="33"/>
      <c r="AJ20" s="142">
        <f>Tabella34[[#This Row],[selected region rate data]]*NOT(ISBLANK(Tabella34[[#This Row],[selected region rate data]]))</f>
        <v>0</v>
      </c>
      <c r="AK20" s="147">
        <f>Tabella8[[#This Row],[region fit]]</f>
        <v>0</v>
      </c>
      <c r="AL20" s="143">
        <f>(ATANH(alpha*Tabella34[[#This Row],[sel. region cumul. fit]]/Kl-(1-alpha*Tabella34[[#This Row],[sel. region cumul. fit]]/Kl)*TANH(phi_l))+phi_l)/psi_l-(Tabella34[[#This Row],[Day]]-pl)</f>
        <v>63.356483051343162</v>
      </c>
      <c r="AM20" s="142">
        <f>Tabella34[[#This Row],[sel. region cumul. fit]]/Kl</f>
        <v>0</v>
      </c>
      <c r="AN20" s="143">
        <f>Tabella3[[#This Row],[region fit]]</f>
        <v>5.0115476226683366</v>
      </c>
      <c r="AO20" s="183" t="e">
        <f>Tabella34[[#This Row],[sel. region velocity]]/Tabella34[[#This Row],[sel. region cumul. fit]]</f>
        <v>#DIV/0!</v>
      </c>
      <c r="AP20" s="236" t="e">
        <f>(LN(Tabella34[[#This Row],[Day]]-pr)-phi_r)/psi_r</f>
        <v>#NUM!</v>
      </c>
      <c r="AQ20" s="244">
        <f>EXP(phi_r+psi_r*Tabella34[[#This Row],[x_r_alpha©+plus]])-(Tabella34[[#This Row],[Day]]-pr)</f>
        <v>66.643950909582585</v>
      </c>
      <c r="AR20" s="244">
        <f>EXP(phi_r+psi_r*Tabella34[[#This Row],[x_r_alpha©-minus]])-(Tabella34[[#This Row],[Day]]-pr)</f>
        <v>66.090855760461778</v>
      </c>
      <c r="AS20" s="244">
        <f>-psi_r+SQRT(psi_r^2-2*Tabella34[[#This Row],[c_r]])</f>
        <v>4.5523223260904411</v>
      </c>
      <c r="AT20" s="244">
        <f>-psi_r-SQRT(psi_r^2-2*Tabella34[[#This Row],[c_r]])</f>
        <v>-4.5926103357567785</v>
      </c>
      <c r="AU20" s="244">
        <f>phi_r-LN(alpha*Kr/(Tabella34[[#This Row],[sel. region velocity]]*psi_r*SQRTPI(2)))</f>
        <v>-10.45352128324965</v>
      </c>
      <c r="AV20" s="244">
        <f>(ACOSH(SQRT(alpha*Kl*psi_l/(Tabella34[[#This Row],[sel. region velocity]]*(1+TANH(phi_l)))))+phi_l)/psi_l-(Tabella34[[#This Row],[Day]]-pl)</f>
        <v>253.1894475174924</v>
      </c>
      <c r="AW20" s="72">
        <f>-2*$BY$22*TANH($BY$22*(Tabella34[[#This Row],[Day]]-$BY$31)-$BY$21)*Tabella34[[#This Row],[sel. region velocity]]</f>
        <v>0.19843932530447927</v>
      </c>
      <c r="AX20" s="143">
        <f>Tabella34[[#This Row],[sel. region acc. fit]]/y_l_peak</f>
        <v>1.3477746259485436E-3</v>
      </c>
      <c r="AY20" s="143">
        <f>Tabella34[[#This Row],[sel. region acc. fit]]*NOT(ISBLANK(Tabella34[[#This Row],[selected region rate data]]))</f>
        <v>0</v>
      </c>
      <c r="AZ20" s="77">
        <f>Tabella34[[#This Row],[sel. region acc. fit]]+CIl</f>
        <v>69.563425700404878</v>
      </c>
      <c r="BA20" s="77">
        <f>MAX(Tabella34[[#This Row],[sel. region acc. fit]]-CIl,0)</f>
        <v>0</v>
      </c>
      <c r="BB20" s="141"/>
      <c r="BC20" s="33"/>
      <c r="BD20" s="33"/>
      <c r="BE20" s="142">
        <f>Tabella34[[#This Row],[rest of Italy rate data]]*NOT(ISBLANK(Tabella34[[#This Row],[rest of Italy rate data]]))</f>
        <v>0</v>
      </c>
      <c r="BF20" s="188">
        <f>Tabella8[[#This Row],[rest of Italy fit]]</f>
        <v>0</v>
      </c>
      <c r="BG20" s="78">
        <f>(ATANH(alpha*Tabella34[[#This Row],[rest of Italy cumul. fit]]/Ka-(1-alpha*Tabella34[[#This Row],[rest of Italy cumul. fit]]/Ka)*TANH(phi_a))+phi_a)/psi_a-(Tabella34[[#This Row],[Day]]-pa)</f>
        <v>54.882529907638357</v>
      </c>
      <c r="BH20" s="143">
        <f>Tabella34[[#This Row],[rest of Italy cumul. fit]]/Ka</f>
        <v>0</v>
      </c>
      <c r="BI20" s="143">
        <f>Tabella3[[#This Row],[rest of Italy fit]]</f>
        <v>43.751863639069533</v>
      </c>
      <c r="BJ20" s="183" t="e">
        <f>Tabella34[[#This Row],[rest of Italy velocity]]/Tabella34[[#This Row],[rest of Italy cumul. fit]]</f>
        <v>#DIV/0!</v>
      </c>
      <c r="BK20" s="236" t="e">
        <f>(LN(Tabella34[[#This Row],[Day]]-po)-phi_o)/psi_o</f>
        <v>#NUM!</v>
      </c>
      <c r="BL20" s="244">
        <f>EXP(phi_o+psi_o*Tabella34[[#This Row],[x_o_alpha©+plus]])-(Tabella34[[#This Row],[Day]]-po)</f>
        <v>59.435857382254966</v>
      </c>
      <c r="BM20" s="244">
        <f>EXP(phi_o+psi_o*Tabella34[[#This Row],[x_o_alpha©-minus]])-(Tabella34[[#This Row],[Day]]-po)</f>
        <v>58.478907933585774</v>
      </c>
      <c r="BN20" s="244">
        <f>-psi_o+SQRT(psi_o^2-2*Tabella34[[#This Row],[c_o]])</f>
        <v>4.5721984173737278</v>
      </c>
      <c r="BO20" s="244">
        <f>-psi_o-SQRT(psi_o^2-2*Tabella34[[#This Row],[c_o]])</f>
        <v>-4.6235117016413811</v>
      </c>
      <c r="BP20" s="244">
        <f>phi_o-LN(alpha*Ko/(Tabella34[[#This Row],[rest of Italy velocity]]*psi_o*SQRTPI(2)))</f>
        <v>-10.569806442476818</v>
      </c>
      <c r="BQ20" s="244">
        <f>(ACOSH(SQRT(alpha*Ka*psi_a/(Tabella34[[#This Row],[rest of Italy velocity]]*(1+TANH(phi_a)))))+phi_a)/psi_a-(Tabella34[[#This Row],[Day]]-pa)</f>
        <v>232.36496083088633</v>
      </c>
      <c r="BR20" s="72">
        <f>-2*$BY$35*TANH($BY$35*(Tabella34[[#This Row],[Day]]-$BY$44)-$BY$34)*Tabella34[[#This Row],[rest of Italy velocity]]</f>
        <v>2.2287270424367489</v>
      </c>
      <c r="BS20" s="143">
        <f>Tabella34[[#This Row],[rest of Italy acc. fit]]/y_a_peak</f>
        <v>7.3812390494063006E-4</v>
      </c>
      <c r="BT20" s="142">
        <f>Tabella34[[#This Row],[rest of Italy acc. fit]]*NOT(ISBLANK(Tabella34[[#This Row],[rest of Italy rate data]]))</f>
        <v>0</v>
      </c>
      <c r="BU20" s="77">
        <f>Tabella34[[#This Row],[rest of Italy acc. fit]]+CIa</f>
        <v>1636.3626669962382</v>
      </c>
      <c r="BV20" s="77">
        <f>MAX(Tabella34[[#This Row],[rest of Italy acc. fit]]-CIa,0)</f>
        <v>0</v>
      </c>
      <c r="BW20" s="1"/>
      <c r="BX20" s="212" t="s">
        <v>0</v>
      </c>
      <c r="BY20" s="211">
        <f>Kl</f>
        <v>13155.884997422498</v>
      </c>
      <c r="CL20" s="45" t="b">
        <f>pl&lt;=0</f>
        <v>0</v>
      </c>
    </row>
    <row r="21" spans="2:90" x14ac:dyDescent="0.3">
      <c r="B21" s="262">
        <v>43844</v>
      </c>
      <c r="C21" s="4">
        <v>14</v>
      </c>
      <c r="D21" s="141"/>
      <c r="E21" s="144"/>
      <c r="F21" s="144"/>
      <c r="G21" s="142">
        <f>Tabella34[[#This Row],[Italy rate data]]*NOT(ISBLANK(Tabella34[[#This Row],[Italy rate data]]))</f>
        <v>0</v>
      </c>
      <c r="H21" s="143">
        <f>Tabella8[[#This Row],[Italy fit]]</f>
        <v>0</v>
      </c>
      <c r="I21" s="143">
        <f>(ATANH(alpha*Tabella34[[#This Row],[Italy cumul. Fit]]/Kf-(1-alpha*Tabella34[[#This Row],[Italy cumul. Fit]]/Kf)*TANH(phi_f))+phi_f)/psi_f-(Tabella34[[#This Row],[Day]]-pf)</f>
        <v>54.480394693650979</v>
      </c>
      <c r="J21" s="143">
        <f>Tabella34[[#This Row],[Italy d.t.]]/Italy_dt_at_lockdown</f>
        <v>24.002808456858126</v>
      </c>
      <c r="K21" s="143">
        <f>Tabella34[[#This Row],[Italy cumul. Fit]]/Kf</f>
        <v>0</v>
      </c>
      <c r="L21" s="146">
        <f>Tabella34[[#This Row],[sel. region acc. fit]]+Tabella34[[#This Row],[rest of Italy acc. fit]]</f>
        <v>2.5505810521843801</v>
      </c>
      <c r="M21" s="143">
        <f>Tabella34[[#This Row],[Italy (fit of selected region + fitted sum of the other regions)]]/(y_l_peak+y_a_peak)</f>
        <v>8.0544244367558864E-4</v>
      </c>
      <c r="N21" s="143">
        <f>Tabella3[[#This Row],[Italy remov. rate fit]]</f>
        <v>51.447429306065565</v>
      </c>
      <c r="O21" s="143" t="e">
        <f>Kt*EXP(-0.5*Tabella34[[#This Row],[x_t]]^2)/(psi_t*SQRTPI(2)*(Tabella34[[#This Row],[Day]]-D_bk))</f>
        <v>#NUM!</v>
      </c>
      <c r="P21" s="183" t="e">
        <f>Tabella34[[#This Row],[Italy velocity]]/Tabella34[[#This Row],[Italy cumul. Fit]]</f>
        <v>#DIV/0!</v>
      </c>
      <c r="Q21" s="244" t="e">
        <f>(LN(Tabella34[[#This Row],[Day]]-D_bk)-phi_t)/psi_t</f>
        <v>#NUM!</v>
      </c>
      <c r="R21" s="244">
        <f>EXP(phi_t+psi_t*Tabella34[[#This Row],[x_t_alpha©+plus]])-(Tabella34[[#This Row],[Day]]-D_bk)</f>
        <v>58.903294447385029</v>
      </c>
      <c r="S21" s="244">
        <f>EXP(phi_t+psi_t*Tabella34[[#This Row],[x_t_alpha©-minus]])-(Tabella34[[#This Row],[Day]]-D_bk)</f>
        <v>57.988931726237361</v>
      </c>
      <c r="T21" s="244">
        <f>-psi_t+SQRT(psi_t^2-2*Tabella34[[#This Row],[c_t]])</f>
        <v>4.5591123725134075</v>
      </c>
      <c r="U21" s="244">
        <f>-psi_t-SQRT(psi_t^2-2*Tabella34[[#This Row],[c_t]])</f>
        <v>-4.6096310472107795</v>
      </c>
      <c r="V21" s="244">
        <f>phi_t-LN(alpha*Kt/(Tabella34[[#This Row],[Italy velocity]]*psi_t*SQRTPI(2)))</f>
        <v>-10.507912970030299</v>
      </c>
      <c r="W21" s="244" t="e">
        <f>Tabella34[[#This Row],[Italy g.r.]]/Italy_gr_at_lockdown</f>
        <v>#DIV/0!</v>
      </c>
      <c r="X21" s="244">
        <f>(ACOSH(SQRT(alpha*Kf*psi_f/(Tabella34[[#This Row],[Italy velocity]]*(1+TANH(phi_f)))))+phi_f)/psi_f-(Tabella34[[#This Row],[Day]]-pf)</f>
        <v>231.36696750836177</v>
      </c>
      <c r="Y21" s="244">
        <f>Tabella34[[#This Row],[Italy h.t.]]/Italy_ht_at_lockdown</f>
        <v>1.9482281125123881</v>
      </c>
      <c r="Z21" s="72">
        <f>-2*$BY$48*TANH($BY$48*(Tabella34[[#This Row],[Day]]-$BY$57)-$BY$47)*Tabella34[[#This Row],[Italy velocity]]</f>
        <v>2.577804900622072</v>
      </c>
      <c r="AA21" s="72">
        <f>Tabella34[[#This Row],[Italy acc. fit]]/Itali_acc_at_lockdown</f>
        <v>7.3650877281169577E-2</v>
      </c>
      <c r="AB21" s="143">
        <f>Tabella34[[#This Row],[Italy acc. fit]]/y_f_peak</f>
        <v>8.1602202781160405E-4</v>
      </c>
      <c r="AC21" s="143">
        <f>Tabella34[[#This Row],[Italy (fit of selected region + fitted sum of the other regions)]]*NOT(ISBLANK(Tabella34[[#This Row],[Italy rate data]]))</f>
        <v>0</v>
      </c>
      <c r="AD21" s="143">
        <f>Tabella34[[#This Row],[Italy acc. fit]]*NOT(ISBLANK(Tabella34[[#This Row],[Italy rate data]]))</f>
        <v>0</v>
      </c>
      <c r="AE21" s="77">
        <f>Tabella34[[#This Row],[Italy acc. fit]]+CIf</f>
        <v>1657.7877738243735</v>
      </c>
      <c r="AF21" s="77">
        <f>MAX(Tabella34[[#This Row],[Italy acc. fit]]-CIf,0)</f>
        <v>0</v>
      </c>
      <c r="AG21" s="141"/>
      <c r="AH21" s="33"/>
      <c r="AI21" s="33"/>
      <c r="AJ21" s="142">
        <f>Tabella34[[#This Row],[selected region rate data]]*NOT(ISBLANK(Tabella34[[#This Row],[selected region rate data]]))</f>
        <v>0</v>
      </c>
      <c r="AK21" s="147">
        <f>Tabella8[[#This Row],[region fit]]</f>
        <v>0</v>
      </c>
      <c r="AL21" s="143">
        <f>(ATANH(alpha*Tabella34[[#This Row],[sel. region cumul. fit]]/Kl-(1-alpha*Tabella34[[#This Row],[sel. region cumul. fit]]/Kl)*TANH(phi_l))+phi_l)/psi_l-(Tabella34[[#This Row],[Day]]-pl)</f>
        <v>62.356483051343162</v>
      </c>
      <c r="AM21" s="142">
        <f>Tabella34[[#This Row],[sel. region cumul. fit]]/Kl</f>
        <v>0</v>
      </c>
      <c r="AN21" s="143">
        <f>Tabella3[[#This Row],[region fit]]</f>
        <v>5.2138950890985516</v>
      </c>
      <c r="AO21" s="183" t="e">
        <f>Tabella34[[#This Row],[sel. region velocity]]/Tabella34[[#This Row],[sel. region cumul. fit]]</f>
        <v>#DIV/0!</v>
      </c>
      <c r="AP21" s="236" t="e">
        <f>(LN(Tabella34[[#This Row],[Day]]-pr)-phi_r)/psi_r</f>
        <v>#NUM!</v>
      </c>
      <c r="AQ21" s="244">
        <f>EXP(phi_r+psi_r*Tabella34[[#This Row],[x_r_alpha©+plus]])-(Tabella34[[#This Row],[Day]]-pr)</f>
        <v>65.643377146036499</v>
      </c>
      <c r="AR21" s="244">
        <f>EXP(phi_r+psi_r*Tabella34[[#This Row],[x_r_alpha©-minus]])-(Tabella34[[#This Row],[Day]]-pr)</f>
        <v>65.091333075317905</v>
      </c>
      <c r="AS21" s="244">
        <f>-psi_r+SQRT(psi_r^2-2*Tabella34[[#This Row],[c_r]])</f>
        <v>4.5436574267636756</v>
      </c>
      <c r="AT21" s="244">
        <f>-psi_r-SQRT(psi_r^2-2*Tabella34[[#This Row],[c_r]])</f>
        <v>-4.583945436430013</v>
      </c>
      <c r="AU21" s="244">
        <f>phi_r-LN(alpha*Kr/(Tabella34[[#This Row],[sel. region velocity]]*psi_r*SQRTPI(2)))</f>
        <v>-10.413938863057343</v>
      </c>
      <c r="AV21" s="244">
        <f>(ACOSH(SQRT(alpha*Kl*psi_l/(Tabella34[[#This Row],[sel. region velocity]]*(1+TANH(phi_l)))))+phi_l)/psi_l-(Tabella34[[#This Row],[Day]]-pl)</f>
        <v>251.19832038402936</v>
      </c>
      <c r="AW21" s="72">
        <f>-2*$BY$22*TANH($BY$22*(Tabella34[[#This Row],[Day]]-$BY$31)-$BY$21)*Tabella34[[#This Row],[sel. region velocity]]</f>
        <v>0.20630464352401381</v>
      </c>
      <c r="AX21" s="143">
        <f>Tabella34[[#This Row],[sel. region acc. fit]]/y_l_peak</f>
        <v>1.4011948656365897E-3</v>
      </c>
      <c r="AY21" s="143">
        <f>Tabella34[[#This Row],[sel. region acc. fit]]*NOT(ISBLANK(Tabella34[[#This Row],[selected region rate data]]))</f>
        <v>0</v>
      </c>
      <c r="AZ21" s="77">
        <f>Tabella34[[#This Row],[sel. region acc. fit]]+CIl</f>
        <v>69.571291018624407</v>
      </c>
      <c r="BA21" s="77">
        <f>MAX(Tabella34[[#This Row],[sel. region acc. fit]]-CIl,0)</f>
        <v>0</v>
      </c>
      <c r="BB21" s="141"/>
      <c r="BC21" s="33"/>
      <c r="BD21" s="33"/>
      <c r="BE21" s="142">
        <f>Tabella34[[#This Row],[rest of Italy rate data]]*NOT(ISBLANK(Tabella34[[#This Row],[rest of Italy rate data]]))</f>
        <v>0</v>
      </c>
      <c r="BF21" s="188">
        <f>Tabella8[[#This Row],[rest of Italy fit]]</f>
        <v>0</v>
      </c>
      <c r="BG21" s="78">
        <f>(ATANH(alpha*Tabella34[[#This Row],[rest of Italy cumul. fit]]/Ka-(1-alpha*Tabella34[[#This Row],[rest of Italy cumul. fit]]/Ka)*TANH(phi_a))+phi_a)/psi_a-(Tabella34[[#This Row],[Day]]-pa)</f>
        <v>53.882529907638357</v>
      </c>
      <c r="BH21" s="143">
        <f>Tabella34[[#This Row],[rest of Italy cumul. fit]]/Ka</f>
        <v>0</v>
      </c>
      <c r="BI21" s="143">
        <f>Tabella3[[#This Row],[rest of Italy fit]]</f>
        <v>46.037886154557853</v>
      </c>
      <c r="BJ21" s="183" t="e">
        <f>Tabella34[[#This Row],[rest of Italy velocity]]/Tabella34[[#This Row],[rest of Italy cumul. fit]]</f>
        <v>#DIV/0!</v>
      </c>
      <c r="BK21" s="236" t="e">
        <f>(LN(Tabella34[[#This Row],[Day]]-po)-phi_o)/psi_o</f>
        <v>#NUM!</v>
      </c>
      <c r="BL21" s="244">
        <f>EXP(phi_o+psi_o*Tabella34[[#This Row],[x_o_alpha©+plus]])-(Tabella34[[#This Row],[Day]]-po)</f>
        <v>58.43456195409928</v>
      </c>
      <c r="BM21" s="244">
        <f>EXP(phi_o+psi_o*Tabella34[[#This Row],[x_o_alpha©-minus]])-(Tabella34[[#This Row],[Day]]-po)</f>
        <v>57.479931399437014</v>
      </c>
      <c r="BN21" s="244">
        <f>-psi_o+SQRT(psi_o^2-2*Tabella34[[#This Row],[c_o]])</f>
        <v>4.5611080376634758</v>
      </c>
      <c r="BO21" s="244">
        <f>-psi_o-SQRT(psi_o^2-2*Tabella34[[#This Row],[c_o]])</f>
        <v>-4.6124213219311292</v>
      </c>
      <c r="BP21" s="244">
        <f>phi_o-LN(alpha*Ko/(Tabella34[[#This Row],[rest of Italy velocity]]*psi_o*SQRTPI(2)))</f>
        <v>-10.518875982275235</v>
      </c>
      <c r="BQ21" s="244">
        <f>(ACOSH(SQRT(alpha*Ka*psi_a/(Tabella34[[#This Row],[rest of Italy velocity]]*(1+TANH(phi_a)))))+phi_a)/psi_a-(Tabella34[[#This Row],[Day]]-pa)</f>
        <v>230.36871204850553</v>
      </c>
      <c r="BR21" s="72">
        <f>-2*$BY$35*TANH($BY$35*(Tabella34[[#This Row],[Day]]-$BY$44)-$BY$34)*Tabella34[[#This Row],[rest of Italy velocity]]</f>
        <v>2.3442764086603662</v>
      </c>
      <c r="BS21" s="143">
        <f>Tabella34[[#This Row],[rest of Italy acc. fit]]/y_a_peak</f>
        <v>7.7639227418747187E-4</v>
      </c>
      <c r="BT21" s="142">
        <f>Tabella34[[#This Row],[rest of Italy acc. fit]]*NOT(ISBLANK(Tabella34[[#This Row],[rest of Italy rate data]]))</f>
        <v>0</v>
      </c>
      <c r="BU21" s="77">
        <f>Tabella34[[#This Row],[rest of Italy acc. fit]]+CIa</f>
        <v>1636.4782163624618</v>
      </c>
      <c r="BV21" s="77">
        <f>MAX(Tabella34[[#This Row],[rest of Italy acc. fit]]-CIa,0)</f>
        <v>0</v>
      </c>
      <c r="BW21" s="1"/>
      <c r="BX21" s="212" t="s">
        <v>4713</v>
      </c>
      <c r="BY21" s="212">
        <f>phi_l</f>
        <v>1.098415617555788</v>
      </c>
      <c r="CL21" s="45" t="b">
        <f>psi_l&gt;=0.000001</f>
        <v>1</v>
      </c>
    </row>
    <row r="22" spans="2:90" x14ac:dyDescent="0.3">
      <c r="B22" s="262">
        <v>43845</v>
      </c>
      <c r="C22" s="4">
        <v>15</v>
      </c>
      <c r="D22" s="141"/>
      <c r="E22" s="144"/>
      <c r="F22" s="144"/>
      <c r="G22" s="142">
        <f>Tabella34[[#This Row],[Italy rate data]]*NOT(ISBLANK(Tabella34[[#This Row],[Italy rate data]]))</f>
        <v>0</v>
      </c>
      <c r="H22" s="143">
        <f>Tabella8[[#This Row],[Italy fit]]</f>
        <v>0</v>
      </c>
      <c r="I22" s="143">
        <f>(ATANH(alpha*Tabella34[[#This Row],[Italy cumul. Fit]]/Kf-(1-alpha*Tabella34[[#This Row],[Italy cumul. Fit]]/Kf)*TANH(phi_f))+phi_f)/psi_f-(Tabella34[[#This Row],[Day]]-pf)</f>
        <v>53.480394693650979</v>
      </c>
      <c r="J22" s="143">
        <f>Tabella34[[#This Row],[Italy d.t.]]/Italy_dt_at_lockdown</f>
        <v>23.562231464128384</v>
      </c>
      <c r="K22" s="143">
        <f>Tabella34[[#This Row],[Italy cumul. Fit]]/Kf</f>
        <v>0</v>
      </c>
      <c r="L22" s="146">
        <f>Tabella34[[#This Row],[sel. region acc. fit]]+Tabella34[[#This Row],[rest of Italy acc. fit]]</f>
        <v>2.6801863558354322</v>
      </c>
      <c r="M22" s="143">
        <f>Tabella34[[#This Row],[Italy (fit of selected region + fitted sum of the other regions)]]/(y_l_peak+y_a_peak)</f>
        <v>8.4637022066060864E-4</v>
      </c>
      <c r="N22" s="143">
        <f>Tabella3[[#This Row],[Italy remov. rate fit]]</f>
        <v>54.090336163924704</v>
      </c>
      <c r="O22" s="143" t="e">
        <f>Kt*EXP(-0.5*Tabella34[[#This Row],[x_t]]^2)/(psi_t*SQRTPI(2)*(Tabella34[[#This Row],[Day]]-D_bk))</f>
        <v>#NUM!</v>
      </c>
      <c r="P22" s="183" t="e">
        <f>Tabella34[[#This Row],[Italy velocity]]/Tabella34[[#This Row],[Italy cumul. Fit]]</f>
        <v>#DIV/0!</v>
      </c>
      <c r="Q22" s="244" t="e">
        <f>(LN(Tabella34[[#This Row],[Day]]-D_bk)-phi_t)/psi_t</f>
        <v>#NUM!</v>
      </c>
      <c r="R22" s="244">
        <f>EXP(phi_t+psi_t*Tabella34[[#This Row],[x_t_alpha©+plus]])-(Tabella34[[#This Row],[Day]]-D_bk)</f>
        <v>57.902072359303858</v>
      </c>
      <c r="S22" s="244">
        <f>EXP(phi_t+psi_t*Tabella34[[#This Row],[x_t_alpha©-minus]])-(Tabella34[[#This Row],[Day]]-D_bk)</f>
        <v>56.989901435387168</v>
      </c>
      <c r="T22" s="244">
        <f>-psi_t+SQRT(psi_t^2-2*Tabella34[[#This Row],[c_t]])</f>
        <v>4.5481719658334905</v>
      </c>
      <c r="U22" s="244">
        <f>-psi_t-SQRT(psi_t^2-2*Tabella34[[#This Row],[c_t]])</f>
        <v>-4.5986906405308625</v>
      </c>
      <c r="V22" s="244">
        <f>phi_t-LN(alpha*Kt/(Tabella34[[#This Row],[Italy velocity]]*psi_t*SQRTPI(2)))</f>
        <v>-10.457817925401663</v>
      </c>
      <c r="W22" s="244" t="e">
        <f>Tabella34[[#This Row],[Italy g.r.]]/Italy_gr_at_lockdown</f>
        <v>#DIV/0!</v>
      </c>
      <c r="X22" s="244">
        <f>(ACOSH(SQRT(alpha*Kf*psi_f/(Tabella34[[#This Row],[Italy velocity]]*(1+TANH(phi_f)))))+phi_f)/psi_f-(Tabella34[[#This Row],[Day]]-pf)</f>
        <v>229.37118680082102</v>
      </c>
      <c r="Y22" s="244">
        <f>Tabella34[[#This Row],[Italy h.t.]]/Italy_ht_at_lockdown</f>
        <v>1.9314226189593804</v>
      </c>
      <c r="Z22" s="72">
        <f>-2*$BY$48*TANH($BY$48*(Tabella34[[#This Row],[Day]]-$BY$57)-$BY$47)*Tabella34[[#This Row],[Italy velocity]]</f>
        <v>2.7090766195329548</v>
      </c>
      <c r="AA22" s="72">
        <f>Tabella34[[#This Row],[Italy acc. fit]]/Itali_acc_at_lockdown</f>
        <v>7.7401462617422326E-2</v>
      </c>
      <c r="AB22" s="143">
        <f>Tabella34[[#This Row],[Italy acc. fit]]/y_f_peak</f>
        <v>8.5757700128307325E-4</v>
      </c>
      <c r="AC22" s="143">
        <f>Tabella34[[#This Row],[Italy (fit of selected region + fitted sum of the other regions)]]*NOT(ISBLANK(Tabella34[[#This Row],[Italy rate data]]))</f>
        <v>0</v>
      </c>
      <c r="AD22" s="143">
        <f>Tabella34[[#This Row],[Italy acc. fit]]*NOT(ISBLANK(Tabella34[[#This Row],[Italy rate data]]))</f>
        <v>0</v>
      </c>
      <c r="AE22" s="77">
        <f>Tabella34[[#This Row],[Italy acc. fit]]+CIf</f>
        <v>1657.9190455432843</v>
      </c>
      <c r="AF22" s="77">
        <f>MAX(Tabella34[[#This Row],[Italy acc. fit]]-CIf,0)</f>
        <v>0</v>
      </c>
      <c r="AG22" s="141"/>
      <c r="AH22" s="33"/>
      <c r="AI22" s="33"/>
      <c r="AJ22" s="142">
        <f>Tabella34[[#This Row],[selected region rate data]]*NOT(ISBLANK(Tabella34[[#This Row],[selected region rate data]]))</f>
        <v>0</v>
      </c>
      <c r="AK22" s="147">
        <f>Tabella8[[#This Row],[region fit]]</f>
        <v>0</v>
      </c>
      <c r="AL22" s="143">
        <f>(ATANH(alpha*Tabella34[[#This Row],[sel. region cumul. fit]]/Kl-(1-alpha*Tabella34[[#This Row],[sel. region cumul. fit]]/Kl)*TANH(phi_l))+phi_l)/psi_l-(Tabella34[[#This Row],[Day]]-pl)</f>
        <v>61.356483051343162</v>
      </c>
      <c r="AM22" s="142">
        <f>Tabella34[[#This Row],[sel. region cumul. fit]]/Kl</f>
        <v>0</v>
      </c>
      <c r="AN22" s="143">
        <f>Tabella3[[#This Row],[region fit]]</f>
        <v>5.4242566755114066</v>
      </c>
      <c r="AO22" s="183" t="e">
        <f>Tabella34[[#This Row],[sel. region velocity]]/Tabella34[[#This Row],[sel. region cumul. fit]]</f>
        <v>#DIV/0!</v>
      </c>
      <c r="AP22" s="236" t="e">
        <f>(LN(Tabella34[[#This Row],[Day]]-pr)-phi_r)/psi_r</f>
        <v>#NUM!</v>
      </c>
      <c r="AQ22" s="244">
        <f>EXP(phi_r+psi_r*Tabella34[[#This Row],[x_r_alpha©+plus]])-(Tabella34[[#This Row],[Day]]-pr)</f>
        <v>64.642802809204952</v>
      </c>
      <c r="AR22" s="244">
        <f>EXP(phi_r+psi_r*Tabella34[[#This Row],[x_r_alpha©-minus]])-(Tabella34[[#This Row],[Day]]-pr)</f>
        <v>64.091811034011286</v>
      </c>
      <c r="AS22" s="244">
        <f>-psi_r+SQRT(psi_r^2-2*Tabella34[[#This Row],[c_r]])</f>
        <v>4.5349823548039403</v>
      </c>
      <c r="AT22" s="244">
        <f>-psi_r-SQRT(psi_r^2-2*Tabella34[[#This Row],[c_r]])</f>
        <v>-4.5752703644702777</v>
      </c>
      <c r="AU22" s="244">
        <f>phi_r-LN(alpha*Kr/(Tabella34[[#This Row],[sel. region velocity]]*psi_r*SQRTPI(2)))</f>
        <v>-10.374385185665052</v>
      </c>
      <c r="AV22" s="244">
        <f>(ACOSH(SQRT(alpha*Kl*psi_l/(Tabella34[[#This Row],[sel. region velocity]]*(1+TANH(phi_l)))))+phi_l)/psi_l-(Tabella34[[#This Row],[Day]]-pl)</f>
        <v>249.20755965920347</v>
      </c>
      <c r="AW22" s="72">
        <f>-2*$BY$22*TANH($BY$22*(Tabella34[[#This Row],[Day]]-$BY$31)-$BY$21)*Tabella34[[#This Row],[sel. region velocity]]</f>
        <v>0.21446926813234524</v>
      </c>
      <c r="AX22" s="143">
        <f>Tabella34[[#This Row],[sel. region acc. fit]]/y_l_peak</f>
        <v>1.4566479562002663E-3</v>
      </c>
      <c r="AY22" s="143">
        <f>Tabella34[[#This Row],[sel. region acc. fit]]*NOT(ISBLANK(Tabella34[[#This Row],[selected region rate data]]))</f>
        <v>0</v>
      </c>
      <c r="AZ22" s="77">
        <f>Tabella34[[#This Row],[sel. region acc. fit]]+CIl</f>
        <v>69.579455643232748</v>
      </c>
      <c r="BA22" s="77">
        <f>MAX(Tabella34[[#This Row],[sel. region acc. fit]]-CIl,0)</f>
        <v>0</v>
      </c>
      <c r="BB22" s="141"/>
      <c r="BC22" s="33"/>
      <c r="BD22" s="33"/>
      <c r="BE22" s="142">
        <f>Tabella34[[#This Row],[rest of Italy rate data]]*NOT(ISBLANK(Tabella34[[#This Row],[rest of Italy rate data]]))</f>
        <v>0</v>
      </c>
      <c r="BF22" s="188">
        <f>Tabella8[[#This Row],[rest of Italy fit]]</f>
        <v>0</v>
      </c>
      <c r="BG22" s="78">
        <f>(ATANH(alpha*Tabella34[[#This Row],[rest of Italy cumul. fit]]/Ka-(1-alpha*Tabella34[[#This Row],[rest of Italy cumul. fit]]/Ka)*TANH(phi_a))+phi_a)/psi_a-(Tabella34[[#This Row],[Day]]-pa)</f>
        <v>52.882529907638357</v>
      </c>
      <c r="BH22" s="143">
        <f>Tabella34[[#This Row],[rest of Italy cumul. fit]]/Ka</f>
        <v>0</v>
      </c>
      <c r="BI22" s="143">
        <f>Tabella3[[#This Row],[rest of Italy fit]]</f>
        <v>48.442380087097625</v>
      </c>
      <c r="BJ22" s="183" t="e">
        <f>Tabella34[[#This Row],[rest of Italy velocity]]/Tabella34[[#This Row],[rest of Italy cumul. fit]]</f>
        <v>#DIV/0!</v>
      </c>
      <c r="BK22" s="236" t="e">
        <f>(LN(Tabella34[[#This Row],[Day]]-po)-phi_o)/psi_o</f>
        <v>#NUM!</v>
      </c>
      <c r="BL22" s="244">
        <f>EXP(phi_o+psi_o*Tabella34[[#This Row],[x_o_alpha©+plus]])-(Tabella34[[#This Row],[Day]]-po)</f>
        <v>57.433264268324521</v>
      </c>
      <c r="BM22" s="244">
        <f>EXP(phi_o+psi_o*Tabella34[[#This Row],[x_o_alpha©-minus]])-(Tabella34[[#This Row],[Day]]-po)</f>
        <v>56.480957233153504</v>
      </c>
      <c r="BN22" s="244">
        <f>-psi_o+SQRT(psi_o^2-2*Tabella34[[#This Row],[c_o]])</f>
        <v>4.5499951652607402</v>
      </c>
      <c r="BO22" s="244">
        <f>-psi_o-SQRT(psi_o^2-2*Tabella34[[#This Row],[c_o]])</f>
        <v>-4.6013084495283936</v>
      </c>
      <c r="BP22" s="244">
        <f>phi_o-LN(alpha*Ko/(Tabella34[[#This Row],[rest of Italy velocity]]*psi_o*SQRTPI(2)))</f>
        <v>-10.467965599613793</v>
      </c>
      <c r="BQ22" s="244">
        <f>(ACOSH(SQRT(alpha*Ka*psi_a/(Tabella34[[#This Row],[rest of Italy velocity]]*(1+TANH(phi_a)))))+phi_a)/psi_a-(Tabella34[[#This Row],[Day]]-pa)</f>
        <v>228.37266116315794</v>
      </c>
      <c r="BR22" s="72">
        <f>-2*$BY$35*TANH($BY$35*(Tabella34[[#This Row],[Day]]-$BY$44)-$BY$34)*Tabella34[[#This Row],[rest of Italy velocity]]</f>
        <v>2.4657170877030867</v>
      </c>
      <c r="BS22" s="143">
        <f>Tabella34[[#This Row],[rest of Italy acc. fit]]/y_a_peak</f>
        <v>8.1661176564015768E-4</v>
      </c>
      <c r="BT22" s="142">
        <f>Tabella34[[#This Row],[rest of Italy acc. fit]]*NOT(ISBLANK(Tabella34[[#This Row],[rest of Italy rate data]]))</f>
        <v>0</v>
      </c>
      <c r="BU22" s="77">
        <f>Tabella34[[#This Row],[rest of Italy acc. fit]]+CIa</f>
        <v>1636.5996570415045</v>
      </c>
      <c r="BV22" s="77">
        <f>MAX(Tabella34[[#This Row],[rest of Italy acc. fit]]-CIa,0)</f>
        <v>0</v>
      </c>
      <c r="BW22" s="1"/>
      <c r="BX22" s="212" t="s">
        <v>4714</v>
      </c>
      <c r="BY22" s="212">
        <f>psi_l</f>
        <v>2.014400483316901E-2</v>
      </c>
      <c r="CL22" s="45">
        <f>{32767;32767;0.000001;0.01;FALSE;FALSE;FALSE;1;2;1;0.0001;TRUE}</f>
        <v>32767</v>
      </c>
    </row>
    <row r="23" spans="2:90" x14ac:dyDescent="0.3">
      <c r="B23" s="262">
        <v>43846</v>
      </c>
      <c r="C23" s="4">
        <v>16</v>
      </c>
      <c r="D23" s="141"/>
      <c r="E23" s="144"/>
      <c r="F23" s="144"/>
      <c r="G23" s="142">
        <f>Tabella34[[#This Row],[Italy rate data]]*NOT(ISBLANK(Tabella34[[#This Row],[Italy rate data]]))</f>
        <v>0</v>
      </c>
      <c r="H23" s="143">
        <f>Tabella8[[#This Row],[Italy fit]]</f>
        <v>0</v>
      </c>
      <c r="I23" s="143">
        <f>(ATANH(alpha*Tabella34[[#This Row],[Italy cumul. Fit]]/Kf-(1-alpha*Tabella34[[#This Row],[Italy cumul. Fit]]/Kf)*TANH(phi_f))+phi_f)/psi_f-(Tabella34[[#This Row],[Day]]-pf)</f>
        <v>52.480394693650979</v>
      </c>
      <c r="J23" s="143">
        <f>Tabella34[[#This Row],[Italy d.t.]]/Italy_dt_at_lockdown</f>
        <v>23.121654471398642</v>
      </c>
      <c r="K23" s="143">
        <f>Tabella34[[#This Row],[Italy cumul. Fit]]/Kf</f>
        <v>0</v>
      </c>
      <c r="L23" s="146">
        <f>Tabella34[[#This Row],[sel. region acc. fit]]+Tabella34[[#This Row],[rest of Italy acc. fit]]</f>
        <v>2.8162822924074957</v>
      </c>
      <c r="M23" s="143">
        <f>Tabella34[[#This Row],[Italy (fit of selected region + fitted sum of the other regions)]]/(y_l_peak+y_a_peak)</f>
        <v>8.8934766050046072E-4</v>
      </c>
      <c r="N23" s="143">
        <f>Tabella3[[#This Row],[Italy remov. rate fit]]</f>
        <v>56.867769025054066</v>
      </c>
      <c r="O23" s="143" t="e">
        <f>Kt*EXP(-0.5*Tabella34[[#This Row],[x_t]]^2)/(psi_t*SQRTPI(2)*(Tabella34[[#This Row],[Day]]-D_bk))</f>
        <v>#NUM!</v>
      </c>
      <c r="P23" s="183" t="e">
        <f>Tabella34[[#This Row],[Italy velocity]]/Tabella34[[#This Row],[Italy cumul. Fit]]</f>
        <v>#DIV/0!</v>
      </c>
      <c r="Q23" s="244" t="e">
        <f>(LN(Tabella34[[#This Row],[Day]]-D_bk)-phi_t)/psi_t</f>
        <v>#NUM!</v>
      </c>
      <c r="R23" s="244">
        <f>EXP(phi_t+psi_t*Tabella34[[#This Row],[x_t_alpha©+plus]])-(Tabella34[[#This Row],[Day]]-D_bk)</f>
        <v>56.900848214497003</v>
      </c>
      <c r="S23" s="244">
        <f>EXP(phi_t+psi_t*Tabella34[[#This Row],[x_t_alpha©-minus]])-(Tabella34[[#This Row],[Day]]-D_bk)</f>
        <v>55.990873314048997</v>
      </c>
      <c r="T23" s="244">
        <f>-psi_t+SQRT(psi_t^2-2*Tabella34[[#This Row],[c_t]])</f>
        <v>4.537210115055279</v>
      </c>
      <c r="U23" s="244">
        <f>-psi_t-SQRT(psi_t^2-2*Tabella34[[#This Row],[c_t]])</f>
        <v>-4.5877287897526511</v>
      </c>
      <c r="V23" s="244">
        <f>phi_t-LN(alpha*Kt/(Tabella34[[#This Row],[Italy velocity]]*psi_t*SQRTPI(2)))</f>
        <v>-10.407744734998021</v>
      </c>
      <c r="W23" s="244" t="e">
        <f>Tabella34[[#This Row],[Italy g.r.]]/Italy_gr_at_lockdown</f>
        <v>#DIV/0!</v>
      </c>
      <c r="X23" s="244">
        <f>(ACOSH(SQRT(alpha*Kf*psi_f/(Tabella34[[#This Row],[Italy velocity]]*(1+TANH(phi_f)))))+phi_f)/psi_f-(Tabella34[[#This Row],[Day]]-pf)</f>
        <v>227.37562520127864</v>
      </c>
      <c r="Y23" s="244">
        <f>Tabella34[[#This Row],[Italy h.t.]]/Italy_ht_at_lockdown</f>
        <v>1.9146189704076995</v>
      </c>
      <c r="Z23" s="72">
        <f>-2*$BY$48*TANH($BY$48*(Tabella34[[#This Row],[Day]]-$BY$57)-$BY$47)*Tabella34[[#This Row],[Italy velocity]]</f>
        <v>2.8469082192017856</v>
      </c>
      <c r="AA23" s="72">
        <f>Tabella34[[#This Row],[Italy acc. fit]]/Itali_acc_at_lockdown</f>
        <v>8.1339471358978607E-2</v>
      </c>
      <c r="AB23" s="143">
        <f>Tabella34[[#This Row],[Italy acc. fit]]/y_f_peak</f>
        <v>9.0120855052527329E-4</v>
      </c>
      <c r="AC23" s="143">
        <f>Tabella34[[#This Row],[Italy (fit of selected region + fitted sum of the other regions)]]*NOT(ISBLANK(Tabella34[[#This Row],[Italy rate data]]))</f>
        <v>0</v>
      </c>
      <c r="AD23" s="143">
        <f>Tabella34[[#This Row],[Italy acc. fit]]*NOT(ISBLANK(Tabella34[[#This Row],[Italy rate data]]))</f>
        <v>0</v>
      </c>
      <c r="AE23" s="77">
        <f>Tabella34[[#This Row],[Italy acc. fit]]+CIf</f>
        <v>1658.0568771429532</v>
      </c>
      <c r="AF23" s="77">
        <f>MAX(Tabella34[[#This Row],[Italy acc. fit]]-CIf,0)</f>
        <v>0</v>
      </c>
      <c r="AG23" s="141"/>
      <c r="AH23" s="33"/>
      <c r="AI23" s="33"/>
      <c r="AJ23" s="142">
        <f>Tabella34[[#This Row],[selected region rate data]]*NOT(ISBLANK(Tabella34[[#This Row],[selected region rate data]]))</f>
        <v>0</v>
      </c>
      <c r="AK23" s="147">
        <f>Tabella8[[#This Row],[region fit]]</f>
        <v>0</v>
      </c>
      <c r="AL23" s="143">
        <f>(ATANH(alpha*Tabella34[[#This Row],[sel. region cumul. fit]]/Kl-(1-alpha*Tabella34[[#This Row],[sel. region cumul. fit]]/Kl)*TANH(phi_l))+phi_l)/psi_l-(Tabella34[[#This Row],[Day]]-pl)</f>
        <v>60.356483051343162</v>
      </c>
      <c r="AM23" s="142">
        <f>Tabella34[[#This Row],[sel. region cumul. fit]]/Kl</f>
        <v>0</v>
      </c>
      <c r="AN23" s="143">
        <f>Tabella3[[#This Row],[region fit]]</f>
        <v>5.6429368419048105</v>
      </c>
      <c r="AO23" s="183" t="e">
        <f>Tabella34[[#This Row],[sel. region velocity]]/Tabella34[[#This Row],[sel. region cumul. fit]]</f>
        <v>#DIV/0!</v>
      </c>
      <c r="AP23" s="236" t="e">
        <f>(LN(Tabella34[[#This Row],[Day]]-pr)-phi_r)/psi_r</f>
        <v>#NUM!</v>
      </c>
      <c r="AQ23" s="244">
        <f>EXP(phi_r+psi_r*Tabella34[[#This Row],[x_r_alpha©+plus]])-(Tabella34[[#This Row],[Day]]-pr)</f>
        <v>63.64222791245183</v>
      </c>
      <c r="AR23" s="244">
        <f>EXP(phi_r+psi_r*Tabella34[[#This Row],[x_r_alpha©-minus]])-(Tabella34[[#This Row],[Day]]-pr)</f>
        <v>63.092289626002589</v>
      </c>
      <c r="AS23" s="244">
        <f>-psi_r+SQRT(psi_r^2-2*Tabella34[[#This Row],[c_r]])</f>
        <v>4.5262973070494041</v>
      </c>
      <c r="AT23" s="244">
        <f>-psi_r-SQRT(psi_r^2-2*Tabella34[[#This Row],[c_r]])</f>
        <v>-4.5665853167157415</v>
      </c>
      <c r="AU23" s="244">
        <f>phi_r-LN(alpha*Kr/(Tabella34[[#This Row],[sel. region velocity]]*psi_r*SQRTPI(2)))</f>
        <v>-10.334861410730905</v>
      </c>
      <c r="AV23" s="244">
        <f>(ACOSH(SQRT(alpha*Kl*psi_l/(Tabella34[[#This Row],[sel. region velocity]]*(1+TANH(phi_l)))))+phi_l)/psi_l-(Tabella34[[#This Row],[Day]]-pl)</f>
        <v>247.21718054252628</v>
      </c>
      <c r="AW23" s="72">
        <f>-2*$BY$22*TANH($BY$22*(Tabella34[[#This Row],[Day]]-$BY$31)-$BY$21)*Tabella34[[#This Row],[sel. region velocity]]</f>
        <v>0.22294355136538768</v>
      </c>
      <c r="AX23" s="143">
        <f>Tabella34[[#This Row],[sel. region acc. fit]]/y_l_peak</f>
        <v>1.5142042087075308E-3</v>
      </c>
      <c r="AY23" s="143">
        <f>Tabella34[[#This Row],[sel. region acc. fit]]*NOT(ISBLANK(Tabella34[[#This Row],[selected region rate data]]))</f>
        <v>0</v>
      </c>
      <c r="AZ23" s="77">
        <f>Tabella34[[#This Row],[sel. region acc. fit]]+CIl</f>
        <v>69.58792992646579</v>
      </c>
      <c r="BA23" s="77">
        <f>MAX(Tabella34[[#This Row],[sel. region acc. fit]]-CIl,0)</f>
        <v>0</v>
      </c>
      <c r="BB23" s="141"/>
      <c r="BC23" s="33"/>
      <c r="BD23" s="33"/>
      <c r="BE23" s="142">
        <f>Tabella34[[#This Row],[rest of Italy rate data]]*NOT(ISBLANK(Tabella34[[#This Row],[rest of Italy rate data]]))</f>
        <v>0</v>
      </c>
      <c r="BF23" s="188">
        <f>Tabella8[[#This Row],[rest of Italy fit]]</f>
        <v>0</v>
      </c>
      <c r="BG23" s="78">
        <f>(ATANH(alpha*Tabella34[[#This Row],[rest of Italy cumul. fit]]/Ka-(1-alpha*Tabella34[[#This Row],[rest of Italy cumul. fit]]/Ka)*TANH(phi_a))+phi_a)/psi_a-(Tabella34[[#This Row],[Day]]-pa)</f>
        <v>51.882529907638357</v>
      </c>
      <c r="BH23" s="143">
        <f>Tabella34[[#This Row],[rest of Italy cumul. fit]]/Ka</f>
        <v>0</v>
      </c>
      <c r="BI23" s="143">
        <f>Tabella3[[#This Row],[rest of Italy fit]]</f>
        <v>50.971380509396006</v>
      </c>
      <c r="BJ23" s="183" t="e">
        <f>Tabella34[[#This Row],[rest of Italy velocity]]/Tabella34[[#This Row],[rest of Italy cumul. fit]]</f>
        <v>#DIV/0!</v>
      </c>
      <c r="BK23" s="236" t="e">
        <f>(LN(Tabella34[[#This Row],[Day]]-po)-phi_o)/psi_o</f>
        <v>#NUM!</v>
      </c>
      <c r="BL23" s="244">
        <f>EXP(phi_o+psi_o*Tabella34[[#This Row],[x_o_alpha©+plus]])-(Tabella34[[#This Row],[Day]]-po)</f>
        <v>56.431964334711211</v>
      </c>
      <c r="BM23" s="244">
        <f>EXP(phi_o+psi_o*Tabella34[[#This Row],[x_o_alpha©-minus]])-(Tabella34[[#This Row],[Day]]-po)</f>
        <v>55.481985430550459</v>
      </c>
      <c r="BN23" s="244">
        <f>-psi_o+SQRT(psi_o^2-2*Tabella34[[#This Row],[c_o]])</f>
        <v>4.5388598656140378</v>
      </c>
      <c r="BO23" s="244">
        <f>-psi_o-SQRT(psi_o^2-2*Tabella34[[#This Row],[c_o]])</f>
        <v>-4.5901731498816911</v>
      </c>
      <c r="BP23" s="244">
        <f>phi_o-LN(alpha*Ko/(Tabella34[[#This Row],[rest of Italy velocity]]*psi_o*SQRTPI(2)))</f>
        <v>-10.417076343108587</v>
      </c>
      <c r="BQ23" s="244">
        <f>(ACOSH(SQRT(alpha*Ka*psi_a/(Tabella34[[#This Row],[rest of Italy velocity]]*(1+TANH(phi_a)))))+phi_a)/psi_a-(Tabella34[[#This Row],[Day]]-pa)</f>
        <v>226.37681863613932</v>
      </c>
      <c r="BR23" s="72">
        <f>-2*$BY$35*TANH($BY$35*(Tabella34[[#This Row],[Day]]-$BY$44)-$BY$34)*Tabella34[[#This Row],[rest of Italy velocity]]</f>
        <v>2.5933387410421083</v>
      </c>
      <c r="BS23" s="143">
        <f>Tabella34[[#This Row],[rest of Italy acc. fit]]/y_a_peak</f>
        <v>8.588783112170378E-4</v>
      </c>
      <c r="BT23" s="142">
        <f>Tabella34[[#This Row],[rest of Italy acc. fit]]*NOT(ISBLANK(Tabella34[[#This Row],[rest of Italy rate data]]))</f>
        <v>0</v>
      </c>
      <c r="BU23" s="77">
        <f>Tabella34[[#This Row],[rest of Italy acc. fit]]+CIa</f>
        <v>1636.7272786948436</v>
      </c>
      <c r="BV23" s="77">
        <f>MAX(Tabella34[[#This Row],[rest of Italy acc. fit]]-CIa,0)</f>
        <v>0</v>
      </c>
      <c r="BW23" s="1"/>
      <c r="BX23" s="213" t="s">
        <v>1</v>
      </c>
      <c r="BY23" s="214">
        <f>AVERAGE(Tabella34[selected region rate data])</f>
        <v>92.851485148514854</v>
      </c>
      <c r="CL23" s="45">
        <f>{0;0;1;200;0;FALSE;FALSE;0.075;0;0;FALSE;30}</f>
        <v>0</v>
      </c>
    </row>
    <row r="24" spans="2:90" x14ac:dyDescent="0.3">
      <c r="B24" s="262">
        <v>43847</v>
      </c>
      <c r="C24" s="4">
        <v>17</v>
      </c>
      <c r="D24" s="141"/>
      <c r="E24" s="144"/>
      <c r="F24" s="144"/>
      <c r="G24" s="142">
        <f>Tabella34[[#This Row],[Italy rate data]]*NOT(ISBLANK(Tabella34[[#This Row],[Italy rate data]]))</f>
        <v>0</v>
      </c>
      <c r="H24" s="143">
        <f>Tabella8[[#This Row],[Italy fit]]</f>
        <v>0</v>
      </c>
      <c r="I24" s="143">
        <f>(ATANH(alpha*Tabella34[[#This Row],[Italy cumul. Fit]]/Kf-(1-alpha*Tabella34[[#This Row],[Italy cumul. Fit]]/Kf)*TANH(phi_f))+phi_f)/psi_f-(Tabella34[[#This Row],[Day]]-pf)</f>
        <v>51.480394693650979</v>
      </c>
      <c r="J24" s="143">
        <f>Tabella34[[#This Row],[Italy d.t.]]/Italy_dt_at_lockdown</f>
        <v>22.681077478668904</v>
      </c>
      <c r="K24" s="143">
        <f>Tabella34[[#This Row],[Italy cumul. Fit]]/Kf</f>
        <v>0</v>
      </c>
      <c r="L24" s="146">
        <f>Tabella34[[#This Row],[sel. region acc. fit]]+Tabella34[[#This Row],[rest of Italy acc. fit]]</f>
        <v>2.9591822258903671</v>
      </c>
      <c r="M24" s="143">
        <f>Tabella34[[#This Row],[Italy (fit of selected region + fitted sum of the other regions)]]/(y_l_peak+y_a_peak)</f>
        <v>9.3447371972800431E-4</v>
      </c>
      <c r="N24" s="143">
        <f>Tabella3[[#This Row],[Italy remov. rate fit]]</f>
        <v>59.786443933352579</v>
      </c>
      <c r="O24" s="143" t="e">
        <f>Kt*EXP(-0.5*Tabella34[[#This Row],[x_t]]^2)/(psi_t*SQRTPI(2)*(Tabella34[[#This Row],[Day]]-D_bk))</f>
        <v>#NUM!</v>
      </c>
      <c r="P24" s="183" t="e">
        <f>Tabella34[[#This Row],[Italy velocity]]/Tabella34[[#This Row],[Italy cumul. Fit]]</f>
        <v>#DIV/0!</v>
      </c>
      <c r="Q24" s="244" t="e">
        <f>(LN(Tabella34[[#This Row],[Day]]-D_bk)-phi_t)/psi_t</f>
        <v>#NUM!</v>
      </c>
      <c r="R24" s="244">
        <f>EXP(phi_t+psi_t*Tabella34[[#This Row],[x_t_alpha©+plus]])-(Tabella34[[#This Row],[Day]]-D_bk)</f>
        <v>55.899622025086025</v>
      </c>
      <c r="S24" s="244">
        <f>EXP(phi_t+psi_t*Tabella34[[#This Row],[x_t_alpha©-minus]])-(Tabella34[[#This Row],[Day]]-D_bk)</f>
        <v>54.991847355751077</v>
      </c>
      <c r="T24" s="244">
        <f>-psi_t+SQRT(psi_t^2-2*Tabella34[[#This Row],[c_t]])</f>
        <v>4.5262269117893341</v>
      </c>
      <c r="U24" s="244">
        <f>-psi_t-SQRT(psi_t^2-2*Tabella34[[#This Row],[c_t]])</f>
        <v>-4.5767455864867062</v>
      </c>
      <c r="V24" s="244">
        <f>phi_t-LN(alpha*Kt/(Tabella34[[#This Row],[Italy velocity]]*psi_t*SQRTPI(2)))</f>
        <v>-10.357694520984595</v>
      </c>
      <c r="W24" s="244" t="e">
        <f>Tabella34[[#This Row],[Italy g.r.]]/Italy_gr_at_lockdown</f>
        <v>#DIV/0!</v>
      </c>
      <c r="X24" s="244">
        <f>(ACOSH(SQRT(alpha*Kf*psi_f/(Tabella34[[#This Row],[Italy velocity]]*(1+TANH(phi_f)))))+phi_f)/psi_f-(Tabella34[[#This Row],[Day]]-pf)</f>
        <v>225.38029411383093</v>
      </c>
      <c r="Y24" s="244">
        <f>Tabella34[[#This Row],[Italy h.t.]]/Italy_ht_at_lockdown</f>
        <v>1.8978172628856651</v>
      </c>
      <c r="Z24" s="72">
        <f>-2*$BY$48*TANH($BY$48*(Tabella34[[#This Row],[Day]]-$BY$57)-$BY$47)*Tabella34[[#This Row],[Italy velocity]]</f>
        <v>2.9916142676447186</v>
      </c>
      <c r="AA24" s="72">
        <f>Tabella34[[#This Row],[Italy acc. fit]]/Itali_acc_at_lockdown</f>
        <v>8.5473891079082931E-2</v>
      </c>
      <c r="AB24" s="143">
        <f>Tabella34[[#This Row],[Italy acc. fit]]/y_f_peak</f>
        <v>9.4701625422639922E-4</v>
      </c>
      <c r="AC24" s="143">
        <f>Tabella34[[#This Row],[Italy (fit of selected region + fitted sum of the other regions)]]*NOT(ISBLANK(Tabella34[[#This Row],[Italy rate data]]))</f>
        <v>0</v>
      </c>
      <c r="AD24" s="143">
        <f>Tabella34[[#This Row],[Italy acc. fit]]*NOT(ISBLANK(Tabella34[[#This Row],[Italy rate data]]))</f>
        <v>0</v>
      </c>
      <c r="AE24" s="77">
        <f>Tabella34[[#This Row],[Italy acc. fit]]+CIf</f>
        <v>1658.2015831913961</v>
      </c>
      <c r="AF24" s="77">
        <f>MAX(Tabella34[[#This Row],[Italy acc. fit]]-CIf,0)</f>
        <v>0</v>
      </c>
      <c r="AG24" s="141"/>
      <c r="AH24" s="33"/>
      <c r="AI24" s="33"/>
      <c r="AJ24" s="142">
        <f>Tabella34[[#This Row],[selected region rate data]]*NOT(ISBLANK(Tabella34[[#This Row],[selected region rate data]]))</f>
        <v>0</v>
      </c>
      <c r="AK24" s="147">
        <f>Tabella8[[#This Row],[region fit]]</f>
        <v>0</v>
      </c>
      <c r="AL24" s="143">
        <f>(ATANH(alpha*Tabella34[[#This Row],[sel. region cumul. fit]]/Kl-(1-alpha*Tabella34[[#This Row],[sel. region cumul. fit]]/Kl)*TANH(phi_l))+phi_l)/psi_l-(Tabella34[[#This Row],[Day]]-pl)</f>
        <v>59.356483051343162</v>
      </c>
      <c r="AM24" s="142">
        <f>Tabella34[[#This Row],[sel. region cumul. fit]]/Kl</f>
        <v>0</v>
      </c>
      <c r="AN24" s="143">
        <f>Tabella3[[#This Row],[region fit]]</f>
        <v>5.870250535506556</v>
      </c>
      <c r="AO24" s="183" t="e">
        <f>Tabella34[[#This Row],[sel. region velocity]]/Tabella34[[#This Row],[sel. region cumul. fit]]</f>
        <v>#DIV/0!</v>
      </c>
      <c r="AP24" s="236" t="e">
        <f>(LN(Tabella34[[#This Row],[Day]]-pr)-phi_r)/psi_r</f>
        <v>#NUM!</v>
      </c>
      <c r="AQ24" s="244">
        <f>EXP(phi_r+psi_r*Tabella34[[#This Row],[x_r_alpha©+plus]])-(Tabella34[[#This Row],[Day]]-pr)</f>
        <v>62.641652469896222</v>
      </c>
      <c r="AR24" s="244">
        <f>EXP(phi_r+psi_r*Tabella34[[#This Row],[x_r_alpha©-minus]])-(Tabella34[[#This Row],[Day]]-pr)</f>
        <v>62.092768840108889</v>
      </c>
      <c r="AS24" s="244">
        <f>-psi_r+SQRT(psi_r^2-2*Tabella34[[#This Row],[c_r]])</f>
        <v>4.5176024918842117</v>
      </c>
      <c r="AT24" s="244">
        <f>-psi_r-SQRT(psi_r^2-2*Tabella34[[#This Row],[c_r]])</f>
        <v>-4.5578905015505491</v>
      </c>
      <c r="AU24" s="244">
        <f>phi_r-LN(alpha*Kr/(Tabella34[[#This Row],[sel. region velocity]]*psi_r*SQRTPI(2)))</f>
        <v>-10.295368743770069</v>
      </c>
      <c r="AV24" s="244">
        <f>(ACOSH(SQRT(alpha*Kl*psi_l/(Tabella34[[#This Row],[sel. region velocity]]*(1+TANH(phi_l)))))+phi_l)/psi_l-(Tabella34[[#This Row],[Day]]-pl)</f>
        <v>245.22719886962486</v>
      </c>
      <c r="AW24" s="72">
        <f>-2*$BY$22*TANH($BY$22*(Tabella34[[#This Row],[Day]]-$BY$31)-$BY$21)*Tabella34[[#This Row],[sel. region velocity]]</f>
        <v>0.23173811536009425</v>
      </c>
      <c r="AX24" s="143">
        <f>Tabella34[[#This Row],[sel. region acc. fit]]/y_l_peak</f>
        <v>1.5739357673598248E-3</v>
      </c>
      <c r="AY24" s="143">
        <f>Tabella34[[#This Row],[sel. region acc. fit]]*NOT(ISBLANK(Tabella34[[#This Row],[selected region rate data]]))</f>
        <v>0</v>
      </c>
      <c r="AZ24" s="77">
        <f>Tabella34[[#This Row],[sel. region acc. fit]]+CIl</f>
        <v>69.596724490460488</v>
      </c>
      <c r="BA24" s="77">
        <f>MAX(Tabella34[[#This Row],[sel. region acc. fit]]-CIl,0)</f>
        <v>0</v>
      </c>
      <c r="BB24" s="141"/>
      <c r="BC24" s="33"/>
      <c r="BD24" s="33"/>
      <c r="BE24" s="142">
        <f>Tabella34[[#This Row],[rest of Italy rate data]]*NOT(ISBLANK(Tabella34[[#This Row],[rest of Italy rate data]]))</f>
        <v>0</v>
      </c>
      <c r="BF24" s="188">
        <f>Tabella8[[#This Row],[rest of Italy fit]]</f>
        <v>0</v>
      </c>
      <c r="BG24" s="78">
        <f>(ATANH(alpha*Tabella34[[#This Row],[rest of Italy cumul. fit]]/Ka-(1-alpha*Tabella34[[#This Row],[rest of Italy cumul. fit]]/Ka)*TANH(phi_a))+phi_a)/psi_a-(Tabella34[[#This Row],[Day]]-pa)</f>
        <v>50.882529907638357</v>
      </c>
      <c r="BH24" s="143">
        <f>Tabella34[[#This Row],[rest of Italy cumul. fit]]/Ka</f>
        <v>0</v>
      </c>
      <c r="BI24" s="143">
        <f>Tabella3[[#This Row],[rest of Italy fit]]</f>
        <v>53.631218657429542</v>
      </c>
      <c r="BJ24" s="183" t="e">
        <f>Tabella34[[#This Row],[rest of Italy velocity]]/Tabella34[[#This Row],[rest of Italy cumul. fit]]</f>
        <v>#DIV/0!</v>
      </c>
      <c r="BK24" s="236" t="e">
        <f>(LN(Tabella34[[#This Row],[Day]]-po)-phi_o)/psi_o</f>
        <v>#NUM!</v>
      </c>
      <c r="BL24" s="244">
        <f>EXP(phi_o+psi_o*Tabella34[[#This Row],[x_o_alpha©+plus]])-(Tabella34[[#This Row],[Day]]-po)</f>
        <v>55.430662164461822</v>
      </c>
      <c r="BM24" s="244">
        <f>EXP(phi_o+psi_o*Tabella34[[#This Row],[x_o_alpha©-minus]])-(Tabella34[[#This Row],[Day]]-po)</f>
        <v>54.483015986310768</v>
      </c>
      <c r="BN24" s="244">
        <f>-psi_o+SQRT(psi_o^2-2*Tabella34[[#This Row],[c_o]])</f>
        <v>4.5277022164047871</v>
      </c>
      <c r="BO24" s="244">
        <f>-psi_o-SQRT(psi_o^2-2*Tabella34[[#This Row],[c_o]])</f>
        <v>-4.5790155006724405</v>
      </c>
      <c r="BP24" s="244">
        <f>phi_o-LN(alpha*Ko/(Tabella34[[#This Row],[rest of Italy velocity]]*psi_o*SQRTPI(2)))</f>
        <v>-10.366209315673244</v>
      </c>
      <c r="BQ24" s="244">
        <f>(ACOSH(SQRT(alpha*Ka*psi_a/(Tabella34[[#This Row],[rest of Italy velocity]]*(1+TANH(phi_a)))))+phi_a)/psi_a-(Tabella34[[#This Row],[Day]]-pa)</f>
        <v>224.38119548401551</v>
      </c>
      <c r="BR24" s="72">
        <f>-2*$BY$35*TANH($BY$35*(Tabella34[[#This Row],[Day]]-$BY$44)-$BY$34)*Tabella34[[#This Row],[rest of Italy velocity]]</f>
        <v>2.7274441105302727</v>
      </c>
      <c r="BS24" s="143">
        <f>Tabella34[[#This Row],[rest of Italy acc. fit]]/y_a_peak</f>
        <v>9.0329217487792137E-4</v>
      </c>
      <c r="BT24" s="142">
        <f>Tabella34[[#This Row],[rest of Italy acc. fit]]*NOT(ISBLANK(Tabella34[[#This Row],[rest of Italy rate data]]))</f>
        <v>0</v>
      </c>
      <c r="BU24" s="77">
        <f>Tabella34[[#This Row],[rest of Italy acc. fit]]+CIa</f>
        <v>1636.8613840643318</v>
      </c>
      <c r="BV24" s="77">
        <f>MAX(Tabella34[[#This Row],[rest of Italy acc. fit]]-CIa,0)</f>
        <v>0</v>
      </c>
      <c r="BW24" s="1"/>
      <c r="BX24" s="213" t="s">
        <v>2</v>
      </c>
      <c r="BY24" s="215">
        <f>COUNT(Tabella34[selected region rate data])-COUNT(BY20:BY22)</f>
        <v>98</v>
      </c>
      <c r="CL24" s="45"/>
    </row>
    <row r="25" spans="2:90" x14ac:dyDescent="0.3">
      <c r="B25" s="262">
        <v>43848</v>
      </c>
      <c r="C25" s="4">
        <v>18</v>
      </c>
      <c r="D25" s="141"/>
      <c r="E25" s="144"/>
      <c r="F25" s="144"/>
      <c r="G25" s="142">
        <f>Tabella34[[#This Row],[Italy rate data]]*NOT(ISBLANK(Tabella34[[#This Row],[Italy rate data]]))</f>
        <v>0</v>
      </c>
      <c r="H25" s="143">
        <f>Tabella8[[#This Row],[Italy fit]]</f>
        <v>0</v>
      </c>
      <c r="I25" s="143">
        <f>(ATANH(alpha*Tabella34[[#This Row],[Italy cumul. Fit]]/Kf-(1-alpha*Tabella34[[#This Row],[Italy cumul. Fit]]/Kf)*TANH(phi_f))+phi_f)/psi_f-(Tabella34[[#This Row],[Day]]-pf)</f>
        <v>50.480394693650979</v>
      </c>
      <c r="J25" s="143">
        <f>Tabella34[[#This Row],[Italy d.t.]]/Italy_dt_at_lockdown</f>
        <v>22.240500485939162</v>
      </c>
      <c r="K25" s="143">
        <f>Tabella34[[#This Row],[Italy cumul. Fit]]/Kf</f>
        <v>0</v>
      </c>
      <c r="L25" s="146">
        <f>Tabella34[[#This Row],[sel. region acc. fit]]+Tabella34[[#This Row],[rest of Italy acc. fit]]</f>
        <v>3.1092133315343706</v>
      </c>
      <c r="M25" s="143">
        <f>Tabella34[[#This Row],[Italy (fit of selected region + fitted sum of the other regions)]]/(y_l_peak+y_a_peak)</f>
        <v>9.8185171630402581E-4</v>
      </c>
      <c r="N25" s="143">
        <f>Tabella3[[#This Row],[Italy remov. rate fit]]</f>
        <v>62.853398299434701</v>
      </c>
      <c r="O25" s="143" t="e">
        <f>Kt*EXP(-0.5*Tabella34[[#This Row],[x_t]]^2)/(psi_t*SQRTPI(2)*(Tabella34[[#This Row],[Day]]-D_bk))</f>
        <v>#NUM!</v>
      </c>
      <c r="P25" s="183" t="e">
        <f>Tabella34[[#This Row],[Italy velocity]]/Tabella34[[#This Row],[Italy cumul. Fit]]</f>
        <v>#DIV/0!</v>
      </c>
      <c r="Q25" s="244" t="e">
        <f>(LN(Tabella34[[#This Row],[Day]]-D_bk)-phi_t)/psi_t</f>
        <v>#NUM!</v>
      </c>
      <c r="R25" s="244">
        <f>EXP(phi_t+psi_t*Tabella34[[#This Row],[x_t_alpha©+plus]])-(Tabella34[[#This Row],[Day]]-D_bk)</f>
        <v>54.898393804651683</v>
      </c>
      <c r="S25" s="244">
        <f>EXP(phi_t+psi_t*Tabella34[[#This Row],[x_t_alpha©-minus]])-(Tabella34[[#This Row],[Day]]-D_bk)</f>
        <v>53.992823552849686</v>
      </c>
      <c r="T25" s="244">
        <f>-psi_t+SQRT(psi_t^2-2*Tabella34[[#This Row],[c_t]])</f>
        <v>4.5152224607986309</v>
      </c>
      <c r="U25" s="244">
        <f>-psi_t-SQRT(psi_t^2-2*Tabella34[[#This Row],[c_t]])</f>
        <v>-4.5657411354960029</v>
      </c>
      <c r="V25" s="244">
        <f>phi_t-LN(alpha*Kt/(Tabella34[[#This Row],[Italy velocity]]*psi_t*SQRTPI(2)))</f>
        <v>-10.307668462591897</v>
      </c>
      <c r="W25" s="244" t="e">
        <f>Tabella34[[#This Row],[Italy g.r.]]/Italy_gr_at_lockdown</f>
        <v>#DIV/0!</v>
      </c>
      <c r="X25" s="244">
        <f>(ACOSH(SQRT(alpha*Kf*psi_f/(Tabella34[[#This Row],[Italy velocity]]*(1+TANH(phi_f)))))+phi_f)/psi_f-(Tabella34[[#This Row],[Day]]-pf)</f>
        <v>223.38520553884337</v>
      </c>
      <c r="Y25" s="244">
        <f>Tabella34[[#This Row],[Italy h.t.]]/Italy_ht_at_lockdown</f>
        <v>1.8810175974424874</v>
      </c>
      <c r="Z25" s="72">
        <f>-2*$BY$48*TANH($BY$48*(Tabella34[[#This Row],[Day]]-$BY$57)-$BY$47)*Tabella34[[#This Row],[Italy velocity]]</f>
        <v>3.1435230037185957</v>
      </c>
      <c r="AA25" s="72">
        <f>Tabella34[[#This Row],[Italy acc. fit]]/Itali_acc_at_lockdown</f>
        <v>8.981409994276178E-2</v>
      </c>
      <c r="AB25" s="143">
        <f>Tabella34[[#This Row],[Italy acc. fit]]/y_f_peak</f>
        <v>9.9510401867412336E-4</v>
      </c>
      <c r="AC25" s="143">
        <f>Tabella34[[#This Row],[Italy (fit of selected region + fitted sum of the other regions)]]*NOT(ISBLANK(Tabella34[[#This Row],[Italy rate data]]))</f>
        <v>0</v>
      </c>
      <c r="AD25" s="143">
        <f>Tabella34[[#This Row],[Italy acc. fit]]*NOT(ISBLANK(Tabella34[[#This Row],[Italy rate data]]))</f>
        <v>0</v>
      </c>
      <c r="AE25" s="77">
        <f>Tabella34[[#This Row],[Italy acc. fit]]+CIf</f>
        <v>1658.35349192747</v>
      </c>
      <c r="AF25" s="77">
        <f>MAX(Tabella34[[#This Row],[Italy acc. fit]]-CIf,0)</f>
        <v>0</v>
      </c>
      <c r="AG25" s="141"/>
      <c r="AH25" s="33"/>
      <c r="AI25" s="33"/>
      <c r="AJ25" s="142">
        <f>Tabella34[[#This Row],[selected region rate data]]*NOT(ISBLANK(Tabella34[[#This Row],[selected region rate data]]))</f>
        <v>0</v>
      </c>
      <c r="AK25" s="147">
        <f>Tabella8[[#This Row],[region fit]]</f>
        <v>0</v>
      </c>
      <c r="AL25" s="143">
        <f>(ATANH(alpha*Tabella34[[#This Row],[sel. region cumul. fit]]/Kl-(1-alpha*Tabella34[[#This Row],[sel. region cumul. fit]]/Kl)*TANH(phi_l))+phi_l)/psi_l-(Tabella34[[#This Row],[Day]]-pl)</f>
        <v>58.356483051343162</v>
      </c>
      <c r="AM25" s="142">
        <f>Tabella34[[#This Row],[sel. region cumul. fit]]/Kl</f>
        <v>0</v>
      </c>
      <c r="AN25" s="143">
        <f>Tabella3[[#This Row],[region fit]]</f>
        <v>6.1065234602711111</v>
      </c>
      <c r="AO25" s="183" t="e">
        <f>Tabella34[[#This Row],[sel. region velocity]]/Tabella34[[#This Row],[sel. region cumul. fit]]</f>
        <v>#DIV/0!</v>
      </c>
      <c r="AP25" s="236" t="e">
        <f>(LN(Tabella34[[#This Row],[Day]]-pr)-phi_r)/psi_r</f>
        <v>#NUM!</v>
      </c>
      <c r="AQ25" s="244">
        <f>EXP(phi_r+psi_r*Tabella34[[#This Row],[x_r_alpha©+plus]])-(Tabella34[[#This Row],[Day]]-pr)</f>
        <v>61.641076496444789</v>
      </c>
      <c r="AR25" s="244">
        <f>EXP(phi_r+psi_r*Tabella34[[#This Row],[x_r_alpha©-minus]])-(Tabella34[[#This Row],[Day]]-pr)</f>
        <v>61.093248664475652</v>
      </c>
      <c r="AS25" s="244">
        <f>-psi_r+SQRT(psi_r^2-2*Tabella34[[#This Row],[c_r]])</f>
        <v>4.5088981297370587</v>
      </c>
      <c r="AT25" s="244">
        <f>-psi_r-SQRT(psi_r^2-2*Tabella34[[#This Row],[c_r]])</f>
        <v>-4.5491861394033961</v>
      </c>
      <c r="AU25" s="244">
        <f>phi_r-LN(alpha*Kr/(Tabella34[[#This Row],[sel. region velocity]]*psi_r*SQRTPI(2)))</f>
        <v>-10.255908437890859</v>
      </c>
      <c r="AV25" s="244">
        <f>(ACOSH(SQRT(alpha*Kl*psi_l/(Tabella34[[#This Row],[sel. region velocity]]*(1+TANH(phi_l)))))+phi_l)/psi_l-(Tabella34[[#This Row],[Day]]-pl)</f>
        <v>243.23763113931426</v>
      </c>
      <c r="AW25" s="72">
        <f>-2*$BY$22*TANH($BY$22*(Tabella34[[#This Row],[Day]]-$BY$31)-$BY$21)*Tabella34[[#This Row],[sel. region velocity]]</f>
        <v>0.24086385119935805</v>
      </c>
      <c r="AX25" s="143">
        <f>Tabella34[[#This Row],[sel. region acc. fit]]/y_l_peak</f>
        <v>1.6359166030051643E-3</v>
      </c>
      <c r="AY25" s="143">
        <f>Tabella34[[#This Row],[sel. region acc. fit]]*NOT(ISBLANK(Tabella34[[#This Row],[selected region rate data]]))</f>
        <v>0</v>
      </c>
      <c r="AZ25" s="77">
        <f>Tabella34[[#This Row],[sel. region acc. fit]]+CIl</f>
        <v>69.605850226299765</v>
      </c>
      <c r="BA25" s="77">
        <f>MAX(Tabella34[[#This Row],[sel. region acc. fit]]-CIl,0)</f>
        <v>0</v>
      </c>
      <c r="BB25" s="141"/>
      <c r="BC25" s="33"/>
      <c r="BD25" s="33"/>
      <c r="BE25" s="142">
        <f>Tabella34[[#This Row],[rest of Italy rate data]]*NOT(ISBLANK(Tabella34[[#This Row],[rest of Italy rate data]]))</f>
        <v>0</v>
      </c>
      <c r="BF25" s="188">
        <f>Tabella8[[#This Row],[rest of Italy fit]]</f>
        <v>0</v>
      </c>
      <c r="BG25" s="78">
        <f>(ATANH(alpha*Tabella34[[#This Row],[rest of Italy cumul. fit]]/Ka-(1-alpha*Tabella34[[#This Row],[rest of Italy cumul. fit]]/Ka)*TANH(phi_a))+phi_a)/psi_a-(Tabella34[[#This Row],[Day]]-pa)</f>
        <v>49.882529907638357</v>
      </c>
      <c r="BH25" s="143">
        <f>Tabella34[[#This Row],[rest of Italy cumul. fit]]/Ka</f>
        <v>0</v>
      </c>
      <c r="BI25" s="143">
        <f>Tabella3[[#This Row],[rest of Italy fit]]</f>
        <v>56.428535241612309</v>
      </c>
      <c r="BJ25" s="183" t="e">
        <f>Tabella34[[#This Row],[rest of Italy velocity]]/Tabella34[[#This Row],[rest of Italy cumul. fit]]</f>
        <v>#DIV/0!</v>
      </c>
      <c r="BK25" s="236" t="e">
        <f>(LN(Tabella34[[#This Row],[Day]]-po)-phi_o)/psi_o</f>
        <v>#NUM!</v>
      </c>
      <c r="BL25" s="244">
        <f>EXP(phi_o+psi_o*Tabella34[[#This Row],[x_o_alpha©+plus]])-(Tabella34[[#This Row],[Day]]-po)</f>
        <v>54.429357770287638</v>
      </c>
      <c r="BM25" s="244">
        <f>EXP(phi_o+psi_o*Tabella34[[#This Row],[x_o_alpha©-minus]])-(Tabella34[[#This Row],[Day]]-po)</f>
        <v>53.48404889391297</v>
      </c>
      <c r="BN25" s="244">
        <f>-psi_o+SQRT(psi_o^2-2*Tabella34[[#This Row],[c_o]])</f>
        <v>4.5165223083089483</v>
      </c>
      <c r="BO25" s="244">
        <f>-psi_o-SQRT(psi_o^2-2*Tabella34[[#This Row],[c_o]])</f>
        <v>-4.5678355925766017</v>
      </c>
      <c r="BP25" s="244">
        <f>phi_o-LN(alpha*Ko/(Tabella34[[#This Row],[rest of Italy velocity]]*psi_o*SQRTPI(2)))</f>
        <v>-10.315365677279921</v>
      </c>
      <c r="BQ25" s="244">
        <f>(ACOSH(SQRT(alpha*Ka*psi_a/(Tabella34[[#This Row],[rest of Italy velocity]]*(1+TANH(phi_a)))))+phi_a)/psi_a-(Tabella34[[#This Row],[Day]]-pa)</f>
        <v>222.38580330833577</v>
      </c>
      <c r="BR25" s="72">
        <f>-2*$BY$35*TANH($BY$35*(Tabella34[[#This Row],[Day]]-$BY$44)-$BY$34)*Tabella34[[#This Row],[rest of Italy velocity]]</f>
        <v>2.8683494803350125</v>
      </c>
      <c r="BS25" s="143">
        <f>Tabella34[[#This Row],[rest of Italy acc. fit]]/y_a_peak</f>
        <v>9.4995810561193574E-4</v>
      </c>
      <c r="BT25" s="142">
        <f>Tabella34[[#This Row],[rest of Italy acc. fit]]*NOT(ISBLANK(Tabella34[[#This Row],[rest of Italy rate data]]))</f>
        <v>0</v>
      </c>
      <c r="BU25" s="77">
        <f>Tabella34[[#This Row],[rest of Italy acc. fit]]+CIa</f>
        <v>1637.0022894341364</v>
      </c>
      <c r="BV25" s="77">
        <f>MAX(Tabella34[[#This Row],[rest of Italy acc. fit]]-CIa,0)</f>
        <v>0</v>
      </c>
      <c r="BW25" s="1"/>
      <c r="BX25" s="213" t="s">
        <v>3</v>
      </c>
      <c r="BY25" s="214" cm="1">
        <f t="array" ref="BY25">SQRT(SUM((Tabella34[Colonna3]-Tabella34[Colonna32])^2)/dfl)</f>
        <v>113.28453344526244</v>
      </c>
      <c r="CL25" s="45"/>
    </row>
    <row r="26" spans="2:90" ht="16.2" x14ac:dyDescent="0.3">
      <c r="B26" s="262">
        <v>43849</v>
      </c>
      <c r="C26" s="4">
        <v>19</v>
      </c>
      <c r="D26" s="141"/>
      <c r="E26" s="144"/>
      <c r="F26" s="144"/>
      <c r="G26" s="142">
        <f>Tabella34[[#This Row],[Italy rate data]]*NOT(ISBLANK(Tabella34[[#This Row],[Italy rate data]]))</f>
        <v>0</v>
      </c>
      <c r="H26" s="143">
        <f>Tabella8[[#This Row],[Italy fit]]</f>
        <v>0</v>
      </c>
      <c r="I26" s="143">
        <f>(ATANH(alpha*Tabella34[[#This Row],[Italy cumul. Fit]]/Kf-(1-alpha*Tabella34[[#This Row],[Italy cumul. Fit]]/Kf)*TANH(phi_f))+phi_f)/psi_f-(Tabella34[[#This Row],[Day]]-pf)</f>
        <v>49.480394693650979</v>
      </c>
      <c r="J26" s="143">
        <f>Tabella34[[#This Row],[Italy d.t.]]/Italy_dt_at_lockdown</f>
        <v>21.79992349320942</v>
      </c>
      <c r="K26" s="143">
        <f>Tabella34[[#This Row],[Italy cumul. Fit]]/Kf</f>
        <v>0</v>
      </c>
      <c r="L26" s="146">
        <f>Tabella34[[#This Row],[sel. region acc. fit]]+Tabella34[[#This Row],[rest of Italy acc. fit]]</f>
        <v>3.2667170570045738</v>
      </c>
      <c r="M26" s="143">
        <f>Tabella34[[#This Row],[Italy (fit of selected region + fitted sum of the other regions)]]/(y_l_peak+y_a_peak)</f>
        <v>1.0315894752441243E-3</v>
      </c>
      <c r="N26" s="143">
        <f>Tabella3[[#This Row],[Italy remov. rate fit]]</f>
        <v>66.076004791404188</v>
      </c>
      <c r="O26" s="143" t="e">
        <f>Kt*EXP(-0.5*Tabella34[[#This Row],[x_t]]^2)/(psi_t*SQRTPI(2)*(Tabella34[[#This Row],[Day]]-D_bk))</f>
        <v>#NUM!</v>
      </c>
      <c r="P26" s="183" t="e">
        <f>Tabella34[[#This Row],[Italy velocity]]/Tabella34[[#This Row],[Italy cumul. Fit]]</f>
        <v>#DIV/0!</v>
      </c>
      <c r="Q26" s="244" t="e">
        <f>(LN(Tabella34[[#This Row],[Day]]-D_bk)-phi_t)/psi_t</f>
        <v>#NUM!</v>
      </c>
      <c r="R26" s="244">
        <f>EXP(phi_t+psi_t*Tabella34[[#This Row],[x_t_alpha©+plus]])-(Tabella34[[#This Row],[Day]]-D_bk)</f>
        <v>53.897163568320209</v>
      </c>
      <c r="S26" s="244">
        <f>EXP(phi_t+psi_t*Tabella34[[#This Row],[x_t_alpha©-minus]])-(Tabella34[[#This Row],[Day]]-D_bk)</f>
        <v>52.993801896457178</v>
      </c>
      <c r="T26" s="244">
        <f>-psi_t+SQRT(psi_t^2-2*Tabella34[[#This Row],[c_t]])</f>
        <v>4.5041968807906629</v>
      </c>
      <c r="U26" s="244">
        <f>-psi_t-SQRT(psi_t^2-2*Tabella34[[#This Row],[c_t]])</f>
        <v>-4.554715555488035</v>
      </c>
      <c r="V26" s="244">
        <f>phi_t-LN(alpha*Kt/(Tabella34[[#This Row],[Italy velocity]]*psi_t*SQRTPI(2)))</f>
        <v>-10.257667798958961</v>
      </c>
      <c r="W26" s="244" t="e">
        <f>Tabella34[[#This Row],[Italy g.r.]]/Italy_gr_at_lockdown</f>
        <v>#DIV/0!</v>
      </c>
      <c r="X26" s="244">
        <f>(ACOSH(SQRT(alpha*Kf*psi_f/(Tabella34[[#This Row],[Italy velocity]]*(1+TANH(phi_f)))))+phi_f)/psi_f-(Tabella34[[#This Row],[Day]]-pf)</f>
        <v>221.39037210440989</v>
      </c>
      <c r="Y26" s="244">
        <f>Tabella34[[#This Row],[Italy h.t.]]/Italy_ht_at_lockdown</f>
        <v>1.8642200804131712</v>
      </c>
      <c r="Z26" s="72">
        <f>-2*$BY$48*TANH($BY$48*(Tabella34[[#This Row],[Day]]-$BY$57)-$BY$47)*Tabella34[[#This Row],[Italy velocity]]</f>
        <v>3.3029767765123337</v>
      </c>
      <c r="AA26" s="72">
        <f>Tabella34[[#This Row],[Italy acc. fit]]/Itali_acc_at_lockdown</f>
        <v>9.4369879260745484E-2</v>
      </c>
      <c r="AB26" s="143">
        <f>Tabella34[[#This Row],[Italy acc. fit]]/y_f_peak</f>
        <v>1.045580216847987E-3</v>
      </c>
      <c r="AC26" s="143">
        <f>Tabella34[[#This Row],[Italy (fit of selected region + fitted sum of the other regions)]]*NOT(ISBLANK(Tabella34[[#This Row],[Italy rate data]]))</f>
        <v>0</v>
      </c>
      <c r="AD26" s="143">
        <f>Tabella34[[#This Row],[Italy acc. fit]]*NOT(ISBLANK(Tabella34[[#This Row],[Italy rate data]]))</f>
        <v>0</v>
      </c>
      <c r="AE26" s="77">
        <f>Tabella34[[#This Row],[Italy acc. fit]]+CIf</f>
        <v>1658.5129457002638</v>
      </c>
      <c r="AF26" s="77">
        <f>MAX(Tabella34[[#This Row],[Italy acc. fit]]-CIf,0)</f>
        <v>0</v>
      </c>
      <c r="AG26" s="141"/>
      <c r="AH26" s="33"/>
      <c r="AI26" s="33"/>
      <c r="AJ26" s="142">
        <f>Tabella34[[#This Row],[selected region rate data]]*NOT(ISBLANK(Tabella34[[#This Row],[selected region rate data]]))</f>
        <v>0</v>
      </c>
      <c r="AK26" s="147">
        <f>Tabella8[[#This Row],[region fit]]</f>
        <v>0</v>
      </c>
      <c r="AL26" s="143">
        <f>(ATANH(alpha*Tabella34[[#This Row],[sel. region cumul. fit]]/Kl-(1-alpha*Tabella34[[#This Row],[sel. region cumul. fit]]/Kl)*TANH(phi_l))+phi_l)/psi_l-(Tabella34[[#This Row],[Day]]-pl)</f>
        <v>57.356483051343162</v>
      </c>
      <c r="AM26" s="142">
        <f>Tabella34[[#This Row],[sel. region cumul. fit]]/Kl</f>
        <v>0</v>
      </c>
      <c r="AN26" s="143">
        <f>Tabella3[[#This Row],[region fit]]</f>
        <v>6.3520923449660831</v>
      </c>
      <c r="AO26" s="183" t="e">
        <f>Tabella34[[#This Row],[sel. region velocity]]/Tabella34[[#This Row],[sel. region cumul. fit]]</f>
        <v>#DIV/0!</v>
      </c>
      <c r="AP26" s="236" t="e">
        <f>(LN(Tabella34[[#This Row],[Day]]-pr)-phi_r)/psi_r</f>
        <v>#NUM!</v>
      </c>
      <c r="AQ26" s="244">
        <f>EXP(phi_r+psi_r*Tabella34[[#This Row],[x_r_alpha©+plus]])-(Tabella34[[#This Row],[Day]]-pr)</f>
        <v>60.640500007825231</v>
      </c>
      <c r="AR26" s="244">
        <f>EXP(phi_r+psi_r*Tabella34[[#This Row],[x_r_alpha©-minus]])-(Tabella34[[#This Row],[Day]]-pr)</f>
        <v>60.09372908654754</v>
      </c>
      <c r="AS26" s="244">
        <f>-psi_r+SQRT(psi_r^2-2*Tabella34[[#This Row],[c_r]])</f>
        <v>4.5001844535989228</v>
      </c>
      <c r="AT26" s="244">
        <f>-psi_r-SQRT(psi_r^2-2*Tabella34[[#This Row],[c_r]])</f>
        <v>-4.5404724632652602</v>
      </c>
      <c r="AU26" s="244">
        <f>phi_r-LN(alpha*Kr/(Tabella34[[#This Row],[sel. region velocity]]*psi_r*SQRTPI(2)))</f>
        <v>-10.216481795590166</v>
      </c>
      <c r="AV26" s="244">
        <f>(ACOSH(SQRT(alpha*Kl*psi_l/(Tabella34[[#This Row],[sel. region velocity]]*(1+TANH(phi_l)))))+phi_l)/psi_l-(Tabella34[[#This Row],[Day]]-pl)</f>
        <v>241.24849454185753</v>
      </c>
      <c r="AW26" s="72">
        <f>-2*$BY$22*TANH($BY$22*(Tabella34[[#This Row],[Day]]-$BY$31)-$BY$21)*Tabella34[[#This Row],[sel. region velocity]]</f>
        <v>0.25033191703085594</v>
      </c>
      <c r="AX26" s="143">
        <f>Tabella34[[#This Row],[sel. region acc. fit]]/y_l_peak</f>
        <v>1.700222500361565E-3</v>
      </c>
      <c r="AY26" s="143">
        <f>Tabella34[[#This Row],[sel. region acc. fit]]*NOT(ISBLANK(Tabella34[[#This Row],[selected region rate data]]))</f>
        <v>0</v>
      </c>
      <c r="AZ26" s="77">
        <f>Tabella34[[#This Row],[sel. region acc. fit]]+CIl</f>
        <v>69.615318292131263</v>
      </c>
      <c r="BA26" s="77">
        <f>MAX(Tabella34[[#This Row],[sel. region acc. fit]]-CIl,0)</f>
        <v>0</v>
      </c>
      <c r="BB26" s="141"/>
      <c r="BC26" s="33"/>
      <c r="BD26" s="33"/>
      <c r="BE26" s="142">
        <f>Tabella34[[#This Row],[rest of Italy rate data]]*NOT(ISBLANK(Tabella34[[#This Row],[rest of Italy rate data]]))</f>
        <v>0</v>
      </c>
      <c r="BF26" s="188">
        <f>Tabella8[[#This Row],[rest of Italy fit]]</f>
        <v>0</v>
      </c>
      <c r="BG26" s="78">
        <f>(ATANH(alpha*Tabella34[[#This Row],[rest of Italy cumul. fit]]/Ka-(1-alpha*Tabella34[[#This Row],[rest of Italy cumul. fit]]/Ka)*TANH(phi_a))+phi_a)/psi_a-(Tabella34[[#This Row],[Day]]-pa)</f>
        <v>48.882529907638357</v>
      </c>
      <c r="BH26" s="143">
        <f>Tabella34[[#This Row],[rest of Italy cumul. fit]]/Ka</f>
        <v>0</v>
      </c>
      <c r="BI26" s="143">
        <f>Tabella3[[#This Row],[rest of Italy fit]]</f>
        <v>59.370294220625624</v>
      </c>
      <c r="BJ26" s="183" t="e">
        <f>Tabella34[[#This Row],[rest of Italy velocity]]/Tabella34[[#This Row],[rest of Italy cumul. fit]]</f>
        <v>#DIV/0!</v>
      </c>
      <c r="BK26" s="236" t="e">
        <f>(LN(Tabella34[[#This Row],[Day]]-po)-phi_o)/psi_o</f>
        <v>#NUM!</v>
      </c>
      <c r="BL26" s="244">
        <f>EXP(phi_o+psi_o*Tabella34[[#This Row],[x_o_alpha©+plus]])-(Tabella34[[#This Row],[Day]]-po)</f>
        <v>53.428051166500168</v>
      </c>
      <c r="BM26" s="244">
        <f>EXP(phi_o+psi_o*Tabella34[[#This Row],[x_o_alpha©-minus]])-(Tabella34[[#This Row],[Day]]-po)</f>
        <v>52.48508414555522</v>
      </c>
      <c r="BN26" s="244">
        <f>-psi_o+SQRT(psi_o^2-2*Tabella34[[#This Row],[c_o]])</f>
        <v>4.5053202458006192</v>
      </c>
      <c r="BO26" s="244">
        <f>-psi_o-SQRT(psi_o^2-2*Tabella34[[#This Row],[c_o]])</f>
        <v>-4.5566335300682725</v>
      </c>
      <c r="BP26" s="244">
        <f>phi_o-LN(alpha*Ko/(Tabella34[[#This Row],[rest of Italy velocity]]*psi_o*SQRTPI(2)))</f>
        <v>-10.264546647855266</v>
      </c>
      <c r="BQ26" s="244">
        <f>(ACOSH(SQRT(alpha*Ka*psi_a/(Tabella34[[#This Row],[rest of Italy velocity]]*(1+TANH(phi_a)))))+phi_a)/psi_a-(Tabella34[[#This Row],[Day]]-pa)</f>
        <v>220.39065432696117</v>
      </c>
      <c r="BR26" s="72">
        <f>-2*$BY$35*TANH($BY$35*(Tabella34[[#This Row],[Day]]-$BY$44)-$BY$34)*Tabella34[[#This Row],[rest of Italy velocity]]</f>
        <v>3.016385139973718</v>
      </c>
      <c r="BS26" s="143">
        <f>Tabella34[[#This Row],[rest of Italy acc. fit]]/y_a_peak</f>
        <v>9.989854907885053E-4</v>
      </c>
      <c r="BT26" s="142">
        <f>Tabella34[[#This Row],[rest of Italy acc. fit]]*NOT(ISBLANK(Tabella34[[#This Row],[rest of Italy rate data]]))</f>
        <v>0</v>
      </c>
      <c r="BU26" s="77">
        <f>Tabella34[[#This Row],[rest of Italy acc. fit]]+CIa</f>
        <v>1637.1503250937751</v>
      </c>
      <c r="BV26" s="77">
        <f>MAX(Tabella34[[#This Row],[rest of Italy acc. fit]]-CIa,0)</f>
        <v>0</v>
      </c>
      <c r="BW26" s="1"/>
      <c r="BX26" s="213" t="s">
        <v>4357</v>
      </c>
      <c r="BY26" s="216" cm="1">
        <f t="array" ref="BY26">1-SUM((Tabella34[Colonna3]-Tabella34[Colonna32])^2)/SUM((Tabella34[Colonna3]-Mean_of_yl)^2)</f>
        <v>-0.19895782502028414</v>
      </c>
      <c r="CL26" s="45"/>
    </row>
    <row r="27" spans="2:90" ht="15" thickBot="1" x14ac:dyDescent="0.35">
      <c r="B27" s="262">
        <v>43850</v>
      </c>
      <c r="C27" s="4">
        <v>20</v>
      </c>
      <c r="D27" s="141"/>
      <c r="E27" s="144"/>
      <c r="F27" s="144"/>
      <c r="G27" s="142">
        <f>Tabella34[[#This Row],[Italy rate data]]*NOT(ISBLANK(Tabella34[[#This Row],[Italy rate data]]))</f>
        <v>0</v>
      </c>
      <c r="H27" s="143">
        <f>Tabella8[[#This Row],[Italy fit]]</f>
        <v>0</v>
      </c>
      <c r="I27" s="143">
        <f>(ATANH(alpha*Tabella34[[#This Row],[Italy cumul. Fit]]/Kf-(1-alpha*Tabella34[[#This Row],[Italy cumul. Fit]]/Kf)*TANH(phi_f))+phi_f)/psi_f-(Tabella34[[#This Row],[Day]]-pf)</f>
        <v>48.480394693650979</v>
      </c>
      <c r="J27" s="143">
        <f>Tabella34[[#This Row],[Italy d.t.]]/Italy_dt_at_lockdown</f>
        <v>21.359346500479678</v>
      </c>
      <c r="K27" s="143">
        <f>Tabella34[[#This Row],[Italy cumul. Fit]]/Kf</f>
        <v>0</v>
      </c>
      <c r="L27" s="146">
        <f>Tabella34[[#This Row],[sel. region acc. fit]]+Tabella34[[#This Row],[rest of Italy acc. fit]]</f>
        <v>3.4320495813632834</v>
      </c>
      <c r="M27" s="143">
        <f>Tabella34[[#This Row],[Italy (fit of selected region + fitted sum of the other regions)]]/(y_l_peak+y_a_peak)</f>
        <v>1.0837994735597967E-3</v>
      </c>
      <c r="N27" s="143">
        <f>Tabella3[[#This Row],[Italy remov. rate fit]]</f>
        <v>69.461985663166402</v>
      </c>
      <c r="O27" s="143" t="e">
        <f>Kt*EXP(-0.5*Tabella34[[#This Row],[x_t]]^2)/(psi_t*SQRTPI(2)*(Tabella34[[#This Row],[Day]]-D_bk))</f>
        <v>#NUM!</v>
      </c>
      <c r="P27" s="183" t="e">
        <f>Tabella34[[#This Row],[Italy velocity]]/Tabella34[[#This Row],[Italy cumul. Fit]]</f>
        <v>#DIV/0!</v>
      </c>
      <c r="Q27" s="244" t="e">
        <f>(LN(Tabella34[[#This Row],[Day]]-D_bk)-phi_t)/psi_t</f>
        <v>#NUM!</v>
      </c>
      <c r="R27" s="244">
        <f>EXP(phi_t+psi_t*Tabella34[[#This Row],[x_t_alpha©+plus]])-(Tabella34[[#This Row],[Day]]-D_bk)</f>
        <v>52.895931332854175</v>
      </c>
      <c r="S27" s="244">
        <f>EXP(phi_t+psi_t*Tabella34[[#This Row],[x_t_alpha©-minus]])-(Tabella34[[#This Row],[Day]]-D_bk)</f>
        <v>51.994782376366118</v>
      </c>
      <c r="T27" s="244">
        <f>-psi_t+SQRT(psi_t^2-2*Tabella34[[#This Row],[c_t]])</f>
        <v>4.493150305252045</v>
      </c>
      <c r="U27" s="244">
        <f>-psi_t-SQRT(psi_t^2-2*Tabella34[[#This Row],[c_t]])</f>
        <v>-4.543668979949417</v>
      </c>
      <c r="V27" s="244">
        <f>phi_t-LN(alpha*Kt/(Tabella34[[#This Row],[Italy velocity]]*psi_t*SQRTPI(2)))</f>
        <v>-10.207693832111985</v>
      </c>
      <c r="W27" s="244" t="e">
        <f>Tabella34[[#This Row],[Italy g.r.]]/Italy_gr_at_lockdown</f>
        <v>#DIV/0!</v>
      </c>
      <c r="X27" s="244">
        <f>(ACOSH(SQRT(alpha*Kf*psi_f/(Tabella34[[#This Row],[Italy velocity]]*(1+TANH(phi_f)))))+phi_f)/psi_f-(Tabella34[[#This Row],[Day]]-pf)</f>
        <v>219.39580709949996</v>
      </c>
      <c r="Y27" s="244">
        <f>Tabella34[[#This Row],[Italy h.t.]]/Italy_ht_at_lockdown</f>
        <v>1.8474248236976314</v>
      </c>
      <c r="Z27" s="72">
        <f>-2*$BY$48*TANH($BY$48*(Tabella34[[#This Row],[Day]]-$BY$57)-$BY$47)*Tabella34[[#This Row],[Italy velocity]]</f>
        <v>3.4703324805928664</v>
      </c>
      <c r="AA27" s="72">
        <f>Tabella34[[#This Row],[Italy acc. fit]]/Itali_acc_at_lockdown</f>
        <v>9.9151425924949813E-2</v>
      </c>
      <c r="AB27" s="143">
        <f>Tabella34[[#This Row],[Italy acc. fit]]/y_f_peak</f>
        <v>1.0985578261995246E-3</v>
      </c>
      <c r="AC27" s="143">
        <f>Tabella34[[#This Row],[Italy (fit of selected region + fitted sum of the other regions)]]*NOT(ISBLANK(Tabella34[[#This Row],[Italy rate data]]))</f>
        <v>0</v>
      </c>
      <c r="AD27" s="143">
        <f>Tabella34[[#This Row],[Italy acc. fit]]*NOT(ISBLANK(Tabella34[[#This Row],[Italy rate data]]))</f>
        <v>0</v>
      </c>
      <c r="AE27" s="77">
        <f>Tabella34[[#This Row],[Italy acc. fit]]+CIf</f>
        <v>1658.6803014043442</v>
      </c>
      <c r="AF27" s="77">
        <f>MAX(Tabella34[[#This Row],[Italy acc. fit]]-CIf,0)</f>
        <v>0</v>
      </c>
      <c r="AG27" s="141"/>
      <c r="AH27" s="33"/>
      <c r="AI27" s="33"/>
      <c r="AJ27" s="142">
        <f>Tabella34[[#This Row],[selected region rate data]]*NOT(ISBLANK(Tabella34[[#This Row],[selected region rate data]]))</f>
        <v>0</v>
      </c>
      <c r="AK27" s="147">
        <f>Tabella8[[#This Row],[region fit]]</f>
        <v>0</v>
      </c>
      <c r="AL27" s="143">
        <f>(ATANH(alpha*Tabella34[[#This Row],[sel. region cumul. fit]]/Kl-(1-alpha*Tabella34[[#This Row],[sel. region cumul. fit]]/Kl)*TANH(phi_l))+phi_l)/psi_l-(Tabella34[[#This Row],[Day]]-pl)</f>
        <v>56.356483051343162</v>
      </c>
      <c r="AM27" s="142">
        <f>Tabella34[[#This Row],[sel. region cumul. fit]]/Kl</f>
        <v>0</v>
      </c>
      <c r="AN27" s="143">
        <f>Tabella3[[#This Row],[region fit]]</f>
        <v>6.6073052088742177</v>
      </c>
      <c r="AO27" s="183" t="e">
        <f>Tabella34[[#This Row],[sel. region velocity]]/Tabella34[[#This Row],[sel. region cumul. fit]]</f>
        <v>#DIV/0!</v>
      </c>
      <c r="AP27" s="236" t="e">
        <f>(LN(Tabella34[[#This Row],[Day]]-pr)-phi_r)/psi_r</f>
        <v>#NUM!</v>
      </c>
      <c r="AQ27" s="244">
        <f>EXP(phi_r+psi_r*Tabella34[[#This Row],[x_r_alpha©+plus]])-(Tabella34[[#This Row],[Day]]-pr)</f>
        <v>59.639923020621126</v>
      </c>
      <c r="AR27" s="244">
        <f>EXP(phi_r+psi_r*Tabella34[[#This Row],[x_r_alpha©-minus]])-(Tabella34[[#This Row],[Day]]-pr)</f>
        <v>59.094210093038171</v>
      </c>
      <c r="AS27" s="244">
        <f>-psi_r+SQRT(psi_r^2-2*Tabella34[[#This Row],[c_r]])</f>
        <v>4.4914617095605411</v>
      </c>
      <c r="AT27" s="244">
        <f>-psi_r-SQRT(psi_r^2-2*Tabella34[[#This Row],[c_r]])</f>
        <v>-4.5317497192268785</v>
      </c>
      <c r="AU27" s="244">
        <f>phi_r-LN(alpha*Kr/(Tabella34[[#This Row],[sel. region velocity]]*psi_r*SQRTPI(2)))</f>
        <v>-10.177090170609628</v>
      </c>
      <c r="AV27" s="244">
        <f>(ACOSH(SQRT(alpha*Kl*psi_l/(Tabella34[[#This Row],[sel. region velocity]]*(1+TANH(phi_l)))))+phi_l)/psi_l-(Tabella34[[#This Row],[Day]]-pl)</f>
        <v>239.25980698846732</v>
      </c>
      <c r="AW27" s="72">
        <f>-2*$BY$22*TANH($BY$22*(Tabella34[[#This Row],[Day]]-$BY$31)-$BY$21)*Tabella34[[#This Row],[sel. region velocity]]</f>
        <v>0.26015373516237339</v>
      </c>
      <c r="AX27" s="143">
        <f>Tabella34[[#This Row],[sel. region acc. fit]]/y_l_peak</f>
        <v>1.7669310382888593E-3</v>
      </c>
      <c r="AY27" s="143">
        <f>Tabella34[[#This Row],[sel. region acc. fit]]*NOT(ISBLANK(Tabella34[[#This Row],[selected region rate data]]))</f>
        <v>0</v>
      </c>
      <c r="AZ27" s="77">
        <f>Tabella34[[#This Row],[sel. region acc. fit]]+CIl</f>
        <v>69.625140110262777</v>
      </c>
      <c r="BA27" s="77">
        <f>MAX(Tabella34[[#This Row],[sel. region acc. fit]]-CIl,0)</f>
        <v>0</v>
      </c>
      <c r="BB27" s="141"/>
      <c r="BC27" s="33"/>
      <c r="BD27" s="33"/>
      <c r="BE27" s="142">
        <f>Tabella34[[#This Row],[rest of Italy rate data]]*NOT(ISBLANK(Tabella34[[#This Row],[rest of Italy rate data]]))</f>
        <v>0</v>
      </c>
      <c r="BF27" s="188">
        <f>Tabella8[[#This Row],[rest of Italy fit]]</f>
        <v>0</v>
      </c>
      <c r="BG27" s="78">
        <f>(ATANH(alpha*Tabella34[[#This Row],[rest of Italy cumul. fit]]/Ka-(1-alpha*Tabella34[[#This Row],[rest of Italy cumul. fit]]/Ka)*TANH(phi_a))+phi_a)/psi_a-(Tabella34[[#This Row],[Day]]-pa)</f>
        <v>47.882529907638357</v>
      </c>
      <c r="BH27" s="143">
        <f>Tabella34[[#This Row],[rest of Italy cumul. fit]]/Ka</f>
        <v>0</v>
      </c>
      <c r="BI27" s="143">
        <f>Tabella3[[#This Row],[rest of Italy fit]]</f>
        <v>62.463797037909423</v>
      </c>
      <c r="BJ27" s="183" t="e">
        <f>Tabella34[[#This Row],[rest of Italy velocity]]/Tabella34[[#This Row],[rest of Italy cumul. fit]]</f>
        <v>#DIV/0!</v>
      </c>
      <c r="BK27" s="236" t="e">
        <f>(LN(Tabella34[[#This Row],[Day]]-po)-phi_o)/psi_o</f>
        <v>#NUM!</v>
      </c>
      <c r="BL27" s="244">
        <f>EXP(phi_o+psi_o*Tabella34[[#This Row],[x_o_alpha©+plus]])-(Tabella34[[#This Row],[Day]]-po)</f>
        <v>52.426742369107636</v>
      </c>
      <c r="BM27" s="244">
        <f>EXP(phi_o+psi_o*Tabella34[[#This Row],[x_o_alpha©-minus]])-(Tabella34[[#This Row],[Day]]-po)</f>
        <v>51.486121732074999</v>
      </c>
      <c r="BN27" s="244">
        <f>-psi_o+SQRT(psi_o^2-2*Tabella34[[#This Row],[c_o]])</f>
        <v>4.4940961479997465</v>
      </c>
      <c r="BO27" s="244">
        <f>-psi_o-SQRT(psi_o^2-2*Tabella34[[#This Row],[c_o]])</f>
        <v>-4.5454094322673999</v>
      </c>
      <c r="BP27" s="244">
        <f>phi_o-LN(alpha*Ko/(Tabella34[[#This Row],[rest of Italy velocity]]*psi_o*SQRTPI(2)))</f>
        <v>-10.213753510317318</v>
      </c>
      <c r="BQ27" s="244">
        <f>(ACOSH(SQRT(alpha*Ka*psi_a/(Tabella34[[#This Row],[rest of Italy velocity]]*(1+TANH(phi_a)))))+phi_a)/psi_a-(Tabella34[[#This Row],[Day]]-pa)</f>
        <v>218.39576140709789</v>
      </c>
      <c r="BR27" s="72">
        <f>-2*$BY$35*TANH($BY$35*(Tabella34[[#This Row],[Day]]-$BY$44)-$BY$34)*Tabella34[[#This Row],[rest of Italy velocity]]</f>
        <v>3.1718958462009099</v>
      </c>
      <c r="BS27" s="143">
        <f>Tabella34[[#This Row],[rest of Italy acc. fit]]/y_a_peak</f>
        <v>1.050488509128064E-3</v>
      </c>
      <c r="BT27" s="142">
        <f>Tabella34[[#This Row],[rest of Italy acc. fit]]*NOT(ISBLANK(Tabella34[[#This Row],[rest of Italy rate data]]))</f>
        <v>0</v>
      </c>
      <c r="BU27" s="77">
        <f>Tabella34[[#This Row],[rest of Italy acc. fit]]+CIa</f>
        <v>1637.3058358000023</v>
      </c>
      <c r="BV27" s="77">
        <f>MAX(Tabella34[[#This Row],[rest of Italy acc. fit]]-CIa,0)</f>
        <v>0</v>
      </c>
      <c r="BW27" s="1"/>
      <c r="BX27" s="213" t="s">
        <v>5</v>
      </c>
      <c r="BY27" s="216">
        <f>TINV(0.05,dfl)</f>
        <v>1.9847231860139838</v>
      </c>
      <c r="CL27" s="125"/>
    </row>
    <row r="28" spans="2:90" x14ac:dyDescent="0.3">
      <c r="B28" s="262">
        <v>43851</v>
      </c>
      <c r="C28" s="4">
        <v>21</v>
      </c>
      <c r="D28" s="141"/>
      <c r="E28" s="144"/>
      <c r="F28" s="144"/>
      <c r="G28" s="142">
        <f>Tabella34[[#This Row],[Italy rate data]]*NOT(ISBLANK(Tabella34[[#This Row],[Italy rate data]]))</f>
        <v>0</v>
      </c>
      <c r="H28" s="143">
        <f>Tabella8[[#This Row],[Italy fit]]</f>
        <v>0</v>
      </c>
      <c r="I28" s="143">
        <f>(ATANH(alpha*Tabella34[[#This Row],[Italy cumul. Fit]]/Kf-(1-alpha*Tabella34[[#This Row],[Italy cumul. Fit]]/Kf)*TANH(phi_f))+phi_f)/psi_f-(Tabella34[[#This Row],[Day]]-pf)</f>
        <v>47.480394693650979</v>
      </c>
      <c r="J28" s="143">
        <f>Tabella34[[#This Row],[Italy d.t.]]/Italy_dt_at_lockdown</f>
        <v>20.918769507749936</v>
      </c>
      <c r="K28" s="143">
        <f>Tabella34[[#This Row],[Italy cumul. Fit]]/Kf</f>
        <v>0</v>
      </c>
      <c r="L28" s="146">
        <f>Tabella34[[#This Row],[sel. region acc. fit]]+Tabella34[[#This Row],[rest of Italy acc. fit]]</f>
        <v>3.6055822691979103</v>
      </c>
      <c r="M28" s="143">
        <f>Tabella34[[#This Row],[Italy (fit of selected region + fitted sum of the other regions)]]/(y_l_peak+y_a_peak)</f>
        <v>1.1385989836664888E-3</v>
      </c>
      <c r="N28" s="143">
        <f>Tabella3[[#This Row],[Italy remov. rate fit]]</f>
        <v>73.01942751475832</v>
      </c>
      <c r="O28" s="143" t="e">
        <f>Kt*EXP(-0.5*Tabella34[[#This Row],[x_t]]^2)/(psi_t*SQRTPI(2)*(Tabella34[[#This Row],[Day]]-D_bk))</f>
        <v>#NUM!</v>
      </c>
      <c r="P28" s="183" t="e">
        <f>Tabella34[[#This Row],[Italy velocity]]/Tabella34[[#This Row],[Italy cumul. Fit]]</f>
        <v>#DIV/0!</v>
      </c>
      <c r="Q28" s="244" t="e">
        <f>(LN(Tabella34[[#This Row],[Day]]-D_bk)-phi_t)/psi_t</f>
        <v>#NUM!</v>
      </c>
      <c r="R28" s="244">
        <f>EXP(phi_t+psi_t*Tabella34[[#This Row],[x_t_alpha©+plus]])-(Tabella34[[#This Row],[Day]]-D_bk)</f>
        <v>51.894697116748119</v>
      </c>
      <c r="S28" s="244">
        <f>EXP(phi_t+psi_t*Tabella34[[#This Row],[x_t_alpha©-minus]])-(Tabella34[[#This Row],[Day]]-D_bk)</f>
        <v>50.995764980969334</v>
      </c>
      <c r="T28" s="244">
        <f>-psi_t+SQRT(psi_t^2-2*Tabella34[[#This Row],[c_t]])</f>
        <v>4.4820828833276813</v>
      </c>
      <c r="U28" s="244">
        <f>-psi_t-SQRT(psi_t^2-2*Tabella34[[#This Row],[c_t]])</f>
        <v>-4.5326015580250534</v>
      </c>
      <c r="V28" s="244">
        <f>phi_t-LN(alpha*Kt/(Tabella34[[#This Row],[Italy velocity]]*psi_t*SQRTPI(2)))</f>
        <v>-10.157747930084236</v>
      </c>
      <c r="W28" s="244" t="e">
        <f>Tabella34[[#This Row],[Italy g.r.]]/Italy_gr_at_lockdown</f>
        <v>#DIV/0!</v>
      </c>
      <c r="X28" s="244">
        <f>(ACOSH(SQRT(alpha*Kf*psi_f/(Tabella34[[#This Row],[Italy velocity]]*(1+TANH(phi_f)))))+phi_f)/psi_f-(Tabella34[[#This Row],[Day]]-pf)</f>
        <v>217.40152450888905</v>
      </c>
      <c r="Y28" s="244">
        <f>Tabella34[[#This Row],[Italy h.t.]]/Italy_ht_at_lockdown</f>
        <v>1.8306319450548243</v>
      </c>
      <c r="Z28" s="72">
        <f>-2*$BY$48*TANH($BY$48*(Tabella34[[#This Row],[Day]]-$BY$57)-$BY$47)*Tabella34[[#This Row],[Italy velocity]]</f>
        <v>3.6459619842968278</v>
      </c>
      <c r="AA28" s="72">
        <f>Tabella34[[#This Row],[Italy acc. fit]]/Itali_acc_at_lockdown</f>
        <v>0.10416936464526634</v>
      </c>
      <c r="AB28" s="143">
        <f>Tabella34[[#This Row],[Italy acc. fit]]/y_f_peak</f>
        <v>1.1541545642309663E-3</v>
      </c>
      <c r="AC28" s="143">
        <f>Tabella34[[#This Row],[Italy (fit of selected region + fitted sum of the other regions)]]*NOT(ISBLANK(Tabella34[[#This Row],[Italy rate data]]))</f>
        <v>0</v>
      </c>
      <c r="AD28" s="143">
        <f>Tabella34[[#This Row],[Italy acc. fit]]*NOT(ISBLANK(Tabella34[[#This Row],[Italy rate data]]))</f>
        <v>0</v>
      </c>
      <c r="AE28" s="77">
        <f>Tabella34[[#This Row],[Italy acc. fit]]+CIf</f>
        <v>1658.8559309080481</v>
      </c>
      <c r="AF28" s="77">
        <f>MAX(Tabella34[[#This Row],[Italy acc. fit]]-CIf,0)</f>
        <v>0</v>
      </c>
      <c r="AG28" s="141"/>
      <c r="AH28" s="33"/>
      <c r="AI28" s="33"/>
      <c r="AJ28" s="142">
        <f>Tabella34[[#This Row],[selected region rate data]]*NOT(ISBLANK(Tabella34[[#This Row],[selected region rate data]]))</f>
        <v>0</v>
      </c>
      <c r="AK28" s="147">
        <f>Tabella8[[#This Row],[region fit]]</f>
        <v>0</v>
      </c>
      <c r="AL28" s="143">
        <f>(ATANH(alpha*Tabella34[[#This Row],[sel. region cumul. fit]]/Kl-(1-alpha*Tabella34[[#This Row],[sel. region cumul. fit]]/Kl)*TANH(phi_l))+phi_l)/psi_l-(Tabella34[[#This Row],[Day]]-pl)</f>
        <v>55.356483051343162</v>
      </c>
      <c r="AM28" s="142">
        <f>Tabella34[[#This Row],[sel. region cumul. fit]]/Kl</f>
        <v>0</v>
      </c>
      <c r="AN28" s="143">
        <f>Tabella3[[#This Row],[region fit]]</f>
        <v>6.872521624035663</v>
      </c>
      <c r="AO28" s="183" t="e">
        <f>Tabella34[[#This Row],[sel. region velocity]]/Tabella34[[#This Row],[sel. region cumul. fit]]</f>
        <v>#DIV/0!</v>
      </c>
      <c r="AP28" s="236" t="e">
        <f>(LN(Tabella34[[#This Row],[Day]]-pr)-phi_r)/psi_r</f>
        <v>#NUM!</v>
      </c>
      <c r="AQ28" s="244">
        <f>EXP(phi_r+psi_r*Tabella34[[#This Row],[x_r_alpha©+plus]])-(Tabella34[[#This Row],[Day]]-pr)</f>
        <v>58.639345552307979</v>
      </c>
      <c r="AR28" s="244">
        <f>EXP(phi_r+psi_r*Tabella34[[#This Row],[x_r_alpha©-minus]])-(Tabella34[[#This Row],[Day]]-pr)</f>
        <v>58.094691669898658</v>
      </c>
      <c r="AS28" s="244">
        <f>-psi_r+SQRT(psi_r^2-2*Tabella34[[#This Row],[c_r]])</f>
        <v>4.4827301573702112</v>
      </c>
      <c r="AT28" s="244">
        <f>-psi_r-SQRT(psi_r^2-2*Tabella34[[#This Row],[c_r]])</f>
        <v>-4.5230181670365486</v>
      </c>
      <c r="AU28" s="244">
        <f>phi_r-LN(alpha*Kr/(Tabella34[[#This Row],[sel. region velocity]]*psi_r*SQRTPI(2)))</f>
        <v>-10.137734969854034</v>
      </c>
      <c r="AV28" s="244">
        <f>(ACOSH(SQRT(alpha*Kl*psi_l/(Tabella34[[#This Row],[sel. region velocity]]*(1+TANH(phi_l)))))+phi_l)/psi_l-(Tabella34[[#This Row],[Day]]-pl)</f>
        <v>237.2715871421068</v>
      </c>
      <c r="AW28" s="72">
        <f>-2*$BY$22*TANH($BY$22*(Tabella34[[#This Row],[Day]]-$BY$31)-$BY$21)*Tabella34[[#This Row],[sel. region velocity]]</f>
        <v>0.27034098802892087</v>
      </c>
      <c r="AX28" s="143">
        <f>Tabella34[[#This Row],[sel. region acc. fit]]/y_l_peak</f>
        <v>1.8361215623978644E-3</v>
      </c>
      <c r="AY28" s="143">
        <f>Tabella34[[#This Row],[sel. region acc. fit]]*NOT(ISBLANK(Tabella34[[#This Row],[selected region rate data]]))</f>
        <v>0</v>
      </c>
      <c r="AZ28" s="77">
        <f>Tabella34[[#This Row],[sel. region acc. fit]]+CIl</f>
        <v>69.635327363129321</v>
      </c>
      <c r="BA28" s="77">
        <f>MAX(Tabella34[[#This Row],[sel. region acc. fit]]-CIl,0)</f>
        <v>0</v>
      </c>
      <c r="BB28" s="141"/>
      <c r="BC28" s="33"/>
      <c r="BD28" s="33"/>
      <c r="BE28" s="142">
        <f>Tabella34[[#This Row],[rest of Italy rate data]]*NOT(ISBLANK(Tabella34[[#This Row],[rest of Italy rate data]]))</f>
        <v>0</v>
      </c>
      <c r="BF28" s="188">
        <f>Tabella8[[#This Row],[rest of Italy fit]]</f>
        <v>0</v>
      </c>
      <c r="BG28" s="78">
        <f>(ATANH(alpha*Tabella34[[#This Row],[rest of Italy cumul. fit]]/Ka-(1-alpha*Tabella34[[#This Row],[rest of Italy cumul. fit]]/Ka)*TANH(phi_a))+phi_a)/psi_a-(Tabella34[[#This Row],[Day]]-pa)</f>
        <v>46.882529907638357</v>
      </c>
      <c r="BH28" s="143">
        <f>Tabella34[[#This Row],[rest of Italy cumul. fit]]/Ka</f>
        <v>0</v>
      </c>
      <c r="BI28" s="143">
        <f>Tabella3[[#This Row],[rest of Italy fit]]</f>
        <v>65.716697318406986</v>
      </c>
      <c r="BJ28" s="183" t="e">
        <f>Tabella34[[#This Row],[rest of Italy velocity]]/Tabella34[[#This Row],[rest of Italy cumul. fit]]</f>
        <v>#DIV/0!</v>
      </c>
      <c r="BK28" s="236" t="e">
        <f>(LN(Tabella34[[#This Row],[Day]]-po)-phi_o)/psi_o</f>
        <v>#NUM!</v>
      </c>
      <c r="BL28" s="244">
        <f>EXP(phi_o+psi_o*Tabella34[[#This Row],[x_o_alpha©+plus]])-(Tabella34[[#This Row],[Day]]-po)</f>
        <v>51.425431395916654</v>
      </c>
      <c r="BM28" s="244">
        <f>EXP(phi_o+psi_o*Tabella34[[#This Row],[x_o_alpha©-minus]])-(Tabella34[[#This Row],[Day]]-po)</f>
        <v>50.487161642864457</v>
      </c>
      <c r="BN28" s="244">
        <f>-psi_o+SQRT(psi_o^2-2*Tabella34[[#This Row],[c_o]])</f>
        <v>4.4828501495661452</v>
      </c>
      <c r="BO28" s="244">
        <f>-psi_o-SQRT(psi_o^2-2*Tabella34[[#This Row],[c_o]])</f>
        <v>-4.5341634338337986</v>
      </c>
      <c r="BP28" s="244">
        <f>phi_o-LN(alpha*Ko/(Tabella34[[#This Row],[rest of Italy velocity]]*psi_o*SQRTPI(2)))</f>
        <v>-10.162987613759595</v>
      </c>
      <c r="BQ28" s="244">
        <f>(ACOSH(SQRT(alpha*Ka*psi_a/(Tabella34[[#This Row],[rest of Italy velocity]]*(1+TANH(phi_a)))))+phi_a)/psi_a-(Tabella34[[#This Row],[Day]]-pa)</f>
        <v>216.4011381001327</v>
      </c>
      <c r="BR28" s="72">
        <f>-2*$BY$35*TANH($BY$35*(Tabella34[[#This Row],[Day]]-$BY$44)-$BY$34)*Tabella34[[#This Row],[rest of Italy velocity]]</f>
        <v>3.3352412811689893</v>
      </c>
      <c r="BS28" s="143">
        <f>Tabella34[[#This Row],[rest of Italy acc. fit]]/y_a_peak</f>
        <v>1.1045862824386268E-3</v>
      </c>
      <c r="BT28" s="142">
        <f>Tabella34[[#This Row],[rest of Italy acc. fit]]*NOT(ISBLANK(Tabella34[[#This Row],[rest of Italy rate data]]))</f>
        <v>0</v>
      </c>
      <c r="BU28" s="77">
        <f>Tabella34[[#This Row],[rest of Italy acc. fit]]+CIa</f>
        <v>1637.4691812349704</v>
      </c>
      <c r="BV28" s="77">
        <f>MAX(Tabella34[[#This Row],[rest of Italy acc. fit]]-CIa,0)</f>
        <v>0</v>
      </c>
      <c r="BW28" s="1"/>
      <c r="BX28" s="213" t="s">
        <v>6</v>
      </c>
      <c r="BY28" s="214">
        <f>Critical_tl*SE_of_yl</f>
        <v>69.364986375100401</v>
      </c>
      <c r="CL28" s="47">
        <f>MAX($BY$39)</f>
        <v>-0.20064982822529309</v>
      </c>
    </row>
    <row r="29" spans="2:90" x14ac:dyDescent="0.3">
      <c r="B29" s="262">
        <v>43852</v>
      </c>
      <c r="C29" s="4">
        <v>22</v>
      </c>
      <c r="D29" s="10">
        <f>Tabella8[[#This Row],[Italy cumulative]]</f>
        <v>0</v>
      </c>
      <c r="E29" s="144"/>
      <c r="F29" s="144"/>
      <c r="G29" s="142">
        <f>Tabella34[[#This Row],[Italy rate data]]*NOT(ISBLANK(Tabella34[[#This Row],[Italy rate data]]))</f>
        <v>0</v>
      </c>
      <c r="H29" s="143">
        <f>Tabella8[[#This Row],[Italy fit]]</f>
        <v>0</v>
      </c>
      <c r="I29" s="143">
        <f>(ATANH(alpha*Tabella34[[#This Row],[Italy cumul. Fit]]/Kf-(1-alpha*Tabella34[[#This Row],[Italy cumul. Fit]]/Kf)*TANH(phi_f))+phi_f)/psi_f-(Tabella34[[#This Row],[Day]]-pf)</f>
        <v>46.480394693650979</v>
      </c>
      <c r="J29" s="143">
        <f>Tabella34[[#This Row],[Italy d.t.]]/Italy_dt_at_lockdown</f>
        <v>20.478192515020194</v>
      </c>
      <c r="K29" s="143">
        <f>Tabella34[[#This Row],[Italy cumul. Fit]]/Kf</f>
        <v>0</v>
      </c>
      <c r="L29" s="146">
        <f>Tabella34[[#This Row],[sel. region acc. fit]]+Tabella34[[#This Row],[rest of Italy acc. fit]]</f>
        <v>3.7877021168344172</v>
      </c>
      <c r="M29" s="143">
        <f>Tabella34[[#This Row],[Italy (fit of selected region + fitted sum of the other regions)]]/(y_l_peak+y_a_peak)</f>
        <v>1.1961102142923682E-3</v>
      </c>
      <c r="N29" s="143">
        <f>Tabella3[[#This Row],[Italy remov. rate fit]]</f>
        <v>76.756796476181648</v>
      </c>
      <c r="O29" s="143" t="e">
        <f>Kt*EXP(-0.5*Tabella34[[#This Row],[x_t]]^2)/(psi_t*SQRTPI(2)*(Tabella34[[#This Row],[Day]]-D_bk))</f>
        <v>#NUM!</v>
      </c>
      <c r="P29" s="183" t="e">
        <f>Tabella34[[#This Row],[Italy velocity]]/Tabella34[[#This Row],[Italy cumul. Fit]]</f>
        <v>#DIV/0!</v>
      </c>
      <c r="Q29" s="244" t="e">
        <f>(LN(Tabella34[[#This Row],[Day]]-D_bk)-phi_t)/psi_t</f>
        <v>#NUM!</v>
      </c>
      <c r="R29" s="244">
        <f>EXP(phi_t+psi_t*Tabella34[[#This Row],[x_t_alpha©+plus]])-(Tabella34[[#This Row],[Day]]-D_bk)</f>
        <v>50.893460940329305</v>
      </c>
      <c r="S29" s="244">
        <f>EXP(phi_t+psi_t*Tabella34[[#This Row],[x_t_alpha©-minus]])-(Tabella34[[#This Row],[Day]]-D_bk)</f>
        <v>49.996749697175638</v>
      </c>
      <c r="T29" s="244">
        <f>-psi_t+SQRT(psi_t^2-2*Tabella34[[#This Row],[c_t]])</f>
        <v>4.4709947807466772</v>
      </c>
      <c r="U29" s="244">
        <f>-psi_t-SQRT(psi_t^2-2*Tabella34[[#This Row],[c_t]])</f>
        <v>-4.5215134554440493</v>
      </c>
      <c r="V29" s="244">
        <f>phi_t-LN(alpha*Kt/(Tabella34[[#This Row],[Italy velocity]]*psi_t*SQRTPI(2)))</f>
        <v>-10.107831530183111</v>
      </c>
      <c r="W29" s="244" t="e">
        <f>Tabella34[[#This Row],[Italy g.r.]]/Italy_gr_at_lockdown</f>
        <v>#DIV/0!</v>
      </c>
      <c r="X29" s="244">
        <f>(ACOSH(SQRT(alpha*Kf*psi_f/(Tabella34[[#This Row],[Italy velocity]]*(1+TANH(phi_f)))))+phi_f)/psi_f-(Tabella34[[#This Row],[Day]]-pf)</f>
        <v>215.40753904996939</v>
      </c>
      <c r="Y29" s="244">
        <f>Tabella34[[#This Row],[Italy h.t.]]/Italy_ht_at_lockdown</f>
        <v>1.8138415684127143</v>
      </c>
      <c r="Z29" s="72">
        <f>-2*$BY$48*TANH($BY$48*(Tabella34[[#This Row],[Day]]-$BY$57)-$BY$47)*Tabella34[[#This Row],[Italy velocity]]</f>
        <v>3.8302525478798901</v>
      </c>
      <c r="AA29" s="72">
        <f>Tabella34[[#This Row],[Italy acc. fit]]/Itali_acc_at_lockdown</f>
        <v>0.10943475989657425</v>
      </c>
      <c r="AB29" s="143">
        <f>Tabella34[[#This Row],[Italy acc. fit]]/y_f_peak</f>
        <v>1.2124930208633139E-3</v>
      </c>
      <c r="AC29" s="143">
        <f>Tabella34[[#This Row],[Italy (fit of selected region + fitted sum of the other regions)]]*NOT(ISBLANK(Tabella34[[#This Row],[Italy rate data]]))</f>
        <v>0</v>
      </c>
      <c r="AD29" s="143">
        <f>Tabella34[[#This Row],[Italy acc. fit]]*NOT(ISBLANK(Tabella34[[#This Row],[Italy rate data]]))</f>
        <v>0</v>
      </c>
      <c r="AE29" s="77">
        <f>Tabella34[[#This Row],[Italy acc. fit]]+CIf</f>
        <v>1659.0402214716312</v>
      </c>
      <c r="AF29" s="77">
        <f>MAX(Tabella34[[#This Row],[Italy acc. fit]]-CIf,0)</f>
        <v>0</v>
      </c>
      <c r="AG29" s="141"/>
      <c r="AH29" s="33"/>
      <c r="AI29" s="33"/>
      <c r="AJ29" s="142">
        <f>Tabella34[[#This Row],[selected region rate data]]*NOT(ISBLANK(Tabella34[[#This Row],[selected region rate data]]))</f>
        <v>0</v>
      </c>
      <c r="AK29" s="147">
        <f>Tabella8[[#This Row],[region fit]]</f>
        <v>0</v>
      </c>
      <c r="AL29" s="143">
        <f>(ATANH(alpha*Tabella34[[#This Row],[sel. region cumul. fit]]/Kl-(1-alpha*Tabella34[[#This Row],[sel. region cumul. fit]]/Kl)*TANH(phi_l))+phi_l)/psi_l-(Tabella34[[#This Row],[Day]]-pl)</f>
        <v>54.356483051343162</v>
      </c>
      <c r="AM29" s="142">
        <f>Tabella34[[#This Row],[sel. region cumul. fit]]/Kl</f>
        <v>0</v>
      </c>
      <c r="AN29" s="143">
        <f>Tabella3[[#This Row],[region fit]]</f>
        <v>7.1481129728467279</v>
      </c>
      <c r="AO29" s="183" t="e">
        <f>Tabella34[[#This Row],[sel. region velocity]]/Tabella34[[#This Row],[sel. region cumul. fit]]</f>
        <v>#DIV/0!</v>
      </c>
      <c r="AP29" s="236" t="e">
        <f>(LN(Tabella34[[#This Row],[Day]]-pr)-phi_r)/psi_r</f>
        <v>#NUM!</v>
      </c>
      <c r="AQ29" s="244">
        <f>EXP(phi_r+psi_r*Tabella34[[#This Row],[x_r_alpha©+plus]])-(Tabella34[[#This Row],[Day]]-pr)</f>
        <v>57.638767621290732</v>
      </c>
      <c r="AR29" s="244">
        <f>EXP(phi_r+psi_r*Tabella34[[#This Row],[x_r_alpha©-minus]])-(Tabella34[[#This Row],[Day]]-pr)</f>
        <v>57.095173802284997</v>
      </c>
      <c r="AS29" s="244">
        <f>-psi_r+SQRT(psi_r^2-2*Tabella34[[#This Row],[c_r]])</f>
        <v>4.4739900710125431</v>
      </c>
      <c r="AT29" s="244">
        <f>-psi_r-SQRT(psi_r^2-2*Tabella34[[#This Row],[c_r]])</f>
        <v>-4.5142780806788805</v>
      </c>
      <c r="AU29" s="244">
        <f>phi_r-LN(alpha*Kr/(Tabella34[[#This Row],[sel. region velocity]]*psi_r*SQRTPI(2)))</f>
        <v>-10.098417655373435</v>
      </c>
      <c r="AV29" s="244">
        <f>(ACOSH(SQRT(alpha*Kl*psi_l/(Tabella34[[#This Row],[sel. region velocity]]*(1+TANH(phi_l)))))+phi_l)/psi_l-(Tabella34[[#This Row],[Day]]-pl)</f>
        <v>235.28385444965042</v>
      </c>
      <c r="AW29" s="72">
        <f>-2*$BY$22*TANH($BY$22*(Tabella34[[#This Row],[Day]]-$BY$31)-$BY$21)*Tabella34[[#This Row],[sel. region velocity]]</f>
        <v>0.28090561291936272</v>
      </c>
      <c r="AX29" s="143">
        <f>Tabella34[[#This Row],[sel. region acc. fit]]/y_l_peak</f>
        <v>1.9078751492343166E-3</v>
      </c>
      <c r="AY29" s="143">
        <f>Tabella34[[#This Row],[sel. region acc. fit]]*NOT(ISBLANK(Tabella34[[#This Row],[selected region rate data]]))</f>
        <v>0</v>
      </c>
      <c r="AZ29" s="77">
        <f>Tabella34[[#This Row],[sel. region acc. fit]]+CIl</f>
        <v>69.64589198801977</v>
      </c>
      <c r="BA29" s="77">
        <f>MAX(Tabella34[[#This Row],[sel. region acc. fit]]-CIl,0)</f>
        <v>0</v>
      </c>
      <c r="BB29" s="141"/>
      <c r="BC29" s="33"/>
      <c r="BD29" s="33"/>
      <c r="BE29" s="142">
        <f>Tabella34[[#This Row],[rest of Italy rate data]]*NOT(ISBLANK(Tabella34[[#This Row],[rest of Italy rate data]]))</f>
        <v>0</v>
      </c>
      <c r="BF29" s="188">
        <f>Tabella8[[#This Row],[rest of Italy fit]]</f>
        <v>0</v>
      </c>
      <c r="BG29" s="78">
        <f>(ATANH(alpha*Tabella34[[#This Row],[rest of Italy cumul. fit]]/Ka-(1-alpha*Tabella34[[#This Row],[rest of Italy cumul. fit]]/Ka)*TANH(phi_a))+phi_a)/psi_a-(Tabella34[[#This Row],[Day]]-pa)</f>
        <v>45.882529907638357</v>
      </c>
      <c r="BH29" s="143">
        <f>Tabella34[[#This Row],[rest of Italy cumul. fit]]/Ka</f>
        <v>0</v>
      </c>
      <c r="BI29" s="143">
        <f>Tabella3[[#This Row],[rest of Italy fit]]</f>
        <v>69.137016020395848</v>
      </c>
      <c r="BJ29" s="183" t="e">
        <f>Tabella34[[#This Row],[rest of Italy velocity]]/Tabella34[[#This Row],[rest of Italy cumul. fit]]</f>
        <v>#DIV/0!</v>
      </c>
      <c r="BK29" s="236" t="e">
        <f>(LN(Tabella34[[#This Row],[Day]]-po)-phi_o)/psi_o</f>
        <v>#NUM!</v>
      </c>
      <c r="BL29" s="244">
        <f>EXP(phi_o+psi_o*Tabella34[[#This Row],[x_o_alpha©+plus]])-(Tabella34[[#This Row],[Day]]-po)</f>
        <v>50.424118266639368</v>
      </c>
      <c r="BM29" s="244">
        <f>EXP(phi_o+psi_o*Tabella34[[#This Row],[x_o_alpha©-minus]])-(Tabella34[[#This Row],[Day]]-po)</f>
        <v>49.488203865781024</v>
      </c>
      <c r="BN29" s="244">
        <f>-psi_o+SQRT(psi_o^2-2*Tabella34[[#This Row],[c_o]])</f>
        <v>4.4715824016421504</v>
      </c>
      <c r="BO29" s="244">
        <f>-psi_o-SQRT(psi_o^2-2*Tabella34[[#This Row],[c_o]])</f>
        <v>-4.5228956859098037</v>
      </c>
      <c r="BP29" s="244">
        <f>phi_o-LN(alpha*Ko/(Tabella34[[#This Row],[rest of Italy velocity]]*psi_o*SQRTPI(2)))</f>
        <v>-10.11225037678874</v>
      </c>
      <c r="BQ29" s="244">
        <f>(ACOSH(SQRT(alpha*Ka*psi_a/(Tabella34[[#This Row],[rest of Italy velocity]]*(1+TANH(phi_a)))))+phi_a)/psi_a-(Tabella34[[#This Row],[Day]]-pa)</f>
        <v>214.40679867837065</v>
      </c>
      <c r="BR29" s="72">
        <f>-2*$BY$35*TANH($BY$35*(Tabella34[[#This Row],[Day]]-$BY$44)-$BY$34)*Tabella34[[#This Row],[rest of Italy velocity]]</f>
        <v>3.5067965039150546</v>
      </c>
      <c r="BS29" s="143">
        <f>Tabella34[[#This Row],[rest of Italy acc. fit]]/y_a_peak</f>
        <v>1.1614030251420478E-3</v>
      </c>
      <c r="BT29" s="142">
        <f>Tabella34[[#This Row],[rest of Italy acc. fit]]*NOT(ISBLANK(Tabella34[[#This Row],[rest of Italy rate data]]))</f>
        <v>0</v>
      </c>
      <c r="BU29" s="77">
        <f>Tabella34[[#This Row],[rest of Italy acc. fit]]+CIa</f>
        <v>1637.6407364577165</v>
      </c>
      <c r="BV29" s="77">
        <f>MAX(Tabella34[[#This Row],[rest of Italy acc. fit]]-CIa,0)</f>
        <v>0</v>
      </c>
      <c r="BW29" s="1"/>
      <c r="BX29" s="217" t="s">
        <v>299</v>
      </c>
      <c r="BY29" s="218">
        <f>Kl*_xlfn.LOGNORM.DIST(EXP(phi_l-psi_l^2),phi_l,psi_l,FALSE)</f>
        <v>86883.356421892779</v>
      </c>
      <c r="CL29" s="48">
        <f>COUNT($BY$33,$BY$34,$BY$35,$BY$44)</f>
        <v>4</v>
      </c>
    </row>
    <row r="30" spans="2:90" x14ac:dyDescent="0.3">
      <c r="B30" s="262">
        <v>43853</v>
      </c>
      <c r="C30" s="4">
        <v>23</v>
      </c>
      <c r="D30" s="10">
        <f>Tabella8[[#This Row],[Italy cumulative]]</f>
        <v>0</v>
      </c>
      <c r="E30" s="72">
        <f>(Tabella34[[#This Row],[Italy cumul. data]]-D29)</f>
        <v>0</v>
      </c>
      <c r="F30" s="144"/>
      <c r="G30" s="142">
        <f>Tabella34[[#This Row],[Italy rate data]]*NOT(ISBLANK(Tabella34[[#This Row],[Italy rate data]]))</f>
        <v>0</v>
      </c>
      <c r="H30" s="143">
        <f>Tabella8[[#This Row],[Italy fit]]</f>
        <v>0</v>
      </c>
      <c r="I30" s="143">
        <f>(ATANH(alpha*Tabella34[[#This Row],[Italy cumul. Fit]]/Kf-(1-alpha*Tabella34[[#This Row],[Italy cumul. Fit]]/Kf)*TANH(phi_f))+phi_f)/psi_f-(Tabella34[[#This Row],[Day]]-pf)</f>
        <v>45.480394693650979</v>
      </c>
      <c r="J30" s="143">
        <f>Tabella34[[#This Row],[Italy d.t.]]/Italy_dt_at_lockdown</f>
        <v>20.037615522290452</v>
      </c>
      <c r="K30" s="143">
        <f>Tabella34[[#This Row],[Italy cumul. Fit]]/Kf</f>
        <v>0</v>
      </c>
      <c r="L30" s="146">
        <f>Tabella34[[#This Row],[sel. region acc. fit]]+Tabella34[[#This Row],[rest of Italy acc. fit]]</f>
        <v>3.9788121871606679</v>
      </c>
      <c r="M30" s="143">
        <f>Tabella34[[#This Row],[Italy (fit of selected region + fitted sum of the other regions)]]/(y_l_peak+y_a_peak)</f>
        <v>1.2564604477902455E-3</v>
      </c>
      <c r="N30" s="143">
        <f>Tabella3[[#This Row],[Italy remov. rate fit]]</f>
        <v>80.682953802830269</v>
      </c>
      <c r="O30" s="143" t="e">
        <f>Kt*EXP(-0.5*Tabella34[[#This Row],[x_t]]^2)/(psi_t*SQRTPI(2)*(Tabella34[[#This Row],[Day]]-D_bk))</f>
        <v>#NUM!</v>
      </c>
      <c r="P30" s="183" t="e">
        <f>Tabella34[[#This Row],[Italy velocity]]/Tabella34[[#This Row],[Italy cumul. Fit]]</f>
        <v>#DIV/0!</v>
      </c>
      <c r="Q30" s="244" t="e">
        <f>(LN(Tabella34[[#This Row],[Day]]-D_bk)-phi_t)/psi_t</f>
        <v>#NUM!</v>
      </c>
      <c r="R30" s="244">
        <f>EXP(phi_t+psi_t*Tabella34[[#This Row],[x_t_alpha©+plus]])-(Tabella34[[#This Row],[Day]]-D_bk)</f>
        <v>49.892222825863612</v>
      </c>
      <c r="S30" s="244">
        <f>EXP(phi_t+psi_t*Tabella34[[#This Row],[x_t_alpha©-minus]])-(Tabella34[[#This Row],[Day]]-D_bk)</f>
        <v>48.997736510321097</v>
      </c>
      <c r="T30" s="244">
        <f>-psi_t+SQRT(psi_t^2-2*Tabella34[[#This Row],[c_t]])</f>
        <v>4.4598861807972305</v>
      </c>
      <c r="U30" s="244">
        <f>-psi_t-SQRT(psi_t^2-2*Tabella34[[#This Row],[c_t]])</f>
        <v>-4.5104048554946026</v>
      </c>
      <c r="V30" s="244">
        <f>phi_t-LN(alpha*Kt/(Tabella34[[#This Row],[Italy velocity]]*psi_t*SQRTPI(2)))</f>
        <v>-10.057946142410556</v>
      </c>
      <c r="W30" s="244" t="e">
        <f>Tabella34[[#This Row],[Italy g.r.]]/Italy_gr_at_lockdown</f>
        <v>#DIV/0!</v>
      </c>
      <c r="X30" s="244">
        <f>(ACOSH(SQRT(alpha*Kf*psi_f/(Tabella34[[#This Row],[Italy velocity]]*(1+TANH(phi_f)))))+phi_f)/psi_f-(Tabella34[[#This Row],[Day]]-pf)</f>
        <v>213.41386621154754</v>
      </c>
      <c r="Y30" s="244">
        <f>Tabella34[[#This Row],[Italy h.t.]]/Italy_ht_at_lockdown</f>
        <v>1.7970538241949687</v>
      </c>
      <c r="Z30" s="72">
        <f>-2*$BY$48*TANH($BY$48*(Tabella34[[#This Row],[Day]]-$BY$57)-$BY$47)*Tabella34[[#This Row],[Italy velocity]]</f>
        <v>4.0236072279182116</v>
      </c>
      <c r="AA30" s="72">
        <f>Tabella34[[#This Row],[Italy acc. fit]]/Itali_acc_at_lockdown</f>
        <v>0.11495912747295897</v>
      </c>
      <c r="AB30" s="143">
        <f>Tabella34[[#This Row],[Italy acc. fit]]/y_f_peak</f>
        <v>1.273700786452424E-3</v>
      </c>
      <c r="AC30" s="143">
        <f>Tabella34[[#This Row],[Italy (fit of selected region + fitted sum of the other regions)]]*NOT(ISBLANK(Tabella34[[#This Row],[Italy rate data]]))</f>
        <v>3.9788121871606679</v>
      </c>
      <c r="AD30" s="143">
        <f>Tabella34[[#This Row],[Italy acc. fit]]*NOT(ISBLANK(Tabella34[[#This Row],[Italy rate data]]))</f>
        <v>4.0236072279182116</v>
      </c>
      <c r="AE30" s="77">
        <f>Tabella34[[#This Row],[Italy acc. fit]]+CIf</f>
        <v>1659.2335761516697</v>
      </c>
      <c r="AF30" s="77">
        <f>MAX(Tabella34[[#This Row],[Italy acc. fit]]-CIf,0)</f>
        <v>0</v>
      </c>
      <c r="AG30" s="141"/>
      <c r="AH30" s="33"/>
      <c r="AI30" s="33"/>
      <c r="AJ30" s="142">
        <f>Tabella34[[#This Row],[selected region rate data]]*NOT(ISBLANK(Tabella34[[#This Row],[selected region rate data]]))</f>
        <v>0</v>
      </c>
      <c r="AK30" s="147">
        <f>Tabella8[[#This Row],[region fit]]</f>
        <v>0</v>
      </c>
      <c r="AL30" s="143">
        <f>(ATANH(alpha*Tabella34[[#This Row],[sel. region cumul. fit]]/Kl-(1-alpha*Tabella34[[#This Row],[sel. region cumul. fit]]/Kl)*TANH(phi_l))+phi_l)/psi_l-(Tabella34[[#This Row],[Day]]-pl)</f>
        <v>53.356483051343162</v>
      </c>
      <c r="AM30" s="142">
        <f>Tabella34[[#This Row],[sel. region cumul. fit]]/Kl</f>
        <v>0</v>
      </c>
      <c r="AN30" s="143">
        <f>Tabella3[[#This Row],[region fit]]</f>
        <v>7.4344626997153407</v>
      </c>
      <c r="AO30" s="183" t="e">
        <f>Tabella34[[#This Row],[sel. region velocity]]/Tabella34[[#This Row],[sel. region cumul. fit]]</f>
        <v>#DIV/0!</v>
      </c>
      <c r="AP30" s="236" t="e">
        <f>(LN(Tabella34[[#This Row],[Day]]-pr)-phi_r)/psi_r</f>
        <v>#NUM!</v>
      </c>
      <c r="AQ30" s="244">
        <f>EXP(phi_r+psi_r*Tabella34[[#This Row],[x_r_alpha©+plus]])-(Tabella34[[#This Row],[Day]]-pr)</f>
        <v>56.638189246942545</v>
      </c>
      <c r="AR30" s="244">
        <f>EXP(phi_r+psi_r*Tabella34[[#This Row],[x_r_alpha©-minus]])-(Tabella34[[#This Row],[Day]]-pr)</f>
        <v>56.095656474524233</v>
      </c>
      <c r="AS30" s="244">
        <f>-psi_r+SQRT(psi_r^2-2*Tabella34[[#This Row],[c_r]])</f>
        <v>4.4652417393087243</v>
      </c>
      <c r="AT30" s="244">
        <f>-psi_r-SQRT(psi_r^2-2*Tabella34[[#This Row],[c_r]])</f>
        <v>-4.5055297489750616</v>
      </c>
      <c r="AU30" s="244">
        <f>phi_r-LN(alpha*Kr/(Tabella34[[#This Row],[sel. region velocity]]*psi_r*SQRTPI(2)))</f>
        <v>-10.059139746410303</v>
      </c>
      <c r="AV30" s="244">
        <f>(ACOSH(SQRT(alpha*Kl*psi_l/(Tabella34[[#This Row],[sel. region velocity]]*(1+TANH(phi_l)))))+phi_l)/psi_l-(Tabella34[[#This Row],[Day]]-pl)</f>
        <v>233.29662917546696</v>
      </c>
      <c r="AW30" s="72">
        <f>-2*$BY$22*TANH($BY$22*(Tabella34[[#This Row],[Day]]-$BY$31)-$BY$21)*Tabella34[[#This Row],[sel. region velocity]]</f>
        <v>0.29185979534233059</v>
      </c>
      <c r="AX30" s="143">
        <f>Tabella34[[#This Row],[sel. region acc. fit]]/y_l_peak</f>
        <v>1.9822745612210011E-3</v>
      </c>
      <c r="AY30" s="143">
        <f>Tabella34[[#This Row],[sel. region acc. fit]]*NOT(ISBLANK(Tabella34[[#This Row],[selected region rate data]]))</f>
        <v>0</v>
      </c>
      <c r="AZ30" s="77">
        <f>Tabella34[[#This Row],[sel. region acc. fit]]+CIl</f>
        <v>69.656846170442734</v>
      </c>
      <c r="BA30" s="77">
        <f>MAX(Tabella34[[#This Row],[sel. region acc. fit]]-CIl,0)</f>
        <v>0</v>
      </c>
      <c r="BB30" s="141"/>
      <c r="BC30" s="33"/>
      <c r="BD30" s="33"/>
      <c r="BE30" s="142">
        <f>Tabella34[[#This Row],[rest of Italy rate data]]*NOT(ISBLANK(Tabella34[[#This Row],[rest of Italy rate data]]))</f>
        <v>0</v>
      </c>
      <c r="BF30" s="188">
        <f>Tabella8[[#This Row],[rest of Italy fit]]</f>
        <v>0</v>
      </c>
      <c r="BG30" s="78">
        <f>(ATANH(alpha*Tabella34[[#This Row],[rest of Italy cumul. fit]]/Ka-(1-alpha*Tabella34[[#This Row],[rest of Italy cumul. fit]]/Ka)*TANH(phi_a))+phi_a)/psi_a-(Tabella34[[#This Row],[Day]]-pa)</f>
        <v>44.882529907638357</v>
      </c>
      <c r="BH30" s="143">
        <f>Tabella34[[#This Row],[rest of Italy cumul. fit]]/Ka</f>
        <v>0</v>
      </c>
      <c r="BI30" s="143">
        <f>Tabella3[[#This Row],[rest of Italy fit]]</f>
        <v>72.733157034088208</v>
      </c>
      <c r="BJ30" s="183" t="e">
        <f>Tabella34[[#This Row],[rest of Italy velocity]]/Tabella34[[#This Row],[rest of Italy cumul. fit]]</f>
        <v>#DIV/0!</v>
      </c>
      <c r="BK30" s="236" t="e">
        <f>(LN(Tabella34[[#This Row],[Day]]-po)-phi_o)/psi_o</f>
        <v>#NUM!</v>
      </c>
      <c r="BL30" s="244">
        <f>EXP(phi_o+psi_o*Tabella34[[#This Row],[x_o_alpha©+plus]])-(Tabella34[[#This Row],[Day]]-po)</f>
        <v>49.422803003006344</v>
      </c>
      <c r="BM30" s="244">
        <f>EXP(phi_o+psi_o*Tabella34[[#This Row],[x_o_alpha©-minus]])-(Tabella34[[#This Row],[Day]]-po)</f>
        <v>48.489248387053216</v>
      </c>
      <c r="BN30" s="244">
        <f>-psi_o+SQRT(psi_o^2-2*Tabella34[[#This Row],[c_o]])</f>
        <v>4.4602930728462988</v>
      </c>
      <c r="BO30" s="244">
        <f>-psi_o-SQRT(psi_o^2-2*Tabella34[[#This Row],[c_o]])</f>
        <v>-4.5116063571139522</v>
      </c>
      <c r="BP30" s="244">
        <f>phi_o-LN(alpha*Ko/(Tabella34[[#This Row],[rest of Italy velocity]]*psi_o*SQRTPI(2)))</f>
        <v>-10.061543291022344</v>
      </c>
      <c r="BQ30" s="244">
        <f>(ACOSH(SQRT(alpha*Ka*psi_a/(Tabella34[[#This Row],[rest of Italy velocity]]*(1+TANH(phi_a)))))+phi_a)/psi_a-(Tabella34[[#This Row],[Day]]-pa)</f>
        <v>212.41275817378221</v>
      </c>
      <c r="BR30" s="72">
        <f>-2*$BY$35*TANH($BY$35*(Tabella34[[#This Row],[Day]]-$BY$44)-$BY$34)*Tabella34[[#This Row],[rest of Italy velocity]]</f>
        <v>3.6869523918183371</v>
      </c>
      <c r="BS30" s="143">
        <f>Tabella34[[#This Row],[rest of Italy acc. fit]]/y_a_peak</f>
        <v>1.2210681904786824E-3</v>
      </c>
      <c r="BT30" s="142">
        <f>Tabella34[[#This Row],[rest of Italy acc. fit]]*NOT(ISBLANK(Tabella34[[#This Row],[rest of Italy rate data]]))</f>
        <v>0</v>
      </c>
      <c r="BU30" s="77">
        <f>Tabella34[[#This Row],[rest of Italy acc. fit]]+CIa</f>
        <v>1637.8208923456198</v>
      </c>
      <c r="BV30" s="77">
        <f>MAX(Tabella34[[#This Row],[rest of Italy acc. fit]]-CIa,0)</f>
        <v>0</v>
      </c>
      <c r="BW30" s="1"/>
      <c r="BX30" s="217" t="s">
        <v>128</v>
      </c>
      <c r="BY30" s="219">
        <f>_xlfn.XLOOKUP(ROUND(EXP(phi_l-psi_l^2),0),Tabella34[Day],Tabella34[Date])</f>
        <v>43833</v>
      </c>
      <c r="CL30" s="48" t="b">
        <f>pa&lt;=0</f>
        <v>0</v>
      </c>
    </row>
    <row r="31" spans="2:90" x14ac:dyDescent="0.3">
      <c r="B31" s="262">
        <v>43854</v>
      </c>
      <c r="C31" s="4">
        <v>24</v>
      </c>
      <c r="D31" s="10">
        <f>Tabella8[[#This Row],[Italy cumulative]]</f>
        <v>0</v>
      </c>
      <c r="E31" s="72">
        <f>(Tabella34[[#This Row],[Italy cumul. data]]-D30)</f>
        <v>0</v>
      </c>
      <c r="F31" s="72">
        <f>Tabella34[[#This Row],[Italy rate data]]-E30</f>
        <v>0</v>
      </c>
      <c r="G31" s="142">
        <f>Tabella34[[#This Row],[Italy rate data]]*NOT(ISBLANK(Tabella34[[#This Row],[Italy rate data]]))</f>
        <v>0</v>
      </c>
      <c r="H31" s="143">
        <f>Tabella8[[#This Row],[Italy fit]]</f>
        <v>0</v>
      </c>
      <c r="I31" s="143">
        <f>(ATANH(alpha*Tabella34[[#This Row],[Italy cumul. Fit]]/Kf-(1-alpha*Tabella34[[#This Row],[Italy cumul. Fit]]/Kf)*TANH(phi_f))+phi_f)/psi_f-(Tabella34[[#This Row],[Day]]-pf)</f>
        <v>44.480394693650979</v>
      </c>
      <c r="J31" s="143">
        <f>Tabella34[[#This Row],[Italy d.t.]]/Italy_dt_at_lockdown</f>
        <v>19.597038529560709</v>
      </c>
      <c r="K31" s="143">
        <f>Tabella34[[#This Row],[Italy cumul. Fit]]/Kf</f>
        <v>0</v>
      </c>
      <c r="L31" s="146">
        <f>Tabella34[[#This Row],[sel. region acc. fit]]+Tabella34[[#This Row],[rest of Italy acc. fit]]</f>
        <v>4.1793320291260843</v>
      </c>
      <c r="M31" s="143">
        <f>Tabella34[[#This Row],[Italy (fit of selected region + fitted sum of the other regions)]]/(y_l_peak+y_a_peak)</f>
        <v>1.3197821726104581E-3</v>
      </c>
      <c r="N31" s="143">
        <f>Tabella3[[#This Row],[Italy remov. rate fit]]</f>
        <v>84.807171866772094</v>
      </c>
      <c r="O31" s="143" t="e">
        <f>Kt*EXP(-0.5*Tabella34[[#This Row],[x_t]]^2)/(psi_t*SQRTPI(2)*(Tabella34[[#This Row],[Day]]-D_bk))</f>
        <v>#NUM!</v>
      </c>
      <c r="P31" s="183" t="e">
        <f>Tabella34[[#This Row],[Italy velocity]]/Tabella34[[#This Row],[Italy cumul. Fit]]</f>
        <v>#DIV/0!</v>
      </c>
      <c r="Q31" s="244" t="e">
        <f>(LN(Tabella34[[#This Row],[Day]]-D_bk)-phi_t)/psi_t</f>
        <v>#NUM!</v>
      </c>
      <c r="R31" s="244">
        <f>EXP(phi_t+psi_t*Tabella34[[#This Row],[x_t_alpha©+plus]])-(Tabella34[[#This Row],[Day]]-D_bk)</f>
        <v>48.8909827976671</v>
      </c>
      <c r="S31" s="244">
        <f>EXP(phi_t+psi_t*Tabella34[[#This Row],[x_t_alpha©-minus]])-(Tabella34[[#This Row],[Day]]-D_bk)</f>
        <v>47.998725404075529</v>
      </c>
      <c r="T31" s="244">
        <f>-psi_t+SQRT(psi_t^2-2*Tabella34[[#This Row],[c_t]])</f>
        <v>4.4487572853528281</v>
      </c>
      <c r="U31" s="244">
        <f>-psi_t-SQRT(psi_t^2-2*Tabella34[[#This Row],[c_t]])</f>
        <v>-4.4992759600502001</v>
      </c>
      <c r="V31" s="244">
        <f>phi_t-LN(alpha*Kt/(Tabella34[[#This Row],[Italy velocity]]*psi_t*SQRTPI(2)))</f>
        <v>-10.008093353043083</v>
      </c>
      <c r="W31" s="244" t="e">
        <f>Tabella34[[#This Row],[Italy g.r.]]/Italy_gr_at_lockdown</f>
        <v>#DIV/0!</v>
      </c>
      <c r="X31" s="244">
        <f>(ACOSH(SQRT(alpha*Kf*psi_f/(Tabella34[[#This Row],[Italy velocity]]*(1+TANH(phi_f)))))+phi_f)/psi_f-(Tabella34[[#This Row],[Day]]-pf)</f>
        <v>211.4205222947395</v>
      </c>
      <c r="Y31" s="244">
        <f>Tabella34[[#This Row],[Italy h.t.]]/Italy_ht_at_lockdown</f>
        <v>1.7802688496653154</v>
      </c>
      <c r="Z31" s="72">
        <f>-2*$BY$48*TANH($BY$48*(Tabella34[[#This Row],[Day]]-$BY$57)-$BY$47)*Tabella34[[#This Row],[Italy velocity]]</f>
        <v>4.2264452638980297</v>
      </c>
      <c r="AA31" s="72">
        <f>Tabella34[[#This Row],[Italy acc. fit]]/Itali_acc_at_lockdown</f>
        <v>0.12075444553302547</v>
      </c>
      <c r="AB31" s="143">
        <f>Tabella34[[#This Row],[Italy acc. fit]]/y_f_peak</f>
        <v>1.3379105741666267E-3</v>
      </c>
      <c r="AC31" s="143">
        <f>Tabella34[[#This Row],[Italy (fit of selected region + fitted sum of the other regions)]]*NOT(ISBLANK(Tabella34[[#This Row],[Italy rate data]]))</f>
        <v>4.1793320291260843</v>
      </c>
      <c r="AD31" s="143">
        <f>Tabella34[[#This Row],[Italy acc. fit]]*NOT(ISBLANK(Tabella34[[#This Row],[Italy rate data]]))</f>
        <v>4.2264452638980297</v>
      </c>
      <c r="AE31" s="77">
        <f>Tabella34[[#This Row],[Italy acc. fit]]+CIf</f>
        <v>1659.4364141876495</v>
      </c>
      <c r="AF31" s="77">
        <f>MAX(Tabella34[[#This Row],[Italy acc. fit]]-CIf,0)</f>
        <v>0</v>
      </c>
      <c r="AG31" s="141"/>
      <c r="AH31" s="33"/>
      <c r="AI31" s="33"/>
      <c r="AJ31" s="142">
        <f>Tabella34[[#This Row],[selected region rate data]]*NOT(ISBLANK(Tabella34[[#This Row],[selected region rate data]]))</f>
        <v>0</v>
      </c>
      <c r="AK31" s="147">
        <f>Tabella8[[#This Row],[region fit]]</f>
        <v>0</v>
      </c>
      <c r="AL31" s="143">
        <f>(ATANH(alpha*Tabella34[[#This Row],[sel. region cumul. fit]]/Kl-(1-alpha*Tabella34[[#This Row],[sel. region cumul. fit]]/Kl)*TANH(phi_l))+phi_l)/psi_l-(Tabella34[[#This Row],[Day]]-pl)</f>
        <v>52.356483051343162</v>
      </c>
      <c r="AM31" s="142">
        <f>Tabella34[[#This Row],[sel. region cumul. fit]]/Kl</f>
        <v>0</v>
      </c>
      <c r="AN31" s="143">
        <f>Tabella3[[#This Row],[region fit]]</f>
        <v>7.731966555348829</v>
      </c>
      <c r="AO31" s="183" t="e">
        <f>Tabella34[[#This Row],[sel. region velocity]]/Tabella34[[#This Row],[sel. region cumul. fit]]</f>
        <v>#DIV/0!</v>
      </c>
      <c r="AP31" s="236" t="e">
        <f>(LN(Tabella34[[#This Row],[Day]]-pr)-phi_r)/psi_r</f>
        <v>#NUM!</v>
      </c>
      <c r="AQ31" s="244">
        <f>EXP(phi_r+psi_r*Tabella34[[#This Row],[x_r_alpha©+plus]])-(Tabella34[[#This Row],[Day]]-pr)</f>
        <v>55.637610449645067</v>
      </c>
      <c r="AR31" s="244">
        <f>EXP(phi_r+psi_r*Tabella34[[#This Row],[x_r_alpha©-minus]])-(Tabella34[[#This Row],[Day]]-pr)</f>
        <v>55.09613967007936</v>
      </c>
      <c r="AS31" s="244">
        <f>-psi_r+SQRT(psi_r^2-2*Tabella34[[#This Row],[c_r]])</f>
        <v>4.4564854665389202</v>
      </c>
      <c r="AT31" s="244">
        <f>-psi_r-SQRT(psi_r^2-2*Tabella34[[#This Row],[c_r]])</f>
        <v>-4.4967734762052576</v>
      </c>
      <c r="AU31" s="244">
        <f>phi_r-LN(alpha*Kr/(Tabella34[[#This Row],[sel. region velocity]]*psi_r*SQRTPI(2)))</f>
        <v>-10.019902821513213</v>
      </c>
      <c r="AV31" s="244">
        <f>(ACOSH(SQRT(alpha*Kl*psi_l/(Tabella34[[#This Row],[sel. region velocity]]*(1+TANH(phi_l)))))+phi_l)/psi_l-(Tabella34[[#This Row],[Day]]-pl)</f>
        <v>231.30993243649138</v>
      </c>
      <c r="AW31" s="72">
        <f>-2*$BY$22*TANH($BY$22*(Tabella34[[#This Row],[Day]]-$BY$31)-$BY$21)*Tabella34[[#This Row],[sel. region velocity]]</f>
        <v>0.30321596090286657</v>
      </c>
      <c r="AX31" s="143">
        <f>Tabella34[[#This Row],[sel. region acc. fit]]/y_l_peak</f>
        <v>2.0594041914849454E-3</v>
      </c>
      <c r="AY31" s="143">
        <f>Tabella34[[#This Row],[sel. region acc. fit]]*NOT(ISBLANK(Tabella34[[#This Row],[selected region rate data]]))</f>
        <v>0</v>
      </c>
      <c r="AZ31" s="77">
        <f>Tabella34[[#This Row],[sel. region acc. fit]]+CIl</f>
        <v>69.668202336003262</v>
      </c>
      <c r="BA31" s="77">
        <f>MAX(Tabella34[[#This Row],[sel. region acc. fit]]-CIl,0)</f>
        <v>0</v>
      </c>
      <c r="BB31" s="141"/>
      <c r="BC31" s="33"/>
      <c r="BD31" s="33"/>
      <c r="BE31" s="142">
        <f>Tabella34[[#This Row],[rest of Italy rate data]]*NOT(ISBLANK(Tabella34[[#This Row],[rest of Italy rate data]]))</f>
        <v>0</v>
      </c>
      <c r="BF31" s="188">
        <f>Tabella8[[#This Row],[rest of Italy fit]]</f>
        <v>0</v>
      </c>
      <c r="BG31" s="78">
        <f>(ATANH(alpha*Tabella34[[#This Row],[rest of Italy cumul. fit]]/Ka-(1-alpha*Tabella34[[#This Row],[rest of Italy cumul. fit]]/Ka)*TANH(phi_a))+phi_a)/psi_a-(Tabella34[[#This Row],[Day]]-pa)</f>
        <v>43.882529907638357</v>
      </c>
      <c r="BH31" s="143">
        <f>Tabella34[[#This Row],[rest of Italy cumul. fit]]/Ka</f>
        <v>0</v>
      </c>
      <c r="BI31" s="143">
        <f>Tabella3[[#This Row],[rest of Italy fit]]</f>
        <v>76.513923215108818</v>
      </c>
      <c r="BJ31" s="183" t="e">
        <f>Tabella34[[#This Row],[rest of Italy velocity]]/Tabella34[[#This Row],[rest of Italy cumul. fit]]</f>
        <v>#DIV/0!</v>
      </c>
      <c r="BK31" s="236" t="e">
        <f>(LN(Tabella34[[#This Row],[Day]]-po)-phi_o)/psi_o</f>
        <v>#NUM!</v>
      </c>
      <c r="BL31" s="244">
        <f>EXP(phi_o+psi_o*Tabella34[[#This Row],[x_o_alpha©+plus]])-(Tabella34[[#This Row],[Day]]-po)</f>
        <v>48.421485628885492</v>
      </c>
      <c r="BM31" s="244">
        <f>EXP(phi_o+psi_o*Tabella34[[#This Row],[x_o_alpha©-minus]])-(Tabella34[[#This Row],[Day]]-po)</f>
        <v>47.490295191181254</v>
      </c>
      <c r="BN31" s="244">
        <f>-psi_o+SQRT(psi_o^2-2*Tabella34[[#This Row],[c_o]])</f>
        <v>4.4489823503205512</v>
      </c>
      <c r="BO31" s="244">
        <f>-psi_o-SQRT(psi_o^2-2*Tabella34[[#This Row],[c_o]])</f>
        <v>-4.5002956345882046</v>
      </c>
      <c r="BP31" s="244">
        <f>phi_o-LN(alpha*Ko/(Tabella34[[#This Row],[rest of Italy velocity]]*psi_o*SQRTPI(2)))</f>
        <v>-10.010867924753773</v>
      </c>
      <c r="BQ31" s="244">
        <f>(ACOSH(SQRT(alpha*Ka*psi_a/(Tabella34[[#This Row],[rest of Italy velocity]]*(1+TANH(phi_a)))))+phi_a)/psi_a-(Tabella34[[#This Row],[Day]]-pa)</f>
        <v>210.41903241887496</v>
      </c>
      <c r="BR31" s="72">
        <f>-2*$BY$35*TANH($BY$35*(Tabella34[[#This Row],[Day]]-$BY$44)-$BY$34)*Tabella34[[#This Row],[rest of Italy velocity]]</f>
        <v>3.8761160682232174</v>
      </c>
      <c r="BS31" s="143">
        <f>Tabella34[[#This Row],[rest of Italy acc. fit]]/y_a_peak</f>
        <v>1.2837166121302803E-3</v>
      </c>
      <c r="BT31" s="142">
        <f>Tabella34[[#This Row],[rest of Italy acc. fit]]*NOT(ISBLANK(Tabella34[[#This Row],[rest of Italy rate data]]))</f>
        <v>0</v>
      </c>
      <c r="BU31" s="77">
        <f>Tabella34[[#This Row],[rest of Italy acc. fit]]+CIa</f>
        <v>1638.0100560220246</v>
      </c>
      <c r="BV31" s="77">
        <f>MAX(Tabella34[[#This Row],[rest of Italy acc. fit]]-CIa,0)</f>
        <v>0</v>
      </c>
      <c r="BW31" s="1"/>
      <c r="BX31" s="220" t="s">
        <v>4346</v>
      </c>
      <c r="BY31" s="221">
        <f>pl</f>
        <v>76.356483051343162</v>
      </c>
      <c r="CL31" s="48" t="b">
        <f>psi_a&gt;=0.000001</f>
        <v>1</v>
      </c>
    </row>
    <row r="32" spans="2:90" x14ac:dyDescent="0.3">
      <c r="B32" s="262">
        <v>43855</v>
      </c>
      <c r="C32" s="4">
        <v>25</v>
      </c>
      <c r="D32" s="10">
        <f>Tabella8[[#This Row],[Italy cumulative]]</f>
        <v>0</v>
      </c>
      <c r="E32" s="72">
        <f>(Tabella34[[#This Row],[Italy cumul. data]]-D31)</f>
        <v>0</v>
      </c>
      <c r="F32" s="72">
        <f>Tabella34[[#This Row],[Italy rate data]]-E31</f>
        <v>0</v>
      </c>
      <c r="G32" s="142">
        <f>Tabella34[[#This Row],[Italy rate data]]*NOT(ISBLANK(Tabella34[[#This Row],[Italy rate data]]))</f>
        <v>0</v>
      </c>
      <c r="H32" s="143">
        <f>Tabella8[[#This Row],[Italy fit]]</f>
        <v>0</v>
      </c>
      <c r="I32" s="143">
        <f>(ATANH(alpha*Tabella34[[#This Row],[Italy cumul. Fit]]/Kf-(1-alpha*Tabella34[[#This Row],[Italy cumul. Fit]]/Kf)*TANH(phi_f))+phi_f)/psi_f-(Tabella34[[#This Row],[Day]]-pf)</f>
        <v>43.480394693650979</v>
      </c>
      <c r="J32" s="143">
        <f>Tabella34[[#This Row],[Italy d.t.]]/Italy_dt_at_lockdown</f>
        <v>19.156461536830967</v>
      </c>
      <c r="K32" s="143">
        <f>Tabella34[[#This Row],[Italy cumul. Fit]]/Kf</f>
        <v>0</v>
      </c>
      <c r="L32" s="146">
        <f>Tabella34[[#This Row],[sel. region acc. fit]]+Tabella34[[#This Row],[rest of Italy acc. fit]]</f>
        <v>4.389698077480519</v>
      </c>
      <c r="M32" s="143">
        <f>Tabella34[[#This Row],[Italy (fit of selected region + fitted sum of the other regions)]]/(y_l_peak+y_a_peak)</f>
        <v>1.3862132095335397E-3</v>
      </c>
      <c r="N32" s="143">
        <f>Tabella3[[#This Row],[Italy remov. rate fit]]</f>
        <v>89.139150523834033</v>
      </c>
      <c r="O32" s="143" t="e">
        <f>Kt*EXP(-0.5*Tabella34[[#This Row],[x_t]]^2)/(psi_t*SQRTPI(2)*(Tabella34[[#This Row],[Day]]-D_bk))</f>
        <v>#NUM!</v>
      </c>
      <c r="P32" s="183" t="e">
        <f>Tabella34[[#This Row],[Italy velocity]]/Tabella34[[#This Row],[Italy cumul. Fit]]</f>
        <v>#DIV/0!</v>
      </c>
      <c r="Q32" s="244" t="e">
        <f>(LN(Tabella34[[#This Row],[Day]]-D_bk)-phi_t)/psi_t</f>
        <v>#NUM!</v>
      </c>
      <c r="R32" s="244">
        <f>EXP(phi_t+psi_t*Tabella34[[#This Row],[x_t_alpha©+plus]])-(Tabella34[[#This Row],[Day]]-D_bk)</f>
        <v>47.889740882223236</v>
      </c>
      <c r="S32" s="244">
        <f>EXP(phi_t+psi_t*Tabella34[[#This Row],[x_t_alpha©-minus]])-(Tabella34[[#This Row],[Day]]-D_bk)</f>
        <v>46.999716360344109</v>
      </c>
      <c r="T32" s="244">
        <f>-psi_t+SQRT(psi_t^2-2*Tabella34[[#This Row],[c_t]])</f>
        <v>4.4376083159521675</v>
      </c>
      <c r="U32" s="244">
        <f>-psi_t-SQRT(psi_t^2-2*Tabella34[[#This Row],[c_t]])</f>
        <v>-4.4881269906495396</v>
      </c>
      <c r="V32" s="244">
        <f>phi_t-LN(alpha*Kt/(Tabella34[[#This Row],[Italy velocity]]*psi_t*SQRTPI(2)))</f>
        <v>-9.9582748283778884</v>
      </c>
      <c r="W32" s="244" t="e">
        <f>Tabella34[[#This Row],[Italy g.r.]]/Italy_gr_at_lockdown</f>
        <v>#DIV/0!</v>
      </c>
      <c r="X32" s="244">
        <f>(ACOSH(SQRT(alpha*Kf*psi_f/(Tabella34[[#This Row],[Italy velocity]]*(1+TANH(phi_f)))))+phi_f)/psi_f-(Tabella34[[#This Row],[Day]]-pf)</f>
        <v>209.42752445607982</v>
      </c>
      <c r="Y32" s="244">
        <f>Tabella34[[#This Row],[Italy h.t.]]/Italy_ht_at_lockdown</f>
        <v>1.7634867892905435</v>
      </c>
      <c r="Z32" s="72">
        <f>-2*$BY$48*TANH($BY$48*(Tabella34[[#This Row],[Day]]-$BY$57)-$BY$47)*Tabella34[[#This Row],[Italy velocity]]</f>
        <v>4.4392024424269509</v>
      </c>
      <c r="AA32" s="72">
        <f>Tabella34[[#This Row],[Italy acc. fit]]/Itali_acc_at_lockdown</f>
        <v>0.12683316500583744</v>
      </c>
      <c r="AB32" s="143">
        <f>Tabella34[[#This Row],[Italy acc. fit]]/y_f_peak</f>
        <v>1.405260335280336E-3</v>
      </c>
      <c r="AC32" s="143">
        <f>Tabella34[[#This Row],[Italy (fit of selected region + fitted sum of the other regions)]]*NOT(ISBLANK(Tabella34[[#This Row],[Italy rate data]]))</f>
        <v>4.389698077480519</v>
      </c>
      <c r="AD32" s="143">
        <f>Tabella34[[#This Row],[Italy acc. fit]]*NOT(ISBLANK(Tabella34[[#This Row],[Italy rate data]]))</f>
        <v>4.4392024424269509</v>
      </c>
      <c r="AE32" s="77">
        <f>Tabella34[[#This Row],[Italy acc. fit]]+CIf</f>
        <v>1659.6491713661783</v>
      </c>
      <c r="AF32" s="77">
        <f>MAX(Tabella34[[#This Row],[Italy acc. fit]]-CIf,0)</f>
        <v>0</v>
      </c>
      <c r="AG32" s="141"/>
      <c r="AH32" s="33"/>
      <c r="AI32" s="33"/>
      <c r="AJ32" s="142">
        <f>Tabella34[[#This Row],[selected region rate data]]*NOT(ISBLANK(Tabella34[[#This Row],[selected region rate data]]))</f>
        <v>0</v>
      </c>
      <c r="AK32" s="147">
        <f>Tabella8[[#This Row],[region fit]]</f>
        <v>0</v>
      </c>
      <c r="AL32" s="143">
        <f>(ATANH(alpha*Tabella34[[#This Row],[sel. region cumul. fit]]/Kl-(1-alpha*Tabella34[[#This Row],[sel. region cumul. fit]]/Kl)*TANH(phi_l))+phi_l)/psi_l-(Tabella34[[#This Row],[Day]]-pl)</f>
        <v>51.356483051343162</v>
      </c>
      <c r="AM32" s="142">
        <f>Tabella34[[#This Row],[sel. region cumul. fit]]/Kl</f>
        <v>0</v>
      </c>
      <c r="AN32" s="143">
        <f>Tabella3[[#This Row],[region fit]]</f>
        <v>8.041032832116878</v>
      </c>
      <c r="AO32" s="183" t="e">
        <f>Tabella34[[#This Row],[sel. region velocity]]/Tabella34[[#This Row],[sel. region cumul. fit]]</f>
        <v>#DIV/0!</v>
      </c>
      <c r="AP32" s="236" t="e">
        <f>(LN(Tabella34[[#This Row],[Day]]-pr)-phi_r)/psi_r</f>
        <v>#NUM!</v>
      </c>
      <c r="AQ32" s="244">
        <f>EXP(phi_r+psi_r*Tabella34[[#This Row],[x_r_alpha©+plus]])-(Tabella34[[#This Row],[Day]]-pr)</f>
        <v>54.63703125083012</v>
      </c>
      <c r="AR32" s="244">
        <f>EXP(phi_r+psi_r*Tabella34[[#This Row],[x_r_alpha©-minus]])-(Tabella34[[#This Row],[Day]]-pr)</f>
        <v>54.096623371512912</v>
      </c>
      <c r="AS32" s="244">
        <f>-psi_r+SQRT(psi_r^2-2*Tabella34[[#This Row],[c_r]])</f>
        <v>4.4477215730873887</v>
      </c>
      <c r="AT32" s="244">
        <f>-psi_r-SQRT(psi_r^2-2*Tabella34[[#This Row],[c_r]])</f>
        <v>-4.4880095827537261</v>
      </c>
      <c r="AU32" s="244">
        <f>phi_r-LN(alpha*Kr/(Tabella34[[#This Row],[sel. region velocity]]*psi_r*SQRTPI(2)))</f>
        <v>-9.9807085207183377</v>
      </c>
      <c r="AV32" s="244">
        <f>(ACOSH(SQRT(alpha*Kl*psi_l/(Tabella34[[#This Row],[sel. region velocity]]*(1+TANH(phi_l)))))+phi_l)/psi_l-(Tabella34[[#This Row],[Day]]-pl)</f>
        <v>229.32378623885543</v>
      </c>
      <c r="AW32" s="72">
        <f>-2*$BY$22*TANH($BY$22*(Tabella34[[#This Row],[Day]]-$BY$31)-$BY$21)*Tabella34[[#This Row],[sel. region velocity]]</f>
        <v>0.31498676555257538</v>
      </c>
      <c r="AX32" s="143">
        <f>Tabella34[[#This Row],[sel. region acc. fit]]/y_l_peak</f>
        <v>2.1393499976376969E-3</v>
      </c>
      <c r="AY32" s="143">
        <f>Tabella34[[#This Row],[sel. region acc. fit]]*NOT(ISBLANK(Tabella34[[#This Row],[selected region rate data]]))</f>
        <v>0</v>
      </c>
      <c r="AZ32" s="77">
        <f>Tabella34[[#This Row],[sel. region acc. fit]]+CIl</f>
        <v>69.679973140652976</v>
      </c>
      <c r="BA32" s="77">
        <f>MAX(Tabella34[[#This Row],[sel. region acc. fit]]-CIl,0)</f>
        <v>0</v>
      </c>
      <c r="BB32" s="141"/>
      <c r="BC32" s="33"/>
      <c r="BD32" s="33"/>
      <c r="BE32" s="142">
        <f>Tabella34[[#This Row],[rest of Italy rate data]]*NOT(ISBLANK(Tabella34[[#This Row],[rest of Italy rate data]]))</f>
        <v>0</v>
      </c>
      <c r="BF32" s="188">
        <f>Tabella8[[#This Row],[rest of Italy fit]]</f>
        <v>0</v>
      </c>
      <c r="BG32" s="78">
        <f>(ATANH(alpha*Tabella34[[#This Row],[rest of Italy cumul. fit]]/Ka-(1-alpha*Tabella34[[#This Row],[rest of Italy cumul. fit]]/Ka)*TANH(phi_a))+phi_a)/psi_a-(Tabella34[[#This Row],[Day]]-pa)</f>
        <v>42.882529907638357</v>
      </c>
      <c r="BH32" s="143">
        <f>Tabella34[[#This Row],[rest of Italy cumul. fit]]/Ka</f>
        <v>0</v>
      </c>
      <c r="BI32" s="143">
        <f>Tabella3[[#This Row],[rest of Italy fit]]</f>
        <v>80.488532836908576</v>
      </c>
      <c r="BJ32" s="183" t="e">
        <f>Tabella34[[#This Row],[rest of Italy velocity]]/Tabella34[[#This Row],[rest of Italy cumul. fit]]</f>
        <v>#DIV/0!</v>
      </c>
      <c r="BK32" s="236" t="e">
        <f>(LN(Tabella34[[#This Row],[Day]]-po)-phi_o)/psi_o</f>
        <v>#NUM!</v>
      </c>
      <c r="BL32" s="244">
        <f>EXP(phi_o+psi_o*Tabella34[[#This Row],[x_o_alpha©+plus]])-(Tabella34[[#This Row],[Day]]-po)</f>
        <v>47.420166170407285</v>
      </c>
      <c r="BM32" s="244">
        <f>EXP(phi_o+psi_o*Tabella34[[#This Row],[x_o_alpha©-minus]])-(Tabella34[[#This Row],[Day]]-po)</f>
        <v>46.4913442608323</v>
      </c>
      <c r="BN32" s="244">
        <f>-psi_o+SQRT(psi_o^2-2*Tabella34[[#This Row],[c_o]])</f>
        <v>4.437650440833627</v>
      </c>
      <c r="BO32" s="244">
        <f>-psi_o-SQRT(psi_o^2-2*Tabella34[[#This Row],[c_o]])</f>
        <v>-4.4889637251012804</v>
      </c>
      <c r="BP32" s="244">
        <f>phi_o-LN(alpha*Ko/(Tabella34[[#This Row],[rest of Italy velocity]]*psi_o*SQRTPI(2)))</f>
        <v>-9.9602259267909279</v>
      </c>
      <c r="BQ32" s="244">
        <f>(ACOSH(SQRT(alpha*Ka*psi_a/(Tabella34[[#This Row],[rest of Italy velocity]]*(1+TANH(phi_a)))))+phi_a)/psi_a-(Tabella34[[#This Row],[Day]]-pa)</f>
        <v>208.4256380898089</v>
      </c>
      <c r="BR32" s="72">
        <f>-2*$BY$35*TANH($BY$35*(Tabella34[[#This Row],[Day]]-$BY$44)-$BY$34)*Tabella34[[#This Row],[rest of Italy velocity]]</f>
        <v>4.0747113119279437</v>
      </c>
      <c r="BS32" s="143">
        <f>Tabella34[[#This Row],[rest of Italy acc. fit]]/y_a_peak</f>
        <v>1.3494886398370462E-3</v>
      </c>
      <c r="BT32" s="142">
        <f>Tabella34[[#This Row],[rest of Italy acc. fit]]*NOT(ISBLANK(Tabella34[[#This Row],[rest of Italy rate data]]))</f>
        <v>0</v>
      </c>
      <c r="BU32" s="77">
        <f>Tabella34[[#This Row],[rest of Italy acc. fit]]+CIa</f>
        <v>1638.2086512657295</v>
      </c>
      <c r="BV32" s="77">
        <f>MAX(Tabella34[[#This Row],[rest of Italy acc. fit]]-CIa,0)</f>
        <v>0</v>
      </c>
      <c r="BW32" s="1"/>
      <c r="BX32" s="222" t="s">
        <v>83</v>
      </c>
      <c r="BY32" s="223" t="s">
        <v>119</v>
      </c>
      <c r="CL32" s="48">
        <f>{32767;32767;0.000001;0.01;FALSE;FALSE;FALSE;1;2;1;0.0001;TRUE}</f>
        <v>32767</v>
      </c>
    </row>
    <row r="33" spans="2:90" ht="15" thickBot="1" x14ac:dyDescent="0.35">
      <c r="B33" s="262">
        <v>43856</v>
      </c>
      <c r="C33" s="4">
        <v>26</v>
      </c>
      <c r="D33" s="10">
        <f>Tabella8[[#This Row],[Italy cumulative]]</f>
        <v>0</v>
      </c>
      <c r="E33" s="72">
        <f>(Tabella34[[#This Row],[Italy cumul. data]]-D32)</f>
        <v>0</v>
      </c>
      <c r="F33" s="72">
        <f>Tabella34[[#This Row],[Italy rate data]]-E32</f>
        <v>0</v>
      </c>
      <c r="G33" s="142">
        <f>Tabella34[[#This Row],[Italy rate data]]*NOT(ISBLANK(Tabella34[[#This Row],[Italy rate data]]))</f>
        <v>0</v>
      </c>
      <c r="H33" s="143">
        <f>Tabella8[[#This Row],[Italy fit]]</f>
        <v>0</v>
      </c>
      <c r="I33" s="143">
        <f>(ATANH(alpha*Tabella34[[#This Row],[Italy cumul. Fit]]/Kf-(1-alpha*Tabella34[[#This Row],[Italy cumul. Fit]]/Kf)*TANH(phi_f))+phi_f)/psi_f-(Tabella34[[#This Row],[Day]]-pf)</f>
        <v>42.480394693650979</v>
      </c>
      <c r="J33" s="143">
        <f>Tabella34[[#This Row],[Italy d.t.]]/Italy_dt_at_lockdown</f>
        <v>18.715884544101225</v>
      </c>
      <c r="K33" s="143">
        <f>Tabella34[[#This Row],[Italy cumul. Fit]]/Kf</f>
        <v>0</v>
      </c>
      <c r="L33" s="146">
        <f>Tabella34[[#This Row],[sel. region acc. fit]]+Tabella34[[#This Row],[rest of Italy acc. fit]]</f>
        <v>4.6103640277629889</v>
      </c>
      <c r="M33" s="143">
        <f>Tabella34[[#This Row],[Italy (fit of selected region + fitted sum of the other regions)]]/(y_l_peak+y_a_peak)</f>
        <v>1.4558968300870969E-3</v>
      </c>
      <c r="N33" s="143">
        <f>Tabella3[[#This Row],[Italy remov. rate fit]]</f>
        <v>93.689033831601563</v>
      </c>
      <c r="O33" s="143" t="e">
        <f>Kt*EXP(-0.5*Tabella34[[#This Row],[x_t]]^2)/(psi_t*SQRTPI(2)*(Tabella34[[#This Row],[Day]]-D_bk))</f>
        <v>#NUM!</v>
      </c>
      <c r="P33" s="183" t="e">
        <f>Tabella34[[#This Row],[Italy velocity]]/Tabella34[[#This Row],[Italy cumul. Fit]]</f>
        <v>#DIV/0!</v>
      </c>
      <c r="Q33" s="244" t="e">
        <f>(LN(Tabella34[[#This Row],[Day]]-D_bk)-phi_t)/psi_t</f>
        <v>#NUM!</v>
      </c>
      <c r="R33" s="244">
        <f>EXP(phi_t+psi_t*Tabella34[[#This Row],[x_t_alpha©+plus]])-(Tabella34[[#This Row],[Day]]-D_bk)</f>
        <v>46.888497108306211</v>
      </c>
      <c r="S33" s="244">
        <f>EXP(phi_t+psi_t*Tabella34[[#This Row],[x_t_alpha©-minus]])-(Tabella34[[#This Row],[Day]]-D_bk)</f>
        <v>46.000709359163757</v>
      </c>
      <c r="T33" s="244">
        <f>-psi_t+SQRT(psi_t^2-2*Tabella34[[#This Row],[c_t]])</f>
        <v>4.4264395149353026</v>
      </c>
      <c r="U33" s="244">
        <f>-psi_t-SQRT(psi_t^2-2*Tabella34[[#This Row],[c_t]])</f>
        <v>-4.4769581896326747</v>
      </c>
      <c r="V33" s="244">
        <f>phi_t-LN(alpha*Kt/(Tabella34[[#This Row],[Italy velocity]]*psi_t*SQRTPI(2)))</f>
        <v>-9.9084923186516445</v>
      </c>
      <c r="W33" s="244" t="e">
        <f>Tabella34[[#This Row],[Italy g.r.]]/Italy_gr_at_lockdown</f>
        <v>#DIV/0!</v>
      </c>
      <c r="X33" s="244">
        <f>(ACOSH(SQRT(alpha*Kf*psi_f/(Tabella34[[#This Row],[Italy velocity]]*(1+TANH(phi_f)))))+phi_f)/psi_f-(Tabella34[[#This Row],[Day]]-pf)</f>
        <v>207.43489075297072</v>
      </c>
      <c r="Y33" s="244">
        <f>Tabella34[[#This Row],[Italy h.t.]]/Italy_ht_at_lockdown</f>
        <v>1.7467077951232084</v>
      </c>
      <c r="Z33" s="72">
        <f>-2*$BY$48*TANH($BY$48*(Tabella34[[#This Row],[Day]]-$BY$57)-$BY$47)*Tabella34[[#This Row],[Italy velocity]]</f>
        <v>4.6623314339507758</v>
      </c>
      <c r="AA33" s="72">
        <f>Tabella34[[#This Row],[Italy acc. fit]]/Itali_acc_at_lockdown</f>
        <v>0.1332082192113076</v>
      </c>
      <c r="AB33" s="143">
        <f>Tabella34[[#This Row],[Italy acc. fit]]/y_f_peak</f>
        <v>1.4758933657640979E-3</v>
      </c>
      <c r="AC33" s="143">
        <f>Tabella34[[#This Row],[Italy (fit of selected region + fitted sum of the other regions)]]*NOT(ISBLANK(Tabella34[[#This Row],[Italy rate data]]))</f>
        <v>4.6103640277629889</v>
      </c>
      <c r="AD33" s="143">
        <f>Tabella34[[#This Row],[Italy acc. fit]]*NOT(ISBLANK(Tabella34[[#This Row],[Italy rate data]]))</f>
        <v>4.6623314339507758</v>
      </c>
      <c r="AE33" s="77">
        <f>Tabella34[[#This Row],[Italy acc. fit]]+CIf</f>
        <v>1659.8723003577022</v>
      </c>
      <c r="AF33" s="77">
        <f>MAX(Tabella34[[#This Row],[Italy acc. fit]]-CIf,0)</f>
        <v>0</v>
      </c>
      <c r="AG33" s="141"/>
      <c r="AH33" s="33"/>
      <c r="AI33" s="33"/>
      <c r="AJ33" s="142">
        <f>Tabella34[[#This Row],[selected region rate data]]*NOT(ISBLANK(Tabella34[[#This Row],[selected region rate data]]))</f>
        <v>0</v>
      </c>
      <c r="AK33" s="147">
        <f>Tabella8[[#This Row],[region fit]]</f>
        <v>0</v>
      </c>
      <c r="AL33" s="143">
        <f>(ATANH(alpha*Tabella34[[#This Row],[sel. region cumul. fit]]/Kl-(1-alpha*Tabella34[[#This Row],[sel. region cumul. fit]]/Kl)*TANH(phi_l))+phi_l)/psi_l-(Tabella34[[#This Row],[Day]]-pl)</f>
        <v>50.356483051343162</v>
      </c>
      <c r="AM33" s="142">
        <f>Tabella34[[#This Row],[sel. region cumul. fit]]/Kl</f>
        <v>0</v>
      </c>
      <c r="AN33" s="143">
        <f>Tabella3[[#This Row],[region fit]]</f>
        <v>8.362082588790873</v>
      </c>
      <c r="AO33" s="183" t="e">
        <f>Tabella34[[#This Row],[sel. region velocity]]/Tabella34[[#This Row],[sel. region cumul. fit]]</f>
        <v>#DIV/0!</v>
      </c>
      <c r="AP33" s="236" t="e">
        <f>(LN(Tabella34[[#This Row],[Day]]-pr)-phi_r)/psi_r</f>
        <v>#NUM!</v>
      </c>
      <c r="AQ33" s="244">
        <f>EXP(phi_r+psi_r*Tabella34[[#This Row],[x_r_alpha©+plus]])-(Tabella34[[#This Row],[Day]]-pr)</f>
        <v>53.636451673022918</v>
      </c>
      <c r="AR33" s="244">
        <f>EXP(phi_r+psi_r*Tabella34[[#This Row],[x_r_alpha©-minus]])-(Tabella34[[#This Row],[Day]]-pr)</f>
        <v>53.09710756044926</v>
      </c>
      <c r="AS33" s="244">
        <f>-psi_r+SQRT(psi_r^2-2*Tabella34[[#This Row],[c_r]])</f>
        <v>4.4389503961109114</v>
      </c>
      <c r="AT33" s="244">
        <f>-psi_r-SQRT(psi_r^2-2*Tabella34[[#This Row],[c_r]])</f>
        <v>-4.4792384057772487</v>
      </c>
      <c r="AU33" s="244">
        <f>phi_r-LN(alpha*Kr/(Tabella34[[#This Row],[sel. region velocity]]*psi_r*SQRTPI(2)))</f>
        <v>-9.9415585478000636</v>
      </c>
      <c r="AV33" s="244">
        <f>(ACOSH(SQRT(alpha*Kl*psi_l/(Tabella34[[#This Row],[sel. region velocity]]*(1+TANH(phi_l)))))+phi_l)/psi_l-(Tabella34[[#This Row],[Day]]-pl)</f>
        <v>227.33821351614966</v>
      </c>
      <c r="AW33" s="72">
        <f>-2*$BY$22*TANH($BY$22*(Tabella34[[#This Row],[Day]]-$BY$31)-$BY$21)*Tabella34[[#This Row],[sel. region velocity]]</f>
        <v>0.32718508406704983</v>
      </c>
      <c r="AX33" s="143">
        <f>Tabella34[[#This Row],[sel. region acc. fit]]/y_l_peak</f>
        <v>2.2221994235154612E-3</v>
      </c>
      <c r="AY33" s="143">
        <f>Tabella34[[#This Row],[sel. region acc. fit]]*NOT(ISBLANK(Tabella34[[#This Row],[selected region rate data]]))</f>
        <v>0</v>
      </c>
      <c r="AZ33" s="77">
        <f>Tabella34[[#This Row],[sel. region acc. fit]]+CIl</f>
        <v>69.692171459167454</v>
      </c>
      <c r="BA33" s="77">
        <f>MAX(Tabella34[[#This Row],[sel. region acc. fit]]-CIl,0)</f>
        <v>0</v>
      </c>
      <c r="BB33" s="141"/>
      <c r="BC33" s="33"/>
      <c r="BD33" s="33"/>
      <c r="BE33" s="142">
        <f>Tabella34[[#This Row],[rest of Italy rate data]]*NOT(ISBLANK(Tabella34[[#This Row],[rest of Italy rate data]]))</f>
        <v>0</v>
      </c>
      <c r="BF33" s="188">
        <f>Tabella8[[#This Row],[rest of Italy fit]]</f>
        <v>0</v>
      </c>
      <c r="BG33" s="78">
        <f>(ATANH(alpha*Tabella34[[#This Row],[rest of Italy cumul. fit]]/Ka-(1-alpha*Tabella34[[#This Row],[rest of Italy cumul. fit]]/Ka)*TANH(phi_a))+phi_a)/psi_a-(Tabella34[[#This Row],[Day]]-pa)</f>
        <v>41.882529907638357</v>
      </c>
      <c r="BH33" s="143">
        <f>Tabella34[[#This Row],[rest of Italy cumul. fit]]/Ka</f>
        <v>0</v>
      </c>
      <c r="BI33" s="143">
        <f>Tabella3[[#This Row],[rest of Italy fit]]</f>
        <v>84.666636441606272</v>
      </c>
      <c r="BJ33" s="183" t="e">
        <f>Tabella34[[#This Row],[rest of Italy velocity]]/Tabella34[[#This Row],[rest of Italy cumul. fit]]</f>
        <v>#DIV/0!</v>
      </c>
      <c r="BK33" s="236" t="e">
        <f>(LN(Tabella34[[#This Row],[Day]]-po)-phi_o)/psi_o</f>
        <v>#NUM!</v>
      </c>
      <c r="BL33" s="244">
        <f>EXP(phi_o+psi_o*Tabella34[[#This Row],[x_o_alpha©+plus]])-(Tabella34[[#This Row],[Day]]-po)</f>
        <v>46.41884465609656</v>
      </c>
      <c r="BM33" s="244">
        <f>EXP(phi_o+psi_o*Tabella34[[#This Row],[x_o_alpha©-minus]])-(Tabella34[[#This Row],[Day]]-po)</f>
        <v>45.492395576730097</v>
      </c>
      <c r="BN33" s="244">
        <f>-psi_o+SQRT(psi_o^2-2*Tabella34[[#This Row],[c_o]])</f>
        <v>4.426297571943171</v>
      </c>
      <c r="BO33" s="244">
        <f>-psi_o-SQRT(psi_o^2-2*Tabella34[[#This Row],[c_o]])</f>
        <v>-4.4776108562108243</v>
      </c>
      <c r="BP33" s="244">
        <f>phi_o-LN(alpha*Ko/(Tabella34[[#This Row],[rest of Italy velocity]]*psi_o*SQRTPI(2)))</f>
        <v>-9.9096190304761791</v>
      </c>
      <c r="BQ33" s="244">
        <f>(ACOSH(SQRT(alpha*Ka*psi_a/(Tabella34[[#This Row],[rest of Italy velocity]]*(1+TANH(phi_a)))))+phi_a)/psi_a-(Tabella34[[#This Row],[Day]]-pa)</f>
        <v>206.43259275188393</v>
      </c>
      <c r="BR33" s="72">
        <f>-2*$BY$35*TANH($BY$35*(Tabella34[[#This Row],[Day]]-$BY$44)-$BY$34)*Tabella34[[#This Row],[rest of Italy velocity]]</f>
        <v>4.2831789436959395</v>
      </c>
      <c r="BS33" s="143">
        <f>Tabella34[[#This Row],[rest of Italy acc. fit]]/y_a_peak</f>
        <v>1.4185302674048984E-3</v>
      </c>
      <c r="BT33" s="142">
        <f>Tabella34[[#This Row],[rest of Italy acc. fit]]*NOT(ISBLANK(Tabella34[[#This Row],[rest of Italy rate data]]))</f>
        <v>0</v>
      </c>
      <c r="BU33" s="77">
        <f>Tabella34[[#This Row],[rest of Italy acc. fit]]+CIa</f>
        <v>1638.4171188974974</v>
      </c>
      <c r="BV33" s="77">
        <f>MAX(Tabella34[[#This Row],[rest of Italy acc. fit]]-CIa,0)</f>
        <v>0</v>
      </c>
      <c r="BW33" s="1"/>
      <c r="BX33" s="212" t="s">
        <v>0</v>
      </c>
      <c r="BY33" s="211">
        <f>Ka</f>
        <v>221844.11652703283</v>
      </c>
      <c r="CL33" s="48">
        <f>{0;0;1;200;0;FALSE;FALSE;0.075;0;0;FALSE;30}</f>
        <v>0</v>
      </c>
    </row>
    <row r="34" spans="2:90" x14ac:dyDescent="0.3">
      <c r="B34" s="262">
        <v>43857</v>
      </c>
      <c r="C34" s="4">
        <v>27</v>
      </c>
      <c r="D34" s="10">
        <f>Tabella8[[#This Row],[Italy cumulative]]</f>
        <v>0</v>
      </c>
      <c r="E34" s="72">
        <f>(Tabella34[[#This Row],[Italy cumul. data]]-D33)</f>
        <v>0</v>
      </c>
      <c r="F34" s="72">
        <f>Tabella34[[#This Row],[Italy rate data]]-E33</f>
        <v>0</v>
      </c>
      <c r="G34" s="142">
        <f>Tabella34[[#This Row],[Italy rate data]]*NOT(ISBLANK(Tabella34[[#This Row],[Italy rate data]]))</f>
        <v>0</v>
      </c>
      <c r="H34" s="143">
        <f>Tabella8[[#This Row],[Italy fit]]</f>
        <v>0</v>
      </c>
      <c r="I34" s="143">
        <f>(ATANH(alpha*Tabella34[[#This Row],[Italy cumul. Fit]]/Kf-(1-alpha*Tabella34[[#This Row],[Italy cumul. Fit]]/Kf)*TANH(phi_f))+phi_f)/psi_f-(Tabella34[[#This Row],[Day]]-pf)</f>
        <v>41.480394693650979</v>
      </c>
      <c r="J34" s="143">
        <f>Tabella34[[#This Row],[Italy d.t.]]/Italy_dt_at_lockdown</f>
        <v>18.275307551371483</v>
      </c>
      <c r="K34" s="143">
        <f>Tabella34[[#This Row],[Italy cumul. Fit]]/Kf</f>
        <v>0</v>
      </c>
      <c r="L34" s="146">
        <f>Tabella34[[#This Row],[sel. region acc. fit]]+Tabella34[[#This Row],[rest of Italy acc. fit]]</f>
        <v>4.8418011809460477</v>
      </c>
      <c r="M34" s="143">
        <f>Tabella34[[#This Row],[Italy (fit of selected region + fitted sum of the other regions)]]/(y_l_peak+y_a_peak)</f>
        <v>1.5289818653803054E-3</v>
      </c>
      <c r="N34" s="143">
        <f>Tabella3[[#This Row],[Italy remov. rate fit]]</f>
        <v>98.46742708803265</v>
      </c>
      <c r="O34" s="143" t="e">
        <f>Kt*EXP(-0.5*Tabella34[[#This Row],[x_t]]^2)/(psi_t*SQRTPI(2)*(Tabella34[[#This Row],[Day]]-D_bk))</f>
        <v>#NUM!</v>
      </c>
      <c r="P34" s="183" t="e">
        <f>Tabella34[[#This Row],[Italy velocity]]/Tabella34[[#This Row],[Italy cumul. Fit]]</f>
        <v>#DIV/0!</v>
      </c>
      <c r="Q34" s="244" t="e">
        <f>(LN(Tabella34[[#This Row],[Day]]-D_bk)-phi_t)/psi_t</f>
        <v>#NUM!</v>
      </c>
      <c r="R34" s="244">
        <f>EXP(phi_t+psi_t*Tabella34[[#This Row],[x_t_alpha©+plus]])-(Tabella34[[#This Row],[Day]]-D_bk)</f>
        <v>45.887251507110591</v>
      </c>
      <c r="S34" s="244">
        <f>EXP(phi_t+psi_t*Tabella34[[#This Row],[x_t_alpha©-minus]])-(Tabella34[[#This Row],[Day]]-D_bk)</f>
        <v>45.001704378594148</v>
      </c>
      <c r="T34" s="244">
        <f>-psi_t+SQRT(psi_t^2-2*Tabella34[[#This Row],[c_t]])</f>
        <v>4.4152511466385782</v>
      </c>
      <c r="U34" s="244">
        <f>-psi_t-SQRT(psi_t^2-2*Tabella34[[#This Row],[c_t]])</f>
        <v>-4.4657698213359502</v>
      </c>
      <c r="V34" s="244">
        <f>phi_t-LN(alpha*Kt/(Tabella34[[#This Row],[Italy velocity]]*psi_t*SQRTPI(2)))</f>
        <v>-9.8587476621387573</v>
      </c>
      <c r="W34" s="244" t="e">
        <f>Tabella34[[#This Row],[Italy g.r.]]/Italy_gr_at_lockdown</f>
        <v>#DIV/0!</v>
      </c>
      <c r="X34" s="244">
        <f>(ACOSH(SQRT(alpha*Kf*psi_f/(Tabella34[[#This Row],[Italy velocity]]*(1+TANH(phi_f)))))+phi_f)/psi_f-(Tabella34[[#This Row],[Day]]-pf)</f>
        <v>205.44264019160227</v>
      </c>
      <c r="Y34" s="244">
        <f>Tabella34[[#This Row],[Italy h.t.]]/Italy_ht_at_lockdown</f>
        <v>1.7299320272051442</v>
      </c>
      <c r="Z34" s="72">
        <f>-2*$BY$48*TANH($BY$48*(Tabella34[[#This Row],[Day]]-$BY$57)-$BY$47)*Tabella34[[#This Row],[Italy velocity]]</f>
        <v>4.8963020962594594</v>
      </c>
      <c r="AA34" s="72">
        <f>Tabella34[[#This Row],[Italy acc. fit]]/Itali_acc_at_lockdown</f>
        <v>0.13989303253171537</v>
      </c>
      <c r="AB34" s="143">
        <f>Tabella34[[#This Row],[Italy acc. fit]]/y_f_peak</f>
        <v>1.5499584023615078E-3</v>
      </c>
      <c r="AC34" s="143">
        <f>Tabella34[[#This Row],[Italy (fit of selected region + fitted sum of the other regions)]]*NOT(ISBLANK(Tabella34[[#This Row],[Italy rate data]]))</f>
        <v>4.8418011809460477</v>
      </c>
      <c r="AD34" s="143">
        <f>Tabella34[[#This Row],[Italy acc. fit]]*NOT(ISBLANK(Tabella34[[#This Row],[Italy rate data]]))</f>
        <v>4.8963020962594594</v>
      </c>
      <c r="AE34" s="77">
        <f>Tabella34[[#This Row],[Italy acc. fit]]+CIf</f>
        <v>1660.1062710200108</v>
      </c>
      <c r="AF34" s="77">
        <f>MAX(Tabella34[[#This Row],[Italy acc. fit]]-CIf,0)</f>
        <v>0</v>
      </c>
      <c r="AG34" s="141"/>
      <c r="AH34" s="33"/>
      <c r="AI34" s="33"/>
      <c r="AJ34" s="142">
        <f>Tabella34[[#This Row],[selected region rate data]]*NOT(ISBLANK(Tabella34[[#This Row],[selected region rate data]]))</f>
        <v>0</v>
      </c>
      <c r="AK34" s="147">
        <f>Tabella8[[#This Row],[region fit]]</f>
        <v>0</v>
      </c>
      <c r="AL34" s="143">
        <f>(ATANH(alpha*Tabella34[[#This Row],[sel. region cumul. fit]]/Kl-(1-alpha*Tabella34[[#This Row],[sel. region cumul. fit]]/Kl)*TANH(phi_l))+phi_l)/psi_l-(Tabella34[[#This Row],[Day]]-pl)</f>
        <v>49.356483051343162</v>
      </c>
      <c r="AM34" s="142">
        <f>Tabella34[[#This Row],[sel. region cumul. fit]]/Kl</f>
        <v>0</v>
      </c>
      <c r="AN34" s="143">
        <f>Tabella3[[#This Row],[region fit]]</f>
        <v>8.6955498628099246</v>
      </c>
      <c r="AO34" s="183" t="e">
        <f>Tabella34[[#This Row],[sel. region velocity]]/Tabella34[[#This Row],[sel. region cumul. fit]]</f>
        <v>#DIV/0!</v>
      </c>
      <c r="AP34" s="236" t="e">
        <f>(LN(Tabella34[[#This Row],[Day]]-pr)-phi_r)/psi_r</f>
        <v>#NUM!</v>
      </c>
      <c r="AQ34" s="244">
        <f>EXP(phi_r+psi_r*Tabella34[[#This Row],[x_r_alpha©+plus]])-(Tabella34[[#This Row],[Day]]-pr)</f>
        <v>52.635871739886788</v>
      </c>
      <c r="AR34" s="244">
        <f>EXP(phi_r+psi_r*Tabella34[[#This Row],[x_r_alpha©-minus]])-(Tabella34[[#This Row],[Day]]-pr)</f>
        <v>52.097592217535528</v>
      </c>
      <c r="AS34" s="244">
        <f>-psi_r+SQRT(psi_r^2-2*Tabella34[[#This Row],[c_r]])</f>
        <v>4.4301722902311145</v>
      </c>
      <c r="AT34" s="244">
        <f>-psi_r-SQRT(psi_r^2-2*Tabella34[[#This Row],[c_r]])</f>
        <v>-4.4704602998974519</v>
      </c>
      <c r="AU34" s="244">
        <f>phi_r-LN(alpha*Kr/(Tabella34[[#This Row],[sel. region velocity]]*psi_r*SQRTPI(2)))</f>
        <v>-9.9024546725919826</v>
      </c>
      <c r="AV34" s="244">
        <f>(ACOSH(SQRT(alpha*Kl*psi_l/(Tabella34[[#This Row],[sel. region velocity]]*(1+TANH(phi_l)))))+phi_l)/psi_l-(Tabella34[[#This Row],[Day]]-pl)</f>
        <v>225.35323816939331</v>
      </c>
      <c r="AW34" s="72">
        <f>-2*$BY$22*TANH($BY$22*(Tabella34[[#This Row],[Day]]-$BY$31)-$BY$21)*Tabella34[[#This Row],[sel. region velocity]]</f>
        <v>0.33982399659499707</v>
      </c>
      <c r="AX34" s="143">
        <f>Tabella34[[#This Row],[sel. region acc. fit]]/y_l_peak</f>
        <v>2.3080413078224822E-3</v>
      </c>
      <c r="AY34" s="143">
        <f>Tabella34[[#This Row],[sel. region acc. fit]]*NOT(ISBLANK(Tabella34[[#This Row],[selected region rate data]]))</f>
        <v>0</v>
      </c>
      <c r="AZ34" s="77">
        <f>Tabella34[[#This Row],[sel. region acc. fit]]+CIl</f>
        <v>69.704810371695402</v>
      </c>
      <c r="BA34" s="77">
        <f>MAX(Tabella34[[#This Row],[sel. region acc. fit]]-CIl,0)</f>
        <v>0</v>
      </c>
      <c r="BB34" s="141"/>
      <c r="BC34" s="33"/>
      <c r="BD34" s="33"/>
      <c r="BE34" s="142">
        <f>Tabella34[[#This Row],[rest of Italy rate data]]*NOT(ISBLANK(Tabella34[[#This Row],[rest of Italy rate data]]))</f>
        <v>0</v>
      </c>
      <c r="BF34" s="188">
        <f>Tabella8[[#This Row],[rest of Italy fit]]</f>
        <v>0</v>
      </c>
      <c r="BG34" s="78">
        <f>(ATANH(alpha*Tabella34[[#This Row],[rest of Italy cumul. fit]]/Ka-(1-alpha*Tabella34[[#This Row],[rest of Italy cumul. fit]]/Ka)*TANH(phi_a))+phi_a)/psi_a-(Tabella34[[#This Row],[Day]]-pa)</f>
        <v>40.882529907638357</v>
      </c>
      <c r="BH34" s="143">
        <f>Tabella34[[#This Row],[rest of Italy cumul. fit]]/Ka</f>
        <v>0</v>
      </c>
      <c r="BI34" s="143">
        <f>Tabella3[[#This Row],[rest of Italy fit]]</f>
        <v>89.058334063612264</v>
      </c>
      <c r="BJ34" s="183" t="e">
        <f>Tabella34[[#This Row],[rest of Italy velocity]]/Tabella34[[#This Row],[rest of Italy cumul. fit]]</f>
        <v>#DIV/0!</v>
      </c>
      <c r="BK34" s="236" t="e">
        <f>(LN(Tabella34[[#This Row],[Day]]-po)-phi_o)/psi_o</f>
        <v>#NUM!</v>
      </c>
      <c r="BL34" s="244">
        <f>EXP(phi_o+psi_o*Tabella34[[#This Row],[x_o_alpha©+plus]])-(Tabella34[[#This Row],[Day]]-po)</f>
        <v>45.417521117011297</v>
      </c>
      <c r="BM34" s="244">
        <f>EXP(phi_o+psi_o*Tabella34[[#This Row],[x_o_alpha©-minus]])-(Tabella34[[#This Row],[Day]]-po)</f>
        <v>44.493449117538674</v>
      </c>
      <c r="BN34" s="244">
        <f>-psi_o+SQRT(psi_o^2-2*Tabella34[[#This Row],[c_o]])</f>
        <v>4.4149239932195217</v>
      </c>
      <c r="BO34" s="244">
        <f>-psi_o-SQRT(psi_o^2-2*Tabella34[[#This Row],[c_o]])</f>
        <v>-4.466237277487175</v>
      </c>
      <c r="BP34" s="244">
        <f>phi_o-LN(alpha*Ko/(Tabella34[[#This Row],[rest of Italy velocity]]*psi_o*SQRTPI(2)))</f>
        <v>-9.8590490578947829</v>
      </c>
      <c r="BQ34" s="244">
        <f>(ACOSH(SQRT(alpha*Ka*psi_a/(Tabella34[[#This Row],[rest of Italy velocity]]*(1+TANH(phi_a)))))+phi_a)/psi_a-(Tabella34[[#This Row],[Day]]-pa)</f>
        <v>204.43991490753507</v>
      </c>
      <c r="BR34" s="72">
        <f>-2*$BY$35*TANH($BY$35*(Tabella34[[#This Row],[Day]]-$BY$44)-$BY$34)*Tabella34[[#This Row],[rest of Italy velocity]]</f>
        <v>4.501977184351051</v>
      </c>
      <c r="BS34" s="143">
        <f>Tabella34[[#This Row],[rest of Italy acc. fit]]/y_a_peak</f>
        <v>1.4909932513017135E-3</v>
      </c>
      <c r="BT34" s="142">
        <f>Tabella34[[#This Row],[rest of Italy acc. fit]]*NOT(ISBLANK(Tabella34[[#This Row],[rest of Italy rate data]]))</f>
        <v>0</v>
      </c>
      <c r="BU34" s="77">
        <f>Tabella34[[#This Row],[rest of Italy acc. fit]]+CIa</f>
        <v>1638.6359171381525</v>
      </c>
      <c r="BV34" s="77">
        <f>MAX(Tabella34[[#This Row],[rest of Italy acc. fit]]-CIa,0)</f>
        <v>0</v>
      </c>
      <c r="BW34" s="1"/>
      <c r="BX34" s="212" t="s">
        <v>4713</v>
      </c>
      <c r="BY34" s="212">
        <f>phi_a</f>
        <v>1.3985510202268787</v>
      </c>
      <c r="CL34" s="49"/>
    </row>
    <row r="35" spans="2:90" x14ac:dyDescent="0.3">
      <c r="B35" s="262">
        <v>43858</v>
      </c>
      <c r="C35" s="4">
        <v>28</v>
      </c>
      <c r="D35" s="10">
        <f>Tabella8[[#This Row],[Italy cumulative]]</f>
        <v>0</v>
      </c>
      <c r="E35" s="72">
        <f>(Tabella34[[#This Row],[Italy cumul. data]]-D34)</f>
        <v>0</v>
      </c>
      <c r="F35" s="72">
        <f>Tabella34[[#This Row],[Italy rate data]]-E34</f>
        <v>0</v>
      </c>
      <c r="G35" s="142">
        <f>Tabella34[[#This Row],[Italy rate data]]*NOT(ISBLANK(Tabella34[[#This Row],[Italy rate data]]))</f>
        <v>0</v>
      </c>
      <c r="H35" s="143">
        <f>Tabella8[[#This Row],[Italy fit]]</f>
        <v>0</v>
      </c>
      <c r="I35" s="143">
        <f>(ATANH(alpha*Tabella34[[#This Row],[Italy cumul. Fit]]/Kf-(1-alpha*Tabella34[[#This Row],[Italy cumul. Fit]]/Kf)*TANH(phi_f))+phi_f)/psi_f-(Tabella34[[#This Row],[Day]]-pf)</f>
        <v>40.480394693650979</v>
      </c>
      <c r="J35" s="143">
        <f>Tabella34[[#This Row],[Italy d.t.]]/Italy_dt_at_lockdown</f>
        <v>17.834730558641741</v>
      </c>
      <c r="K35" s="143">
        <f>Tabella34[[#This Row],[Italy cumul. Fit]]/Kf</f>
        <v>0</v>
      </c>
      <c r="L35" s="146">
        <f>Tabella34[[#This Row],[sel. region acc. fit]]+Tabella34[[#This Row],[rest of Italy acc. fit]]</f>
        <v>5.0844987514808153</v>
      </c>
      <c r="M35" s="143">
        <f>Tabella34[[#This Row],[Italy (fit of selected region + fitted sum of the other regions)]]/(y_l_peak+y_a_peak)</f>
        <v>1.6056228033807813E-3</v>
      </c>
      <c r="N35" s="143">
        <f>Tabella3[[#This Row],[Italy remov. rate fit]]</f>
        <v>103.48541415434609</v>
      </c>
      <c r="O35" s="143" t="e">
        <f>Kt*EXP(-0.5*Tabella34[[#This Row],[x_t]]^2)/(psi_t*SQRTPI(2)*(Tabella34[[#This Row],[Day]]-D_bk))</f>
        <v>#NUM!</v>
      </c>
      <c r="P35" s="183" t="e">
        <f>Tabella34[[#This Row],[Italy velocity]]/Tabella34[[#This Row],[Italy cumul. Fit]]</f>
        <v>#DIV/0!</v>
      </c>
      <c r="Q35" s="244" t="e">
        <f>(LN(Tabella34[[#This Row],[Day]]-D_bk)-phi_t)/psi_t</f>
        <v>#NUM!</v>
      </c>
      <c r="R35" s="244">
        <f>EXP(phi_t+psi_t*Tabella34[[#This Row],[x_t_alpha©+plus]])-(Tabella34[[#This Row],[Day]]-D_bk)</f>
        <v>44.886004112387532</v>
      </c>
      <c r="S35" s="244">
        <f>EXP(phi_t+psi_t*Tabella34[[#This Row],[x_t_alpha©-minus]])-(Tabella34[[#This Row],[Day]]-D_bk)</f>
        <v>44.002701394603001</v>
      </c>
      <c r="T35" s="244">
        <f>-psi_t+SQRT(psi_t^2-2*Tabella34[[#This Row],[c_t]])</f>
        <v>4.4040434986510339</v>
      </c>
      <c r="U35" s="244">
        <f>-psi_t-SQRT(psi_t^2-2*Tabella34[[#This Row],[c_t]])</f>
        <v>-4.454562173348406</v>
      </c>
      <c r="V35" s="244">
        <f>phi_t-LN(alpha*Kt/(Tabella34[[#This Row],[Italy velocity]]*psi_t*SQRTPI(2)))</f>
        <v>-9.8090427894359351</v>
      </c>
      <c r="W35" s="244" t="e">
        <f>Tabella34[[#This Row],[Italy g.r.]]/Italy_gr_at_lockdown</f>
        <v>#DIV/0!</v>
      </c>
      <c r="X35" s="244">
        <f>(ACOSH(SQRT(alpha*Kf*psi_f/(Tabella34[[#This Row],[Italy velocity]]*(1+TANH(phi_f)))))+phi_f)/psi_f-(Tabella34[[#This Row],[Day]]-pf)</f>
        <v>203.45079277748425</v>
      </c>
      <c r="Y35" s="244">
        <f>Tabella34[[#This Row],[Italy h.t.]]/Italy_ht_at_lockdown</f>
        <v>1.7131596539929674</v>
      </c>
      <c r="Z35" s="72">
        <f>-2*$BY$48*TANH($BY$48*(Tabella34[[#This Row],[Day]]-$BY$57)-$BY$47)*Tabella34[[#This Row],[Italy velocity]]</f>
        <v>5.1416017384118113</v>
      </c>
      <c r="AA35" s="72">
        <f>Tabella34[[#This Row],[Italy acc. fit]]/Itali_acc_at_lockdown</f>
        <v>0.1469015279523416</v>
      </c>
      <c r="AB35" s="143">
        <f>Tabella34[[#This Row],[Italy acc. fit]]/y_f_peak</f>
        <v>1.6276097061364049E-3</v>
      </c>
      <c r="AC35" s="143">
        <f>Tabella34[[#This Row],[Italy (fit of selected region + fitted sum of the other regions)]]*NOT(ISBLANK(Tabella34[[#This Row],[Italy rate data]]))</f>
        <v>5.0844987514808153</v>
      </c>
      <c r="AD35" s="143">
        <f>Tabella34[[#This Row],[Italy acc. fit]]*NOT(ISBLANK(Tabella34[[#This Row],[Italy rate data]]))</f>
        <v>5.1416017384118113</v>
      </c>
      <c r="AE35" s="77">
        <f>Tabella34[[#This Row],[Italy acc. fit]]+CIf</f>
        <v>1660.3515706621631</v>
      </c>
      <c r="AF35" s="77">
        <f>MAX(Tabella34[[#This Row],[Italy acc. fit]]-CIf,0)</f>
        <v>0</v>
      </c>
      <c r="AG35" s="141"/>
      <c r="AH35" s="33"/>
      <c r="AI35" s="33"/>
      <c r="AJ35" s="142">
        <f>Tabella34[[#This Row],[selected region rate data]]*NOT(ISBLANK(Tabella34[[#This Row],[selected region rate data]]))</f>
        <v>0</v>
      </c>
      <c r="AK35" s="147">
        <f>Tabella8[[#This Row],[region fit]]</f>
        <v>0</v>
      </c>
      <c r="AL35" s="143">
        <f>(ATANH(alpha*Tabella34[[#This Row],[sel. region cumul. fit]]/Kl-(1-alpha*Tabella34[[#This Row],[sel. region cumul. fit]]/Kl)*TANH(phi_l))+phi_l)/psi_l-(Tabella34[[#This Row],[Day]]-pl)</f>
        <v>48.356483051343162</v>
      </c>
      <c r="AM35" s="142">
        <f>Tabella34[[#This Row],[sel. region cumul. fit]]/Kl</f>
        <v>0</v>
      </c>
      <c r="AN35" s="143">
        <f>Tabella3[[#This Row],[region fit]]</f>
        <v>9.0418818680633084</v>
      </c>
      <c r="AO35" s="183" t="e">
        <f>Tabella34[[#This Row],[sel. region velocity]]/Tabella34[[#This Row],[sel. region cumul. fit]]</f>
        <v>#DIV/0!</v>
      </c>
      <c r="AP35" s="236" t="e">
        <f>(LN(Tabella34[[#This Row],[Day]]-pr)-phi_r)/psi_r</f>
        <v>#NUM!</v>
      </c>
      <c r="AQ35" s="244">
        <f>EXP(phi_r+psi_r*Tabella34[[#This Row],[x_r_alpha©+plus]])-(Tabella34[[#This Row],[Day]]-pr)</f>
        <v>51.635291476269458</v>
      </c>
      <c r="AR35" s="244">
        <f>EXP(phi_r+psi_r*Tabella34[[#This Row],[x_r_alpha©-minus]])-(Tabella34[[#This Row],[Day]]-pr)</f>
        <v>51.098077322401117</v>
      </c>
      <c r="AS35" s="244">
        <f>-psi_r+SQRT(psi_r^2-2*Tabella34[[#This Row],[c_r]])</f>
        <v>4.4213876282512459</v>
      </c>
      <c r="AT35" s="244">
        <f>-psi_r-SQRT(psi_r^2-2*Tabella34[[#This Row],[c_r]])</f>
        <v>-4.4616756379175833</v>
      </c>
      <c r="AU35" s="244">
        <f>phi_r-LN(alpha*Kr/(Tabella34[[#This Row],[sel. region velocity]]*psi_r*SQRTPI(2)))</f>
        <v>-9.8633987333793947</v>
      </c>
      <c r="AV35" s="244">
        <f>(ACOSH(SQRT(alpha*Kl*psi_l/(Tabella34[[#This Row],[sel. region velocity]]*(1+TANH(phi_l)))))+phi_l)/psi_l-(Tabella34[[#This Row],[Day]]-pl)</f>
        <v>223.36888510879334</v>
      </c>
      <c r="AW35" s="72">
        <f>-2*$BY$22*TANH($BY$22*(Tabella34[[#This Row],[Day]]-$BY$31)-$BY$21)*Tabella34[[#This Row],[sel. region velocity]]</f>
        <v>0.35291677311384612</v>
      </c>
      <c r="AX35" s="143">
        <f>Tabella34[[#This Row],[sel. region acc. fit]]/y_l_peak</f>
        <v>2.3969657785555087E-3</v>
      </c>
      <c r="AY35" s="143">
        <f>Tabella34[[#This Row],[sel. region acc. fit]]*NOT(ISBLANK(Tabella34[[#This Row],[selected region rate data]]))</f>
        <v>0</v>
      </c>
      <c r="AZ35" s="77">
        <f>Tabella34[[#This Row],[sel. region acc. fit]]+CIl</f>
        <v>69.717903148214248</v>
      </c>
      <c r="BA35" s="77">
        <f>MAX(Tabella34[[#This Row],[sel. region acc. fit]]-CIl,0)</f>
        <v>0</v>
      </c>
      <c r="BB35" s="141"/>
      <c r="BC35" s="33"/>
      <c r="BD35" s="33"/>
      <c r="BE35" s="142">
        <f>Tabella34[[#This Row],[rest of Italy rate data]]*NOT(ISBLANK(Tabella34[[#This Row],[rest of Italy rate data]]))</f>
        <v>0</v>
      </c>
      <c r="BF35" s="188">
        <f>Tabella8[[#This Row],[rest of Italy fit]]</f>
        <v>0</v>
      </c>
      <c r="BG35" s="78">
        <f>(ATANH(alpha*Tabella34[[#This Row],[rest of Italy cumul. fit]]/Ka-(1-alpha*Tabella34[[#This Row],[rest of Italy cumul. fit]]/Ka)*TANH(phi_a))+phi_a)/psi_a-(Tabella34[[#This Row],[Day]]-pa)</f>
        <v>39.882529907638357</v>
      </c>
      <c r="BH35" s="143">
        <f>Tabella34[[#This Row],[rest of Italy cumul. fit]]/Ka</f>
        <v>0</v>
      </c>
      <c r="BI35" s="143">
        <f>Tabella3[[#This Row],[rest of Italy fit]]</f>
        <v>93.67419279463158</v>
      </c>
      <c r="BJ35" s="183" t="e">
        <f>Tabella34[[#This Row],[rest of Italy velocity]]/Tabella34[[#This Row],[rest of Italy cumul. fit]]</f>
        <v>#DIV/0!</v>
      </c>
      <c r="BK35" s="236" t="e">
        <f>(LN(Tabella34[[#This Row],[Day]]-po)-phi_o)/psi_o</f>
        <v>#NUM!</v>
      </c>
      <c r="BL35" s="244">
        <f>EXP(phi_o+psi_o*Tabella34[[#This Row],[x_o_alpha©+plus]])-(Tabella34[[#This Row],[Day]]-po)</f>
        <v>44.416195586888577</v>
      </c>
      <c r="BM35" s="244">
        <f>EXP(phi_o+psi_o*Tabella34[[#This Row],[x_o_alpha©-minus]])-(Tabella34[[#This Row],[Day]]-po)</f>
        <v>43.494504859739813</v>
      </c>
      <c r="BN35" s="244">
        <f>-psi_o+SQRT(psi_o^2-2*Tabella34[[#This Row],[c_o]])</f>
        <v>4.4035299775339585</v>
      </c>
      <c r="BO35" s="244">
        <f>-psi_o-SQRT(psi_o^2-2*Tabella34[[#This Row],[c_o]])</f>
        <v>-4.4548432618016118</v>
      </c>
      <c r="BP35" s="244">
        <f>phi_o-LN(alpha*Ko/(Tabella34[[#This Row],[rest of Italy velocity]]*psi_o*SQRTPI(2)))</f>
        <v>-9.8085179242792808</v>
      </c>
      <c r="BQ35" s="244">
        <f>(ACOSH(SQRT(alpha*Ka*psi_a/(Tabella34[[#This Row],[rest of Italy velocity]]*(1+TANH(phi_a)))))+phi_a)/psi_a-(Tabella34[[#This Row],[Day]]-pa)</f>
        <v>202.44762404697855</v>
      </c>
      <c r="BR35" s="72">
        <f>-2*$BY$35*TANH($BY$35*(Tabella34[[#This Row],[Day]]-$BY$44)-$BY$34)*Tabella34[[#This Row],[rest of Italy velocity]]</f>
        <v>4.731581978366969</v>
      </c>
      <c r="BS35" s="143">
        <f>Tabella34[[#This Row],[rest of Italy acc. fit]]/y_a_peak</f>
        <v>1.5670352178257178E-3</v>
      </c>
      <c r="BT35" s="142">
        <f>Tabella34[[#This Row],[rest of Italy acc. fit]]*NOT(ISBLANK(Tabella34[[#This Row],[rest of Italy rate data]]))</f>
        <v>0</v>
      </c>
      <c r="BU35" s="77">
        <f>Tabella34[[#This Row],[rest of Italy acc. fit]]+CIa</f>
        <v>1638.8655219321683</v>
      </c>
      <c r="BV35" s="77">
        <f>MAX(Tabella34[[#This Row],[rest of Italy acc. fit]]-CIa,0)</f>
        <v>0</v>
      </c>
      <c r="BX35" s="212" t="s">
        <v>4714</v>
      </c>
      <c r="BY35" s="212">
        <f>psi_a</f>
        <v>2.5656642133826582E-2</v>
      </c>
      <c r="CB35" s="1"/>
      <c r="CL35" s="45"/>
    </row>
    <row r="36" spans="2:90" x14ac:dyDescent="0.3">
      <c r="B36" s="262">
        <v>43859</v>
      </c>
      <c r="C36" s="4">
        <v>29</v>
      </c>
      <c r="D36" s="10">
        <f>Tabella8[[#This Row],[Italy cumulative]]</f>
        <v>0</v>
      </c>
      <c r="E36" s="72">
        <f>(Tabella34[[#This Row],[Italy cumul. data]]-D35)</f>
        <v>0</v>
      </c>
      <c r="F36" s="72">
        <f>Tabella34[[#This Row],[Italy rate data]]-E35</f>
        <v>0</v>
      </c>
      <c r="G36" s="142">
        <f>Tabella34[[#This Row],[Italy rate data]]*NOT(ISBLANK(Tabella34[[#This Row],[Italy rate data]]))</f>
        <v>0</v>
      </c>
      <c r="H36" s="143">
        <f>Tabella8[[#This Row],[Italy fit]]</f>
        <v>0</v>
      </c>
      <c r="I36" s="143">
        <f>(ATANH(alpha*Tabella34[[#This Row],[Italy cumul. Fit]]/Kf-(1-alpha*Tabella34[[#This Row],[Italy cumul. Fit]]/Kf)*TANH(phi_f))+phi_f)/psi_f-(Tabella34[[#This Row],[Day]]-pf)</f>
        <v>39.480394693650979</v>
      </c>
      <c r="J36" s="143">
        <f>Tabella34[[#This Row],[Italy d.t.]]/Italy_dt_at_lockdown</f>
        <v>17.394153565912003</v>
      </c>
      <c r="K36" s="143">
        <f>Tabella34[[#This Row],[Italy cumul. Fit]]/Kf</f>
        <v>0</v>
      </c>
      <c r="L36" s="146">
        <f>Tabella34[[#This Row],[sel. region acc. fit]]+Tabella34[[#This Row],[rest of Italy acc. fit]]</f>
        <v>5.3389641317668959</v>
      </c>
      <c r="M36" s="143">
        <f>Tabella34[[#This Row],[Italy (fit of selected region + fitted sum of the other regions)]]/(y_l_peak+y_a_peak)</f>
        <v>1.6859798724309604E-3</v>
      </c>
      <c r="N36" s="143">
        <f>Tabella3[[#This Row],[Italy remov. rate fit]]</f>
        <v>108.75457501912537</v>
      </c>
      <c r="O36" s="143" t="e">
        <f>Kt*EXP(-0.5*Tabella34[[#This Row],[x_t]]^2)/(psi_t*SQRTPI(2)*(Tabella34[[#This Row],[Day]]-D_bk))</f>
        <v>#NUM!</v>
      </c>
      <c r="P36" s="183" t="e">
        <f>Tabella34[[#This Row],[Italy velocity]]/Tabella34[[#This Row],[Italy cumul. Fit]]</f>
        <v>#DIV/0!</v>
      </c>
      <c r="Q36" s="244" t="e">
        <f>(LN(Tabella34[[#This Row],[Day]]-D_bk)-phi_t)/psi_t</f>
        <v>#NUM!</v>
      </c>
      <c r="R36" s="244">
        <f>EXP(phi_t+psi_t*Tabella34[[#This Row],[x_t_alpha©+plus]])-(Tabella34[[#This Row],[Day]]-D_bk)</f>
        <v>43.884754960587927</v>
      </c>
      <c r="S36" s="244">
        <f>EXP(phi_t+psi_t*Tabella34[[#This Row],[x_t_alpha©-minus]])-(Tabella34[[#This Row],[Day]]-D_bk)</f>
        <v>43.003700380945531</v>
      </c>
      <c r="T36" s="244">
        <f>-psi_t+SQRT(psi_t^2-2*Tabella34[[#This Row],[c_t]])</f>
        <v>4.3928168831350067</v>
      </c>
      <c r="U36" s="244">
        <f>-psi_t-SQRT(psi_t^2-2*Tabella34[[#This Row],[c_t]])</f>
        <v>-4.4433355578323788</v>
      </c>
      <c r="V36" s="244">
        <f>phi_t-LN(alpha*Kt/(Tabella34[[#This Row],[Italy velocity]]*psi_t*SQRTPI(2)))</f>
        <v>-9.7593797279400896</v>
      </c>
      <c r="W36" s="244" t="e">
        <f>Tabella34[[#This Row],[Italy g.r.]]/Italy_gr_at_lockdown</f>
        <v>#DIV/0!</v>
      </c>
      <c r="X36" s="244">
        <f>(ACOSH(SQRT(alpha*Kf*psi_f/(Tabella34[[#This Row],[Italy velocity]]*(1+TANH(phi_f)))))+phi_f)/psi_f-(Tabella34[[#This Row],[Day]]-pf)</f>
        <v>201.45936956873697</v>
      </c>
      <c r="Y36" s="244">
        <f>Tabella34[[#This Row],[Italy h.t.]]/Italy_ht_at_lockdown</f>
        <v>1.6963908528068135</v>
      </c>
      <c r="Z36" s="72">
        <f>-2*$BY$48*TANH($BY$48*(Tabella34[[#This Row],[Day]]-$BY$57)-$BY$47)*Tabella34[[#This Row],[Italy velocity]]</f>
        <v>5.3987353379976106</v>
      </c>
      <c r="AA36" s="72">
        <f>Tabella34[[#This Row],[Italy acc. fit]]/Itali_acc_at_lockdown</f>
        <v>0.1542481332688995</v>
      </c>
      <c r="AB36" s="143">
        <f>Tabella34[[#This Row],[Italy acc. fit]]/y_f_peak</f>
        <v>1.7090071312487033E-3</v>
      </c>
      <c r="AC36" s="143">
        <f>Tabella34[[#This Row],[Italy (fit of selected region + fitted sum of the other regions)]]*NOT(ISBLANK(Tabella34[[#This Row],[Italy rate data]]))</f>
        <v>5.3389641317668959</v>
      </c>
      <c r="AD36" s="143">
        <f>Tabella34[[#This Row],[Italy acc. fit]]*NOT(ISBLANK(Tabella34[[#This Row],[Italy rate data]]))</f>
        <v>5.3987353379976106</v>
      </c>
      <c r="AE36" s="77">
        <f>Tabella34[[#This Row],[Italy acc. fit]]+CIf</f>
        <v>1660.6087042617489</v>
      </c>
      <c r="AF36" s="77">
        <f>MAX(Tabella34[[#This Row],[Italy acc. fit]]-CIf,0)</f>
        <v>0</v>
      </c>
      <c r="AG36" s="141"/>
      <c r="AH36" s="33"/>
      <c r="AI36" s="33"/>
      <c r="AJ36" s="142">
        <f>Tabella34[[#This Row],[selected region rate data]]*NOT(ISBLANK(Tabella34[[#This Row],[selected region rate data]]))</f>
        <v>0</v>
      </c>
      <c r="AK36" s="147">
        <f>Tabella8[[#This Row],[region fit]]</f>
        <v>0</v>
      </c>
      <c r="AL36" s="143">
        <f>(ATANH(alpha*Tabella34[[#This Row],[sel. region cumul. fit]]/Kl-(1-alpha*Tabella34[[#This Row],[sel. region cumul. fit]]/Kl)*TANH(phi_l))+phi_l)/psi_l-(Tabella34[[#This Row],[Day]]-pl)</f>
        <v>47.356483051343162</v>
      </c>
      <c r="AM36" s="142">
        <f>Tabella34[[#This Row],[sel. region cumul. fit]]/Kl</f>
        <v>0</v>
      </c>
      <c r="AN36" s="143">
        <f>Tabella3[[#This Row],[region fit]]</f>
        <v>9.4015391760093685</v>
      </c>
      <c r="AO36" s="183" t="e">
        <f>Tabella34[[#This Row],[sel. region velocity]]/Tabella34[[#This Row],[sel. region cumul. fit]]</f>
        <v>#DIV/0!</v>
      </c>
      <c r="AP36" s="236" t="e">
        <f>(LN(Tabella34[[#This Row],[Day]]-pr)-phi_r)/psi_r</f>
        <v>#NUM!</v>
      </c>
      <c r="AQ36" s="244">
        <f>EXP(phi_r+psi_r*Tabella34[[#This Row],[x_r_alpha©+plus]])-(Tabella34[[#This Row],[Day]]-pr)</f>
        <v>50.634710908250973</v>
      </c>
      <c r="AR36" s="244">
        <f>EXP(phi_r+psi_r*Tabella34[[#This Row],[x_r_alpha©-minus]])-(Tabella34[[#This Row],[Day]]-pr)</f>
        <v>50.098562853615825</v>
      </c>
      <c r="AS36" s="244">
        <f>-psi_r+SQRT(psi_r^2-2*Tabella34[[#This Row],[c_r]])</f>
        <v>4.412596801897994</v>
      </c>
      <c r="AT36" s="244">
        <f>-psi_r-SQRT(psi_r^2-2*Tabella34[[#This Row],[c_r]])</f>
        <v>-4.4528848115643314</v>
      </c>
      <c r="AU36" s="244">
        <f>phi_r-LN(alpha*Kr/(Tabella34[[#This Row],[sel. region velocity]]*psi_r*SQRTPI(2)))</f>
        <v>-9.8243926393644578</v>
      </c>
      <c r="AV36" s="244">
        <f>(ACOSH(SQRT(alpha*Kl*psi_l/(Tabella34[[#This Row],[sel. region velocity]]*(1+TANH(phi_l)))))+phi_l)/psi_l-(Tabella34[[#This Row],[Day]]-pl)</f>
        <v>221.38518029737642</v>
      </c>
      <c r="AW36" s="72">
        <f>-2*$BY$22*TANH($BY$22*(Tabella34[[#This Row],[Day]]-$BY$31)-$BY$21)*Tabella34[[#This Row],[sel. region velocity]]</f>
        <v>0.36647685561672899</v>
      </c>
      <c r="AX36" s="143">
        <f>Tabella34[[#This Row],[sel. region acc. fit]]/y_l_peak</f>
        <v>2.4890641320200364E-3</v>
      </c>
      <c r="AY36" s="143">
        <f>Tabella34[[#This Row],[sel. region acc. fit]]*NOT(ISBLANK(Tabella34[[#This Row],[selected region rate data]]))</f>
        <v>0</v>
      </c>
      <c r="AZ36" s="77">
        <f>Tabella34[[#This Row],[sel. region acc. fit]]+CIl</f>
        <v>69.731463230717125</v>
      </c>
      <c r="BA36" s="77">
        <f>MAX(Tabella34[[#This Row],[sel. region acc. fit]]-CIl,0)</f>
        <v>0</v>
      </c>
      <c r="BB36" s="141"/>
      <c r="BC36" s="33"/>
      <c r="BD36" s="33"/>
      <c r="BE36" s="142">
        <f>Tabella34[[#This Row],[rest of Italy rate data]]*NOT(ISBLANK(Tabella34[[#This Row],[rest of Italy rate data]]))</f>
        <v>0</v>
      </c>
      <c r="BF36" s="188">
        <f>Tabella8[[#This Row],[rest of Italy fit]]</f>
        <v>0</v>
      </c>
      <c r="BG36" s="78">
        <f>(ATANH(alpha*Tabella34[[#This Row],[rest of Italy cumul. fit]]/Ka-(1-alpha*Tabella34[[#This Row],[rest of Italy cumul. fit]]/Ka)*TANH(phi_a))+phi_a)/psi_a-(Tabella34[[#This Row],[Day]]-pa)</f>
        <v>38.882529907638357</v>
      </c>
      <c r="BH36" s="143">
        <f>Tabella34[[#This Row],[rest of Italy cumul. fit]]/Ka</f>
        <v>0</v>
      </c>
      <c r="BI36" s="143">
        <f>Tabella3[[#This Row],[rest of Italy fit]]</f>
        <v>98.525264652200491</v>
      </c>
      <c r="BJ36" s="183" t="e">
        <f>Tabella34[[#This Row],[rest of Italy velocity]]/Tabella34[[#This Row],[rest of Italy cumul. fit]]</f>
        <v>#DIV/0!</v>
      </c>
      <c r="BK36" s="236" t="e">
        <f>(LN(Tabella34[[#This Row],[Day]]-po)-phi_o)/psi_o</f>
        <v>#NUM!</v>
      </c>
      <c r="BL36" s="244">
        <f>EXP(phi_o+psi_o*Tabella34[[#This Row],[x_o_alpha©+plus]])-(Tabella34[[#This Row],[Day]]-po)</f>
        <v>43.414868102298122</v>
      </c>
      <c r="BM36" s="244">
        <f>EXP(phi_o+psi_o*Tabella34[[#This Row],[x_o_alpha©-minus]])-(Tabella34[[#This Row],[Day]]-po)</f>
        <v>42.495562777504126</v>
      </c>
      <c r="BN36" s="244">
        <f>-psi_o+SQRT(psi_o^2-2*Tabella34[[#This Row],[c_o]])</f>
        <v>4.3921158224144241</v>
      </c>
      <c r="BO36" s="244">
        <f>-psi_o-SQRT(psi_o^2-2*Tabella34[[#This Row],[c_o]])</f>
        <v>-4.4434291066820775</v>
      </c>
      <c r="BP36" s="244">
        <f>phi_o-LN(alpha*Ko/(Tabella34[[#This Row],[rest of Italy velocity]]*psi_o*SQRTPI(2)))</f>
        <v>-9.7580276426175718</v>
      </c>
      <c r="BQ36" s="244">
        <f>(ACOSH(SQRT(alpha*Ka*psi_a/(Tabella34[[#This Row],[rest of Italy velocity]]*(1+TANH(phi_a)))))+phi_a)/psi_a-(Tabella34[[#This Row],[Day]]-pa)</f>
        <v>200.45574070166168</v>
      </c>
      <c r="BR36" s="72">
        <f>-2*$BY$35*TANH($BY$35*(Tabella34[[#This Row],[Day]]-$BY$44)-$BY$34)*Tabella34[[#This Row],[rest of Italy velocity]]</f>
        <v>4.9724872761501668</v>
      </c>
      <c r="BS36" s="143">
        <f>Tabella34[[#This Row],[rest of Italy acc. fit]]/y_a_peak</f>
        <v>1.6468197565937333E-3</v>
      </c>
      <c r="BT36" s="142">
        <f>Tabella34[[#This Row],[rest of Italy acc. fit]]*NOT(ISBLANK(Tabella34[[#This Row],[rest of Italy rate data]]))</f>
        <v>0</v>
      </c>
      <c r="BU36" s="77">
        <f>Tabella34[[#This Row],[rest of Italy acc. fit]]+CIa</f>
        <v>1639.1064272299516</v>
      </c>
      <c r="BV36" s="77">
        <f>MAX(Tabella34[[#This Row],[rest of Italy acc. fit]]-CIa,0)</f>
        <v>0</v>
      </c>
      <c r="BX36" s="213" t="s">
        <v>1</v>
      </c>
      <c r="BY36" s="214">
        <f>AVERAGE(Tabella34[rest of Italy rate data])</f>
        <v>1843.5445544554455</v>
      </c>
      <c r="CL36" s="45"/>
    </row>
    <row r="37" spans="2:90" x14ac:dyDescent="0.3">
      <c r="B37" s="262">
        <v>43860</v>
      </c>
      <c r="C37" s="4">
        <v>30</v>
      </c>
      <c r="D37" s="10">
        <f>Tabella8[[#This Row],[Italy cumulative]]</f>
        <v>0</v>
      </c>
      <c r="E37" s="72">
        <f>(Tabella34[[#This Row],[Italy cumul. data]]-D36)</f>
        <v>0</v>
      </c>
      <c r="F37" s="72">
        <f>Tabella34[[#This Row],[Italy rate data]]-E36</f>
        <v>0</v>
      </c>
      <c r="G37" s="142">
        <f>Tabella34[[#This Row],[Italy rate data]]*NOT(ISBLANK(Tabella34[[#This Row],[Italy rate data]]))</f>
        <v>0</v>
      </c>
      <c r="H37" s="143">
        <f>Tabella8[[#This Row],[Italy fit]]</f>
        <v>0</v>
      </c>
      <c r="I37" s="143">
        <f>(ATANH(alpha*Tabella34[[#This Row],[Italy cumul. Fit]]/Kf-(1-alpha*Tabella34[[#This Row],[Italy cumul. Fit]]/Kf)*TANH(phi_f))+phi_f)/psi_f-(Tabella34[[#This Row],[Day]]-pf)</f>
        <v>38.480394693650979</v>
      </c>
      <c r="J37" s="143">
        <f>Tabella34[[#This Row],[Italy d.t.]]/Italy_dt_at_lockdown</f>
        <v>16.953576573182261</v>
      </c>
      <c r="K37" s="143">
        <f>Tabella34[[#This Row],[Italy cumul. Fit]]/Kf</f>
        <v>0</v>
      </c>
      <c r="L37" s="146">
        <f>Tabella34[[#This Row],[sel. region acc. fit]]+Tabella34[[#This Row],[rest of Italy acc. fit]]</f>
        <v>5.6057231052872867</v>
      </c>
      <c r="M37" s="143">
        <f>Tabella34[[#This Row],[Italy (fit of selected region + fitted sum of the other regions)]]/(y_l_peak+y_a_peak)</f>
        <v>1.7702191085535077E-3</v>
      </c>
      <c r="N37" s="143">
        <f>Tabella3[[#This Row],[Italy remov. rate fit]]</f>
        <v>114.28700355311413</v>
      </c>
      <c r="O37" s="143" t="e">
        <f>Kt*EXP(-0.5*Tabella34[[#This Row],[x_t]]^2)/(psi_t*SQRTPI(2)*(Tabella34[[#This Row],[Day]]-D_bk))</f>
        <v>#NUM!</v>
      </c>
      <c r="P37" s="183" t="e">
        <f>Tabella34[[#This Row],[Italy velocity]]/Tabella34[[#This Row],[Italy cumul. Fit]]</f>
        <v>#DIV/0!</v>
      </c>
      <c r="Q37" s="244" t="e">
        <f>(LN(Tabella34[[#This Row],[Day]]-D_bk)-phi_t)/psi_t</f>
        <v>#NUM!</v>
      </c>
      <c r="R37" s="244">
        <f>EXP(phi_t+psi_t*Tabella34[[#This Row],[x_t_alpha©+plus]])-(Tabella34[[#This Row],[Day]]-D_bk)</f>
        <v>42.883504091012696</v>
      </c>
      <c r="S37" s="244">
        <f>EXP(phi_t+psi_t*Tabella34[[#This Row],[x_t_alpha©-minus]])-(Tabella34[[#This Row],[Day]]-D_bk)</f>
        <v>42.00470130903765</v>
      </c>
      <c r="T37" s="244">
        <f>-psi_t+SQRT(psi_t^2-2*Tabella34[[#This Row],[c_t]])</f>
        <v>4.3815716382137539</v>
      </c>
      <c r="U37" s="244">
        <f>-psi_t-SQRT(psi_t^2-2*Tabella34[[#This Row],[c_t]])</f>
        <v>-4.432090312911126</v>
      </c>
      <c r="V37" s="244">
        <f>phi_t-LN(alpha*Kt/(Tabella34[[#This Row],[Italy velocity]]*psi_t*SQRTPI(2)))</f>
        <v>-9.709760606526654</v>
      </c>
      <c r="W37" s="244" t="e">
        <f>Tabella34[[#This Row],[Italy g.r.]]/Italy_gr_at_lockdown</f>
        <v>#DIV/0!</v>
      </c>
      <c r="X37" s="244">
        <f>(ACOSH(SQRT(alpha*Kf*psi_f/(Tabella34[[#This Row],[Italy velocity]]*(1+TANH(phi_f)))))+phi_f)/psi_f-(Tabella34[[#This Row],[Day]]-pf)</f>
        <v>199.46839273229978</v>
      </c>
      <c r="Y37" s="244">
        <f>Tabella34[[#This Row],[Italy h.t.]]/Italy_ht_at_lockdown</f>
        <v>1.6796258103036403</v>
      </c>
      <c r="Z37" s="72">
        <f>-2*$BY$48*TANH($BY$48*(Tabella34[[#This Row],[Day]]-$BY$57)-$BY$47)*Tabella34[[#This Row],[Italy velocity]]</f>
        <v>5.6682257038841684</v>
      </c>
      <c r="AA37" s="72">
        <f>Tabella34[[#This Row],[Italy acc. fit]]/Itali_acc_at_lockdown</f>
        <v>0.1619477857373926</v>
      </c>
      <c r="AB37" s="143">
        <f>Tabella34[[#This Row],[Italy acc. fit]]/y_f_peak</f>
        <v>1.7943161764729448E-3</v>
      </c>
      <c r="AC37" s="143">
        <f>Tabella34[[#This Row],[Italy (fit of selected region + fitted sum of the other regions)]]*NOT(ISBLANK(Tabella34[[#This Row],[Italy rate data]]))</f>
        <v>5.6057231052872867</v>
      </c>
      <c r="AD37" s="143">
        <f>Tabella34[[#This Row],[Italy acc. fit]]*NOT(ISBLANK(Tabella34[[#This Row],[Italy rate data]]))</f>
        <v>5.6682257038841684</v>
      </c>
      <c r="AE37" s="77">
        <f>Tabella34[[#This Row],[Italy acc. fit]]+CIf</f>
        <v>1660.8781946276356</v>
      </c>
      <c r="AF37" s="77">
        <f>MAX(Tabella34[[#This Row],[Italy acc. fit]]-CIf,0)</f>
        <v>0</v>
      </c>
      <c r="AG37" s="141"/>
      <c r="AH37" s="33"/>
      <c r="AI37" s="33"/>
      <c r="AJ37" s="142">
        <f>Tabella34[[#This Row],[selected region rate data]]*NOT(ISBLANK(Tabella34[[#This Row],[selected region rate data]]))</f>
        <v>0</v>
      </c>
      <c r="AK37" s="147">
        <f>Tabella8[[#This Row],[region fit]]</f>
        <v>0</v>
      </c>
      <c r="AL37" s="143">
        <f>(ATANH(alpha*Tabella34[[#This Row],[sel. region cumul. fit]]/Kl-(1-alpha*Tabella34[[#This Row],[sel. region cumul. fit]]/Kl)*TANH(phi_l))+phi_l)/psi_l-(Tabella34[[#This Row],[Day]]-pl)</f>
        <v>46.356483051343162</v>
      </c>
      <c r="AM37" s="142">
        <f>Tabella34[[#This Row],[sel. region cumul. fit]]/Kl</f>
        <v>0</v>
      </c>
      <c r="AN37" s="143">
        <f>Tabella3[[#This Row],[region fit]]</f>
        <v>9.7749958777701771</v>
      </c>
      <c r="AO37" s="183" t="e">
        <f>Tabella34[[#This Row],[sel. region velocity]]/Tabella34[[#This Row],[sel. region cumul. fit]]</f>
        <v>#DIV/0!</v>
      </c>
      <c r="AP37" s="236" t="e">
        <f>(LN(Tabella34[[#This Row],[Day]]-pr)-phi_r)/psi_r</f>
        <v>#NUM!</v>
      </c>
      <c r="AQ37" s="244">
        <f>EXP(phi_r+psi_r*Tabella34[[#This Row],[x_r_alpha©+plus]])-(Tabella34[[#This Row],[Day]]-pr)</f>
        <v>49.634130063193226</v>
      </c>
      <c r="AR37" s="244">
        <f>EXP(phi_r+psi_r*Tabella34[[#This Row],[x_r_alpha©-minus]])-(Tabella34[[#This Row],[Day]]-pr)</f>
        <v>49.099048788646456</v>
      </c>
      <c r="AS37" s="244">
        <f>-psi_r+SQRT(psi_r^2-2*Tabella34[[#This Row],[c_r]])</f>
        <v>4.4038002225888508</v>
      </c>
      <c r="AT37" s="244">
        <f>-psi_r-SQRT(psi_r^2-2*Tabella34[[#This Row],[c_r]])</f>
        <v>-4.4440882322551882</v>
      </c>
      <c r="AU37" s="244">
        <f>phi_r-LN(alpha*Kr/(Tabella34[[#This Row],[sel. region velocity]]*psi_r*SQRTPI(2)))</f>
        <v>-9.7854383732049435</v>
      </c>
      <c r="AV37" s="244">
        <f>(ACOSH(SQRT(alpha*Kl*psi_l/(Tabella34[[#This Row],[sel. region velocity]]*(1+TANH(phi_l)))))+phi_l)/psi_l-(Tabella34[[#This Row],[Day]]-pl)</f>
        <v>219.4021507965831</v>
      </c>
      <c r="AW37" s="72">
        <f>-2*$BY$22*TANH($BY$22*(Tabella34[[#This Row],[Day]]-$BY$31)-$BY$21)*Tabella34[[#This Row],[sel. region velocity]]</f>
        <v>0.38051783784556392</v>
      </c>
      <c r="AX37" s="143">
        <f>Tabella34[[#This Row],[sel. region acc. fit]]/y_l_peak</f>
        <v>2.5844286951799927E-3</v>
      </c>
      <c r="AY37" s="143">
        <f>Tabella34[[#This Row],[sel. region acc. fit]]*NOT(ISBLANK(Tabella34[[#This Row],[selected region rate data]]))</f>
        <v>0</v>
      </c>
      <c r="AZ37" s="77">
        <f>Tabella34[[#This Row],[sel. region acc. fit]]+CIl</f>
        <v>69.74550421294596</v>
      </c>
      <c r="BA37" s="77">
        <f>MAX(Tabella34[[#This Row],[sel. region acc. fit]]-CIl,0)</f>
        <v>0</v>
      </c>
      <c r="BB37" s="141"/>
      <c r="BC37" s="33"/>
      <c r="BD37" s="33"/>
      <c r="BE37" s="142">
        <f>Tabella34[[#This Row],[rest of Italy rate data]]*NOT(ISBLANK(Tabella34[[#This Row],[rest of Italy rate data]]))</f>
        <v>0</v>
      </c>
      <c r="BF37" s="188">
        <f>Tabella8[[#This Row],[rest of Italy fit]]</f>
        <v>0</v>
      </c>
      <c r="BG37" s="78">
        <f>(ATANH(alpha*Tabella34[[#This Row],[rest of Italy cumul. fit]]/Ka-(1-alpha*Tabella34[[#This Row],[rest of Italy cumul. fit]]/Ka)*TANH(phi_a))+phi_a)/psi_a-(Tabella34[[#This Row],[Day]]-pa)</f>
        <v>37.882529907638357</v>
      </c>
      <c r="BH37" s="143">
        <f>Tabella34[[#This Row],[rest of Italy cumul. fit]]/Ka</f>
        <v>0</v>
      </c>
      <c r="BI37" s="143">
        <f>Tabella3[[#This Row],[rest of Italy fit]]</f>
        <v>103.62310470673087</v>
      </c>
      <c r="BJ37" s="183" t="e">
        <f>Tabella34[[#This Row],[rest of Italy velocity]]/Tabella34[[#This Row],[rest of Italy cumul. fit]]</f>
        <v>#DIV/0!</v>
      </c>
      <c r="BK37" s="236" t="e">
        <f>(LN(Tabella34[[#This Row],[Day]]-po)-phi_o)/psi_o</f>
        <v>#NUM!</v>
      </c>
      <c r="BL37" s="244">
        <f>EXP(phi_o+psi_o*Tabella34[[#This Row],[x_o_alpha©+plus]])-(Tabella34[[#This Row],[Day]]-po)</f>
        <v>42.413538702803784</v>
      </c>
      <c r="BM37" s="244">
        <f>EXP(phi_o+psi_o*Tabella34[[#This Row],[x_o_alpha©-minus]])-(Tabella34[[#This Row],[Day]]-po)</f>
        <v>41.496622842555276</v>
      </c>
      <c r="BN37" s="244">
        <f>-psi_o+SQRT(psi_o^2-2*Tabella34[[#This Row],[c_o]])</f>
        <v>4.3806818514717696</v>
      </c>
      <c r="BO37" s="244">
        <f>-psi_o-SQRT(psi_o^2-2*Tabella34[[#This Row],[c_o]])</f>
        <v>-4.4319951357394229</v>
      </c>
      <c r="BP37" s="244">
        <f>phi_o-LN(alpha*Ko/(Tabella34[[#This Row],[rest of Italy velocity]]*psi_o*SQRTPI(2)))</f>
        <v>-9.707580328472428</v>
      </c>
      <c r="BQ37" s="244">
        <f>(ACOSH(SQRT(alpha*Ka*psi_a/(Tabella34[[#This Row],[rest of Italy velocity]]*(1+TANH(phi_a)))))+phi_a)/psi_a-(Tabella34[[#This Row],[Day]]-pa)</f>
        <v>198.4642865006785</v>
      </c>
      <c r="BR37" s="72">
        <f>-2*$BY$35*TANH($BY$35*(Tabella34[[#This Row],[Day]]-$BY$44)-$BY$34)*Tabella34[[#This Row],[rest of Italy velocity]]</f>
        <v>5.2252052674417229</v>
      </c>
      <c r="BS37" s="143">
        <f>Tabella34[[#This Row],[rest of Italy acc. fit]]/y_a_peak</f>
        <v>1.7305164978406685E-3</v>
      </c>
      <c r="BT37" s="142">
        <f>Tabella34[[#This Row],[rest of Italy acc. fit]]*NOT(ISBLANK(Tabella34[[#This Row],[rest of Italy rate data]]))</f>
        <v>0</v>
      </c>
      <c r="BU37" s="77">
        <f>Tabella34[[#This Row],[rest of Italy acc. fit]]+CIa</f>
        <v>1639.3591452212431</v>
      </c>
      <c r="BV37" s="77">
        <f>MAX(Tabella34[[#This Row],[rest of Italy acc. fit]]-CIa,0)</f>
        <v>0</v>
      </c>
      <c r="BX37" s="213" t="s">
        <v>2</v>
      </c>
      <c r="BY37" s="215">
        <f>COUNT(Tabella34[rest of Italy rate data])-COUNT(BY33:BY35)</f>
        <v>98</v>
      </c>
      <c r="CL37" s="45"/>
    </row>
    <row r="38" spans="2:90" x14ac:dyDescent="0.3">
      <c r="B38" s="262">
        <v>43861</v>
      </c>
      <c r="C38" s="4">
        <v>31</v>
      </c>
      <c r="D38" s="10">
        <f>Tabella8[[#This Row],[Italy cumulative]]</f>
        <v>0</v>
      </c>
      <c r="E38" s="72">
        <f>(Tabella34[[#This Row],[Italy cumul. data]]-D37)</f>
        <v>0</v>
      </c>
      <c r="F38" s="72">
        <f>Tabella34[[#This Row],[Italy rate data]]-E37</f>
        <v>0</v>
      </c>
      <c r="G38" s="142">
        <f>Tabella34[[#This Row],[Italy rate data]]*NOT(ISBLANK(Tabella34[[#This Row],[Italy rate data]]))</f>
        <v>0</v>
      </c>
      <c r="H38" s="143">
        <f>Tabella8[[#This Row],[Italy fit]]</f>
        <v>0</v>
      </c>
      <c r="I38" s="143">
        <f>(ATANH(alpha*Tabella34[[#This Row],[Italy cumul. Fit]]/Kf-(1-alpha*Tabella34[[#This Row],[Italy cumul. Fit]]/Kf)*TANH(phi_f))+phi_f)/psi_f-(Tabella34[[#This Row],[Day]]-pf)</f>
        <v>37.480394693650979</v>
      </c>
      <c r="J38" s="143">
        <f>Tabella34[[#This Row],[Italy d.t.]]/Italy_dt_at_lockdown</f>
        <v>16.512999580452519</v>
      </c>
      <c r="K38" s="143">
        <f>Tabella34[[#This Row],[Italy cumul. Fit]]/Kf</f>
        <v>0</v>
      </c>
      <c r="L38" s="146">
        <f>Tabella34[[#This Row],[sel. region acc. fit]]+Tabella34[[#This Row],[rest of Italy acc. fit]]</f>
        <v>5.8853199997970806</v>
      </c>
      <c r="M38" s="143">
        <f>Tabella34[[#This Row],[Italy (fit of selected region + fitted sum of the other regions)]]/(y_l_peak+y_a_peak)</f>
        <v>1.8585124038264448E-3</v>
      </c>
      <c r="N38" s="143">
        <f>Tabella3[[#This Row],[Italy remov. rate fit]]</f>
        <v>120.09532539591808</v>
      </c>
      <c r="O38" s="143" t="e">
        <f>Kt*EXP(-0.5*Tabella34[[#This Row],[x_t]]^2)/(psi_t*SQRTPI(2)*(Tabella34[[#This Row],[Day]]-D_bk))</f>
        <v>#NUM!</v>
      </c>
      <c r="P38" s="183" t="e">
        <f>Tabella34[[#This Row],[Italy velocity]]/Tabella34[[#This Row],[Italy cumul. Fit]]</f>
        <v>#DIV/0!</v>
      </c>
      <c r="Q38" s="244" t="e">
        <f>(LN(Tabella34[[#This Row],[Day]]-D_bk)-phi_t)/psi_t</f>
        <v>#NUM!</v>
      </c>
      <c r="R38" s="244">
        <f>EXP(phi_t+psi_t*Tabella34[[#This Row],[x_t_alpha©+plus]])-(Tabella34[[#This Row],[Day]]-D_bk)</f>
        <v>41.882251545970604</v>
      </c>
      <c r="S38" s="244">
        <f>EXP(phi_t+psi_t*Tabella34[[#This Row],[x_t_alpha©-minus]])-(Tabella34[[#This Row],[Day]]-D_bk)</f>
        <v>41.005704147822733</v>
      </c>
      <c r="T38" s="244">
        <f>-psi_t+SQRT(psi_t^2-2*Tabella34[[#This Row],[c_t]])</f>
        <v>4.3703081294289801</v>
      </c>
      <c r="U38" s="244">
        <f>-psi_t-SQRT(psi_t^2-2*Tabella34[[#This Row],[c_t]])</f>
        <v>-4.4208268041263521</v>
      </c>
      <c r="V38" s="244">
        <f>phi_t-LN(alpha*Kt/(Tabella34[[#This Row],[Italy velocity]]*psi_t*SQRTPI(2)))</f>
        <v>-9.6601876604354686</v>
      </c>
      <c r="W38" s="244" t="e">
        <f>Tabella34[[#This Row],[Italy g.r.]]/Italy_gr_at_lockdown</f>
        <v>#DIV/0!</v>
      </c>
      <c r="X38" s="244">
        <f>(ACOSH(SQRT(alpha*Kf*psi_f/(Tabella34[[#This Row],[Italy velocity]]*(1+TANH(phi_f)))))+phi_f)/psi_f-(Tabella34[[#This Row],[Day]]-pf)</f>
        <v>197.4778856032226</v>
      </c>
      <c r="Y38" s="244">
        <f>Tabella34[[#This Row],[Italy h.t.]]/Italy_ht_at_lockdown</f>
        <v>1.662864722976495</v>
      </c>
      <c r="Z38" s="72">
        <f>-2*$BY$48*TANH($BY$48*(Tabella34[[#This Row],[Day]]-$BY$57)-$BY$47)*Tabella34[[#This Row],[Italy velocity]]</f>
        <v>5.95061357575978</v>
      </c>
      <c r="AA38" s="72">
        <f>Tabella34[[#This Row],[Italy acc. fit]]/Itali_acc_at_lockdown</f>
        <v>0.17001593491818681</v>
      </c>
      <c r="AB38" s="143">
        <f>Tabella34[[#This Row],[Italy acc. fit]]/y_f_peak</f>
        <v>1.88370801670947E-3</v>
      </c>
      <c r="AC38" s="143">
        <f>Tabella34[[#This Row],[Italy (fit of selected region + fitted sum of the other regions)]]*NOT(ISBLANK(Tabella34[[#This Row],[Italy rate data]]))</f>
        <v>5.8853199997970806</v>
      </c>
      <c r="AD38" s="143">
        <f>Tabella34[[#This Row],[Italy acc. fit]]*NOT(ISBLANK(Tabella34[[#This Row],[Italy rate data]]))</f>
        <v>5.95061357575978</v>
      </c>
      <c r="AE38" s="77">
        <f>Tabella34[[#This Row],[Italy acc. fit]]+CIf</f>
        <v>1661.1605824995111</v>
      </c>
      <c r="AF38" s="77">
        <f>MAX(Tabella34[[#This Row],[Italy acc. fit]]-CIf,0)</f>
        <v>0</v>
      </c>
      <c r="AG38" s="141"/>
      <c r="AH38" s="33"/>
      <c r="AI38" s="33"/>
      <c r="AJ38" s="142">
        <f>Tabella34[[#This Row],[selected region rate data]]*NOT(ISBLANK(Tabella34[[#This Row],[selected region rate data]]))</f>
        <v>0</v>
      </c>
      <c r="AK38" s="147">
        <f>Tabella8[[#This Row],[region fit]]</f>
        <v>0</v>
      </c>
      <c r="AL38" s="143">
        <f>(ATANH(alpha*Tabella34[[#This Row],[sel. region cumul. fit]]/Kl-(1-alpha*Tabella34[[#This Row],[sel. region cumul. fit]]/Kl)*TANH(phi_l))+phi_l)/psi_l-(Tabella34[[#This Row],[Day]]-pl)</f>
        <v>45.356483051343162</v>
      </c>
      <c r="AM38" s="142">
        <f>Tabella34[[#This Row],[sel. region cumul. fit]]/Kl</f>
        <v>0</v>
      </c>
      <c r="AN38" s="143">
        <f>Tabella3[[#This Row],[region fit]]</f>
        <v>10.162739724651402</v>
      </c>
      <c r="AO38" s="183" t="e">
        <f>Tabella34[[#This Row],[sel. region velocity]]/Tabella34[[#This Row],[sel. region cumul. fit]]</f>
        <v>#DIV/0!</v>
      </c>
      <c r="AP38" s="236" t="e">
        <f>(LN(Tabella34[[#This Row],[Day]]-pr)-phi_r)/psi_r</f>
        <v>#NUM!</v>
      </c>
      <c r="AQ38" s="244">
        <f>EXP(phi_r+psi_r*Tabella34[[#This Row],[x_r_alpha©+plus]])-(Tabella34[[#This Row],[Day]]-pr)</f>
        <v>48.633548969791129</v>
      </c>
      <c r="AR38" s="244">
        <f>EXP(phi_r+psi_r*Tabella34[[#This Row],[x_r_alpha©-minus]])-(Tabella34[[#This Row],[Day]]-pr)</f>
        <v>48.099535103812038</v>
      </c>
      <c r="AS38" s="244">
        <f>-psi_r+SQRT(psi_r^2-2*Tabella34[[#This Row],[c_r]])</f>
        <v>4.3949983222255762</v>
      </c>
      <c r="AT38" s="244">
        <f>-psi_r-SQRT(psi_r^2-2*Tabella34[[#This Row],[c_r]])</f>
        <v>-4.4352863318919136</v>
      </c>
      <c r="AU38" s="244">
        <f>phi_r-LN(alpha*Kr/(Tabella34[[#This Row],[sel. region velocity]]*psi_r*SQRTPI(2)))</f>
        <v>-9.746537993627495</v>
      </c>
      <c r="AV38" s="244">
        <f>(ACOSH(SQRT(alpha*Kl*psi_l/(Tabella34[[#This Row],[sel. region velocity]]*(1+TANH(phi_l)))))+phi_l)/psi_l-(Tabella34[[#This Row],[Day]]-pl)</f>
        <v>217.41982481391707</v>
      </c>
      <c r="AW38" s="72">
        <f>-2*$BY$22*TANH($BY$22*(Tabella34[[#This Row],[Day]]-$BY$31)-$BY$21)*Tabella34[[#This Row],[sel. region velocity]]</f>
        <v>0.39505344237467388</v>
      </c>
      <c r="AX38" s="143">
        <f>Tabella34[[#This Row],[sel. region acc. fit]]/y_l_peak</f>
        <v>2.6831526700125908E-3</v>
      </c>
      <c r="AY38" s="143">
        <f>Tabella34[[#This Row],[sel. region acc. fit]]*NOT(ISBLANK(Tabella34[[#This Row],[selected region rate data]]))</f>
        <v>0</v>
      </c>
      <c r="AZ38" s="77">
        <f>Tabella34[[#This Row],[sel. region acc. fit]]+CIl</f>
        <v>69.760039817475075</v>
      </c>
      <c r="BA38" s="77">
        <f>MAX(Tabella34[[#This Row],[sel. region acc. fit]]-CIl,0)</f>
        <v>0</v>
      </c>
      <c r="BB38" s="141"/>
      <c r="BC38" s="33"/>
      <c r="BD38" s="33"/>
      <c r="BE38" s="142">
        <f>Tabella34[[#This Row],[rest of Italy rate data]]*NOT(ISBLANK(Tabella34[[#This Row],[rest of Italy rate data]]))</f>
        <v>0</v>
      </c>
      <c r="BF38" s="188">
        <f>Tabella8[[#This Row],[rest of Italy fit]]</f>
        <v>0</v>
      </c>
      <c r="BG38" s="78">
        <f>(ATANH(alpha*Tabella34[[#This Row],[rest of Italy cumul. fit]]/Ka-(1-alpha*Tabella34[[#This Row],[rest of Italy cumul. fit]]/Ka)*TANH(phi_a))+phi_a)/psi_a-(Tabella34[[#This Row],[Day]]-pa)</f>
        <v>36.882529907638357</v>
      </c>
      <c r="BH38" s="143">
        <f>Tabella34[[#This Row],[rest of Italy cumul. fit]]/Ka</f>
        <v>0</v>
      </c>
      <c r="BI38" s="143">
        <f>Tabella3[[#This Row],[rest of Italy fit]]</f>
        <v>108.97978941404627</v>
      </c>
      <c r="BJ38" s="183" t="e">
        <f>Tabella34[[#This Row],[rest of Italy velocity]]/Tabella34[[#This Row],[rest of Italy cumul. fit]]</f>
        <v>#DIV/0!</v>
      </c>
      <c r="BK38" s="236" t="e">
        <f>(LN(Tabella34[[#This Row],[Day]]-po)-phi_o)/psi_o</f>
        <v>#NUM!</v>
      </c>
      <c r="BL38" s="244">
        <f>EXP(phi_o+psi_o*Tabella34[[#This Row],[x_o_alpha©+plus]])-(Tabella34[[#This Row],[Day]]-po)</f>
        <v>41.412207431133226</v>
      </c>
      <c r="BM38" s="244">
        <f>EXP(phi_o+psi_o*Tabella34[[#This Row],[x_o_alpha©-minus]])-(Tabella34[[#This Row],[Day]]-po)</f>
        <v>40.497685024027156</v>
      </c>
      <c r="BN38" s="244">
        <f>-psi_o+SQRT(psi_o^2-2*Tabella34[[#This Row],[c_o]])</f>
        <v>4.3692284158996895</v>
      </c>
      <c r="BO38" s="244">
        <f>-psi_o-SQRT(psi_o^2-2*Tabella34[[#This Row],[c_o]])</f>
        <v>-4.4205417001673428</v>
      </c>
      <c r="BP38" s="244">
        <f>phi_o-LN(alpha*Ko/(Tabella34[[#This Row],[rest of Italy velocity]]*psi_o*SQRTPI(2)))</f>
        <v>-9.6571782050203385</v>
      </c>
      <c r="BQ38" s="244">
        <f>(ACOSH(SQRT(alpha*Ka*psi_a/(Tabella34[[#This Row],[rest of Italy velocity]]*(1+TANH(phi_a)))))+phi_a)/psi_a-(Tabella34[[#This Row],[Day]]-pa)</f>
        <v>196.47328423032184</v>
      </c>
      <c r="BR38" s="72">
        <f>-2*$BY$35*TANH($BY$35*(Tabella34[[#This Row],[Day]]-$BY$44)-$BY$34)*Tabella34[[#This Row],[rest of Italy velocity]]</f>
        <v>5.490266557422407</v>
      </c>
      <c r="BS38" s="143">
        <f>Tabella34[[#This Row],[rest of Italy acc. fit]]/y_a_peak</f>
        <v>1.8183011707431133E-3</v>
      </c>
      <c r="BT38" s="142">
        <f>Tabella34[[#This Row],[rest of Italy acc. fit]]*NOT(ISBLANK(Tabella34[[#This Row],[rest of Italy rate data]]))</f>
        <v>0</v>
      </c>
      <c r="BU38" s="77">
        <f>Tabella34[[#This Row],[rest of Italy acc. fit]]+CIa</f>
        <v>1639.624206511224</v>
      </c>
      <c r="BV38" s="77">
        <f>MAX(Tabella34[[#This Row],[rest of Italy acc. fit]]-CIa,0)</f>
        <v>0</v>
      </c>
      <c r="BX38" s="213" t="s">
        <v>3</v>
      </c>
      <c r="BY38" s="214" cm="1">
        <f t="array" ref="BY38">SQRT(SUM((Tabella34[74,24033469]-Tabella34[Colonna322])^2)/dfa)</f>
        <v>2271.2413485250909</v>
      </c>
      <c r="CL38" s="45"/>
    </row>
    <row r="39" spans="2:90" ht="16.2" x14ac:dyDescent="0.3">
      <c r="B39" s="262">
        <v>43862</v>
      </c>
      <c r="C39" s="4">
        <v>32</v>
      </c>
      <c r="D39" s="10">
        <f>Tabella8[[#This Row],[Italy cumulative]]</f>
        <v>0</v>
      </c>
      <c r="E39" s="72">
        <f>(Tabella34[[#This Row],[Italy cumul. data]]-D38)</f>
        <v>0</v>
      </c>
      <c r="F39" s="72">
        <f>Tabella34[[#This Row],[Italy rate data]]-E38</f>
        <v>0</v>
      </c>
      <c r="G39" s="142">
        <f>Tabella34[[#This Row],[Italy rate data]]*NOT(ISBLANK(Tabella34[[#This Row],[Italy rate data]]))</f>
        <v>0</v>
      </c>
      <c r="H39" s="143">
        <f>Tabella8[[#This Row],[Italy fit]]</f>
        <v>0</v>
      </c>
      <c r="I39" s="143">
        <f>(ATANH(alpha*Tabella34[[#This Row],[Italy cumul. Fit]]/Kf-(1-alpha*Tabella34[[#This Row],[Italy cumul. Fit]]/Kf)*TANH(phi_f))+phi_f)/psi_f-(Tabella34[[#This Row],[Day]]-pf)</f>
        <v>36.480394693650979</v>
      </c>
      <c r="J39" s="143">
        <f>Tabella34[[#This Row],[Italy d.t.]]/Italy_dt_at_lockdown</f>
        <v>16.072422587722777</v>
      </c>
      <c r="K39" s="143">
        <f>Tabella34[[#This Row],[Italy cumul. Fit]]/Kf</f>
        <v>0</v>
      </c>
      <c r="L39" s="146">
        <f>Tabella34[[#This Row],[sel. region acc. fit]]+Tabella34[[#This Row],[rest of Italy acc. fit]]</f>
        <v>6.1783177710326509</v>
      </c>
      <c r="M39" s="143">
        <f>Tabella34[[#This Row],[Italy (fit of selected region + fitted sum of the other regions)]]/(y_l_peak+y_a_peak)</f>
        <v>1.9510375328174912E-3</v>
      </c>
      <c r="N39" s="143">
        <f>Tabella3[[#This Row],[Italy remov. rate fit]]</f>
        <v>126.19271590669184</v>
      </c>
      <c r="O39" s="143" t="e">
        <f>Kt*EXP(-0.5*Tabella34[[#This Row],[x_t]]^2)/(psi_t*SQRTPI(2)*(Tabella34[[#This Row],[Day]]-D_bk))</f>
        <v>#NUM!</v>
      </c>
      <c r="P39" s="183" t="e">
        <f>Tabella34[[#This Row],[Italy velocity]]/Tabella34[[#This Row],[Italy cumul. Fit]]</f>
        <v>#DIV/0!</v>
      </c>
      <c r="Q39" s="244" t="e">
        <f>(LN(Tabella34[[#This Row],[Day]]-D_bk)-phi_t)/psi_t</f>
        <v>#NUM!</v>
      </c>
      <c r="R39" s="244">
        <f>EXP(phi_t+psi_t*Tabella34[[#This Row],[x_t_alpha©+plus]])-(Tabella34[[#This Row],[Day]]-D_bk)</f>
        <v>40.880997370943909</v>
      </c>
      <c r="S39" s="244">
        <f>EXP(phi_t+psi_t*Tabella34[[#This Row],[x_t_alpha©-minus]])-(Tabella34[[#This Row],[Day]]-D_bk)</f>
        <v>40.006708863631687</v>
      </c>
      <c r="T39" s="244">
        <f>-psi_t+SQRT(psi_t^2-2*Tabella34[[#This Row],[c_t]])</f>
        <v>4.3590267512712515</v>
      </c>
      <c r="U39" s="244">
        <f>-psi_t-SQRT(psi_t^2-2*Tabella34[[#This Row],[c_t]])</f>
        <v>-4.4095454259686235</v>
      </c>
      <c r="V39" s="244">
        <f>phi_t-LN(alpha*Kt/(Tabella34[[#This Row],[Italy velocity]]*psi_t*SQRTPI(2)))</f>
        <v>-9.6106632363715079</v>
      </c>
      <c r="W39" s="244" t="e">
        <f>Tabella34[[#This Row],[Italy g.r.]]/Italy_gr_at_lockdown</f>
        <v>#DIV/0!</v>
      </c>
      <c r="X39" s="244">
        <f>(ACOSH(SQRT(alpha*Kf*psi_f/(Tabella34[[#This Row],[Italy velocity]]*(1+TANH(phi_f)))))+phi_f)/psi_f-(Tabella34[[#This Row],[Day]]-pf)</f>
        <v>195.48787274721923</v>
      </c>
      <c r="Y39" s="244">
        <f>Tabella34[[#This Row],[Italy h.t.]]/Italy_ht_at_lockdown</f>
        <v>1.6461077976812419</v>
      </c>
      <c r="Z39" s="72">
        <f>-2*$BY$48*TANH($BY$48*(Tabella34[[#This Row],[Day]]-$BY$57)-$BY$47)*Tabella34[[#This Row],[Italy velocity]]</f>
        <v>6.246457650884861</v>
      </c>
      <c r="AA39" s="72">
        <f>Tabella34[[#This Row],[Italy acc. fit]]/Itali_acc_at_lockdown</f>
        <v>0.17846854344032143</v>
      </c>
      <c r="AB39" s="143">
        <f>Tabella34[[#This Row],[Italy acc. fit]]/y_f_peak</f>
        <v>1.9773595114526755E-3</v>
      </c>
      <c r="AC39" s="143">
        <f>Tabella34[[#This Row],[Italy (fit of selected region + fitted sum of the other regions)]]*NOT(ISBLANK(Tabella34[[#This Row],[Italy rate data]]))</f>
        <v>6.1783177710326509</v>
      </c>
      <c r="AD39" s="143">
        <f>Tabella34[[#This Row],[Italy acc. fit]]*NOT(ISBLANK(Tabella34[[#This Row],[Italy rate data]]))</f>
        <v>6.246457650884861</v>
      </c>
      <c r="AE39" s="77">
        <f>Tabella34[[#This Row],[Italy acc. fit]]+CIf</f>
        <v>1661.4564265746362</v>
      </c>
      <c r="AF39" s="77">
        <f>MAX(Tabella34[[#This Row],[Italy acc. fit]]-CIf,0)</f>
        <v>0</v>
      </c>
      <c r="AG39" s="141"/>
      <c r="AH39" s="33"/>
      <c r="AI39" s="33"/>
      <c r="AJ39" s="142">
        <f>Tabella34[[#This Row],[selected region rate data]]*NOT(ISBLANK(Tabella34[[#This Row],[selected region rate data]]))</f>
        <v>0</v>
      </c>
      <c r="AK39" s="147">
        <f>Tabella8[[#This Row],[region fit]]</f>
        <v>0</v>
      </c>
      <c r="AL39" s="143">
        <f>(ATANH(alpha*Tabella34[[#This Row],[sel. region cumul. fit]]/Kl-(1-alpha*Tabella34[[#This Row],[sel. region cumul. fit]]/Kl)*TANH(phi_l))+phi_l)/psi_l-(Tabella34[[#This Row],[Day]]-pl)</f>
        <v>44.356483051343162</v>
      </c>
      <c r="AM39" s="142">
        <f>Tabella34[[#This Row],[sel. region cumul. fit]]/Kl</f>
        <v>0</v>
      </c>
      <c r="AN39" s="143">
        <f>Tabella3[[#This Row],[region fit]]</f>
        <v>10.565272244335572</v>
      </c>
      <c r="AO39" s="183" t="e">
        <f>Tabella34[[#This Row],[sel. region velocity]]/Tabella34[[#This Row],[sel. region cumul. fit]]</f>
        <v>#DIV/0!</v>
      </c>
      <c r="AP39" s="236" t="e">
        <f>(LN(Tabella34[[#This Row],[Day]]-pr)-phi_r)/psi_r</f>
        <v>#NUM!</v>
      </c>
      <c r="AQ39" s="244">
        <f>EXP(phi_r+psi_r*Tabella34[[#This Row],[x_r_alpha©+plus]])-(Tabella34[[#This Row],[Day]]-pr)</f>
        <v>47.63296765812558</v>
      </c>
      <c r="AR39" s="244">
        <f>EXP(phi_r+psi_r*Tabella34[[#This Row],[x_r_alpha©-minus]])-(Tabella34[[#This Row],[Day]]-pr)</f>
        <v>47.100021774237412</v>
      </c>
      <c r="AS39" s="244">
        <f>-psi_r+SQRT(psi_r^2-2*Tabella34[[#This Row],[c_r]])</f>
        <v>4.3861915540142373</v>
      </c>
      <c r="AT39" s="244">
        <f>-psi_r-SQRT(psi_r^2-2*Tabella34[[#This Row],[c_r]])</f>
        <v>-4.4264795636805747</v>
      </c>
      <c r="AU39" s="244">
        <f>phi_r-LN(alpha*Kr/(Tabella34[[#This Row],[sel. region velocity]]*psi_r*SQRTPI(2)))</f>
        <v>-9.7076936381161794</v>
      </c>
      <c r="AV39" s="244">
        <f>(ACOSH(SQRT(alpha*Kl*psi_l/(Tabella34[[#This Row],[sel. region velocity]]*(1+TANH(phi_l)))))+phi_l)/psi_l-(Tabella34[[#This Row],[Day]]-pl)</f>
        <v>215.43823175274807</v>
      </c>
      <c r="AW39" s="72">
        <f>-2*$BY$22*TANH($BY$22*(Tabella34[[#This Row],[Day]]-$BY$31)-$BY$21)*Tabella34[[#This Row],[sel. region velocity]]</f>
        <v>0.4100974948389054</v>
      </c>
      <c r="AX39" s="143">
        <f>Tabella34[[#This Row],[sel. region acc. fit]]/y_l_peak</f>
        <v>2.7853299584689943E-3</v>
      </c>
      <c r="AY39" s="143">
        <f>Tabella34[[#This Row],[sel. region acc. fit]]*NOT(ISBLANK(Tabella34[[#This Row],[selected region rate data]]))</f>
        <v>0</v>
      </c>
      <c r="AZ39" s="77">
        <f>Tabella34[[#This Row],[sel. region acc. fit]]+CIl</f>
        <v>69.775083869939309</v>
      </c>
      <c r="BA39" s="77">
        <f>MAX(Tabella34[[#This Row],[sel. region acc. fit]]-CIl,0)</f>
        <v>0</v>
      </c>
      <c r="BB39" s="141"/>
      <c r="BC39" s="33"/>
      <c r="BD39" s="33"/>
      <c r="BE39" s="142">
        <f>Tabella34[[#This Row],[rest of Italy rate data]]*NOT(ISBLANK(Tabella34[[#This Row],[rest of Italy rate data]]))</f>
        <v>0</v>
      </c>
      <c r="BF39" s="188">
        <f>Tabella8[[#This Row],[rest of Italy fit]]</f>
        <v>0</v>
      </c>
      <c r="BG39" s="78">
        <f>(ATANH(alpha*Tabella34[[#This Row],[rest of Italy cumul. fit]]/Ka-(1-alpha*Tabella34[[#This Row],[rest of Italy cumul. fit]]/Ka)*TANH(phi_a))+phi_a)/psi_a-(Tabella34[[#This Row],[Day]]-pa)</f>
        <v>35.882529907638357</v>
      </c>
      <c r="BH39" s="143">
        <f>Tabella34[[#This Row],[rest of Italy cumul. fit]]/Ka</f>
        <v>0</v>
      </c>
      <c r="BI39" s="143">
        <f>Tabella3[[#This Row],[rest of Italy fit]]</f>
        <v>114.60793509152847</v>
      </c>
      <c r="BJ39" s="183" t="e">
        <f>Tabella34[[#This Row],[rest of Italy velocity]]/Tabella34[[#This Row],[rest of Italy cumul. fit]]</f>
        <v>#DIV/0!</v>
      </c>
      <c r="BK39" s="236" t="e">
        <f>(LN(Tabella34[[#This Row],[Day]]-po)-phi_o)/psi_o</f>
        <v>#NUM!</v>
      </c>
      <c r="BL39" s="244">
        <f>EXP(phi_o+psi_o*Tabella34[[#This Row],[x_o_alpha©+plus]])-(Tabella34[[#This Row],[Day]]-po)</f>
        <v>40.410874333356247</v>
      </c>
      <c r="BM39" s="244">
        <f>EXP(phi_o+psi_o*Tabella34[[#This Row],[x_o_alpha©-minus]])-(Tabella34[[#This Row],[Day]]-po)</f>
        <v>39.498749288313618</v>
      </c>
      <c r="BN39" s="244">
        <f>-psi_o+SQRT(psi_o^2-2*Tabella34[[#This Row],[c_o]])</f>
        <v>4.3577558960515788</v>
      </c>
      <c r="BO39" s="244">
        <f>-psi_o-SQRT(psi_o^2-2*Tabella34[[#This Row],[c_o]])</f>
        <v>-4.4090691803192321</v>
      </c>
      <c r="BP39" s="244">
        <f>phi_o-LN(alpha*Ko/(Tabella34[[#This Row],[rest of Italy velocity]]*psi_o*SQRTPI(2)))</f>
        <v>-9.6068236083177183</v>
      </c>
      <c r="BQ39" s="244">
        <f>(ACOSH(SQRT(alpha*Ka*psi_a/(Tabella34[[#This Row],[rest of Italy velocity]]*(1+TANH(phi_a)))))+phi_a)/psi_a-(Tabella34[[#This Row],[Day]]-pa)</f>
        <v>194.4827578969556</v>
      </c>
      <c r="BR39" s="72">
        <f>-2*$BY$35*TANH($BY$35*(Tabella34[[#This Row],[Day]]-$BY$44)-$BY$34)*Tabella34[[#This Row],[rest of Italy velocity]]</f>
        <v>5.7682202761937456</v>
      </c>
      <c r="BS39" s="143">
        <f>Tabella34[[#This Row],[rest of Italy acc. fit]]/y_a_peak</f>
        <v>1.9103556396779706E-3</v>
      </c>
      <c r="BT39" s="142">
        <f>Tabella34[[#This Row],[rest of Italy acc. fit]]*NOT(ISBLANK(Tabella34[[#This Row],[rest of Italy rate data]]))</f>
        <v>0</v>
      </c>
      <c r="BU39" s="77">
        <f>Tabella34[[#This Row],[rest of Italy acc. fit]]+CIa</f>
        <v>1639.9021602299952</v>
      </c>
      <c r="BV39" s="77">
        <f>MAX(Tabella34[[#This Row],[rest of Italy acc. fit]]-CIa,0)</f>
        <v>0</v>
      </c>
      <c r="BX39" s="213" t="s">
        <v>4357</v>
      </c>
      <c r="BY39" s="216" cm="1">
        <f t="array" ref="BY39">1-SUM((Tabella34[74,24033469]-Tabella34[Colonna322])^2)/SUM((Tabella34[74,24033469]-Mean_of_ya)^2)</f>
        <v>-0.20064982822529309</v>
      </c>
      <c r="CL39" s="45"/>
    </row>
    <row r="40" spans="2:90" x14ac:dyDescent="0.3">
      <c r="B40" s="262">
        <v>43863</v>
      </c>
      <c r="C40" s="4">
        <v>33</v>
      </c>
      <c r="D40" s="10">
        <f>Tabella8[[#This Row],[Italy cumulative]]</f>
        <v>0</v>
      </c>
      <c r="E40" s="72">
        <f>(Tabella34[[#This Row],[Italy cumul. data]]-D39)</f>
        <v>0</v>
      </c>
      <c r="F40" s="72">
        <f>Tabella34[[#This Row],[Italy rate data]]-E39</f>
        <v>0</v>
      </c>
      <c r="G40" s="142">
        <f>Tabella34[[#This Row],[Italy rate data]]*NOT(ISBLANK(Tabella34[[#This Row],[Italy rate data]]))</f>
        <v>0</v>
      </c>
      <c r="H40" s="143">
        <f>Tabella8[[#This Row],[Italy fit]]</f>
        <v>0</v>
      </c>
      <c r="I40" s="143">
        <f>(ATANH(alpha*Tabella34[[#This Row],[Italy cumul. Fit]]/Kf-(1-alpha*Tabella34[[#This Row],[Italy cumul. Fit]]/Kf)*TANH(phi_f))+phi_f)/psi_f-(Tabella34[[#This Row],[Day]]-pf)</f>
        <v>35.480394693650979</v>
      </c>
      <c r="J40" s="143">
        <f>Tabella34[[#This Row],[Italy d.t.]]/Italy_dt_at_lockdown</f>
        <v>15.631845594993035</v>
      </c>
      <c r="K40" s="143">
        <f>Tabella34[[#This Row],[Italy cumul. Fit]]/Kf</f>
        <v>0</v>
      </c>
      <c r="L40" s="146">
        <f>Tabella34[[#This Row],[sel. region acc. fit]]+Tabella34[[#This Row],[rest of Italy acc. fit]]</f>
        <v>6.4852980064118508</v>
      </c>
      <c r="M40" s="143">
        <f>Tabella34[[#This Row],[Italy (fit of selected region + fitted sum of the other regions)]]/(y_l_peak+y_a_peak)</f>
        <v>2.0479781537525426E-3</v>
      </c>
      <c r="N40" s="143">
        <f>Tabella3[[#This Row],[Italy remov. rate fit]]</f>
        <v>132.5929181008236</v>
      </c>
      <c r="O40" s="143" t="e">
        <f>Kt*EXP(-0.5*Tabella34[[#This Row],[x_t]]^2)/(psi_t*SQRTPI(2)*(Tabella34[[#This Row],[Day]]-D_bk))</f>
        <v>#NUM!</v>
      </c>
      <c r="P40" s="183" t="e">
        <f>Tabella34[[#This Row],[Italy velocity]]/Tabella34[[#This Row],[Italy cumul. Fit]]</f>
        <v>#DIV/0!</v>
      </c>
      <c r="Q40" s="244" t="e">
        <f>(LN(Tabella34[[#This Row],[Day]]-D_bk)-phi_t)/psi_t</f>
        <v>#NUM!</v>
      </c>
      <c r="R40" s="244">
        <f>EXP(phi_t+psi_t*Tabella34[[#This Row],[x_t_alpha©+plus]])-(Tabella34[[#This Row],[Day]]-D_bk)</f>
        <v>39.879741614762082</v>
      </c>
      <c r="S40" s="244">
        <f>EXP(phi_t+psi_t*Tabella34[[#This Row],[x_t_alpha©-minus]])-(Tabella34[[#This Row],[Day]]-D_bk)</f>
        <v>39.00771542003595</v>
      </c>
      <c r="T40" s="244">
        <f>-psi_t+SQRT(psi_t^2-2*Tabella34[[#This Row],[c_t]])</f>
        <v>4.3477279287862807</v>
      </c>
      <c r="U40" s="244">
        <f>-psi_t-SQRT(psi_t^2-2*Tabella34[[#This Row],[c_t]])</f>
        <v>-4.3982466034836527</v>
      </c>
      <c r="V40" s="244">
        <f>phi_t-LN(alpha*Kt/(Tabella34[[#This Row],[Italy velocity]]*psi_t*SQRTPI(2)))</f>
        <v>-9.5611897978276357</v>
      </c>
      <c r="W40" s="244" t="e">
        <f>Tabella34[[#This Row],[Italy g.r.]]/Italy_gr_at_lockdown</f>
        <v>#DIV/0!</v>
      </c>
      <c r="X40" s="244">
        <f>(ACOSH(SQRT(alpha*Kf*psi_f/(Tabella34[[#This Row],[Italy velocity]]*(1+TANH(phi_f)))))+phi_f)/psi_f-(Tabella34[[#This Row],[Day]]-pf)</f>
        <v>193.49838002666826</v>
      </c>
      <c r="Y40" s="244">
        <f>Tabella34[[#This Row],[Italy h.t.]]/Italy_ht_at_lockdown</f>
        <v>1.6293552521923269</v>
      </c>
      <c r="Z40" s="72">
        <f>-2*$BY$48*TANH($BY$48*(Tabella34[[#This Row],[Day]]-$BY$57)-$BY$47)*Tabella34[[#This Row],[Italy velocity]]</f>
        <v>6.5563345274910239</v>
      </c>
      <c r="AA40" s="72">
        <f>Tabella34[[#This Row],[Italy acc. fit]]/Itali_acc_at_lockdown</f>
        <v>0.18732208538435491</v>
      </c>
      <c r="AB40" s="143">
        <f>Tabella34[[#This Row],[Italy acc. fit]]/y_f_peak</f>
        <v>2.0754531868735987E-3</v>
      </c>
      <c r="AC40" s="143">
        <f>Tabella34[[#This Row],[Italy (fit of selected region + fitted sum of the other regions)]]*NOT(ISBLANK(Tabella34[[#This Row],[Italy rate data]]))</f>
        <v>6.4852980064118508</v>
      </c>
      <c r="AD40" s="143">
        <f>Tabella34[[#This Row],[Italy acc. fit]]*NOT(ISBLANK(Tabella34[[#This Row],[Italy rate data]]))</f>
        <v>6.5563345274910239</v>
      </c>
      <c r="AE40" s="77">
        <f>Tabella34[[#This Row],[Italy acc. fit]]+CIf</f>
        <v>1661.7663034512425</v>
      </c>
      <c r="AF40" s="77">
        <f>MAX(Tabella34[[#This Row],[Italy acc. fit]]-CIf,0)</f>
        <v>0</v>
      </c>
      <c r="AG40" s="141"/>
      <c r="AH40" s="33"/>
      <c r="AI40" s="33"/>
      <c r="AJ40" s="142">
        <f>Tabella34[[#This Row],[selected region rate data]]*NOT(ISBLANK(Tabella34[[#This Row],[selected region rate data]]))</f>
        <v>0</v>
      </c>
      <c r="AK40" s="147">
        <f>Tabella8[[#This Row],[region fit]]</f>
        <v>0</v>
      </c>
      <c r="AL40" s="143">
        <f>(ATANH(alpha*Tabella34[[#This Row],[sel. region cumul. fit]]/Kl-(1-alpha*Tabella34[[#This Row],[sel. region cumul. fit]]/Kl)*TANH(phi_l))+phi_l)/psi_l-(Tabella34[[#This Row],[Day]]-pl)</f>
        <v>43.356483051343162</v>
      </c>
      <c r="AM40" s="142">
        <f>Tabella34[[#This Row],[sel. region cumul. fit]]/Kl</f>
        <v>0</v>
      </c>
      <c r="AN40" s="143">
        <f>Tabella3[[#This Row],[region fit]]</f>
        <v>10.983108829785914</v>
      </c>
      <c r="AO40" s="183" t="e">
        <f>Tabella34[[#This Row],[sel. region velocity]]/Tabella34[[#This Row],[sel. region cumul. fit]]</f>
        <v>#DIV/0!</v>
      </c>
      <c r="AP40" s="236" t="e">
        <f>(LN(Tabella34[[#This Row],[Day]]-pr)-phi_r)/psi_r</f>
        <v>#NUM!</v>
      </c>
      <c r="AQ40" s="244">
        <f>EXP(phi_r+psi_r*Tabella34[[#This Row],[x_r_alpha©+plus]])-(Tabella34[[#This Row],[Day]]-pr)</f>
        <v>46.632386159718024</v>
      </c>
      <c r="AR40" s="244">
        <f>EXP(phi_r+psi_r*Tabella34[[#This Row],[x_r_alpha©-minus]])-(Tabella34[[#This Row],[Day]]-pr)</f>
        <v>46.100508773805359</v>
      </c>
      <c r="AS40" s="244">
        <f>-psi_r+SQRT(psi_r^2-2*Tabella34[[#This Row],[c_r]])</f>
        <v>4.3773803933123006</v>
      </c>
      <c r="AT40" s="244">
        <f>-psi_r-SQRT(psi_r^2-2*Tabella34[[#This Row],[c_r]])</f>
        <v>-4.4176684029786379</v>
      </c>
      <c r="AU40" s="244">
        <f>phi_r-LN(alpha*Kr/(Tabella34[[#This Row],[sel. region velocity]]*psi_r*SQRTPI(2)))</f>
        <v>-9.6689075256769748</v>
      </c>
      <c r="AV40" s="244">
        <f>(ACOSH(SQRT(alpha*Kl*psi_l/(Tabella34[[#This Row],[sel. region velocity]]*(1+TANH(phi_l)))))+phi_l)/psi_l-(Tabella34[[#This Row],[Day]]-pl)</f>
        <v>213.45740226437056</v>
      </c>
      <c r="AW40" s="72">
        <f>-2*$BY$22*TANH($BY$22*(Tabella34[[#This Row],[Day]]-$BY$31)-$BY$21)*Tabella34[[#This Row],[sel. region velocity]]</f>
        <v>0.42566389508972308</v>
      </c>
      <c r="AX40" s="143">
        <f>Tabella34[[#This Row],[sel. region acc. fit]]/y_l_peak</f>
        <v>2.8910549665701864E-3</v>
      </c>
      <c r="AY40" s="143">
        <f>Tabella34[[#This Row],[sel. region acc. fit]]*NOT(ISBLANK(Tabella34[[#This Row],[selected region rate data]]))</f>
        <v>0</v>
      </c>
      <c r="AZ40" s="77">
        <f>Tabella34[[#This Row],[sel. region acc. fit]]+CIl</f>
        <v>69.790650270190127</v>
      </c>
      <c r="BA40" s="77">
        <f>MAX(Tabella34[[#This Row],[sel. region acc. fit]]-CIl,0)</f>
        <v>0</v>
      </c>
      <c r="BB40" s="141"/>
      <c r="BC40" s="33"/>
      <c r="BD40" s="33"/>
      <c r="BE40" s="142">
        <f>Tabella34[[#This Row],[rest of Italy rate data]]*NOT(ISBLANK(Tabella34[[#This Row],[rest of Italy rate data]]))</f>
        <v>0</v>
      </c>
      <c r="BF40" s="188">
        <f>Tabella8[[#This Row],[rest of Italy fit]]</f>
        <v>0</v>
      </c>
      <c r="BG40" s="78">
        <f>(ATANH(alpha*Tabella34[[#This Row],[rest of Italy cumul. fit]]/Ka-(1-alpha*Tabella34[[#This Row],[rest of Italy cumul. fit]]/Ka)*TANH(phi_a))+phi_a)/psi_a-(Tabella34[[#This Row],[Day]]-pa)</f>
        <v>34.882529907638357</v>
      </c>
      <c r="BH40" s="143">
        <f>Tabella34[[#This Row],[rest of Italy cumul. fit]]/Ka</f>
        <v>0</v>
      </c>
      <c r="BI40" s="143">
        <f>Tabella3[[#This Row],[rest of Italy fit]]</f>
        <v>120.5207164661786</v>
      </c>
      <c r="BJ40" s="183" t="e">
        <f>Tabella34[[#This Row],[rest of Italy velocity]]/Tabella34[[#This Row],[rest of Italy cumul. fit]]</f>
        <v>#DIV/0!</v>
      </c>
      <c r="BK40" s="236" t="e">
        <f>(LN(Tabella34[[#This Row],[Day]]-po)-phi_o)/psi_o</f>
        <v>#NUM!</v>
      </c>
      <c r="BL40" s="244">
        <f>EXP(phi_o+psi_o*Tabella34[[#This Row],[x_o_alpha©+plus]])-(Tabella34[[#This Row],[Day]]-po)</f>
        <v>39.409539459072093</v>
      </c>
      <c r="BM40" s="244">
        <f>EXP(phi_o+psi_o*Tabella34[[#This Row],[x_o_alpha©-minus]])-(Tabella34[[#This Row],[Day]]-po)</f>
        <v>38.499815598910551</v>
      </c>
      <c r="BN40" s="244">
        <f>-psi_o+SQRT(psi_o^2-2*Tabella34[[#This Row],[c_o]])</f>
        <v>4.3462647030976438</v>
      </c>
      <c r="BO40" s="244">
        <f>-psi_o-SQRT(psi_o^2-2*Tabella34[[#This Row],[c_o]])</f>
        <v>-4.3975779873652971</v>
      </c>
      <c r="BP40" s="244">
        <f>phi_o-LN(alpha*Ko/(Tabella34[[#This Row],[rest of Italy velocity]]*psi_o*SQRTPI(2)))</f>
        <v>-9.5565189928024825</v>
      </c>
      <c r="BQ40" s="244">
        <f>(ACOSH(SQRT(alpha*Ka*psi_a/(Tabella34[[#This Row],[rest of Italy velocity]]*(1+TANH(phi_a)))))+phi_a)/psi_a-(Tabella34[[#This Row],[Day]]-pa)</f>
        <v>192.49273279339968</v>
      </c>
      <c r="BR40" s="72">
        <f>-2*$BY$35*TANH($BY$35*(Tabella34[[#This Row],[Day]]-$BY$44)-$BY$34)*Tabella34[[#This Row],[rest of Italy velocity]]</f>
        <v>6.0596341113221275</v>
      </c>
      <c r="BS40" s="143">
        <f>Tabella34[[#This Row],[rest of Italy acc. fit]]/y_a_peak</f>
        <v>2.0068679150006185E-3</v>
      </c>
      <c r="BT40" s="142">
        <f>Tabella34[[#This Row],[rest of Italy acc. fit]]*NOT(ISBLANK(Tabella34[[#This Row],[rest of Italy rate data]]))</f>
        <v>0</v>
      </c>
      <c r="BU40" s="77">
        <f>Tabella34[[#This Row],[rest of Italy acc. fit]]+CIa</f>
        <v>1640.1935740651236</v>
      </c>
      <c r="BV40" s="77">
        <f>MAX(Tabella34[[#This Row],[rest of Italy acc. fit]]-CIa,0)</f>
        <v>0</v>
      </c>
      <c r="BX40" s="213" t="s">
        <v>5</v>
      </c>
      <c r="BY40" s="216">
        <f>TINV(0.05,dfa)</f>
        <v>1.9847231860139838</v>
      </c>
      <c r="CL40" s="45"/>
    </row>
    <row r="41" spans="2:90" x14ac:dyDescent="0.3">
      <c r="B41" s="262">
        <v>43864</v>
      </c>
      <c r="C41" s="4">
        <v>34</v>
      </c>
      <c r="D41" s="10">
        <f>Tabella8[[#This Row],[Italy cumulative]]</f>
        <v>0</v>
      </c>
      <c r="E41" s="72">
        <f>(Tabella34[[#This Row],[Italy cumul. data]]-D40)</f>
        <v>0</v>
      </c>
      <c r="F41" s="72">
        <f>Tabella34[[#This Row],[Italy rate data]]-E40</f>
        <v>0</v>
      </c>
      <c r="G41" s="142">
        <f>Tabella34[[#This Row],[Italy rate data]]*NOT(ISBLANK(Tabella34[[#This Row],[Italy rate data]]))</f>
        <v>0</v>
      </c>
      <c r="H41" s="143">
        <f>Tabella8[[#This Row],[Italy fit]]</f>
        <v>0</v>
      </c>
      <c r="I41" s="143">
        <f>(ATANH(alpha*Tabella34[[#This Row],[Italy cumul. Fit]]/Kf-(1-alpha*Tabella34[[#This Row],[Italy cumul. Fit]]/Kf)*TANH(phi_f))+phi_f)/psi_f-(Tabella34[[#This Row],[Day]]-pf)</f>
        <v>34.480394693650979</v>
      </c>
      <c r="J41" s="143">
        <f>Tabella34[[#This Row],[Italy d.t.]]/Italy_dt_at_lockdown</f>
        <v>15.191268602263293</v>
      </c>
      <c r="K41" s="143">
        <f>Tabella34[[#This Row],[Italy cumul. Fit]]/Kf</f>
        <v>0</v>
      </c>
      <c r="L41" s="146">
        <f>Tabella34[[#This Row],[sel. region acc. fit]]+Tabella34[[#This Row],[rest of Italy acc. fit]]</f>
        <v>6.8068608371226142</v>
      </c>
      <c r="M41" s="143">
        <f>Tabella34[[#This Row],[Italy (fit of selected region + fitted sum of the other regions)]]/(y_l_peak+y_a_peak)</f>
        <v>2.1495237807543201E-3</v>
      </c>
      <c r="N41" s="143">
        <f>Tabella3[[#This Row],[Italy remov. rate fit]]</f>
        <v>139.3102604835542</v>
      </c>
      <c r="O41" s="143" t="e">
        <f>Kt*EXP(-0.5*Tabella34[[#This Row],[x_t]]^2)/(psi_t*SQRTPI(2)*(Tabella34[[#This Row],[Day]]-D_bk))</f>
        <v>#NUM!</v>
      </c>
      <c r="P41" s="183" t="e">
        <f>Tabella34[[#This Row],[Italy velocity]]/Tabella34[[#This Row],[Italy cumul. Fit]]</f>
        <v>#DIV/0!</v>
      </c>
      <c r="Q41" s="244" t="e">
        <f>(LN(Tabella34[[#This Row],[Day]]-D_bk)-phi_t)/psi_t</f>
        <v>#NUM!</v>
      </c>
      <c r="R41" s="244">
        <f>EXP(phi_t+psi_t*Tabella34[[#This Row],[x_t_alpha©+plus]])-(Tabella34[[#This Row],[Day]]-D_bk)</f>
        <v>38.878484329784023</v>
      </c>
      <c r="S41" s="244">
        <f>EXP(phi_t+psi_t*Tabella34[[#This Row],[x_t_alpha©-minus]])-(Tabella34[[#This Row],[Day]]-D_bk)</f>
        <v>38.008723777693248</v>
      </c>
      <c r="T41" s="244">
        <f>-psi_t+SQRT(psi_t^2-2*Tabella34[[#This Row],[c_t]])</f>
        <v>4.3364121192601965</v>
      </c>
      <c r="U41" s="244">
        <f>-psi_t-SQRT(psi_t^2-2*Tabella34[[#This Row],[c_t]])</f>
        <v>-4.3869307939575686</v>
      </c>
      <c r="V41" s="244">
        <f>phi_t-LN(alpha*Kt/(Tabella34[[#This Row],[Italy velocity]]*psi_t*SQRTPI(2)))</f>
        <v>-9.5117699306366799</v>
      </c>
      <c r="W41" s="244" t="e">
        <f>Tabella34[[#This Row],[Italy g.r.]]/Italy_gr_at_lockdown</f>
        <v>#DIV/0!</v>
      </c>
      <c r="X41" s="244">
        <f>(ACOSH(SQRT(alpha*Kf*psi_f/(Tabella34[[#This Row],[Italy velocity]]*(1+TANH(phi_f)))))+phi_f)/psi_f-(Tabella34[[#This Row],[Day]]-pf)</f>
        <v>191.50943467026309</v>
      </c>
      <c r="Y41" s="244">
        <f>Tabella34[[#This Row],[Italy h.t.]]/Italy_ht_at_lockdown</f>
        <v>1.6126073157892642</v>
      </c>
      <c r="Z41" s="72">
        <f>-2*$BY$48*TANH($BY$48*(Tabella34[[#This Row],[Day]]-$BY$57)-$BY$47)*Tabella34[[#This Row],[Italy velocity]]</f>
        <v>6.8808385532260994</v>
      </c>
      <c r="AA41" s="72">
        <f>Tabella34[[#This Row],[Italy acc. fit]]/Itali_acc_at_lockdown</f>
        <v>0.19659354195226353</v>
      </c>
      <c r="AB41" s="143">
        <f>Tabella34[[#This Row],[Italy acc. fit]]/y_f_peak</f>
        <v>2.178177187844139E-3</v>
      </c>
      <c r="AC41" s="143">
        <f>Tabella34[[#This Row],[Italy (fit of selected region + fitted sum of the other regions)]]*NOT(ISBLANK(Tabella34[[#This Row],[Italy rate data]]))</f>
        <v>6.8068608371226142</v>
      </c>
      <c r="AD41" s="143">
        <f>Tabella34[[#This Row],[Italy acc. fit]]*NOT(ISBLANK(Tabella34[[#This Row],[Italy rate data]]))</f>
        <v>6.8808385532260994</v>
      </c>
      <c r="AE41" s="77">
        <f>Tabella34[[#This Row],[Italy acc. fit]]+CIf</f>
        <v>1662.0908074769775</v>
      </c>
      <c r="AF41" s="77">
        <f>MAX(Tabella34[[#This Row],[Italy acc. fit]]-CIf,0)</f>
        <v>0</v>
      </c>
      <c r="AG41" s="141"/>
      <c r="AH41" s="33"/>
      <c r="AI41" s="33"/>
      <c r="AJ41" s="142">
        <f>Tabella34[[#This Row],[selected region rate data]]*NOT(ISBLANK(Tabella34[[#This Row],[selected region rate data]]))</f>
        <v>0</v>
      </c>
      <c r="AK41" s="147">
        <f>Tabella8[[#This Row],[region fit]]</f>
        <v>0</v>
      </c>
      <c r="AL41" s="143">
        <f>(ATANH(alpha*Tabella34[[#This Row],[sel. region cumul. fit]]/Kl-(1-alpha*Tabella34[[#This Row],[sel. region cumul. fit]]/Kl)*TANH(phi_l))+phi_l)/psi_l-(Tabella34[[#This Row],[Day]]-pl)</f>
        <v>42.356483051343162</v>
      </c>
      <c r="AM41" s="142">
        <f>Tabella34[[#This Row],[sel. region cumul. fit]]/Kl</f>
        <v>0</v>
      </c>
      <c r="AN41" s="143">
        <f>Tabella3[[#This Row],[region fit]]</f>
        <v>11.416778797676209</v>
      </c>
      <c r="AO41" s="183" t="e">
        <f>Tabella34[[#This Row],[sel. region velocity]]/Tabella34[[#This Row],[sel. region cumul. fit]]</f>
        <v>#DIV/0!</v>
      </c>
      <c r="AP41" s="236" t="e">
        <f>(LN(Tabella34[[#This Row],[Day]]-pr)-phi_r)/psi_r</f>
        <v>#NUM!</v>
      </c>
      <c r="AQ41" s="244">
        <f>EXP(phi_r+psi_r*Tabella34[[#This Row],[x_r_alpha©+plus]])-(Tabella34[[#This Row],[Day]]-pr)</f>
        <v>45.631804507586899</v>
      </c>
      <c r="AR41" s="244">
        <f>EXP(phi_r+psi_r*Tabella34[[#This Row],[x_r_alpha©-minus]])-(Tabella34[[#This Row],[Day]]-pr)</f>
        <v>45.100996075107126</v>
      </c>
      <c r="AS41" s="244">
        <f>-psi_r+SQRT(psi_r^2-2*Tabella34[[#This Row],[c_r]])</f>
        <v>4.3685653385032053</v>
      </c>
      <c r="AT41" s="244">
        <f>-psi_r-SQRT(psi_r^2-2*Tabella34[[#This Row],[c_r]])</f>
        <v>-4.4088533481695427</v>
      </c>
      <c r="AU41" s="244">
        <f>phi_r-LN(alpha*Kr/(Tabella34[[#This Row],[sel. region velocity]]*psi_r*SQRTPI(2)))</f>
        <v>-9.6301819596786338</v>
      </c>
      <c r="AV41" s="244">
        <f>(ACOSH(SQRT(alpha*Kl*psi_l/(Tabella34[[#This Row],[sel. region velocity]]*(1+TANH(phi_l)))))+phi_l)/psi_l-(Tabella34[[#This Row],[Day]]-pl)</f>
        <v>211.47736830242675</v>
      </c>
      <c r="AW41" s="72">
        <f>-2*$BY$22*TANH($BY$22*(Tabella34[[#This Row],[Day]]-$BY$31)-$BY$21)*Tabella34[[#This Row],[sel. region velocity]]</f>
        <v>0.44176658505228006</v>
      </c>
      <c r="AX41" s="143">
        <f>Tabella34[[#This Row],[sel. region acc. fit]]/y_l_peak</f>
        <v>3.0004223860962834E-3</v>
      </c>
      <c r="AY41" s="143">
        <f>Tabella34[[#This Row],[sel. region acc. fit]]*NOT(ISBLANK(Tabella34[[#This Row],[selected region rate data]]))</f>
        <v>0</v>
      </c>
      <c r="AZ41" s="77">
        <f>Tabella34[[#This Row],[sel. region acc. fit]]+CIl</f>
        <v>69.806752960152679</v>
      </c>
      <c r="BA41" s="77">
        <f>MAX(Tabella34[[#This Row],[sel. region acc. fit]]-CIl,0)</f>
        <v>0</v>
      </c>
      <c r="BB41" s="141"/>
      <c r="BC41" s="33"/>
      <c r="BD41" s="33"/>
      <c r="BE41" s="142">
        <f>Tabella34[[#This Row],[rest of Italy rate data]]*NOT(ISBLANK(Tabella34[[#This Row],[rest of Italy rate data]]))</f>
        <v>0</v>
      </c>
      <c r="BF41" s="188">
        <f>Tabella8[[#This Row],[rest of Italy fit]]</f>
        <v>0</v>
      </c>
      <c r="BG41" s="78">
        <f>(ATANH(alpha*Tabella34[[#This Row],[rest of Italy cumul. fit]]/Ka-(1-alpha*Tabella34[[#This Row],[rest of Italy cumul. fit]]/Ka)*TANH(phi_a))+phi_a)/psi_a-(Tabella34[[#This Row],[Day]]-pa)</f>
        <v>33.882529907638357</v>
      </c>
      <c r="BH41" s="143">
        <f>Tabella34[[#This Row],[rest of Italy cumul. fit]]/Ka</f>
        <v>0</v>
      </c>
      <c r="BI41" s="143">
        <f>Tabella3[[#This Row],[rest of Italy fit]]</f>
        <v>126.73188521206043</v>
      </c>
      <c r="BJ41" s="183" t="e">
        <f>Tabella34[[#This Row],[rest of Italy velocity]]/Tabella34[[#This Row],[rest of Italy cumul. fit]]</f>
        <v>#DIV/0!</v>
      </c>
      <c r="BK41" s="236" t="e">
        <f>(LN(Tabella34[[#This Row],[Day]]-po)-phi_o)/psi_o</f>
        <v>#NUM!</v>
      </c>
      <c r="BL41" s="244">
        <f>EXP(phi_o+psi_o*Tabella34[[#This Row],[x_o_alpha©+plus]])-(Tabella34[[#This Row],[Day]]-po)</f>
        <v>38.408202861606121</v>
      </c>
      <c r="BM41" s="244">
        <f>EXP(phi_o+psi_o*Tabella34[[#This Row],[x_o_alpha©-minus]])-(Tabella34[[#This Row],[Day]]-po)</f>
        <v>37.500883916249833</v>
      </c>
      <c r="BN41" s="244">
        <f>-psi_o+SQRT(psi_o^2-2*Tabella34[[#This Row],[c_o]])</f>
        <v>4.3347552807656378</v>
      </c>
      <c r="BO41" s="244">
        <f>-psi_o-SQRT(psi_o^2-2*Tabella34[[#This Row],[c_o]])</f>
        <v>-4.3860685650332911</v>
      </c>
      <c r="BP41" s="244">
        <f>phi_o-LN(alpha*Ko/(Tabella34[[#This Row],[rest of Italy velocity]]*psi_o*SQRTPI(2)))</f>
        <v>-9.5062669370391113</v>
      </c>
      <c r="BQ41" s="244">
        <f>(ACOSH(SQRT(alpha*Ka*psi_a/(Tabella34[[#This Row],[rest of Italy velocity]]*(1+TANH(phi_a)))))+phi_a)/psi_a-(Tabella34[[#This Row],[Day]]-pa)</f>
        <v>190.50323556903368</v>
      </c>
      <c r="BR41" s="72">
        <f>-2*$BY$35*TANH($BY$35*(Tabella34[[#This Row],[Day]]-$BY$44)-$BY$34)*Tabella34[[#This Row],[rest of Italy velocity]]</f>
        <v>6.3650942520703344</v>
      </c>
      <c r="BS41" s="143">
        <f>Tabella34[[#This Row],[rest of Italy acc. fit]]/y_a_peak</f>
        <v>2.1080321345751558E-3</v>
      </c>
      <c r="BT41" s="142">
        <f>Tabella34[[#This Row],[rest of Italy acc. fit]]*NOT(ISBLANK(Tabella34[[#This Row],[rest of Italy rate data]]))</f>
        <v>0</v>
      </c>
      <c r="BU41" s="77">
        <f>Tabella34[[#This Row],[rest of Italy acc. fit]]+CIa</f>
        <v>1640.4990342058718</v>
      </c>
      <c r="BV41" s="77">
        <f>MAX(Tabella34[[#This Row],[rest of Italy acc. fit]]-CIa,0)</f>
        <v>0</v>
      </c>
      <c r="BX41" s="213" t="s">
        <v>6</v>
      </c>
      <c r="BY41" s="214">
        <f>Critical_ta*SE_of_ya</f>
        <v>1634.1339399538015</v>
      </c>
      <c r="CL41" s="45"/>
    </row>
    <row r="42" spans="2:90" ht="15" thickBot="1" x14ac:dyDescent="0.35">
      <c r="B42" s="262">
        <v>43865</v>
      </c>
      <c r="C42" s="4">
        <v>35</v>
      </c>
      <c r="D42" s="10">
        <f>Tabella8[[#This Row],[Italy cumulative]]</f>
        <v>0</v>
      </c>
      <c r="E42" s="72">
        <f>(Tabella34[[#This Row],[Italy cumul. data]]-D41)</f>
        <v>0</v>
      </c>
      <c r="F42" s="72">
        <f>Tabella34[[#This Row],[Italy rate data]]-E41</f>
        <v>0</v>
      </c>
      <c r="G42" s="142">
        <f>Tabella34[[#This Row],[Italy rate data]]*NOT(ISBLANK(Tabella34[[#This Row],[Italy rate data]]))</f>
        <v>0</v>
      </c>
      <c r="H42" s="143">
        <f>Tabella8[[#This Row],[Italy fit]]</f>
        <v>0</v>
      </c>
      <c r="I42" s="143">
        <f>(ATANH(alpha*Tabella34[[#This Row],[Italy cumul. Fit]]/Kf-(1-alpha*Tabella34[[#This Row],[Italy cumul. Fit]]/Kf)*TANH(phi_f))+phi_f)/psi_f-(Tabella34[[#This Row],[Day]]-pf)</f>
        <v>33.480394693650979</v>
      </c>
      <c r="J42" s="143">
        <f>Tabella34[[#This Row],[Italy d.t.]]/Italy_dt_at_lockdown</f>
        <v>14.750691609533551</v>
      </c>
      <c r="K42" s="143">
        <f>Tabella34[[#This Row],[Italy cumul. Fit]]/Kf</f>
        <v>0</v>
      </c>
      <c r="L42" s="146">
        <f>Tabella34[[#This Row],[sel. region acc. fit]]+Tabella34[[#This Row],[rest of Italy acc. fit]]</f>
        <v>7.1436247458441757</v>
      </c>
      <c r="M42" s="143">
        <f>Tabella34[[#This Row],[Italy (fit of selected region + fitted sum of the other regions)]]/(y_l_peak+y_a_peak)</f>
        <v>2.2558697231230746E-3</v>
      </c>
      <c r="N42" s="143">
        <f>Tabella3[[#This Row],[Italy remov. rate fit]]</f>
        <v>146.35967467931289</v>
      </c>
      <c r="O42" s="143" t="e">
        <f>Kt*EXP(-0.5*Tabella34[[#This Row],[x_t]]^2)/(psi_t*SQRTPI(2)*(Tabella34[[#This Row],[Day]]-D_bk))</f>
        <v>#NUM!</v>
      </c>
      <c r="P42" s="183" t="e">
        <f>Tabella34[[#This Row],[Italy velocity]]/Tabella34[[#This Row],[Italy cumul. Fit]]</f>
        <v>#DIV/0!</v>
      </c>
      <c r="Q42" s="244" t="e">
        <f>(LN(Tabella34[[#This Row],[Day]]-D_bk)-phi_t)/psi_t</f>
        <v>#NUM!</v>
      </c>
      <c r="R42" s="244">
        <f>EXP(phi_t+psi_t*Tabella34[[#This Row],[x_t_alpha©+plus]])-(Tabella34[[#This Row],[Day]]-D_bk)</f>
        <v>37.87722557208906</v>
      </c>
      <c r="S42" s="244">
        <f>EXP(phi_t+psi_t*Tabella34[[#This Row],[x_t_alpha©-minus]])-(Tabella34[[#This Row],[Day]]-D_bk)</f>
        <v>37.009733894185722</v>
      </c>
      <c r="T42" s="244">
        <f>-psi_t+SQRT(psi_t^2-2*Tabella34[[#This Row],[c_t]])</f>
        <v>4.3250798139869069</v>
      </c>
      <c r="U42" s="244">
        <f>-psi_t-SQRT(psi_t^2-2*Tabella34[[#This Row],[c_t]])</f>
        <v>-4.3755984886842789</v>
      </c>
      <c r="V42" s="244">
        <f>phi_t-LN(alpha*Kt/(Tabella34[[#This Row],[Italy velocity]]*psi_t*SQRTPI(2)))</f>
        <v>-9.4624063487599965</v>
      </c>
      <c r="W42" s="244" t="e">
        <f>Tabella34[[#This Row],[Italy g.r.]]/Italy_gr_at_lockdown</f>
        <v>#DIV/0!</v>
      </c>
      <c r="X42" s="244">
        <f>(ACOSH(SQRT(alpha*Kf*psi_f/(Tabella34[[#This Row],[Italy velocity]]*(1+TANH(phi_f)))))+phi_f)/psi_f-(Tabella34[[#This Row],[Day]]-pf)</f>
        <v>189.52106534652131</v>
      </c>
      <c r="Y42" s="244">
        <f>Tabella34[[#This Row],[Italy h.t.]]/Italy_ht_at_lockdown</f>
        <v>1.5958642298756236</v>
      </c>
      <c r="Z42" s="72">
        <f>-2*$BY$48*TANH($BY$48*(Tabella34[[#This Row],[Day]]-$BY$57)-$BY$47)*Tabella34[[#This Row],[Italy velocity]]</f>
        <v>7.2205815659270058</v>
      </c>
      <c r="AA42" s="72">
        <f>Tabella34[[#This Row],[Italy acc. fit]]/Itali_acc_at_lockdown</f>
        <v>0.20630039406102124</v>
      </c>
      <c r="AB42" s="143">
        <f>Tabella34[[#This Row],[Italy acc. fit]]/y_f_peak</f>
        <v>2.2857251958769095E-3</v>
      </c>
      <c r="AC42" s="143">
        <f>Tabella34[[#This Row],[Italy (fit of selected region + fitted sum of the other regions)]]*NOT(ISBLANK(Tabella34[[#This Row],[Italy rate data]]))</f>
        <v>7.1436247458441757</v>
      </c>
      <c r="AD42" s="143">
        <f>Tabella34[[#This Row],[Italy acc. fit]]*NOT(ISBLANK(Tabella34[[#This Row],[Italy rate data]]))</f>
        <v>7.2205815659270058</v>
      </c>
      <c r="AE42" s="77">
        <f>Tabella34[[#This Row],[Italy acc. fit]]+CIf</f>
        <v>1662.4305504896784</v>
      </c>
      <c r="AF42" s="77">
        <f>MAX(Tabella34[[#This Row],[Italy acc. fit]]-CIf,0)</f>
        <v>0</v>
      </c>
      <c r="AG42" s="141"/>
      <c r="AH42" s="33"/>
      <c r="AI42" s="33"/>
      <c r="AJ42" s="142">
        <f>Tabella34[[#This Row],[selected region rate data]]*NOT(ISBLANK(Tabella34[[#This Row],[selected region rate data]]))</f>
        <v>0</v>
      </c>
      <c r="AK42" s="147">
        <f>Tabella8[[#This Row],[region fit]]</f>
        <v>0</v>
      </c>
      <c r="AL42" s="143">
        <f>(ATANH(alpha*Tabella34[[#This Row],[sel. region cumul. fit]]/Kl-(1-alpha*Tabella34[[#This Row],[sel. region cumul. fit]]/Kl)*TANH(phi_l))+phi_l)/psi_l-(Tabella34[[#This Row],[Day]]-pl)</f>
        <v>41.356483051343162</v>
      </c>
      <c r="AM42" s="142">
        <f>Tabella34[[#This Row],[sel. region cumul. fit]]/Kl</f>
        <v>0</v>
      </c>
      <c r="AN42" s="143">
        <f>Tabella3[[#This Row],[region fit]]</f>
        <v>11.866825412929652</v>
      </c>
      <c r="AO42" s="183" t="e">
        <f>Tabella34[[#This Row],[sel. region velocity]]/Tabella34[[#This Row],[sel. region cumul. fit]]</f>
        <v>#DIV/0!</v>
      </c>
      <c r="AP42" s="236" t="e">
        <f>(LN(Tabella34[[#This Row],[Day]]-pr)-phi_r)/psi_r</f>
        <v>#NUM!</v>
      </c>
      <c r="AQ42" s="244">
        <f>EXP(phi_r+psi_r*Tabella34[[#This Row],[x_r_alpha©+plus]])-(Tabella34[[#This Row],[Day]]-pr)</f>
        <v>44.631222736305759</v>
      </c>
      <c r="AR42" s="244">
        <f>EXP(phi_r+psi_r*Tabella34[[#This Row],[x_r_alpha©-minus]])-(Tabella34[[#This Row],[Day]]-pr)</f>
        <v>44.101483649391362</v>
      </c>
      <c r="AS42" s="244">
        <f>-psi_r+SQRT(psi_r^2-2*Tabella34[[#This Row],[c_r]])</f>
        <v>4.359746911898819</v>
      </c>
      <c r="AT42" s="244">
        <f>-psi_r-SQRT(psi_r^2-2*Tabella34[[#This Row],[c_r]])</f>
        <v>-4.4000349215651564</v>
      </c>
      <c r="AU42" s="244">
        <f>phi_r-LN(alpha*Kr/(Tabella34[[#This Row],[sel. region velocity]]*psi_r*SQRTPI(2)))</f>
        <v>-9.5915193307703248</v>
      </c>
      <c r="AV42" s="244">
        <f>(ACOSH(SQRT(alpha*Kl*psi_l/(Tabella34[[#This Row],[sel. region velocity]]*(1+TANH(phi_l)))))+phi_l)/psi_l-(Tabella34[[#This Row],[Day]]-pl)</f>
        <v>209.49816317980734</v>
      </c>
      <c r="AW42" s="72">
        <f>-2*$BY$22*TANH($BY$22*(Tabella34[[#This Row],[Day]]-$BY$31)-$BY$21)*Tabella34[[#This Row],[sel. region velocity]]</f>
        <v>0.45841951304609768</v>
      </c>
      <c r="AX42" s="143">
        <f>Tabella34[[#This Row],[sel. region acc. fit]]/y_l_peak</f>
        <v>3.1135269522571366E-3</v>
      </c>
      <c r="AY42" s="143">
        <f>Tabella34[[#This Row],[sel. region acc. fit]]*NOT(ISBLANK(Tabella34[[#This Row],[selected region rate data]]))</f>
        <v>0</v>
      </c>
      <c r="AZ42" s="77">
        <f>Tabella34[[#This Row],[sel. region acc. fit]]+CIl</f>
        <v>69.823405888146496</v>
      </c>
      <c r="BA42" s="77">
        <f>MAX(Tabella34[[#This Row],[sel. region acc. fit]]-CIl,0)</f>
        <v>0</v>
      </c>
      <c r="BB42" s="141"/>
      <c r="BC42" s="33"/>
      <c r="BD42" s="33"/>
      <c r="BE42" s="142">
        <f>Tabella34[[#This Row],[rest of Italy rate data]]*NOT(ISBLANK(Tabella34[[#This Row],[rest of Italy rate data]]))</f>
        <v>0</v>
      </c>
      <c r="BF42" s="188">
        <f>Tabella8[[#This Row],[rest of Italy fit]]</f>
        <v>0</v>
      </c>
      <c r="BG42" s="78">
        <f>(ATANH(alpha*Tabella34[[#This Row],[rest of Italy cumul. fit]]/Ka-(1-alpha*Tabella34[[#This Row],[rest of Italy cumul. fit]]/Ka)*TANH(phi_a))+phi_a)/psi_a-(Tabella34[[#This Row],[Day]]-pa)</f>
        <v>32.882529907638357</v>
      </c>
      <c r="BH42" s="143">
        <f>Tabella34[[#This Row],[rest of Italy cumul. fit]]/Ka</f>
        <v>0</v>
      </c>
      <c r="BI42" s="143">
        <f>Tabella3[[#This Row],[rest of Italy fit]]</f>
        <v>133.25578838265315</v>
      </c>
      <c r="BJ42" s="183" t="e">
        <f>Tabella34[[#This Row],[rest of Italy velocity]]/Tabella34[[#This Row],[rest of Italy cumul. fit]]</f>
        <v>#DIV/0!</v>
      </c>
      <c r="BK42" s="236" t="e">
        <f>(LN(Tabella34[[#This Row],[Day]]-po)-phi_o)/psi_o</f>
        <v>#NUM!</v>
      </c>
      <c r="BL42" s="244">
        <f>EXP(phi_o+psi_o*Tabella34[[#This Row],[x_o_alpha©+plus]])-(Tabella34[[#This Row],[Day]]-po)</f>
        <v>37.406864598216188</v>
      </c>
      <c r="BM42" s="244">
        <f>EXP(phi_o+psi_o*Tabella34[[#This Row],[x_o_alpha©-minus]])-(Tabella34[[#This Row],[Day]]-po)</f>
        <v>36.501954197524917</v>
      </c>
      <c r="BN42" s="244">
        <f>-psi_o+SQRT(psi_o^2-2*Tabella34[[#This Row],[c_o]])</f>
        <v>4.3232281071687018</v>
      </c>
      <c r="BO42" s="244">
        <f>-psi_o-SQRT(psi_o^2-2*Tabella34[[#This Row],[c_o]])</f>
        <v>-4.3745413914363551</v>
      </c>
      <c r="BP42" s="244">
        <f>phi_o-LN(alpha*Ko/(Tabella34[[#This Row],[rest of Italy velocity]]*psi_o*SQRTPI(2)))</f>
        <v>-9.4560701497152664</v>
      </c>
      <c r="BQ42" s="244">
        <f>(ACOSH(SQRT(alpha*Ka*psi_a/(Tabella34[[#This Row],[rest of Italy velocity]]*(1+TANH(phi_a)))))+phi_a)/psi_a-(Tabella34[[#This Row],[Day]]-pa)</f>
        <v>188.51429430383791</v>
      </c>
      <c r="BR42" s="72">
        <f>-2*$BY$35*TANH($BY$35*(Tabella34[[#This Row],[Day]]-$BY$44)-$BY$34)*Tabella34[[#This Row],[rest of Italy velocity]]</f>
        <v>6.6852052327980784</v>
      </c>
      <c r="BS42" s="143">
        <f>Tabella34[[#This Row],[rest of Italy acc. fit]]/y_a_peak</f>
        <v>2.2140485119108038E-3</v>
      </c>
      <c r="BT42" s="142">
        <f>Tabella34[[#This Row],[rest of Italy acc. fit]]*NOT(ISBLANK(Tabella34[[#This Row],[rest of Italy rate data]]))</f>
        <v>0</v>
      </c>
      <c r="BU42" s="77">
        <f>Tabella34[[#This Row],[rest of Italy acc. fit]]+CIa</f>
        <v>1640.8191451865996</v>
      </c>
      <c r="BV42" s="77">
        <f>MAX(Tabella34[[#This Row],[rest of Italy acc. fit]]-CIa,0)</f>
        <v>0</v>
      </c>
      <c r="BX42" s="224" t="s">
        <v>299</v>
      </c>
      <c r="BY42" s="225">
        <f>Ka*_xlfn.LOGNORM.DIST(EXP(phi_a-psi_a^2),phi_a,psi_a,FALSE)</f>
        <v>852154.05306151975</v>
      </c>
      <c r="CL42" s="46"/>
    </row>
    <row r="43" spans="2:90" ht="15" thickTop="1" x14ac:dyDescent="0.3">
      <c r="B43" s="262">
        <v>43866</v>
      </c>
      <c r="C43" s="4">
        <v>36</v>
      </c>
      <c r="D43" s="10">
        <f>Tabella8[[#This Row],[Italy cumulative]]</f>
        <v>0</v>
      </c>
      <c r="E43" s="72">
        <f>(Tabella34[[#This Row],[Italy cumul. data]]-D42)</f>
        <v>0</v>
      </c>
      <c r="F43" s="72">
        <f>Tabella34[[#This Row],[Italy rate data]]-E42</f>
        <v>0</v>
      </c>
      <c r="G43" s="142">
        <f>Tabella34[[#This Row],[Italy rate data]]*NOT(ISBLANK(Tabella34[[#This Row],[Italy rate data]]))</f>
        <v>0</v>
      </c>
      <c r="H43" s="143">
        <f>Tabella8[[#This Row],[Italy fit]]</f>
        <v>0</v>
      </c>
      <c r="I43" s="143">
        <f>(ATANH(alpha*Tabella34[[#This Row],[Italy cumul. Fit]]/Kf-(1-alpha*Tabella34[[#This Row],[Italy cumul. Fit]]/Kf)*TANH(phi_f))+phi_f)/psi_f-(Tabella34[[#This Row],[Day]]-pf)</f>
        <v>32.480394693650979</v>
      </c>
      <c r="J43" s="143">
        <f>Tabella34[[#This Row],[Italy d.t.]]/Italy_dt_at_lockdown</f>
        <v>14.310114616803808</v>
      </c>
      <c r="K43" s="143">
        <f>Tabella34[[#This Row],[Italy cumul. Fit]]/Kf</f>
        <v>0</v>
      </c>
      <c r="L43" s="146">
        <f>Tabella34[[#This Row],[sel. region acc. fit]]+Tabella34[[#This Row],[rest of Italy acc. fit]]</f>
        <v>7.4962262561102255</v>
      </c>
      <c r="M43" s="143">
        <f>Tabella34[[#This Row],[Italy (fit of selected region + fitted sum of the other regions)]]/(y_l_peak+y_a_peak)</f>
        <v>2.3672169872412511E-3</v>
      </c>
      <c r="N43" s="143">
        <f>Tabella3[[#This Row],[Italy remov. rate fit]]</f>
        <v>153.75671274224686</v>
      </c>
      <c r="O43" s="143" t="e">
        <f>Kt*EXP(-0.5*Tabella34[[#This Row],[x_t]]^2)/(psi_t*SQRTPI(2)*(Tabella34[[#This Row],[Day]]-D_bk))</f>
        <v>#NUM!</v>
      </c>
      <c r="P43" s="183" t="e">
        <f>Tabella34[[#This Row],[Italy velocity]]/Tabella34[[#This Row],[Italy cumul. Fit]]</f>
        <v>#DIV/0!</v>
      </c>
      <c r="Q43" s="244" t="e">
        <f>(LN(Tabella34[[#This Row],[Day]]-D_bk)-phi_t)/psi_t</f>
        <v>#NUM!</v>
      </c>
      <c r="R43" s="244">
        <f>EXP(phi_t+psi_t*Tabella34[[#This Row],[x_t_alpha©+plus]])-(Tabella34[[#This Row],[Day]]-D_bk)</f>
        <v>36.875965401677028</v>
      </c>
      <c r="S43" s="244">
        <f>EXP(phi_t+psi_t*Tabella34[[#This Row],[x_t_alpha©-minus]])-(Tabella34[[#This Row],[Day]]-D_bk)</f>
        <v>36.010745723850157</v>
      </c>
      <c r="T43" s="244">
        <f>-psi_t+SQRT(psi_t^2-2*Tabella34[[#This Row],[c_t]])</f>
        <v>4.313731540120707</v>
      </c>
      <c r="U43" s="244">
        <f>-psi_t-SQRT(psi_t^2-2*Tabella34[[#This Row],[c_t]])</f>
        <v>-4.3642502148180791</v>
      </c>
      <c r="V43" s="244">
        <f>phi_t-LN(alpha*Kt/(Tabella34[[#This Row],[Italy velocity]]*psi_t*SQRTPI(2)))</f>
        <v>-9.4131019003196581</v>
      </c>
      <c r="W43" s="244" t="e">
        <f>Tabella34[[#This Row],[Italy g.r.]]/Italy_gr_at_lockdown</f>
        <v>#DIV/0!</v>
      </c>
      <c r="X43" s="244">
        <f>(ACOSH(SQRT(alpha*Kf*psi_f/(Tabella34[[#This Row],[Italy velocity]]*(1+TANH(phi_f)))))+phi_f)/psi_f-(Tabella34[[#This Row],[Day]]-pf)</f>
        <v>187.5333022413792</v>
      </c>
      <c r="Y43" s="244">
        <f>Tabella34[[#This Row],[Italy h.t.]]/Italy_ht_at_lockdown</f>
        <v>1.579126248632416</v>
      </c>
      <c r="Z43" s="72">
        <f>-2*$BY$48*TANH($BY$48*(Tabella34[[#This Row],[Day]]-$BY$57)-$BY$47)*Tabella34[[#This Row],[Italy velocity]]</f>
        <v>7.576192512811815</v>
      </c>
      <c r="AA43" s="72">
        <f>Tabella34[[#This Row],[Italy acc. fit]]/Itali_acc_at_lockdown</f>
        <v>0.21646061146247517</v>
      </c>
      <c r="AB43" s="143">
        <f>Tabella34[[#This Row],[Italy acc. fit]]/y_f_peak</f>
        <v>2.3982963085778432E-3</v>
      </c>
      <c r="AC43" s="143">
        <f>Tabella34[[#This Row],[Italy (fit of selected region + fitted sum of the other regions)]]*NOT(ISBLANK(Tabella34[[#This Row],[Italy rate data]]))</f>
        <v>7.4962262561102255</v>
      </c>
      <c r="AD43" s="143">
        <f>Tabella34[[#This Row],[Italy acc. fit]]*NOT(ISBLANK(Tabella34[[#This Row],[Italy rate data]]))</f>
        <v>7.576192512811815</v>
      </c>
      <c r="AE43" s="77">
        <f>Tabella34[[#This Row],[Italy acc. fit]]+CIf</f>
        <v>1662.7861614365631</v>
      </c>
      <c r="AF43" s="77">
        <f>MAX(Tabella34[[#This Row],[Italy acc. fit]]-CIf,0)</f>
        <v>0</v>
      </c>
      <c r="AG43" s="141"/>
      <c r="AH43" s="33"/>
      <c r="AI43" s="33"/>
      <c r="AJ43" s="142">
        <f>Tabella34[[#This Row],[selected region rate data]]*NOT(ISBLANK(Tabella34[[#This Row],[selected region rate data]]))</f>
        <v>0</v>
      </c>
      <c r="AK43" s="147">
        <f>Tabella8[[#This Row],[region fit]]</f>
        <v>0</v>
      </c>
      <c r="AL43" s="143">
        <f>(ATANH(alpha*Tabella34[[#This Row],[sel. region cumul. fit]]/Kl-(1-alpha*Tabella34[[#This Row],[sel. region cumul. fit]]/Kl)*TANH(phi_l))+phi_l)/psi_l-(Tabella34[[#This Row],[Day]]-pl)</f>
        <v>40.356483051343162</v>
      </c>
      <c r="AM43" s="142">
        <f>Tabella34[[#This Row],[sel. region cumul. fit]]/Kl</f>
        <v>0</v>
      </c>
      <c r="AN43" s="143">
        <f>Tabella3[[#This Row],[region fit]]</f>
        <v>12.333805875707512</v>
      </c>
      <c r="AO43" s="183" t="e">
        <f>Tabella34[[#This Row],[sel. region velocity]]/Tabella34[[#This Row],[sel. region cumul. fit]]</f>
        <v>#DIV/0!</v>
      </c>
      <c r="AP43" s="236" t="e">
        <f>(LN(Tabella34[[#This Row],[Day]]-pr)-phi_r)/psi_r</f>
        <v>#NUM!</v>
      </c>
      <c r="AQ43" s="244">
        <f>EXP(phi_r+psi_r*Tabella34[[#This Row],[x_r_alpha©+plus]])-(Tabella34[[#This Row],[Day]]-pr)</f>
        <v>43.630640882063261</v>
      </c>
      <c r="AR43" s="244">
        <f>EXP(phi_r+psi_r*Tabella34[[#This Row],[x_r_alpha©-minus]])-(Tabella34[[#This Row],[Day]]-pr)</f>
        <v>43.101971466511436</v>
      </c>
      <c r="AS43" s="244">
        <f>-psi_r+SQRT(psi_r^2-2*Tabella34[[#This Row],[c_r]])</f>
        <v>4.3509256606701054</v>
      </c>
      <c r="AT43" s="244">
        <f>-psi_r-SQRT(psi_r^2-2*Tabella34[[#This Row],[c_r]])</f>
        <v>-4.3912136703364428</v>
      </c>
      <c r="AU43" s="244">
        <f>phi_r-LN(alpha*Kr/(Tabella34[[#This Row],[sel. region velocity]]*psi_r*SQRTPI(2)))</f>
        <v>-9.5529221198760936</v>
      </c>
      <c r="AV43" s="244">
        <f>(ACOSH(SQRT(alpha*Kl*psi_l/(Tabella34[[#This Row],[sel. region velocity]]*(1+TANH(phi_l)))))+phi_l)/psi_l-(Tabella34[[#This Row],[Day]]-pl)</f>
        <v>207.519821628149</v>
      </c>
      <c r="AW43" s="72">
        <f>-2*$BY$22*TANH($BY$22*(Tabella34[[#This Row],[Day]]-$BY$31)-$BY$21)*Tabella34[[#This Row],[sel. region velocity]]</f>
        <v>0.47563659432187844</v>
      </c>
      <c r="AX43" s="143">
        <f>Tabella34[[#This Row],[sel. region acc. fit]]/y_l_peak</f>
        <v>3.2304631756633916E-3</v>
      </c>
      <c r="AY43" s="143">
        <f>Tabella34[[#This Row],[sel. region acc. fit]]*NOT(ISBLANK(Tabella34[[#This Row],[selected region rate data]]))</f>
        <v>0</v>
      </c>
      <c r="AZ43" s="77">
        <f>Tabella34[[#This Row],[sel. region acc. fit]]+CIl</f>
        <v>69.840622969422284</v>
      </c>
      <c r="BA43" s="77">
        <f>MAX(Tabella34[[#This Row],[sel. region acc. fit]]-CIl,0)</f>
        <v>0</v>
      </c>
      <c r="BB43" s="141"/>
      <c r="BC43" s="33"/>
      <c r="BD43" s="33"/>
      <c r="BE43" s="142">
        <f>Tabella34[[#This Row],[rest of Italy rate data]]*NOT(ISBLANK(Tabella34[[#This Row],[rest of Italy rate data]]))</f>
        <v>0</v>
      </c>
      <c r="BF43" s="188">
        <f>Tabella8[[#This Row],[rest of Italy fit]]</f>
        <v>0</v>
      </c>
      <c r="BG43" s="78">
        <f>(ATANH(alpha*Tabella34[[#This Row],[rest of Italy cumul. fit]]/Ka-(1-alpha*Tabella34[[#This Row],[rest of Italy cumul. fit]]/Ka)*TANH(phi_a))+phi_a)/psi_a-(Tabella34[[#This Row],[Day]]-pa)</f>
        <v>31.882529907638357</v>
      </c>
      <c r="BH43" s="143">
        <f>Tabella34[[#This Row],[rest of Italy cumul. fit]]/Ka</f>
        <v>0</v>
      </c>
      <c r="BI43" s="143">
        <f>Tabella3[[#This Row],[rest of Italy fit]]</f>
        <v>140.10738663051634</v>
      </c>
      <c r="BJ43" s="183" t="e">
        <f>Tabella34[[#This Row],[rest of Italy velocity]]/Tabella34[[#This Row],[rest of Italy cumul. fit]]</f>
        <v>#DIV/0!</v>
      </c>
      <c r="BK43" s="236" t="e">
        <f>(LN(Tabella34[[#This Row],[Day]]-po)-phi_o)/psi_o</f>
        <v>#NUM!</v>
      </c>
      <c r="BL43" s="244">
        <f>EXP(phi_o+psi_o*Tabella34[[#This Row],[x_o_alpha©+plus]])-(Tabella34[[#This Row],[Day]]-po)</f>
        <v>36.405524730309175</v>
      </c>
      <c r="BM43" s="244">
        <f>EXP(phi_o+psi_o*Tabella34[[#This Row],[x_o_alpha©-minus]])-(Tabella34[[#This Row],[Day]]-po)</f>
        <v>35.503026396507678</v>
      </c>
      <c r="BN43" s="244">
        <f>-psi_o+SQRT(psi_o^2-2*Tabella34[[#This Row],[c_o]])</f>
        <v>4.3116836967237955</v>
      </c>
      <c r="BO43" s="244">
        <f>-psi_o-SQRT(psi_o^2-2*Tabella34[[#This Row],[c_o]])</f>
        <v>-4.3629969809914488</v>
      </c>
      <c r="BP43" s="244">
        <f>phi_o-LN(alpha*Ko/(Tabella34[[#This Row],[rest of Italy velocity]]*psi_o*SQRTPI(2)))</f>
        <v>-9.4059314758979848</v>
      </c>
      <c r="BQ43" s="244">
        <f>(ACOSH(SQRT(alpha*Ka*psi_a/(Tabella34[[#This Row],[rest of Italy velocity]]*(1+TANH(phi_a)))))+phi_a)/psi_a-(Tabella34[[#This Row],[Day]]-pa)</f>
        <v>186.52593858660362</v>
      </c>
      <c r="BR43" s="72">
        <f>-2*$BY$35*TANH($BY$35*(Tabella34[[#This Row],[Day]]-$BY$44)-$BY$34)*Tabella34[[#This Row],[rest of Italy velocity]]</f>
        <v>7.020589661788347</v>
      </c>
      <c r="BS43" s="143">
        <f>Tabella34[[#This Row],[rest of Italy acc. fit]]/y_a_peak</f>
        <v>2.3251232463529004E-3</v>
      </c>
      <c r="BT43" s="142">
        <f>Tabella34[[#This Row],[rest of Italy acc. fit]]*NOT(ISBLANK(Tabella34[[#This Row],[rest of Italy rate data]]))</f>
        <v>0</v>
      </c>
      <c r="BU43" s="77">
        <f>Tabella34[[#This Row],[rest of Italy acc. fit]]+CIa</f>
        <v>1641.1545296155898</v>
      </c>
      <c r="BV43" s="77">
        <f>MAX(Tabella34[[#This Row],[rest of Italy acc. fit]]-CIa,0)</f>
        <v>0</v>
      </c>
      <c r="BX43" s="224" t="s">
        <v>128</v>
      </c>
      <c r="BY43" s="226">
        <f>_xlfn.XLOOKUP(ROUND(EXP(phi_a-psi_a^2),0),Tabella34[Day],Tabella34[Date])</f>
        <v>43834</v>
      </c>
      <c r="CL43" s="50">
        <f>MAX($BY$52)</f>
        <v>-0.21703903291016169</v>
      </c>
    </row>
    <row r="44" spans="2:90" x14ac:dyDescent="0.3">
      <c r="B44" s="262">
        <v>43867</v>
      </c>
      <c r="C44" s="4">
        <v>37</v>
      </c>
      <c r="D44" s="10">
        <f>Tabella8[[#This Row],[Italy cumulative]]</f>
        <v>0</v>
      </c>
      <c r="E44" s="72">
        <f>(Tabella34[[#This Row],[Italy cumul. data]]-D43)</f>
        <v>0</v>
      </c>
      <c r="F44" s="72">
        <f>Tabella34[[#This Row],[Italy rate data]]-E43</f>
        <v>0</v>
      </c>
      <c r="G44" s="142">
        <f>Tabella34[[#This Row],[Italy rate data]]*NOT(ISBLANK(Tabella34[[#This Row],[Italy rate data]]))</f>
        <v>0</v>
      </c>
      <c r="H44" s="143">
        <f>Tabella8[[#This Row],[Italy fit]]</f>
        <v>0</v>
      </c>
      <c r="I44" s="143">
        <f>(ATANH(alpha*Tabella34[[#This Row],[Italy cumul. Fit]]/Kf-(1-alpha*Tabella34[[#This Row],[Italy cumul. Fit]]/Kf)*TANH(phi_f))+phi_f)/psi_f-(Tabella34[[#This Row],[Day]]-pf)</f>
        <v>31.480394693650979</v>
      </c>
      <c r="J44" s="143">
        <f>Tabella34[[#This Row],[Italy d.t.]]/Italy_dt_at_lockdown</f>
        <v>13.869537624074068</v>
      </c>
      <c r="K44" s="143">
        <f>Tabella34[[#This Row],[Italy cumul. Fit]]/Kf</f>
        <v>0</v>
      </c>
      <c r="L44" s="146">
        <f>Tabella34[[#This Row],[sel. region acc. fit]]+Tabella34[[#This Row],[rest of Italy acc. fit]]</f>
        <v>7.8653194880048947</v>
      </c>
      <c r="M44" s="143">
        <f>Tabella34[[#This Row],[Italy (fit of selected region + fitted sum of the other regions)]]/(y_l_peak+y_a_peak)</f>
        <v>2.4837721362676907E-3</v>
      </c>
      <c r="N44" s="143">
        <f>Tabella3[[#This Row],[Italy remov. rate fit]]</f>
        <v>161.51756401888363</v>
      </c>
      <c r="O44" s="143" t="e">
        <f>Kt*EXP(-0.5*Tabella34[[#This Row],[x_t]]^2)/(psi_t*SQRTPI(2)*(Tabella34[[#This Row],[Day]]-D_bk))</f>
        <v>#NUM!</v>
      </c>
      <c r="P44" s="183" t="e">
        <f>Tabella34[[#This Row],[Italy velocity]]/Tabella34[[#This Row],[Italy cumul. Fit]]</f>
        <v>#DIV/0!</v>
      </c>
      <c r="Q44" s="244" t="e">
        <f>(LN(Tabella34[[#This Row],[Day]]-D_bk)-phi_t)/psi_t</f>
        <v>#NUM!</v>
      </c>
      <c r="R44" s="244">
        <f>EXP(phi_t+psi_t*Tabella34[[#This Row],[x_t_alpha©+plus]])-(Tabella34[[#This Row],[Day]]-D_bk)</f>
        <v>35.874703882677878</v>
      </c>
      <c r="S44" s="244">
        <f>EXP(phi_t+psi_t*Tabella34[[#This Row],[x_t_alpha©-minus]])-(Tabella34[[#This Row],[Day]]-D_bk)</f>
        <v>35.01175921760008</v>
      </c>
      <c r="T44" s="244">
        <f>-psi_t+SQRT(psi_t^2-2*Tabella34[[#This Row],[c_t]])</f>
        <v>4.3023678626173396</v>
      </c>
      <c r="U44" s="244">
        <f>-psi_t-SQRT(psi_t^2-2*Tabella34[[#This Row],[c_t]])</f>
        <v>-4.3528865373147116</v>
      </c>
      <c r="V44" s="244">
        <f>phi_t-LN(alpha*Kt/(Tabella34[[#This Row],[Italy velocity]]*psi_t*SQRTPI(2)))</f>
        <v>-9.3638595738812445</v>
      </c>
      <c r="W44" s="244" t="e">
        <f>Tabella34[[#This Row],[Italy g.r.]]/Italy_gr_at_lockdown</f>
        <v>#DIV/0!</v>
      </c>
      <c r="X44" s="244">
        <f>(ACOSH(SQRT(alpha*Kf*psi_f/(Tabella34[[#This Row],[Italy velocity]]*(1+TANH(phi_f)))))+phi_f)/psi_f-(Tabella34[[#This Row],[Day]]-pf)</f>
        <v>185.54617714010959</v>
      </c>
      <c r="Y44" s="244">
        <f>Tabella34[[#This Row],[Italy h.t.]]/Italy_ht_at_lockdown</f>
        <v>1.5623936397078835</v>
      </c>
      <c r="Z44" s="72">
        <f>-2*$BY$48*TANH($BY$48*(Tabella34[[#This Row],[Day]]-$BY$57)-$BY$47)*Tabella34[[#This Row],[Italy velocity]]</f>
        <v>7.9483169329158159</v>
      </c>
      <c r="AA44" s="72">
        <f>Tabella34[[#This Row],[Italy acc. fit]]/Itali_acc_at_lockdown</f>
        <v>0.22709263795594342</v>
      </c>
      <c r="AB44" s="143">
        <f>Tabella34[[#This Row],[Italy acc. fit]]/y_f_peak</f>
        <v>2.5160948758077392E-3</v>
      </c>
      <c r="AC44" s="143">
        <f>Tabella34[[#This Row],[Italy (fit of selected region + fitted sum of the other regions)]]*NOT(ISBLANK(Tabella34[[#This Row],[Italy rate data]]))</f>
        <v>7.8653194880048947</v>
      </c>
      <c r="AD44" s="143">
        <f>Tabella34[[#This Row],[Italy acc. fit]]*NOT(ISBLANK(Tabella34[[#This Row],[Italy rate data]]))</f>
        <v>7.9483169329158159</v>
      </c>
      <c r="AE44" s="77">
        <f>Tabella34[[#This Row],[Italy acc. fit]]+CIf</f>
        <v>1663.1582858566671</v>
      </c>
      <c r="AF44" s="77">
        <f>MAX(Tabella34[[#This Row],[Italy acc. fit]]-CIf,0)</f>
        <v>0</v>
      </c>
      <c r="AG44" s="141"/>
      <c r="AH44" s="33"/>
      <c r="AI44" s="33"/>
      <c r="AJ44" s="142">
        <f>Tabella34[[#This Row],[selected region rate data]]*NOT(ISBLANK(Tabella34[[#This Row],[selected region rate data]]))</f>
        <v>0</v>
      </c>
      <c r="AK44" s="147">
        <f>Tabella8[[#This Row],[region fit]]</f>
        <v>0</v>
      </c>
      <c r="AL44" s="143">
        <f>(ATANH(alpha*Tabella34[[#This Row],[sel. region cumul. fit]]/Kl-(1-alpha*Tabella34[[#This Row],[sel. region cumul. fit]]/Kl)*TANH(phi_l))+phi_l)/psi_l-(Tabella34[[#This Row],[Day]]-pl)</f>
        <v>39.356483051343162</v>
      </c>
      <c r="AM44" s="142">
        <f>Tabella34[[#This Row],[sel. region cumul. fit]]/Kl</f>
        <v>0</v>
      </c>
      <c r="AN44" s="143">
        <f>Tabella3[[#This Row],[region fit]]</f>
        <v>12.818291266935923</v>
      </c>
      <c r="AO44" s="183" t="e">
        <f>Tabella34[[#This Row],[sel. region velocity]]/Tabella34[[#This Row],[sel. region cumul. fit]]</f>
        <v>#DIV/0!</v>
      </c>
      <c r="AP44" s="236" t="e">
        <f>(LN(Tabella34[[#This Row],[Day]]-pr)-phi_r)/psi_r</f>
        <v>#NUM!</v>
      </c>
      <c r="AQ44" s="244">
        <f>EXP(phi_r+psi_r*Tabella34[[#This Row],[x_r_alpha©+plus]])-(Tabella34[[#This Row],[Day]]-pr)</f>
        <v>42.63005898272494</v>
      </c>
      <c r="AR44" s="244">
        <f>EXP(phi_r+psi_r*Tabella34[[#This Row],[x_r_alpha©-minus]])-(Tabella34[[#This Row],[Day]]-pr)</f>
        <v>42.102459494871141</v>
      </c>
      <c r="AS44" s="244">
        <f>-psi_r+SQRT(psi_r^2-2*Tabella34[[#This Row],[c_r]])</f>
        <v>4.3421021578063312</v>
      </c>
      <c r="AT44" s="244">
        <f>-psi_r-SQRT(psi_r^2-2*Tabella34[[#This Row],[c_r]])</f>
        <v>-4.3823901674726686</v>
      </c>
      <c r="AU44" s="244">
        <f>phi_r-LN(alpha*Kr/(Tabella34[[#This Row],[sel. region velocity]]*psi_r*SQRTPI(2)))</f>
        <v>-9.514392901266163</v>
      </c>
      <c r="AV44" s="244">
        <f>(ACOSH(SQRT(alpha*Kl*psi_l/(Tabella34[[#This Row],[sel. region velocity]]*(1+TANH(phi_l)))))+phi_l)/psi_l-(Tabella34[[#This Row],[Day]]-pl)</f>
        <v>205.54237986005398</v>
      </c>
      <c r="AW44" s="72">
        <f>-2*$BY$22*TANH($BY$22*(Tabella34[[#This Row],[Day]]-$BY$31)-$BY$21)*Tabella34[[#This Row],[sel. region velocity]]</f>
        <v>0.49343166755720963</v>
      </c>
      <c r="AX44" s="143">
        <f>Tabella34[[#This Row],[sel. region acc. fit]]/y_l_peak</f>
        <v>3.3513250468508466E-3</v>
      </c>
      <c r="AY44" s="143">
        <f>Tabella34[[#This Row],[sel. region acc. fit]]*NOT(ISBLANK(Tabella34[[#This Row],[selected region rate data]]))</f>
        <v>0</v>
      </c>
      <c r="AZ44" s="77">
        <f>Tabella34[[#This Row],[sel. region acc. fit]]+CIl</f>
        <v>69.858418042657604</v>
      </c>
      <c r="BA44" s="77">
        <f>MAX(Tabella34[[#This Row],[sel. region acc. fit]]-CIl,0)</f>
        <v>0</v>
      </c>
      <c r="BB44" s="141"/>
      <c r="BC44" s="33"/>
      <c r="BD44" s="33"/>
      <c r="BE44" s="142">
        <f>Tabella34[[#This Row],[rest of Italy rate data]]*NOT(ISBLANK(Tabella34[[#This Row],[rest of Italy rate data]]))</f>
        <v>0</v>
      </c>
      <c r="BF44" s="188">
        <f>Tabella8[[#This Row],[rest of Italy fit]]</f>
        <v>0</v>
      </c>
      <c r="BG44" s="78">
        <f>(ATANH(alpha*Tabella34[[#This Row],[rest of Italy cumul. fit]]/Ka-(1-alpha*Tabella34[[#This Row],[rest of Italy cumul. fit]]/Ka)*TANH(phi_a))+phi_a)/psi_a-(Tabella34[[#This Row],[Day]]-pa)</f>
        <v>30.882529907638357</v>
      </c>
      <c r="BH44" s="143">
        <f>Tabella34[[#This Row],[rest of Italy cumul. fit]]/Ka</f>
        <v>0</v>
      </c>
      <c r="BI44" s="143">
        <f>Tabella3[[#This Row],[rest of Italy fit]]</f>
        <v>147.30227209227795</v>
      </c>
      <c r="BJ44" s="183" t="e">
        <f>Tabella34[[#This Row],[rest of Italy velocity]]/Tabella34[[#This Row],[rest of Italy cumul. fit]]</f>
        <v>#DIV/0!</v>
      </c>
      <c r="BK44" s="236" t="e">
        <f>(LN(Tabella34[[#This Row],[Day]]-po)-phi_o)/psi_o</f>
        <v>#NUM!</v>
      </c>
      <c r="BL44" s="244">
        <f>EXP(phi_o+psi_o*Tabella34[[#This Row],[x_o_alpha©+plus]])-(Tabella34[[#This Row],[Day]]-po)</f>
        <v>35.404183323668001</v>
      </c>
      <c r="BM44" s="244">
        <f>EXP(phi_o+psi_o*Tabella34[[#This Row],[x_o_alpha©-minus]])-(Tabella34[[#This Row],[Day]]-po)</f>
        <v>34.504100463356167</v>
      </c>
      <c r="BN44" s="244">
        <f>-psi_o+SQRT(psi_o^2-2*Tabella34[[#This Row],[c_o]])</f>
        <v>4.3001226021642935</v>
      </c>
      <c r="BO44" s="244">
        <f>-psi_o-SQRT(psi_o^2-2*Tabella34[[#This Row],[c_o]])</f>
        <v>-4.3514358864319469</v>
      </c>
      <c r="BP44" s="244">
        <f>phi_o-LN(alpha*Ko/(Tabella34[[#This Row],[rest of Italy velocity]]*psi_o*SQRTPI(2)))</f>
        <v>-9.3558539035574153</v>
      </c>
      <c r="BQ44" s="244">
        <f>(ACOSH(SQRT(alpha*Ka*psi_a/(Tabella34[[#This Row],[rest of Italy velocity]]*(1+TANH(phi_a)))))+phi_a)/psi_a-(Tabella34[[#This Row],[Day]]-pa)</f>
        <v>184.53819959755981</v>
      </c>
      <c r="BR44" s="72">
        <f>-2*$BY$35*TANH($BY$35*(Tabella34[[#This Row],[Day]]-$BY$44)-$BY$34)*Tabella34[[#This Row],[rest of Italy velocity]]</f>
        <v>7.371887820447685</v>
      </c>
      <c r="BS44" s="143">
        <f>Tabella34[[#This Row],[rest of Italy acc. fit]]/y_a_peak</f>
        <v>2.4414683903435162E-3</v>
      </c>
      <c r="BT44" s="142">
        <f>Tabella34[[#This Row],[rest of Italy acc. fit]]*NOT(ISBLANK(Tabella34[[#This Row],[rest of Italy rate data]]))</f>
        <v>0</v>
      </c>
      <c r="BU44" s="77">
        <f>Tabella34[[#This Row],[rest of Italy acc. fit]]+CIa</f>
        <v>1641.5058277742492</v>
      </c>
      <c r="BV44" s="77">
        <f>MAX(Tabella34[[#This Row],[rest of Italy acc. fit]]-CIa,0)</f>
        <v>0</v>
      </c>
      <c r="BX44" s="227" t="s">
        <v>4346</v>
      </c>
      <c r="BY44" s="228">
        <f>pa</f>
        <v>67.882529907638357</v>
      </c>
      <c r="CL44" s="51">
        <f>COUNT($BY$46,$BY$47,$BY$48,$BY$57)</f>
        <v>4</v>
      </c>
    </row>
    <row r="45" spans="2:90" x14ac:dyDescent="0.3">
      <c r="B45" s="262">
        <v>43868</v>
      </c>
      <c r="C45" s="4">
        <v>38</v>
      </c>
      <c r="D45" s="10">
        <f>Tabella8[[#This Row],[Italy cumulative]]</f>
        <v>0</v>
      </c>
      <c r="E45" s="72">
        <f>(Tabella34[[#This Row],[Italy cumul. data]]-D44)</f>
        <v>0</v>
      </c>
      <c r="F45" s="72">
        <f>Tabella34[[#This Row],[Italy rate data]]-E44</f>
        <v>0</v>
      </c>
      <c r="G45" s="142">
        <f>Tabella34[[#This Row],[Italy rate data]]*NOT(ISBLANK(Tabella34[[#This Row],[Italy rate data]]))</f>
        <v>0</v>
      </c>
      <c r="H45" s="143">
        <f>Tabella8[[#This Row],[Italy fit]]</f>
        <v>0</v>
      </c>
      <c r="I45" s="143">
        <f>(ATANH(alpha*Tabella34[[#This Row],[Italy cumul. Fit]]/Kf-(1-alpha*Tabella34[[#This Row],[Italy cumul. Fit]]/Kf)*TANH(phi_f))+phi_f)/psi_f-(Tabella34[[#This Row],[Day]]-pf)</f>
        <v>30.480394693650979</v>
      </c>
      <c r="J45" s="143">
        <f>Tabella34[[#This Row],[Italy d.t.]]/Italy_dt_at_lockdown</f>
        <v>13.428960631344326</v>
      </c>
      <c r="K45" s="143">
        <f>Tabella34[[#This Row],[Italy cumul. Fit]]/Kf</f>
        <v>0</v>
      </c>
      <c r="L45" s="146">
        <f>Tabella34[[#This Row],[sel. region acc. fit]]+Tabella34[[#This Row],[rest of Italy acc. fit]]</f>
        <v>8.2515755634806673</v>
      </c>
      <c r="M45" s="143">
        <f>Tabella34[[#This Row],[Italy (fit of selected region + fitted sum of the other regions)]]/(y_l_peak+y_a_peak)</f>
        <v>2.605747102344267E-3</v>
      </c>
      <c r="N45" s="143">
        <f>Tabella3[[#This Row],[Italy remov. rate fit]]</f>
        <v>169.65907141802805</v>
      </c>
      <c r="O45" s="143" t="e">
        <f>Kt*EXP(-0.5*Tabella34[[#This Row],[x_t]]^2)/(psi_t*SQRTPI(2)*(Tabella34[[#This Row],[Day]]-D_bk))</f>
        <v>#NUM!</v>
      </c>
      <c r="P45" s="183" t="e">
        <f>Tabella34[[#This Row],[Italy velocity]]/Tabella34[[#This Row],[Italy cumul. Fit]]</f>
        <v>#DIV/0!</v>
      </c>
      <c r="Q45" s="244" t="e">
        <f>(LN(Tabella34[[#This Row],[Day]]-D_bk)-phi_t)/psi_t</f>
        <v>#NUM!</v>
      </c>
      <c r="R45" s="244">
        <f>EXP(phi_t+psi_t*Tabella34[[#This Row],[x_t_alpha©+plus]])-(Tabella34[[#This Row],[Day]]-D_bk)</f>
        <v>34.873441083570938</v>
      </c>
      <c r="S45" s="244">
        <f>EXP(phi_t+psi_t*Tabella34[[#This Row],[x_t_alpha©-minus]])-(Tabella34[[#This Row],[Day]]-D_bk)</f>
        <v>34.012774322739261</v>
      </c>
      <c r="T45" s="244">
        <f>-psi_t+SQRT(psi_t^2-2*Tabella34[[#This Row],[c_t]])</f>
        <v>4.2909893862666948</v>
      </c>
      <c r="U45" s="244">
        <f>-psi_t-SQRT(psi_t^2-2*Tabella34[[#This Row],[c_t]])</f>
        <v>-4.3415080609640668</v>
      </c>
      <c r="V45" s="244">
        <f>phi_t-LN(alpha*Kt/(Tabella34[[#This Row],[Italy velocity]]*psi_t*SQRTPI(2)))</f>
        <v>-9.3146825049940549</v>
      </c>
      <c r="W45" s="244" t="e">
        <f>Tabella34[[#This Row],[Italy g.r.]]/Italy_gr_at_lockdown</f>
        <v>#DIV/0!</v>
      </c>
      <c r="X45" s="244">
        <f>(ACOSH(SQRT(alpha*Kf*psi_f/(Tabella34[[#This Row],[Italy velocity]]*(1+TANH(phi_f)))))+phi_f)/psi_f-(Tabella34[[#This Row],[Day]]-pf)</f>
        <v>183.5597235138178</v>
      </c>
      <c r="Y45" s="244">
        <f>Tabella34[[#This Row],[Italy h.t.]]/Italy_ht_at_lockdown</f>
        <v>1.5456666849458387</v>
      </c>
      <c r="Z45" s="72">
        <f>-2*$BY$48*TANH($BY$48*(Tabella34[[#This Row],[Day]]-$BY$57)-$BY$47)*Tabella34[[#This Row],[Italy velocity]]</f>
        <v>8.3376162862552672</v>
      </c>
      <c r="AA45" s="72">
        <f>Tabella34[[#This Row],[Italy acc. fit]]/Itali_acc_at_lockdown</f>
        <v>0.23821537222164502</v>
      </c>
      <c r="AB45" s="143">
        <f>Tabella34[[#This Row],[Italy acc. fit]]/y_f_peak</f>
        <v>2.6393302873243918E-3</v>
      </c>
      <c r="AC45" s="143">
        <f>Tabella34[[#This Row],[Italy (fit of selected region + fitted sum of the other regions)]]*NOT(ISBLANK(Tabella34[[#This Row],[Italy rate data]]))</f>
        <v>8.2515755634806673</v>
      </c>
      <c r="AD45" s="143">
        <f>Tabella34[[#This Row],[Italy acc. fit]]*NOT(ISBLANK(Tabella34[[#This Row],[Italy rate data]]))</f>
        <v>8.3376162862552672</v>
      </c>
      <c r="AE45" s="77">
        <f>Tabella34[[#This Row],[Italy acc. fit]]+CIf</f>
        <v>1663.5475852100067</v>
      </c>
      <c r="AF45" s="77">
        <f>MAX(Tabella34[[#This Row],[Italy acc. fit]]-CIf,0)</f>
        <v>0</v>
      </c>
      <c r="AG45" s="141"/>
      <c r="AH45" s="33"/>
      <c r="AI45" s="33"/>
      <c r="AJ45" s="142">
        <f>Tabella34[[#This Row],[selected region rate data]]*NOT(ISBLANK(Tabella34[[#This Row],[selected region rate data]]))</f>
        <v>0</v>
      </c>
      <c r="AK45" s="147">
        <f>Tabella8[[#This Row],[region fit]]</f>
        <v>0</v>
      </c>
      <c r="AL45" s="143">
        <f>(ATANH(alpha*Tabella34[[#This Row],[sel. region cumul. fit]]/Kl-(1-alpha*Tabella34[[#This Row],[sel. region cumul. fit]]/Kl)*TANH(phi_l))+phi_l)/psi_l-(Tabella34[[#This Row],[Day]]-pl)</f>
        <v>38.356483051343162</v>
      </c>
      <c r="AM45" s="142">
        <f>Tabella34[[#This Row],[sel. region cumul. fit]]/Kl</f>
        <v>0</v>
      </c>
      <c r="AN45" s="143">
        <f>Tabella3[[#This Row],[region fit]]</f>
        <v>13.320866448197085</v>
      </c>
      <c r="AO45" s="183" t="e">
        <f>Tabella34[[#This Row],[sel. region velocity]]/Tabella34[[#This Row],[sel. region cumul. fit]]</f>
        <v>#DIV/0!</v>
      </c>
      <c r="AP45" s="236" t="e">
        <f>(LN(Tabella34[[#This Row],[Day]]-pr)-phi_r)/psi_r</f>
        <v>#NUM!</v>
      </c>
      <c r="AQ45" s="244">
        <f>EXP(phi_r+psi_r*Tabella34[[#This Row],[x_r_alpha©+plus]])-(Tabella34[[#This Row],[Day]]-pr)</f>
        <v>41.62947707789683</v>
      </c>
      <c r="AR45" s="244">
        <f>EXP(phi_r+psi_r*Tabella34[[#This Row],[x_r_alpha©-minus]])-(Tabella34[[#This Row],[Day]]-pr)</f>
        <v>41.102947701368734</v>
      </c>
      <c r="AS45" s="244">
        <f>-psi_r+SQRT(psi_r^2-2*Tabella34[[#This Row],[c_r]])</f>
        <v>4.3332770031030119</v>
      </c>
      <c r="AT45" s="244">
        <f>-psi_r-SQRT(psi_r^2-2*Tabella34[[#This Row],[c_r]])</f>
        <v>-4.3735650127693493</v>
      </c>
      <c r="AU45" s="244">
        <f>phi_r-LN(alpha*Kr/(Tabella34[[#This Row],[sel. region velocity]]*psi_r*SQRTPI(2)))</f>
        <v>-9.4759343457046761</v>
      </c>
      <c r="AV45" s="244">
        <f>(ACOSH(SQRT(alpha*Kl*psi_l/(Tabella34[[#This Row],[sel. region velocity]]*(1+TANH(phi_l)))))+phi_l)/psi_l-(Tabella34[[#This Row],[Day]]-pl)</f>
        <v>203.56587563416312</v>
      </c>
      <c r="AW45" s="72">
        <f>-2*$BY$22*TANH($BY$22*(Tabella34[[#This Row],[Day]]-$BY$31)-$BY$21)*Tabella34[[#This Row],[sel. region velocity]]</f>
        <v>0.51181844704465995</v>
      </c>
      <c r="AX45" s="143">
        <f>Tabella34[[#This Row],[sel. region acc. fit]]/y_l_peak</f>
        <v>3.4762057115480939E-3</v>
      </c>
      <c r="AY45" s="143">
        <f>Tabella34[[#This Row],[sel. region acc. fit]]*NOT(ISBLANK(Tabella34[[#This Row],[selected region rate data]]))</f>
        <v>0</v>
      </c>
      <c r="AZ45" s="77">
        <f>Tabella34[[#This Row],[sel. region acc. fit]]+CIl</f>
        <v>69.876804822145061</v>
      </c>
      <c r="BA45" s="77">
        <f>MAX(Tabella34[[#This Row],[sel. region acc. fit]]-CIl,0)</f>
        <v>0</v>
      </c>
      <c r="BB45" s="141"/>
      <c r="BC45" s="33"/>
      <c r="BD45" s="33"/>
      <c r="BE45" s="142">
        <f>Tabella34[[#This Row],[rest of Italy rate data]]*NOT(ISBLANK(Tabella34[[#This Row],[rest of Italy rate data]]))</f>
        <v>0</v>
      </c>
      <c r="BF45" s="188">
        <f>Tabella8[[#This Row],[rest of Italy fit]]</f>
        <v>0</v>
      </c>
      <c r="BG45" s="78">
        <f>(ATANH(alpha*Tabella34[[#This Row],[rest of Italy cumul. fit]]/Ka-(1-alpha*Tabella34[[#This Row],[rest of Italy cumul. fit]]/Ka)*TANH(phi_a))+phi_a)/psi_a-(Tabella34[[#This Row],[Day]]-pa)</f>
        <v>29.882529907638357</v>
      </c>
      <c r="BH45" s="143">
        <f>Tabella34[[#This Row],[rest of Italy cumul. fit]]/Ka</f>
        <v>0</v>
      </c>
      <c r="BI45" s="143">
        <f>Tabella3[[#This Row],[rest of Italy fit]]</f>
        <v>154.85668580121921</v>
      </c>
      <c r="BJ45" s="183" t="e">
        <f>Tabella34[[#This Row],[rest of Italy velocity]]/Tabella34[[#This Row],[rest of Italy cumul. fit]]</f>
        <v>#DIV/0!</v>
      </c>
      <c r="BK45" s="236" t="e">
        <f>(LN(Tabella34[[#This Row],[Day]]-po)-phi_o)/psi_o</f>
        <v>#NUM!</v>
      </c>
      <c r="BL45" s="244">
        <f>EXP(phi_o+psi_o*Tabella34[[#This Row],[x_o_alpha©+plus]])-(Tabella34[[#This Row],[Day]]-po)</f>
        <v>34.402840448689581</v>
      </c>
      <c r="BM45" s="244">
        <f>EXP(phi_o+psi_o*Tabella34[[#This Row],[x_o_alpha©-minus]])-(Tabella34[[#This Row],[Day]]-po)</f>
        <v>33.505176344412945</v>
      </c>
      <c r="BN45" s="244">
        <f>-psi_o+SQRT(psi_o^2-2*Tabella34[[#This Row],[c_o]])</f>
        <v>4.2885454166503125</v>
      </c>
      <c r="BO45" s="244">
        <f>-psi_o-SQRT(psi_o^2-2*Tabella34[[#This Row],[c_o]])</f>
        <v>-4.3398587009179659</v>
      </c>
      <c r="BP45" s="244">
        <f>phi_o-LN(alpha*Ko/(Tabella34[[#This Row],[rest of Italy velocity]]*psi_o*SQRTPI(2)))</f>
        <v>-9.3058405703658593</v>
      </c>
      <c r="BQ45" s="244">
        <f>(ACOSH(SQRT(alpha*Ka*psi_a/(Tabella34[[#This Row],[rest of Italy velocity]]*(1+TANH(phi_a)))))+phi_a)/psi_a-(Tabella34[[#This Row],[Day]]-pa)</f>
        <v>182.5511101956788</v>
      </c>
      <c r="BR45" s="72">
        <f>-2*$BY$35*TANH($BY$35*(Tabella34[[#This Row],[Day]]-$BY$44)-$BY$34)*Tabella34[[#This Row],[rest of Italy velocity]]</f>
        <v>7.7397571164360075</v>
      </c>
      <c r="BS45" s="143">
        <f>Tabella34[[#This Row],[rest of Italy acc. fit]]/y_a_peak</f>
        <v>2.5633016683055338E-3</v>
      </c>
      <c r="BT45" s="142">
        <f>Tabella34[[#This Row],[rest of Italy acc. fit]]*NOT(ISBLANK(Tabella34[[#This Row],[rest of Italy rate data]]))</f>
        <v>0</v>
      </c>
      <c r="BU45" s="77">
        <f>Tabella34[[#This Row],[rest of Italy acc. fit]]+CIa</f>
        <v>1641.8736970702375</v>
      </c>
      <c r="BV45" s="77">
        <f>MAX(Tabella34[[#This Row],[rest of Italy acc. fit]]-CIa,0)</f>
        <v>0</v>
      </c>
      <c r="BX45" s="229" t="s">
        <v>129</v>
      </c>
      <c r="BY45" s="230" t="s">
        <v>85</v>
      </c>
      <c r="CL45" s="51" t="b">
        <f>pf&lt;=0</f>
        <v>0</v>
      </c>
    </row>
    <row r="46" spans="2:90" x14ac:dyDescent="0.3">
      <c r="B46" s="262">
        <v>43869</v>
      </c>
      <c r="C46" s="4">
        <v>39</v>
      </c>
      <c r="D46" s="10">
        <f>Tabella8[[#This Row],[Italy cumulative]]</f>
        <v>0</v>
      </c>
      <c r="E46" s="72">
        <f>(Tabella34[[#This Row],[Italy cumul. data]]-D45)</f>
        <v>0</v>
      </c>
      <c r="F46" s="72">
        <f>Tabella34[[#This Row],[Italy rate data]]-E45</f>
        <v>0</v>
      </c>
      <c r="G46" s="142">
        <f>Tabella34[[#This Row],[Italy rate data]]*NOT(ISBLANK(Tabella34[[#This Row],[Italy rate data]]))</f>
        <v>0</v>
      </c>
      <c r="H46" s="143">
        <f>Tabella8[[#This Row],[Italy fit]]</f>
        <v>0</v>
      </c>
      <c r="I46" s="143">
        <f>(ATANH(alpha*Tabella34[[#This Row],[Italy cumul. Fit]]/Kf-(1-alpha*Tabella34[[#This Row],[Italy cumul. Fit]]/Kf)*TANH(phi_f))+phi_f)/psi_f-(Tabella34[[#This Row],[Day]]-pf)</f>
        <v>29.480394693650979</v>
      </c>
      <c r="J46" s="143">
        <f>Tabella34[[#This Row],[Italy d.t.]]/Italy_dt_at_lockdown</f>
        <v>12.988383638614584</v>
      </c>
      <c r="K46" s="143">
        <f>Tabella34[[#This Row],[Italy cumul. Fit]]/Kf</f>
        <v>0</v>
      </c>
      <c r="L46" s="146">
        <f>Tabella34[[#This Row],[sel. region acc. fit]]+Tabella34[[#This Row],[rest of Italy acc. fit]]</f>
        <v>8.6556818431018456</v>
      </c>
      <c r="M46" s="143">
        <f>Tabella34[[#This Row],[Italy (fit of selected region + fitted sum of the other regions)]]/(y_l_peak+y_a_peak)</f>
        <v>2.7333589455687669E-3</v>
      </c>
      <c r="N46" s="143">
        <f>Tabella3[[#This Row],[Italy remov. rate fit]]</f>
        <v>178.19874692577571</v>
      </c>
      <c r="O46" s="143" t="e">
        <f>Kt*EXP(-0.5*Tabella34[[#This Row],[x_t]]^2)/(psi_t*SQRTPI(2)*(Tabella34[[#This Row],[Day]]-D_bk))</f>
        <v>#NUM!</v>
      </c>
      <c r="P46" s="183" t="e">
        <f>Tabella34[[#This Row],[Italy velocity]]/Tabella34[[#This Row],[Italy cumul. Fit]]</f>
        <v>#DIV/0!</v>
      </c>
      <c r="Q46" s="244" t="e">
        <f>(LN(Tabella34[[#This Row],[Day]]-D_bk)-phi_t)/psi_t</f>
        <v>#NUM!</v>
      </c>
      <c r="R46" s="244">
        <f>EXP(phi_t+psi_t*Tabella34[[#This Row],[x_t_alpha©+plus]])-(Tabella34[[#This Row],[Day]]-D_bk)</f>
        <v>33.872177077414477</v>
      </c>
      <c r="S46" s="244">
        <f>EXP(phi_t+psi_t*Tabella34[[#This Row],[x_t_alpha©-minus]])-(Tabella34[[#This Row],[Day]]-D_bk)</f>
        <v>33.013790982766558</v>
      </c>
      <c r="T46" s="244">
        <f>-psi_t+SQRT(psi_t^2-2*Tabella34[[#This Row],[c_t]])</f>
        <v>4.2795967578203342</v>
      </c>
      <c r="U46" s="244">
        <f>-psi_t-SQRT(psi_t^2-2*Tabella34[[#This Row],[c_t]])</f>
        <v>-4.3301154325177063</v>
      </c>
      <c r="V46" s="244">
        <f>phi_t-LN(alpha*Kt/(Tabella34[[#This Row],[Italy velocity]]*psi_t*SQRTPI(2)))</f>
        <v>-9.2655739829952868</v>
      </c>
      <c r="W46" s="244" t="e">
        <f>Tabella34[[#This Row],[Italy g.r.]]/Italy_gr_at_lockdown</f>
        <v>#DIV/0!</v>
      </c>
      <c r="X46" s="244">
        <f>(ACOSH(SQRT(alpha*Kf*psi_f/(Tabella34[[#This Row],[Italy velocity]]*(1+TANH(phi_f)))))+phi_f)/psi_f-(Tabella34[[#This Row],[Day]]-pf)</f>
        <v>181.57397661078465</v>
      </c>
      <c r="Y46" s="244">
        <f>Tabella34[[#This Row],[Italy h.t.]]/Italy_ht_at_lockdown</f>
        <v>1.528945681154821</v>
      </c>
      <c r="Z46" s="72">
        <f>-2*$BY$48*TANH($BY$48*(Tabella34[[#This Row],[Day]]-$BY$57)-$BY$47)*Tabella34[[#This Row],[Italy velocity]]</f>
        <v>8.7447671117875121</v>
      </c>
      <c r="AA46" s="72">
        <f>Tabella34[[#This Row],[Italy acc. fit]]/Itali_acc_at_lockdown</f>
        <v>0.24984814376264325</v>
      </c>
      <c r="AB46" s="143">
        <f>Tabella34[[#This Row],[Italy acc. fit]]/y_f_peak</f>
        <v>2.7682167062290245E-3</v>
      </c>
      <c r="AC46" s="143">
        <f>Tabella34[[#This Row],[Italy (fit of selected region + fitted sum of the other regions)]]*NOT(ISBLANK(Tabella34[[#This Row],[Italy rate data]]))</f>
        <v>8.6556818431018456</v>
      </c>
      <c r="AD46" s="143">
        <f>Tabella34[[#This Row],[Italy acc. fit]]*NOT(ISBLANK(Tabella34[[#This Row],[Italy rate data]]))</f>
        <v>8.7447671117875121</v>
      </c>
      <c r="AE46" s="77">
        <f>Tabella34[[#This Row],[Italy acc. fit]]+CIf</f>
        <v>1663.9547360355389</v>
      </c>
      <c r="AF46" s="77">
        <f>MAX(Tabella34[[#This Row],[Italy acc. fit]]-CIf,0)</f>
        <v>0</v>
      </c>
      <c r="AG46" s="141"/>
      <c r="AH46" s="33"/>
      <c r="AI46" s="33"/>
      <c r="AJ46" s="142">
        <f>Tabella34[[#This Row],[selected region rate data]]*NOT(ISBLANK(Tabella34[[#This Row],[selected region rate data]]))</f>
        <v>0</v>
      </c>
      <c r="AK46" s="147">
        <f>Tabella8[[#This Row],[region fit]]</f>
        <v>0</v>
      </c>
      <c r="AL46" s="143">
        <f>(ATANH(alpha*Tabella34[[#This Row],[sel. region cumul. fit]]/Kl-(1-alpha*Tabella34[[#This Row],[sel. region cumul. fit]]/Kl)*TANH(phi_l))+phi_l)/psi_l-(Tabella34[[#This Row],[Day]]-pl)</f>
        <v>37.356483051343162</v>
      </c>
      <c r="AM46" s="142">
        <f>Tabella34[[#This Row],[sel. region cumul. fit]]/Kl</f>
        <v>0</v>
      </c>
      <c r="AN46" s="143">
        <f>Tabella3[[#This Row],[region fit]]</f>
        <v>13.84212991154056</v>
      </c>
      <c r="AO46" s="183" t="e">
        <f>Tabella34[[#This Row],[sel. region velocity]]/Tabella34[[#This Row],[sel. region cumul. fit]]</f>
        <v>#DIV/0!</v>
      </c>
      <c r="AP46" s="236" t="e">
        <f>(LN(Tabella34[[#This Row],[Day]]-pr)-phi_r)/psi_r</f>
        <v>#NUM!</v>
      </c>
      <c r="AQ46" s="244">
        <f>EXP(phi_r+psi_r*Tabella34[[#This Row],[x_r_alpha©+plus]])-(Tabella34[[#This Row],[Day]]-pr)</f>
        <v>40.62889520899094</v>
      </c>
      <c r="AR46" s="244">
        <f>EXP(phi_r+psi_r*Tabella34[[#This Row],[x_r_alpha©-minus]])-(Tabella34[[#This Row],[Day]]-pr)</f>
        <v>40.10343605133933</v>
      </c>
      <c r="AS46" s="244">
        <f>-psi_r+SQRT(psi_r^2-2*Tabella34[[#This Row],[c_r]])</f>
        <v>4.3244508241788022</v>
      </c>
      <c r="AT46" s="244">
        <f>-psi_r-SQRT(psi_r^2-2*Tabella34[[#This Row],[c_r]])</f>
        <v>-4.3647388338451396</v>
      </c>
      <c r="AU46" s="244">
        <f>phi_r-LN(alpha*Kr/(Tabella34[[#This Row],[sel. region velocity]]*psi_r*SQRTPI(2)))</f>
        <v>-9.4375492236734182</v>
      </c>
      <c r="AV46" s="244">
        <f>(ACOSH(SQRT(alpha*Kl*psi_l/(Tabella34[[#This Row],[sel. region velocity]]*(1+TANH(phi_l)))))+phi_l)/psi_l-(Tabella34[[#This Row],[Day]]-pl)</f>
        <v>201.59034832322027</v>
      </c>
      <c r="AW46" s="72">
        <f>-2*$BY$22*TANH($BY$22*(Tabella34[[#This Row],[Day]]-$BY$31)-$BY$21)*Tabella34[[#This Row],[sel. region velocity]]</f>
        <v>0.53081047029720252</v>
      </c>
      <c r="AX46" s="143">
        <f>Tabella34[[#This Row],[sel. region acc. fit]]/y_l_peak</f>
        <v>3.6051971148192267E-3</v>
      </c>
      <c r="AY46" s="143">
        <f>Tabella34[[#This Row],[sel. region acc. fit]]*NOT(ISBLANK(Tabella34[[#This Row],[selected region rate data]]))</f>
        <v>0</v>
      </c>
      <c r="AZ46" s="77">
        <f>Tabella34[[#This Row],[sel. region acc. fit]]+CIl</f>
        <v>69.895796845397598</v>
      </c>
      <c r="BA46" s="77">
        <f>MAX(Tabella34[[#This Row],[sel. region acc. fit]]-CIl,0)</f>
        <v>0</v>
      </c>
      <c r="BB46" s="141"/>
      <c r="BC46" s="33"/>
      <c r="BD46" s="33"/>
      <c r="BE46" s="142">
        <f>Tabella34[[#This Row],[rest of Italy rate data]]*NOT(ISBLANK(Tabella34[[#This Row],[rest of Italy rate data]]))</f>
        <v>0</v>
      </c>
      <c r="BF46" s="188">
        <f>Tabella8[[#This Row],[rest of Italy fit]]</f>
        <v>0</v>
      </c>
      <c r="BG46" s="78">
        <f>(ATANH(alpha*Tabella34[[#This Row],[rest of Italy cumul. fit]]/Ka-(1-alpha*Tabella34[[#This Row],[rest of Italy cumul. fit]]/Ka)*TANH(phi_a))+phi_a)/psi_a-(Tabella34[[#This Row],[Day]]-pa)</f>
        <v>28.882529907638357</v>
      </c>
      <c r="BH46" s="143">
        <f>Tabella34[[#This Row],[rest of Italy cumul. fit]]/Ka</f>
        <v>0</v>
      </c>
      <c r="BI46" s="143">
        <f>Tabella3[[#This Row],[rest of Italy fit]]</f>
        <v>162.78753447255033</v>
      </c>
      <c r="BJ46" s="183" t="e">
        <f>Tabella34[[#This Row],[rest of Italy velocity]]/Tabella34[[#This Row],[rest of Italy cumul. fit]]</f>
        <v>#DIV/0!</v>
      </c>
      <c r="BK46" s="236" t="e">
        <f>(LN(Tabella34[[#This Row],[Day]]-po)-phi_o)/psi_o</f>
        <v>#NUM!</v>
      </c>
      <c r="BL46" s="244">
        <f>EXP(phi_o+psi_o*Tabella34[[#This Row],[x_o_alpha©+plus]])-(Tabella34[[#This Row],[Day]]-po)</f>
        <v>33.401496180634041</v>
      </c>
      <c r="BM46" s="244">
        <f>EXP(phi_o+psi_o*Tabella34[[#This Row],[x_o_alpha©-minus]])-(Tabella34[[#This Row],[Day]]-po)</f>
        <v>32.506253981993595</v>
      </c>
      <c r="BN46" s="244">
        <f>-psi_o+SQRT(psi_o^2-2*Tabella34[[#This Row],[c_o]])</f>
        <v>4.2769527759803765</v>
      </c>
      <c r="BO46" s="244">
        <f>-psi_o-SQRT(psi_o^2-2*Tabella34[[#This Row],[c_o]])</f>
        <v>-4.3282660602480298</v>
      </c>
      <c r="BP46" s="244">
        <f>phi_o-LN(alpha*Ko/(Tabella34[[#This Row],[rest of Italy velocity]]*psi_o*SQRTPI(2)))</f>
        <v>-9.2558947707797294</v>
      </c>
      <c r="BQ46" s="244">
        <f>(ACOSH(SQRT(alpha*Ka*psi_a/(Tabella34[[#This Row],[rest of Italy velocity]]*(1+TANH(phi_a)))))+phi_a)/psi_a-(Tabella34[[#This Row],[Day]]-pa)</f>
        <v>180.56470501093924</v>
      </c>
      <c r="BR46" s="72">
        <f>-2*$BY$35*TANH($BY$35*(Tabella34[[#This Row],[Day]]-$BY$44)-$BY$34)*Tabella34[[#This Row],[rest of Italy velocity]]</f>
        <v>8.1248713728046429</v>
      </c>
      <c r="BS46" s="143">
        <f>Tabella34[[#This Row],[rest of Italy acc. fit]]/y_a_peak</f>
        <v>2.6908462412148881E-3</v>
      </c>
      <c r="BT46" s="142">
        <f>Tabella34[[#This Row],[rest of Italy acc. fit]]*NOT(ISBLANK(Tabella34[[#This Row],[rest of Italy rate data]]))</f>
        <v>0</v>
      </c>
      <c r="BU46" s="77">
        <f>Tabella34[[#This Row],[rest of Italy acc. fit]]+CIa</f>
        <v>1642.2588113266061</v>
      </c>
      <c r="BV46" s="77">
        <f>MAX(Tabella34[[#This Row],[rest of Italy acc. fit]]-CIa,0)</f>
        <v>0</v>
      </c>
      <c r="BX46" s="212" t="s">
        <v>0</v>
      </c>
      <c r="BY46" s="211">
        <f>Kf</f>
        <v>235000.00152445532</v>
      </c>
      <c r="CL46" s="51" t="b">
        <f>psi_f&gt;=0.000001</f>
        <v>1</v>
      </c>
    </row>
    <row r="47" spans="2:90" x14ac:dyDescent="0.3">
      <c r="B47" s="262">
        <v>43870</v>
      </c>
      <c r="C47" s="4">
        <v>40</v>
      </c>
      <c r="D47" s="10">
        <f>Tabella8[[#This Row],[Italy cumulative]]</f>
        <v>0</v>
      </c>
      <c r="E47" s="72">
        <f>(Tabella34[[#This Row],[Italy cumul. data]]-D46)</f>
        <v>0</v>
      </c>
      <c r="F47" s="72">
        <f>Tabella34[[#This Row],[Italy rate data]]-E46</f>
        <v>0</v>
      </c>
      <c r="G47" s="142">
        <f>Tabella34[[#This Row],[Italy rate data]]*NOT(ISBLANK(Tabella34[[#This Row],[Italy rate data]]))</f>
        <v>0</v>
      </c>
      <c r="H47" s="143">
        <f>Tabella8[[#This Row],[Italy fit]]</f>
        <v>0</v>
      </c>
      <c r="I47" s="143">
        <f>(ATANH(alpha*Tabella34[[#This Row],[Italy cumul. Fit]]/Kf-(1-alpha*Tabella34[[#This Row],[Italy cumul. Fit]]/Kf)*TANH(phi_f))+phi_f)/psi_f-(Tabella34[[#This Row],[Day]]-pf)</f>
        <v>28.480394693650979</v>
      </c>
      <c r="J47" s="143">
        <f>Tabella34[[#This Row],[Italy d.t.]]/Italy_dt_at_lockdown</f>
        <v>12.547806645884842</v>
      </c>
      <c r="K47" s="143">
        <f>Tabella34[[#This Row],[Italy cumul. Fit]]/Kf</f>
        <v>0</v>
      </c>
      <c r="L47" s="146">
        <f>Tabella34[[#This Row],[sel. region acc. fit]]+Tabella34[[#This Row],[rest of Italy acc. fit]]</f>
        <v>9.0783409744508941</v>
      </c>
      <c r="M47" s="143">
        <f>Tabella34[[#This Row],[Italy (fit of selected region + fitted sum of the other regions)]]/(y_l_peak+y_a_peak)</f>
        <v>2.8668295534931957E-3</v>
      </c>
      <c r="N47" s="143">
        <f>Tabella3[[#This Row],[Italy remov. rate fit]]</f>
        <v>187.15478618485929</v>
      </c>
      <c r="O47" s="143" t="e">
        <f>Kt*EXP(-0.5*Tabella34[[#This Row],[x_t]]^2)/(psi_t*SQRTPI(2)*(Tabella34[[#This Row],[Day]]-D_bk))</f>
        <v>#NUM!</v>
      </c>
      <c r="P47" s="183" t="e">
        <f>Tabella34[[#This Row],[Italy velocity]]/Tabella34[[#This Row],[Italy cumul. Fit]]</f>
        <v>#DIV/0!</v>
      </c>
      <c r="Q47" s="244" t="e">
        <f>(LN(Tabella34[[#This Row],[Day]]-D_bk)-phi_t)/psi_t</f>
        <v>#NUM!</v>
      </c>
      <c r="R47" s="244">
        <f>EXP(phi_t+psi_t*Tabella34[[#This Row],[x_t_alpha©+plus]])-(Tabella34[[#This Row],[Day]]-D_bk)</f>
        <v>32.870911942085534</v>
      </c>
      <c r="S47" s="244">
        <f>EXP(phi_t+psi_t*Tabella34[[#This Row],[x_t_alpha©-minus]])-(Tabella34[[#This Row],[Day]]-D_bk)</f>
        <v>32.014809137171511</v>
      </c>
      <c r="T47" s="244">
        <f>-psi_t+SQRT(psi_t^2-2*Tabella34[[#This Row],[c_t]])</f>
        <v>4.2681906682170281</v>
      </c>
      <c r="U47" s="244">
        <f>-psi_t-SQRT(psi_t^2-2*Tabella34[[#This Row],[c_t]])</f>
        <v>-4.3187093429144001</v>
      </c>
      <c r="V47" s="244">
        <f>phi_t-LN(alpha*Kt/(Tabella34[[#This Row],[Italy velocity]]*psi_t*SQRTPI(2)))</f>
        <v>-9.216537458084467</v>
      </c>
      <c r="W47" s="244" t="e">
        <f>Tabella34[[#This Row],[Italy g.r.]]/Italy_gr_at_lockdown</f>
        <v>#DIV/0!</v>
      </c>
      <c r="X47" s="244">
        <f>(ACOSH(SQRT(alpha*Kf*psi_f/(Tabella34[[#This Row],[Italy velocity]]*(1+TANH(phi_f)))))+phi_f)/psi_f-(Tabella34[[#This Row],[Day]]-pf)</f>
        <v>179.58897355294295</v>
      </c>
      <c r="Y47" s="244">
        <f>Tabella34[[#This Row],[Italy h.t.]]/Italy_ht_at_lockdown</f>
        <v>1.5122309409204766</v>
      </c>
      <c r="Z47" s="72">
        <f>-2*$BY$48*TANH($BY$48*(Tabella34[[#This Row],[Day]]-$BY$57)-$BY$47)*Tabella34[[#This Row],[Italy velocity]]</f>
        <v>9.1704599947510808</v>
      </c>
      <c r="AA47" s="72">
        <f>Tabella34[[#This Row],[Italy acc. fit]]/Itali_acc_at_lockdown</f>
        <v>0.26201068340055422</v>
      </c>
      <c r="AB47" s="143">
        <f>Tabella34[[#This Row],[Italy acc. fit]]/y_f_peak</f>
        <v>2.9029727420706317E-3</v>
      </c>
      <c r="AC47" s="143">
        <f>Tabella34[[#This Row],[Italy (fit of selected region + fitted sum of the other regions)]]*NOT(ISBLANK(Tabella34[[#This Row],[Italy rate data]]))</f>
        <v>9.0783409744508941</v>
      </c>
      <c r="AD47" s="143">
        <f>Tabella34[[#This Row],[Italy acc. fit]]*NOT(ISBLANK(Tabella34[[#This Row],[Italy rate data]]))</f>
        <v>9.1704599947510808</v>
      </c>
      <c r="AE47" s="77">
        <f>Tabella34[[#This Row],[Italy acc. fit]]+CIf</f>
        <v>1664.3804289185025</v>
      </c>
      <c r="AF47" s="77">
        <f>MAX(Tabella34[[#This Row],[Italy acc. fit]]-CIf,0)</f>
        <v>0</v>
      </c>
      <c r="AG47" s="141"/>
      <c r="AH47" s="33"/>
      <c r="AI47" s="33"/>
      <c r="AJ47" s="142">
        <f>Tabella34[[#This Row],[selected region rate data]]*NOT(ISBLANK(Tabella34[[#This Row],[selected region rate data]]))</f>
        <v>0</v>
      </c>
      <c r="AK47" s="147">
        <f>Tabella8[[#This Row],[region fit]]</f>
        <v>0</v>
      </c>
      <c r="AL47" s="143">
        <f>(ATANH(alpha*Tabella34[[#This Row],[sel. region cumul. fit]]/Kl-(1-alpha*Tabella34[[#This Row],[sel. region cumul. fit]]/Kl)*TANH(phi_l))+phi_l)/psi_l-(Tabella34[[#This Row],[Day]]-pl)</f>
        <v>36.356483051343162</v>
      </c>
      <c r="AM47" s="142">
        <f>Tabella34[[#This Row],[sel. region cumul. fit]]/Kl</f>
        <v>0</v>
      </c>
      <c r="AN47" s="143">
        <f>Tabella3[[#This Row],[region fit]]</f>
        <v>14.382693574491032</v>
      </c>
      <c r="AO47" s="183" t="e">
        <f>Tabella34[[#This Row],[sel. region velocity]]/Tabella34[[#This Row],[sel. region cumul. fit]]</f>
        <v>#DIV/0!</v>
      </c>
      <c r="AP47" s="236" t="e">
        <f>(LN(Tabella34[[#This Row],[Day]]-pr)-phi_r)/psi_r</f>
        <v>#NUM!</v>
      </c>
      <c r="AQ47" s="244">
        <f>EXP(phi_r+psi_r*Tabella34[[#This Row],[x_r_alpha©+plus]])-(Tabella34[[#This Row],[Day]]-pr)</f>
        <v>39.628313419292525</v>
      </c>
      <c r="AR47" s="244">
        <f>EXP(phi_r+psi_r*Tabella34[[#This Row],[x_r_alpha©-minus]])-(Tabella34[[#This Row],[Day]]-pr)</f>
        <v>39.103924508495631</v>
      </c>
      <c r="AS47" s="244">
        <f>-psi_r+SQRT(psi_r^2-2*Tabella34[[#This Row],[c_r]])</f>
        <v>4.3156242775214047</v>
      </c>
      <c r="AT47" s="244">
        <f>-psi_r-SQRT(psi_r^2-2*Tabella34[[#This Row],[c_r]])</f>
        <v>-4.355912287187742</v>
      </c>
      <c r="AU47" s="244">
        <f>phi_r-LN(alpha*Kr/(Tabella34[[#This Row],[sel. region velocity]]*psi_r*SQRTPI(2)))</f>
        <v>-9.3992404086706038</v>
      </c>
      <c r="AV47" s="244">
        <f>(ACOSH(SQRT(alpha*Kl*psi_l/(Tabella34[[#This Row],[sel. region velocity]]*(1+TANH(phi_l)))))+phi_l)/psi_l-(Tabella34[[#This Row],[Day]]-pl)</f>
        <v>199.61583898527309</v>
      </c>
      <c r="AW47" s="72">
        <f>-2*$BY$22*TANH($BY$22*(Tabella34[[#This Row],[Day]]-$BY$31)-$BY$21)*Tabella34[[#This Row],[sel. region velocity]]</f>
        <v>0.55042104078817344</v>
      </c>
      <c r="AX47" s="143">
        <f>Tabella34[[#This Row],[sel. region acc. fit]]/y_l_peak</f>
        <v>3.7383896121609282E-3</v>
      </c>
      <c r="AY47" s="143">
        <f>Tabella34[[#This Row],[sel. region acc. fit]]*NOT(ISBLANK(Tabella34[[#This Row],[selected region rate data]]))</f>
        <v>0</v>
      </c>
      <c r="AZ47" s="77">
        <f>Tabella34[[#This Row],[sel. region acc. fit]]+CIl</f>
        <v>69.915407415888581</v>
      </c>
      <c r="BA47" s="77">
        <f>MAX(Tabella34[[#This Row],[sel. region acc. fit]]-CIl,0)</f>
        <v>0</v>
      </c>
      <c r="BB47" s="141"/>
      <c r="BC47" s="33"/>
      <c r="BD47" s="33"/>
      <c r="BE47" s="142">
        <f>Tabella34[[#This Row],[rest of Italy rate data]]*NOT(ISBLANK(Tabella34[[#This Row],[rest of Italy rate data]]))</f>
        <v>0</v>
      </c>
      <c r="BF47" s="188">
        <f>Tabella8[[#This Row],[rest of Italy fit]]</f>
        <v>0</v>
      </c>
      <c r="BG47" s="78">
        <f>(ATANH(alpha*Tabella34[[#This Row],[rest of Italy cumul. fit]]/Ka-(1-alpha*Tabella34[[#This Row],[rest of Italy cumul. fit]]/Ka)*TANH(phi_a))+phi_a)/psi_a-(Tabella34[[#This Row],[Day]]-pa)</f>
        <v>27.882529907638357</v>
      </c>
      <c r="BH47" s="143">
        <f>Tabella34[[#This Row],[rest of Italy cumul. fit]]/Ka</f>
        <v>0</v>
      </c>
      <c r="BI47" s="143">
        <f>Tabella3[[#This Row],[rest of Italy fit]]</f>
        <v>171.1124064877786</v>
      </c>
      <c r="BJ47" s="183" t="e">
        <f>Tabella34[[#This Row],[rest of Italy velocity]]/Tabella34[[#This Row],[rest of Italy cumul. fit]]</f>
        <v>#DIV/0!</v>
      </c>
      <c r="BK47" s="236" t="e">
        <f>(LN(Tabella34[[#This Row],[Day]]-po)-phi_o)/psi_o</f>
        <v>#NUM!</v>
      </c>
      <c r="BL47" s="244">
        <f>EXP(phi_o+psi_o*Tabella34[[#This Row],[x_o_alpha©+plus]])-(Tabella34[[#This Row],[Day]]-po)</f>
        <v>32.40015059988567</v>
      </c>
      <c r="BM47" s="244">
        <f>EXP(phi_o+psi_o*Tabella34[[#This Row],[x_o_alpha©-minus]])-(Tabella34[[#This Row],[Day]]-po)</f>
        <v>31.507333314165109</v>
      </c>
      <c r="BN47" s="244">
        <f>-psi_o+SQRT(psi_o^2-2*Tabella34[[#This Row],[c_o]])</f>
        <v>4.2653453609080065</v>
      </c>
      <c r="BO47" s="244">
        <f>-psi_o-SQRT(psi_o^2-2*Tabella34[[#This Row],[c_o]])</f>
        <v>-4.3166586451756599</v>
      </c>
      <c r="BP47" s="244">
        <f>phi_o-LN(alpha*Ko/(Tabella34[[#This Row],[rest of Italy velocity]]*psi_o*SQRTPI(2)))</f>
        <v>-9.2060199634117197</v>
      </c>
      <c r="BQ47" s="244">
        <f>(ACOSH(SQRT(alpha*Ka*psi_a/(Tabella34[[#This Row],[rest of Italy velocity]]*(1+TANH(phi_a)))))+phi_a)/psi_a-(Tabella34[[#This Row],[Day]]-pa)</f>
        <v>178.57902054184473</v>
      </c>
      <c r="BR47" s="72">
        <f>-2*$BY$35*TANH($BY$35*(Tabella34[[#This Row],[Day]]-$BY$44)-$BY$34)*Tabella34[[#This Row],[rest of Italy velocity]]</f>
        <v>8.5279199336627212</v>
      </c>
      <c r="BS47" s="143">
        <f>Tabella34[[#This Row],[rest of Italy acc. fit]]/y_a_peak</f>
        <v>2.8243304104095144E-3</v>
      </c>
      <c r="BT47" s="142">
        <f>Tabella34[[#This Row],[rest of Italy acc. fit]]*NOT(ISBLANK(Tabella34[[#This Row],[rest of Italy rate data]]))</f>
        <v>0</v>
      </c>
      <c r="BU47" s="77">
        <f>Tabella34[[#This Row],[rest of Italy acc. fit]]+CIa</f>
        <v>1642.6618598874643</v>
      </c>
      <c r="BV47" s="77">
        <f>MAX(Tabella34[[#This Row],[rest of Italy acc. fit]]-CIa,0)</f>
        <v>0</v>
      </c>
      <c r="BX47" s="212" t="s">
        <v>4713</v>
      </c>
      <c r="BY47" s="212">
        <f>phi_f</f>
        <v>1.3716353764341149</v>
      </c>
      <c r="CL47" s="51">
        <f>{32767;32767;0.000001;0.01;FALSE;FALSE;FALSE;1;2;1;0.0001;TRUE}</f>
        <v>32767</v>
      </c>
    </row>
    <row r="48" spans="2:90" ht="15" thickBot="1" x14ac:dyDescent="0.35">
      <c r="B48" s="262">
        <v>43871</v>
      </c>
      <c r="C48" s="4">
        <v>41</v>
      </c>
      <c r="D48" s="10">
        <f>Tabella8[[#This Row],[Italy cumulative]]</f>
        <v>0</v>
      </c>
      <c r="E48" s="72">
        <f>(Tabella34[[#This Row],[Italy cumul. data]]-D47)</f>
        <v>0</v>
      </c>
      <c r="F48" s="72">
        <f>Tabella34[[#This Row],[Italy rate data]]-E47</f>
        <v>0</v>
      </c>
      <c r="G48" s="142">
        <f>Tabella34[[#This Row],[Italy rate data]]*NOT(ISBLANK(Tabella34[[#This Row],[Italy rate data]]))</f>
        <v>0</v>
      </c>
      <c r="H48" s="143">
        <f>Tabella8[[#This Row],[Italy fit]]</f>
        <v>0</v>
      </c>
      <c r="I48" s="143">
        <f>(ATANH(alpha*Tabella34[[#This Row],[Italy cumul. Fit]]/Kf-(1-alpha*Tabella34[[#This Row],[Italy cumul. Fit]]/Kf)*TANH(phi_f))+phi_f)/psi_f-(Tabella34[[#This Row],[Day]]-pf)</f>
        <v>27.480394693650979</v>
      </c>
      <c r="J48" s="143">
        <f>Tabella34[[#This Row],[Italy d.t.]]/Italy_dt_at_lockdown</f>
        <v>12.1072296531551</v>
      </c>
      <c r="K48" s="143">
        <f>Tabella34[[#This Row],[Italy cumul. Fit]]/Kf</f>
        <v>0</v>
      </c>
      <c r="L48" s="146">
        <f>Tabella34[[#This Row],[sel. region acc. fit]]+Tabella34[[#This Row],[rest of Italy acc. fit]]</f>
        <v>9.5202697307912185</v>
      </c>
      <c r="M48" s="143">
        <f>Tabella34[[#This Row],[Italy (fit of selected region + fitted sum of the other regions)]]/(y_l_peak+y_a_peak)</f>
        <v>3.0063852743876258E-3</v>
      </c>
      <c r="N48" s="143">
        <f>Tabella3[[#This Row],[Italy remov. rate fit]]</f>
        <v>196.54608193735297</v>
      </c>
      <c r="O48" s="143" t="e">
        <f>Kt*EXP(-0.5*Tabella34[[#This Row],[x_t]]^2)/(psi_t*SQRTPI(2)*(Tabella34[[#This Row],[Day]]-D_bk))</f>
        <v>#NUM!</v>
      </c>
      <c r="P48" s="183" t="e">
        <f>Tabella34[[#This Row],[Italy velocity]]/Tabella34[[#This Row],[Italy cumul. Fit]]</f>
        <v>#DIV/0!</v>
      </c>
      <c r="Q48" s="244" t="e">
        <f>(LN(Tabella34[[#This Row],[Day]]-D_bk)-phi_t)/psi_t</f>
        <v>#NUM!</v>
      </c>
      <c r="R48" s="244">
        <f>EXP(phi_t+psi_t*Tabella34[[#This Row],[x_t_alpha©+plus]])-(Tabella34[[#This Row],[Day]]-D_bk)</f>
        <v>31.86964576053067</v>
      </c>
      <c r="S48" s="244">
        <f>EXP(phi_t+psi_t*Tabella34[[#This Row],[x_t_alpha©-minus]])-(Tabella34[[#This Row],[Day]]-D_bk)</f>
        <v>31.015828721220689</v>
      </c>
      <c r="T48" s="244">
        <f>-psi_t+SQRT(psi_t^2-2*Tabella34[[#This Row],[c_t]])</f>
        <v>4.2567718549094122</v>
      </c>
      <c r="U48" s="244">
        <f>-psi_t-SQRT(psi_t^2-2*Tabella34[[#This Row],[c_t]])</f>
        <v>-4.3072905296067843</v>
      </c>
      <c r="V48" s="244">
        <f>phi_t-LN(alpha*Kt/(Tabella34[[#This Row],[Italy velocity]]*psi_t*SQRTPI(2)))</f>
        <v>-9.1675765486740062</v>
      </c>
      <c r="W48" s="244" t="e">
        <f>Tabella34[[#This Row],[Italy g.r.]]/Italy_gr_at_lockdown</f>
        <v>#DIV/0!</v>
      </c>
      <c r="X48" s="244">
        <f>(ACOSH(SQRT(alpha*Kf*psi_f/(Tabella34[[#This Row],[Italy velocity]]*(1+TANH(phi_f)))))+phi_f)/psi_f-(Tabella34[[#This Row],[Day]]-pf)</f>
        <v>177.60475343779376</v>
      </c>
      <c r="Y48" s="244">
        <f>Tabella34[[#This Row],[Italy h.t.]]/Italy_ht_at_lockdown</f>
        <v>1.4955227934637463</v>
      </c>
      <c r="Z48" s="72">
        <f>-2*$BY$48*TANH($BY$48*(Tabella34[[#This Row],[Day]]-$BY$57)-$BY$47)*Tabella34[[#This Row],[Italy velocity]]</f>
        <v>9.6153983224180948</v>
      </c>
      <c r="AA48" s="72">
        <f>Tabella34[[#This Row],[Italy acc. fit]]/Itali_acc_at_lockdown</f>
        <v>0.27472308772594906</v>
      </c>
      <c r="AB48" s="143">
        <f>Tabella34[[#This Row],[Italy acc. fit]]/y_f_peak</f>
        <v>3.0438210569707714E-3</v>
      </c>
      <c r="AC48" s="143">
        <f>Tabella34[[#This Row],[Italy (fit of selected region + fitted sum of the other regions)]]*NOT(ISBLANK(Tabella34[[#This Row],[Italy rate data]]))</f>
        <v>9.5202697307912185</v>
      </c>
      <c r="AD48" s="143">
        <f>Tabella34[[#This Row],[Italy acc. fit]]*NOT(ISBLANK(Tabella34[[#This Row],[Italy rate data]]))</f>
        <v>9.6153983224180948</v>
      </c>
      <c r="AE48" s="77">
        <f>Tabella34[[#This Row],[Italy acc. fit]]+CIf</f>
        <v>1664.8253672461694</v>
      </c>
      <c r="AF48" s="77">
        <f>MAX(Tabella34[[#This Row],[Italy acc. fit]]-CIf,0)</f>
        <v>0</v>
      </c>
      <c r="AG48" s="141"/>
      <c r="AH48" s="33"/>
      <c r="AI48" s="33"/>
      <c r="AJ48" s="142">
        <f>Tabella34[[#This Row],[selected region rate data]]*NOT(ISBLANK(Tabella34[[#This Row],[selected region rate data]]))</f>
        <v>0</v>
      </c>
      <c r="AK48" s="147">
        <f>Tabella8[[#This Row],[region fit]]</f>
        <v>0</v>
      </c>
      <c r="AL48" s="143">
        <f>(ATANH(alpha*Tabella34[[#This Row],[sel. region cumul. fit]]/Kl-(1-alpha*Tabella34[[#This Row],[sel. region cumul. fit]]/Kl)*TANH(phi_l))+phi_l)/psi_l-(Tabella34[[#This Row],[Day]]-pl)</f>
        <v>35.356483051343162</v>
      </c>
      <c r="AM48" s="142">
        <f>Tabella34[[#This Row],[sel. region cumul. fit]]/Kl</f>
        <v>0</v>
      </c>
      <c r="AN48" s="143">
        <f>Tabella3[[#This Row],[region fit]]</f>
        <v>14.943182515243032</v>
      </c>
      <c r="AO48" s="183" t="e">
        <f>Tabella34[[#This Row],[sel. region velocity]]/Tabella34[[#This Row],[sel. region cumul. fit]]</f>
        <v>#DIV/0!</v>
      </c>
      <c r="AP48" s="236" t="e">
        <f>(LN(Tabella34[[#This Row],[Day]]-pr)-phi_r)/psi_r</f>
        <v>#NUM!</v>
      </c>
      <c r="AQ48" s="244">
        <f>EXP(phi_r+psi_r*Tabella34[[#This Row],[x_r_alpha©+plus]])-(Tabella34[[#This Row],[Day]]-pr)</f>
        <v>38.627731754029263</v>
      </c>
      <c r="AR48" s="244">
        <f>EXP(phi_r+psi_r*Tabella34[[#This Row],[x_r_alpha©-minus]])-(Tabella34[[#This Row],[Day]]-pr)</f>
        <v>38.104413034866973</v>
      </c>
      <c r="AS48" s="244">
        <f>-psi_r+SQRT(psi_r^2-2*Tabella34[[#This Row],[c_r]])</f>
        <v>4.3067980495625342</v>
      </c>
      <c r="AT48" s="244">
        <f>-psi_r-SQRT(psi_r^2-2*Tabella34[[#This Row],[c_r]])</f>
        <v>-4.3470860592288716</v>
      </c>
      <c r="AU48" s="244">
        <f>phi_r-LN(alpha*Kr/(Tabella34[[#This Row],[sel. region velocity]]*psi_r*SQRTPI(2)))</f>
        <v>-9.3610108805836916</v>
      </c>
      <c r="AV48" s="244">
        <f>(ACOSH(SQRT(alpha*Kl*psi_l/(Tabella34[[#This Row],[sel. region velocity]]*(1+TANH(phi_l)))))+phi_l)/psi_l-(Tabella34[[#This Row],[Day]]-pl)</f>
        <v>197.64239043816178</v>
      </c>
      <c r="AW48" s="72">
        <f>-2*$BY$22*TANH($BY$22*(Tabella34[[#This Row],[Day]]-$BY$31)-$BY$21)*Tabella34[[#This Row],[sel. region velocity]]</f>
        <v>0.57066316553635876</v>
      </c>
      <c r="AX48" s="143">
        <f>Tabella34[[#This Row],[sel. region acc. fit]]/y_l_peak</f>
        <v>3.8758715455883314E-3</v>
      </c>
      <c r="AY48" s="143">
        <f>Tabella34[[#This Row],[sel. region acc. fit]]*NOT(ISBLANK(Tabella34[[#This Row],[selected region rate data]]))</f>
        <v>0</v>
      </c>
      <c r="AZ48" s="77">
        <f>Tabella34[[#This Row],[sel. region acc. fit]]+CIl</f>
        <v>69.93564954063676</v>
      </c>
      <c r="BA48" s="77">
        <f>MAX(Tabella34[[#This Row],[sel. region acc. fit]]-CIl,0)</f>
        <v>0</v>
      </c>
      <c r="BB48" s="141"/>
      <c r="BC48" s="33"/>
      <c r="BD48" s="33"/>
      <c r="BE48" s="142">
        <f>Tabella34[[#This Row],[rest of Italy rate data]]*NOT(ISBLANK(Tabella34[[#This Row],[rest of Italy rate data]]))</f>
        <v>0</v>
      </c>
      <c r="BF48" s="188">
        <f>Tabella8[[#This Row],[rest of Italy fit]]</f>
        <v>0</v>
      </c>
      <c r="BG48" s="78">
        <f>(ATANH(alpha*Tabella34[[#This Row],[rest of Italy cumul. fit]]/Ka-(1-alpha*Tabella34[[#This Row],[rest of Italy cumul. fit]]/Ka)*TANH(phi_a))+phi_a)/psi_a-(Tabella34[[#This Row],[Day]]-pa)</f>
        <v>26.882529907638357</v>
      </c>
      <c r="BH48" s="143">
        <f>Tabella34[[#This Row],[rest of Italy cumul. fit]]/Ka</f>
        <v>0</v>
      </c>
      <c r="BI48" s="143">
        <f>Tabella3[[#This Row],[rest of Italy fit]]</f>
        <v>179.84958688427847</v>
      </c>
      <c r="BJ48" s="183" t="e">
        <f>Tabella34[[#This Row],[rest of Italy velocity]]/Tabella34[[#This Row],[rest of Italy cumul. fit]]</f>
        <v>#DIV/0!</v>
      </c>
      <c r="BK48" s="236" t="e">
        <f>(LN(Tabella34[[#This Row],[Day]]-po)-phi_o)/psi_o</f>
        <v>#NUM!</v>
      </c>
      <c r="BL48" s="244">
        <f>EXP(phi_o+psi_o*Tabella34[[#This Row],[x_o_alpha©+plus]])-(Tabella34[[#This Row],[Day]]-po)</f>
        <v>31.398803792225905</v>
      </c>
      <c r="BM48" s="244">
        <f>EXP(phi_o+psi_o*Tabella34[[#This Row],[x_o_alpha©-minus]])-(Tabella34[[#This Row],[Day]]-po)</f>
        <v>30.5084142745138</v>
      </c>
      <c r="BN48" s="244">
        <f>-psi_o+SQRT(psi_o^2-2*Tabella34[[#This Row],[c_o]])</f>
        <v>4.2537238995667934</v>
      </c>
      <c r="BO48" s="244">
        <f>-psi_o-SQRT(psi_o^2-2*Tabella34[[#This Row],[c_o]])</f>
        <v>-4.3050371838344468</v>
      </c>
      <c r="BP48" s="244">
        <f>phi_o-LN(alpha*Ko/(Tabella34[[#This Row],[rest of Italy velocity]]*psi_o*SQRTPI(2)))</f>
        <v>-9.1562197787001551</v>
      </c>
      <c r="BQ48" s="244">
        <f>(ACOSH(SQRT(alpha*Ka*psi_a/(Tabella34[[#This Row],[rest of Italy velocity]]*(1+TANH(phi_a)))))+phi_a)/psi_a-(Tabella34[[#This Row],[Day]]-pa)</f>
        <v>176.59409525851271</v>
      </c>
      <c r="BR48" s="72">
        <f>-2*$BY$35*TANH($BY$35*(Tabella34[[#This Row],[Day]]-$BY$44)-$BY$34)*Tabella34[[#This Row],[rest of Italy velocity]]</f>
        <v>8.9496065652548591</v>
      </c>
      <c r="BS48" s="143">
        <f>Tabella34[[#This Row],[rest of Italy acc. fit]]/y_a_peak</f>
        <v>2.9639872536413089E-3</v>
      </c>
      <c r="BT48" s="142">
        <f>Tabella34[[#This Row],[rest of Italy acc. fit]]*NOT(ISBLANK(Tabella34[[#This Row],[rest of Italy rate data]]))</f>
        <v>0</v>
      </c>
      <c r="BU48" s="77">
        <f>Tabella34[[#This Row],[rest of Italy acc. fit]]+CIa</f>
        <v>1643.0835465190564</v>
      </c>
      <c r="BV48" s="77">
        <f>MAX(Tabella34[[#This Row],[rest of Italy acc. fit]]-CIa,0)</f>
        <v>0</v>
      </c>
      <c r="BX48" s="212" t="s">
        <v>4714</v>
      </c>
      <c r="BY48" s="212">
        <f>psi_f</f>
        <v>2.5259337348686014E-2</v>
      </c>
      <c r="BZ48" s="6"/>
      <c r="CL48" s="52">
        <f>{0;0;1;200;0;FALSE;FALSE;0.075;0;0;FALSE;30}</f>
        <v>0</v>
      </c>
    </row>
    <row r="49" spans="2:79" x14ac:dyDescent="0.3">
      <c r="B49" s="262">
        <v>43872</v>
      </c>
      <c r="C49" s="4">
        <v>42</v>
      </c>
      <c r="D49" s="10">
        <f>Tabella8[[#This Row],[Italy cumulative]]</f>
        <v>0</v>
      </c>
      <c r="E49" s="72">
        <f>(Tabella34[[#This Row],[Italy cumul. data]]-D48)</f>
        <v>0</v>
      </c>
      <c r="F49" s="72">
        <f>Tabella34[[#This Row],[Italy rate data]]-E48</f>
        <v>0</v>
      </c>
      <c r="G49" s="142">
        <f>Tabella34[[#This Row],[Italy rate data]]*NOT(ISBLANK(Tabella34[[#This Row],[Italy rate data]]))</f>
        <v>0</v>
      </c>
      <c r="H49" s="143">
        <f>Tabella8[[#This Row],[Italy fit]]</f>
        <v>0</v>
      </c>
      <c r="I49" s="143">
        <f>(ATANH(alpha*Tabella34[[#This Row],[Italy cumul. Fit]]/Kf-(1-alpha*Tabella34[[#This Row],[Italy cumul. Fit]]/Kf)*TANH(phi_f))+phi_f)/psi_f-(Tabella34[[#This Row],[Day]]-pf)</f>
        <v>26.480394693650979</v>
      </c>
      <c r="J49" s="143">
        <f>Tabella34[[#This Row],[Italy d.t.]]/Italy_dt_at_lockdown</f>
        <v>11.666652660425358</v>
      </c>
      <c r="K49" s="143">
        <f>Tabella34[[#This Row],[Italy cumul. Fit]]/Kf</f>
        <v>0</v>
      </c>
      <c r="L49" s="146">
        <f>Tabella34[[#This Row],[sel. region acc. fit]]+Tabella34[[#This Row],[rest of Italy acc. fit]]</f>
        <v>9.9821976168643758</v>
      </c>
      <c r="M49" s="143">
        <f>Tabella34[[#This Row],[Italy (fit of selected region + fitted sum of the other regions)]]/(y_l_peak+y_a_peak)</f>
        <v>3.1522564769679261E-3</v>
      </c>
      <c r="N49" s="143">
        <f>Tabella3[[#This Row],[Italy remov. rate fit]]</f>
        <v>206.39223610799851</v>
      </c>
      <c r="O49" s="143" t="e">
        <f>Kt*EXP(-0.5*Tabella34[[#This Row],[x_t]]^2)/(psi_t*SQRTPI(2)*(Tabella34[[#This Row],[Day]]-D_bk))</f>
        <v>#NUM!</v>
      </c>
      <c r="P49" s="183" t="e">
        <f>Tabella34[[#This Row],[Italy velocity]]/Tabella34[[#This Row],[Italy cumul. Fit]]</f>
        <v>#DIV/0!</v>
      </c>
      <c r="Q49" s="244" t="e">
        <f>(LN(Tabella34[[#This Row],[Day]]-D_bk)-phi_t)/psi_t</f>
        <v>#NUM!</v>
      </c>
      <c r="R49" s="244">
        <f>EXP(phi_t+psi_t*Tabella34[[#This Row],[x_t_alpha©+plus]])-(Tabella34[[#This Row],[Day]]-D_bk)</f>
        <v>30.86837862102773</v>
      </c>
      <c r="S49" s="244">
        <f>EXP(phi_t+psi_t*Tabella34[[#This Row],[x_t_alpha©-minus]])-(Tabella34[[#This Row],[Day]]-D_bk)</f>
        <v>30.016849665734277</v>
      </c>
      <c r="T49" s="244">
        <f>-psi_t+SQRT(psi_t^2-2*Tabella34[[#This Row],[c_t]])</f>
        <v>4.2453411042948392</v>
      </c>
      <c r="U49" s="244">
        <f>-psi_t-SQRT(psi_t^2-2*Tabella34[[#This Row],[c_t]])</f>
        <v>-4.2958597789922113</v>
      </c>
      <c r="V49" s="244">
        <f>phi_t-LN(alpha*Kt/(Tabella34[[#This Row],[Italy velocity]]*psi_t*SQRTPI(2)))</f>
        <v>-9.118695049021289</v>
      </c>
      <c r="W49" s="244" t="e">
        <f>Tabella34[[#This Row],[Italy g.r.]]/Italy_gr_at_lockdown</f>
        <v>#DIV/0!</v>
      </c>
      <c r="X49" s="244">
        <f>(ACOSH(SQRT(alpha*Kf*psi_f/(Tabella34[[#This Row],[Italy velocity]]*(1+TANH(phi_f)))))+phi_f)/psi_f-(Tabella34[[#This Row],[Day]]-pf)</f>
        <v>175.62135744608457</v>
      </c>
      <c r="Y49" s="244">
        <f>Tabella34[[#This Row],[Italy h.t.]]/Italy_ht_at_lockdown</f>
        <v>1.4788215855475706</v>
      </c>
      <c r="Z49" s="72">
        <f>-2*$BY$48*TANH($BY$48*(Tabella34[[#This Row],[Day]]-$BY$57)-$BY$47)*Tabella34[[#This Row],[Italy velocity]]</f>
        <v>10.080296805681844</v>
      </c>
      <c r="AA49" s="72">
        <f>Tabella34[[#This Row],[Italy acc. fit]]/Itali_acc_at_lockdown</f>
        <v>0.28800577685839562</v>
      </c>
      <c r="AB49" s="143">
        <f>Tabella34[[#This Row],[Italy acc. fit]]/y_f_peak</f>
        <v>3.190987897621852E-3</v>
      </c>
      <c r="AC49" s="143">
        <f>Tabella34[[#This Row],[Italy (fit of selected region + fitted sum of the other regions)]]*NOT(ISBLANK(Tabella34[[#This Row],[Italy rate data]]))</f>
        <v>9.9821976168643758</v>
      </c>
      <c r="AD49" s="143">
        <f>Tabella34[[#This Row],[Italy acc. fit]]*NOT(ISBLANK(Tabella34[[#This Row],[Italy rate data]]))</f>
        <v>10.080296805681844</v>
      </c>
      <c r="AE49" s="77">
        <f>Tabella34[[#This Row],[Italy acc. fit]]+CIf</f>
        <v>1665.2902657294333</v>
      </c>
      <c r="AF49" s="77">
        <f>MAX(Tabella34[[#This Row],[Italy acc. fit]]-CIf,0)</f>
        <v>0</v>
      </c>
      <c r="AG49" s="141"/>
      <c r="AH49" s="33"/>
      <c r="AI49" s="33"/>
      <c r="AJ49" s="142">
        <f>Tabella34[[#This Row],[selected region rate data]]*NOT(ISBLANK(Tabella34[[#This Row],[selected region rate data]]))</f>
        <v>0</v>
      </c>
      <c r="AK49" s="147">
        <f>Tabella8[[#This Row],[region fit]]</f>
        <v>0</v>
      </c>
      <c r="AL49" s="143">
        <f>(ATANH(alpha*Tabella34[[#This Row],[sel. region cumul. fit]]/Kl-(1-alpha*Tabella34[[#This Row],[sel. region cumul. fit]]/Kl)*TANH(phi_l))+phi_l)/psi_l-(Tabella34[[#This Row],[Day]]-pl)</f>
        <v>34.356483051343162</v>
      </c>
      <c r="AM49" s="142">
        <f>Tabella34[[#This Row],[sel. region cumul. fit]]/Kl</f>
        <v>0</v>
      </c>
      <c r="AN49" s="143">
        <f>Tabella3[[#This Row],[region fit]]</f>
        <v>15.524234642740636</v>
      </c>
      <c r="AO49" s="183" t="e">
        <f>Tabella34[[#This Row],[sel. region velocity]]/Tabella34[[#This Row],[sel. region cumul. fit]]</f>
        <v>#DIV/0!</v>
      </c>
      <c r="AP49" s="236" t="e">
        <f>(LN(Tabella34[[#This Row],[Day]]-pr)-phi_r)/psi_r</f>
        <v>#NUM!</v>
      </c>
      <c r="AQ49" s="244">
        <f>EXP(phi_r+psi_r*Tabella34[[#This Row],[x_r_alpha©+plus]])-(Tabella34[[#This Row],[Day]]-pr)</f>
        <v>37.627150260442228</v>
      </c>
      <c r="AR49" s="244">
        <f>EXP(phi_r+psi_r*Tabella34[[#This Row],[x_r_alpha©-minus]])-(Tabella34[[#This Row],[Day]]-pr)</f>
        <v>37.104901590736738</v>
      </c>
      <c r="AS49" s="244">
        <f>-psi_r+SQRT(psi_r^2-2*Tabella34[[#This Row],[c_r]])</f>
        <v>4.2979728577818319</v>
      </c>
      <c r="AT49" s="244">
        <f>-psi_r-SQRT(psi_r^2-2*Tabella34[[#This Row],[c_r]])</f>
        <v>-4.3382608674481693</v>
      </c>
      <c r="AU49" s="244">
        <f>phi_r-LN(alpha*Kr/(Tabella34[[#This Row],[sel. region velocity]]*psi_r*SQRTPI(2)))</f>
        <v>-9.3228637291346494</v>
      </c>
      <c r="AV49" s="244">
        <f>(ACOSH(SQRT(alpha*Kl*psi_l/(Tabella34[[#This Row],[sel. region velocity]]*(1+TANH(phi_l)))))+phi_l)/psi_l-(Tabella34[[#This Row],[Day]]-pl)</f>
        <v>195.6700473374562</v>
      </c>
      <c r="AW49" s="72">
        <f>-2*$BY$22*TANH($BY$22*(Tabella34[[#This Row],[Day]]-$BY$31)-$BY$21)*Tabella34[[#This Row],[sel. region velocity]]</f>
        <v>0.59154948724147405</v>
      </c>
      <c r="AX49" s="143">
        <f>Tabella34[[#This Row],[sel. region acc. fit]]/y_l_peak</f>
        <v>4.0177287827078394E-3</v>
      </c>
      <c r="AY49" s="143">
        <f>Tabella34[[#This Row],[sel. region acc. fit]]*NOT(ISBLANK(Tabella34[[#This Row],[selected region rate data]]))</f>
        <v>0</v>
      </c>
      <c r="AZ49" s="77">
        <f>Tabella34[[#This Row],[sel. region acc. fit]]+CIl</f>
        <v>69.95653586234188</v>
      </c>
      <c r="BA49" s="77">
        <f>MAX(Tabella34[[#This Row],[sel. region acc. fit]]-CIl,0)</f>
        <v>0</v>
      </c>
      <c r="BB49" s="141"/>
      <c r="BC49" s="33"/>
      <c r="BD49" s="33"/>
      <c r="BE49" s="142">
        <f>Tabella34[[#This Row],[rest of Italy rate data]]*NOT(ISBLANK(Tabella34[[#This Row],[rest of Italy rate data]]))</f>
        <v>0</v>
      </c>
      <c r="BF49" s="188">
        <f>Tabella8[[#This Row],[rest of Italy fit]]</f>
        <v>0</v>
      </c>
      <c r="BG49" s="78">
        <f>(ATANH(alpha*Tabella34[[#This Row],[rest of Italy cumul. fit]]/Ka-(1-alpha*Tabella34[[#This Row],[rest of Italy cumul. fit]]/Ka)*TANH(phi_a))+phi_a)/psi_a-(Tabella34[[#This Row],[Day]]-pa)</f>
        <v>25.882529907638357</v>
      </c>
      <c r="BH49" s="143">
        <f>Tabella34[[#This Row],[rest of Italy cumul. fit]]/Ka</f>
        <v>0</v>
      </c>
      <c r="BI49" s="143">
        <f>Tabella3[[#This Row],[rest of Italy fit]]</f>
        <v>189.01807113420742</v>
      </c>
      <c r="BJ49" s="183" t="e">
        <f>Tabella34[[#This Row],[rest of Italy velocity]]/Tabella34[[#This Row],[rest of Italy cumul. fit]]</f>
        <v>#DIV/0!</v>
      </c>
      <c r="BK49" s="236" t="e">
        <f>(LN(Tabella34[[#This Row],[Day]]-po)-phi_o)/psi_o</f>
        <v>#NUM!</v>
      </c>
      <c r="BL49" s="244">
        <f>EXP(phi_o+psi_o*Tabella34[[#This Row],[x_o_alpha©+plus]])-(Tabella34[[#This Row],[Day]]-po)</f>
        <v>30.397455849118806</v>
      </c>
      <c r="BM49" s="244">
        <f>EXP(phi_o+psi_o*Tabella34[[#This Row],[x_o_alpha©-minus]])-(Tabella34[[#This Row],[Day]]-po)</f>
        <v>29.509496791902304</v>
      </c>
      <c r="BN49" s="244">
        <f>-psi_o+SQRT(psi_o^2-2*Tabella34[[#This Row],[c_o]])</f>
        <v>4.2420891700074863</v>
      </c>
      <c r="BO49" s="244">
        <f>-psi_o-SQRT(psi_o^2-2*Tabella34[[#This Row],[c_o]])</f>
        <v>-4.2934024542751397</v>
      </c>
      <c r="BP49" s="244">
        <f>phi_o-LN(alpha*Ko/(Tabella34[[#This Row],[rest of Italy velocity]]*psi_o*SQRTPI(2)))</f>
        <v>-9.1064980268820648</v>
      </c>
      <c r="BQ49" s="244">
        <f>(ACOSH(SQRT(alpha*Ka*psi_a/(Tabella34[[#This Row],[rest of Italy velocity]]*(1+TANH(phi_a)))))+phi_a)/psi_a-(Tabella34[[#This Row],[Day]]-pa)</f>
        <v>174.60996971167009</v>
      </c>
      <c r="BR49" s="72">
        <f>-2*$BY$35*TANH($BY$35*(Tabella34[[#This Row],[Day]]-$BY$44)-$BY$34)*Tabella34[[#This Row],[rest of Italy velocity]]</f>
        <v>9.3906481296229014</v>
      </c>
      <c r="BS49" s="143">
        <f>Tabella34[[#This Row],[rest of Italy acc. fit]]/y_a_peak</f>
        <v>3.1100541858110442E-3</v>
      </c>
      <c r="BT49" s="142">
        <f>Tabella34[[#This Row],[rest of Italy acc. fit]]*NOT(ISBLANK(Tabella34[[#This Row],[rest of Italy rate data]]))</f>
        <v>0</v>
      </c>
      <c r="BU49" s="77">
        <f>Tabella34[[#This Row],[rest of Italy acc. fit]]+CIa</f>
        <v>1643.5245880834243</v>
      </c>
      <c r="BV49" s="77">
        <f>MAX(Tabella34[[#This Row],[rest of Italy acc. fit]]-CIa,0)</f>
        <v>0</v>
      </c>
      <c r="BX49" s="213" t="s">
        <v>1</v>
      </c>
      <c r="BY49" s="214">
        <f>AVERAGE(Tabella34[Italy rate data])</f>
        <v>1459.5820895522388</v>
      </c>
    </row>
    <row r="50" spans="2:79" x14ac:dyDescent="0.3">
      <c r="B50" s="262">
        <v>43873</v>
      </c>
      <c r="C50" s="4">
        <v>43</v>
      </c>
      <c r="D50" s="10">
        <f>Tabella8[[#This Row],[Italy cumulative]]</f>
        <v>0</v>
      </c>
      <c r="E50" s="72">
        <f>(Tabella34[[#This Row],[Italy cumul. data]]-D49)</f>
        <v>0</v>
      </c>
      <c r="F50" s="72">
        <f>Tabella34[[#This Row],[Italy rate data]]-E49</f>
        <v>0</v>
      </c>
      <c r="G50" s="142">
        <f>Tabella34[[#This Row],[Italy rate data]]*NOT(ISBLANK(Tabella34[[#This Row],[Italy rate data]]))</f>
        <v>0</v>
      </c>
      <c r="H50" s="143">
        <f>Tabella8[[#This Row],[Italy fit]]</f>
        <v>0</v>
      </c>
      <c r="I50" s="143">
        <f>(ATANH(alpha*Tabella34[[#This Row],[Italy cumul. Fit]]/Kf-(1-alpha*Tabella34[[#This Row],[Italy cumul. Fit]]/Kf)*TANH(phi_f))+phi_f)/psi_f-(Tabella34[[#This Row],[Day]]-pf)</f>
        <v>25.480394693650979</v>
      </c>
      <c r="J50" s="143">
        <f>Tabella34[[#This Row],[Italy d.t.]]/Italy_dt_at_lockdown</f>
        <v>11.226075667695618</v>
      </c>
      <c r="K50" s="143">
        <f>Tabella34[[#This Row],[Italy cumul. Fit]]/Kf</f>
        <v>0</v>
      </c>
      <c r="L50" s="146">
        <f>Tabella34[[#This Row],[sel. region acc. fit]]+Tabella34[[#This Row],[rest of Italy acc. fit]]</f>
        <v>10.464865216920396</v>
      </c>
      <c r="M50" s="143">
        <f>Tabella34[[#This Row],[Italy (fit of selected region + fitted sum of the other regions)]]/(y_l_peak+y_a_peak)</f>
        <v>3.3046770287238516E-3</v>
      </c>
      <c r="N50" s="143">
        <f>Tabella3[[#This Row],[Italy remov. rate fit]]</f>
        <v>216.71357028200694</v>
      </c>
      <c r="O50" s="143" t="e">
        <f>Kt*EXP(-0.5*Tabella34[[#This Row],[x_t]]^2)/(psi_t*SQRTPI(2)*(Tabella34[[#This Row],[Day]]-D_bk))</f>
        <v>#NUM!</v>
      </c>
      <c r="P50" s="183" t="e">
        <f>Tabella34[[#This Row],[Italy velocity]]/Tabella34[[#This Row],[Italy cumul. Fit]]</f>
        <v>#DIV/0!</v>
      </c>
      <c r="Q50" s="244" t="e">
        <f>(LN(Tabella34[[#This Row],[Day]]-D_bk)-phi_t)/psi_t</f>
        <v>#NUM!</v>
      </c>
      <c r="R50" s="244">
        <f>EXP(phi_t+psi_t*Tabella34[[#This Row],[x_t_alpha©+plus]])-(Tabella34[[#This Row],[Day]]-D_bk)</f>
        <v>29.867110617459073</v>
      </c>
      <c r="S50" s="244">
        <f>EXP(phi_t+psi_t*Tabella34[[#This Row],[x_t_alpha©-minus]])-(Tabella34[[#This Row],[Day]]-D_bk)</f>
        <v>29.0178718968527</v>
      </c>
      <c r="T50" s="244">
        <f>-psi_t+SQRT(psi_t^2-2*Tabella34[[#This Row],[c_t]])</f>
        <v>4.2338992542533784</v>
      </c>
      <c r="U50" s="244">
        <f>-psi_t-SQRT(psi_t^2-2*Tabella34[[#This Row],[c_t]])</f>
        <v>-4.2844179289507505</v>
      </c>
      <c r="V50" s="244">
        <f>phi_t-LN(alpha*Kt/(Tabella34[[#This Row],[Italy velocity]]*psi_t*SQRTPI(2)))</f>
        <v>-9.0698969371471936</v>
      </c>
      <c r="W50" s="244" t="e">
        <f>Tabella34[[#This Row],[Italy g.r.]]/Italy_gr_at_lockdown</f>
        <v>#DIV/0!</v>
      </c>
      <c r="X50" s="244">
        <f>(ACOSH(SQRT(alpha*Kf*psi_f/(Tabella34[[#This Row],[Italy velocity]]*(1+TANH(phi_f)))))+phi_f)/psi_f-(Tabella34[[#This Row],[Day]]-pf)</f>
        <v>173.63882895559539</v>
      </c>
      <c r="Y50" s="244">
        <f>Tabella34[[#This Row],[Italy h.t.]]/Italy_ht_at_lockdown</f>
        <v>1.4621276824350262</v>
      </c>
      <c r="Z50" s="72">
        <f>-2*$BY$48*TANH($BY$48*(Tabella34[[#This Row],[Day]]-$BY$57)-$BY$47)*Tabella34[[#This Row],[Italy velocity]]</f>
        <v>10.565879742242208</v>
      </c>
      <c r="AA50" s="72">
        <f>Tabella34[[#This Row],[Italy acc. fit]]/Itali_acc_at_lockdown</f>
        <v>0.30187944482365042</v>
      </c>
      <c r="AB50" s="143">
        <f>Tabella34[[#This Row],[Italy acc. fit]]/y_f_peak</f>
        <v>3.3447025454864288E-3</v>
      </c>
      <c r="AC50" s="143">
        <f>Tabella34[[#This Row],[Italy (fit of selected region + fitted sum of the other regions)]]*NOT(ISBLANK(Tabella34[[#This Row],[Italy rate data]]))</f>
        <v>10.464865216920396</v>
      </c>
      <c r="AD50" s="143">
        <f>Tabella34[[#This Row],[Italy acc. fit]]*NOT(ISBLANK(Tabella34[[#This Row],[Italy rate data]]))</f>
        <v>10.565879742242208</v>
      </c>
      <c r="AE50" s="77">
        <f>Tabella34[[#This Row],[Italy acc. fit]]+CIf</f>
        <v>1665.7758486659936</v>
      </c>
      <c r="AF50" s="77">
        <f>MAX(Tabella34[[#This Row],[Italy acc. fit]]-CIf,0)</f>
        <v>0</v>
      </c>
      <c r="AG50" s="141"/>
      <c r="AH50" s="33"/>
      <c r="AI50" s="33"/>
      <c r="AJ50" s="142">
        <f>Tabella34[[#This Row],[selected region rate data]]*NOT(ISBLANK(Tabella34[[#This Row],[selected region rate data]]))</f>
        <v>0</v>
      </c>
      <c r="AK50" s="147">
        <f>Tabella8[[#This Row],[region fit]]</f>
        <v>0</v>
      </c>
      <c r="AL50" s="143">
        <f>(ATANH(alpha*Tabella34[[#This Row],[sel. region cumul. fit]]/Kl-(1-alpha*Tabella34[[#This Row],[sel. region cumul. fit]]/Kl)*TANH(phi_l))+phi_l)/psi_l-(Tabella34[[#This Row],[Day]]-pl)</f>
        <v>33.356483051343162</v>
      </c>
      <c r="AM50" s="142">
        <f>Tabella34[[#This Row],[sel. region cumul. fit]]/Kl</f>
        <v>0</v>
      </c>
      <c r="AN50" s="143">
        <f>Tabella3[[#This Row],[region fit]]</f>
        <v>16.126500296043613</v>
      </c>
      <c r="AO50" s="183" t="e">
        <f>Tabella34[[#This Row],[sel. region velocity]]/Tabella34[[#This Row],[sel. region cumul. fit]]</f>
        <v>#DIV/0!</v>
      </c>
      <c r="AP50" s="236" t="e">
        <f>(LN(Tabella34[[#This Row],[Day]]-pr)-phi_r)/psi_r</f>
        <v>#NUM!</v>
      </c>
      <c r="AQ50" s="244">
        <f>EXP(phi_r+psi_r*Tabella34[[#This Row],[x_r_alpha©+plus]])-(Tabella34[[#This Row],[Day]]-pr)</f>
        <v>36.626568987858718</v>
      </c>
      <c r="AR50" s="244">
        <f>EXP(phi_r+psi_r*Tabella34[[#This Row],[x_r_alpha©-minus]])-(Tabella34[[#This Row],[Day]]-pr)</f>
        <v>36.10539013457808</v>
      </c>
      <c r="AS50" s="244">
        <f>-psi_r+SQRT(psi_r^2-2*Tabella34[[#This Row],[c_r]])</f>
        <v>4.2891494518395863</v>
      </c>
      <c r="AT50" s="244">
        <f>-psi_r-SQRT(psi_r^2-2*Tabella34[[#This Row],[c_r]])</f>
        <v>-4.3294374615059237</v>
      </c>
      <c r="AU50" s="244">
        <f>phi_r-LN(alpha*Kr/(Tabella34[[#This Row],[sel. region velocity]]*psi_r*SQRTPI(2)))</f>
        <v>-9.2848021573959514</v>
      </c>
      <c r="AV50" s="244">
        <f>(ACOSH(SQRT(alpha*Kl*psi_l/(Tabella34[[#This Row],[sel. region velocity]]*(1+TANH(phi_l)))))+phi_l)/psi_l-(Tabella34[[#This Row],[Day]]-pl)</f>
        <v>193.69885625800708</v>
      </c>
      <c r="AW50" s="72">
        <f>-2*$BY$22*TANH($BY$22*(Tabella34[[#This Row],[Day]]-$BY$31)-$BY$21)*Tabella34[[#This Row],[sel. region velocity]]</f>
        <v>0.61309221067158215</v>
      </c>
      <c r="AX50" s="143">
        <f>Tabella34[[#This Row],[sel. region acc. fit]]/y_l_peak</f>
        <v>4.1640442167498416E-3</v>
      </c>
      <c r="AY50" s="143">
        <f>Tabella34[[#This Row],[sel. region acc. fit]]*NOT(ISBLANK(Tabella34[[#This Row],[selected region rate data]]))</f>
        <v>0</v>
      </c>
      <c r="AZ50" s="77">
        <f>Tabella34[[#This Row],[sel. region acc. fit]]+CIl</f>
        <v>69.978078585771982</v>
      </c>
      <c r="BA50" s="77">
        <f>MAX(Tabella34[[#This Row],[sel. region acc. fit]]-CIl,0)</f>
        <v>0</v>
      </c>
      <c r="BB50" s="141"/>
      <c r="BC50" s="33"/>
      <c r="BD50" s="33"/>
      <c r="BE50" s="142">
        <f>Tabella34[[#This Row],[rest of Italy rate data]]*NOT(ISBLANK(Tabella34[[#This Row],[rest of Italy rate data]]))</f>
        <v>0</v>
      </c>
      <c r="BF50" s="188">
        <f>Tabella8[[#This Row],[rest of Italy fit]]</f>
        <v>0</v>
      </c>
      <c r="BG50" s="78">
        <f>(ATANH(alpha*Tabella34[[#This Row],[rest of Italy cumul. fit]]/Ka-(1-alpha*Tabella34[[#This Row],[rest of Italy cumul. fit]]/Ka)*TANH(phi_a))+phi_a)/psi_a-(Tabella34[[#This Row],[Day]]-pa)</f>
        <v>24.882529907638357</v>
      </c>
      <c r="BH50" s="143">
        <f>Tabella34[[#This Row],[rest of Italy cumul. fit]]/Ka</f>
        <v>0</v>
      </c>
      <c r="BI50" s="143">
        <f>Tabella3[[#This Row],[rest of Italy fit]]</f>
        <v>198.63757747319795</v>
      </c>
      <c r="BJ50" s="183" t="e">
        <f>Tabella34[[#This Row],[rest of Italy velocity]]/Tabella34[[#This Row],[rest of Italy cumul. fit]]</f>
        <v>#DIV/0!</v>
      </c>
      <c r="BK50" s="236" t="e">
        <f>(LN(Tabella34[[#This Row],[Day]]-po)-phi_o)/psi_o</f>
        <v>#NUM!</v>
      </c>
      <c r="BL50" s="244">
        <f>EXP(phi_o+psi_o*Tabella34[[#This Row],[x_o_alpha©+plus]])-(Tabella34[[#This Row],[Day]]-po)</f>
        <v>29.396106868009387</v>
      </c>
      <c r="BM50" s="244">
        <f>EXP(phi_o+psi_o*Tabella34[[#This Row],[x_o_alpha©-minus]])-(Tabella34[[#This Row],[Day]]-po)</f>
        <v>28.510580790215467</v>
      </c>
      <c r="BN50" s="244">
        <f>-psi_o+SQRT(psi_o^2-2*Tabella34[[#This Row],[c_o]])</f>
        <v>4.2304420028505048</v>
      </c>
      <c r="BO50" s="244">
        <f>-psi_o-SQRT(psi_o^2-2*Tabella34[[#This Row],[c_o]])</f>
        <v>-4.2817552871181581</v>
      </c>
      <c r="BP50" s="244">
        <f>phi_o-LN(alpha*Ko/(Tabella34[[#This Row],[rest of Italy velocity]]*psi_o*SQRTPI(2)))</f>
        <v>-9.0568587062759409</v>
      </c>
      <c r="BQ50" s="244">
        <f>(ACOSH(SQRT(alpha*Ka*psi_a/(Tabella34[[#This Row],[rest of Italy velocity]]*(1+TANH(phi_a)))))+phi_a)/psi_a-(Tabella34[[#This Row],[Day]]-pa)</f>
        <v>172.62668664791403</v>
      </c>
      <c r="BR50" s="72">
        <f>-2*$BY$35*TANH($BY$35*(Tabella34[[#This Row],[Day]]-$BY$44)-$BY$34)*Tabella34[[#This Row],[rest of Italy velocity]]</f>
        <v>9.8517730062488145</v>
      </c>
      <c r="BS50" s="143">
        <f>Tabella34[[#This Row],[rest of Italy acc. fit]]/y_a_peak</f>
        <v>3.2627724362380901E-3</v>
      </c>
      <c r="BT50" s="142">
        <f>Tabella34[[#This Row],[rest of Italy acc. fit]]*NOT(ISBLANK(Tabella34[[#This Row],[rest of Italy rate data]]))</f>
        <v>0</v>
      </c>
      <c r="BU50" s="77">
        <f>Tabella34[[#This Row],[rest of Italy acc. fit]]+CIa</f>
        <v>1643.9857129600503</v>
      </c>
      <c r="BV50" s="77">
        <f>MAX(Tabella34[[#This Row],[rest of Italy acc. fit]]-CIa,0)</f>
        <v>0</v>
      </c>
      <c r="BX50" s="213" t="s">
        <v>2</v>
      </c>
      <c r="BY50" s="215">
        <f>COUNT(Tabella34[Italy rate data])-COUNT(BY46:BY48)</f>
        <v>131</v>
      </c>
      <c r="BZ50" s="6"/>
      <c r="CA50" s="6"/>
    </row>
    <row r="51" spans="2:79" x14ac:dyDescent="0.3">
      <c r="B51" s="262">
        <v>43874</v>
      </c>
      <c r="C51" s="4">
        <v>44</v>
      </c>
      <c r="D51" s="10">
        <f>Tabella8[[#This Row],[Italy cumulative]]</f>
        <v>0</v>
      </c>
      <c r="E51" s="72">
        <f>(Tabella34[[#This Row],[Italy cumul. data]]-D50)</f>
        <v>0</v>
      </c>
      <c r="F51" s="72">
        <f>Tabella34[[#This Row],[Italy rate data]]-E50</f>
        <v>0</v>
      </c>
      <c r="G51" s="142">
        <f>Tabella34[[#This Row],[Italy rate data]]*NOT(ISBLANK(Tabella34[[#This Row],[Italy rate data]]))</f>
        <v>0</v>
      </c>
      <c r="H51" s="143">
        <f>Tabella8[[#This Row],[Italy fit]]</f>
        <v>0</v>
      </c>
      <c r="I51" s="143">
        <f>(ATANH(alpha*Tabella34[[#This Row],[Italy cumul. Fit]]/Kf-(1-alpha*Tabella34[[#This Row],[Italy cumul. Fit]]/Kf)*TANH(phi_f))+phi_f)/psi_f-(Tabella34[[#This Row],[Day]]-pf)</f>
        <v>24.480394693650979</v>
      </c>
      <c r="J51" s="143">
        <f>Tabella34[[#This Row],[Italy d.t.]]/Italy_dt_at_lockdown</f>
        <v>10.785498674965876</v>
      </c>
      <c r="K51" s="143">
        <f>Tabella34[[#This Row],[Italy cumul. Fit]]/Kf</f>
        <v>0</v>
      </c>
      <c r="L51" s="146">
        <f>Tabella34[[#This Row],[sel. region acc. fit]]+Tabella34[[#This Row],[rest of Italy acc. fit]]</f>
        <v>10.969022258248472</v>
      </c>
      <c r="M51" s="143">
        <f>Tabella34[[#This Row],[Italy (fit of selected region + fitted sum of the other regions)]]/(y_l_peak+y_a_peak)</f>
        <v>3.4638836844056117E-3</v>
      </c>
      <c r="N51" s="143">
        <f>Tabella3[[#This Row],[Italy remov. rate fit]]</f>
        <v>227.53113430610995</v>
      </c>
      <c r="O51" s="143" t="e">
        <f>Kt*EXP(-0.5*Tabella34[[#This Row],[x_t]]^2)/(psi_t*SQRTPI(2)*(Tabella34[[#This Row],[Day]]-D_bk))</f>
        <v>#NUM!</v>
      </c>
      <c r="P51" s="183" t="e">
        <f>Tabella34[[#This Row],[Italy velocity]]/Tabella34[[#This Row],[Italy cumul. Fit]]</f>
        <v>#DIV/0!</v>
      </c>
      <c r="Q51" s="244" t="e">
        <f>(LN(Tabella34[[#This Row],[Day]]-D_bk)-phi_t)/psi_t</f>
        <v>#NUM!</v>
      </c>
      <c r="R51" s="244">
        <f>EXP(phi_t+psi_t*Tabella34[[#This Row],[x_t_alpha©+plus]])-(Tabella34[[#This Row],[Day]]-D_bk)</f>
        <v>28.865841849596432</v>
      </c>
      <c r="S51" s="244">
        <f>EXP(phi_t+psi_t*Tabella34[[#This Row],[x_t_alpha©-minus]])-(Tabella34[[#This Row],[Day]]-D_bk)</f>
        <v>28.018895335793051</v>
      </c>
      <c r="T51" s="244">
        <f>-psi_t+SQRT(psi_t^2-2*Tabella34[[#This Row],[c_t]])</f>
        <v>4.2224471967958053</v>
      </c>
      <c r="U51" s="244">
        <f>-psi_t-SQRT(psi_t^2-2*Tabella34[[#This Row],[c_t]])</f>
        <v>-4.2729658714931773</v>
      </c>
      <c r="V51" s="244">
        <f>phi_t-LN(alpha*Kt/(Tabella34[[#This Row],[Italy velocity]]*psi_t*SQRTPI(2)))</f>
        <v>-9.0211863830452561</v>
      </c>
      <c r="W51" s="244" t="e">
        <f>Tabella34[[#This Row],[Italy g.r.]]/Italy_gr_at_lockdown</f>
        <v>#DIV/0!</v>
      </c>
      <c r="X51" s="244">
        <f>(ACOSH(SQRT(alpha*Kf*psi_f/(Tabella34[[#This Row],[Italy velocity]]*(1+TANH(phi_f)))))+phi_f)/psi_f-(Tabella34[[#This Row],[Day]]-pf)</f>
        <v>171.65721366139809</v>
      </c>
      <c r="Y51" s="244">
        <f>Tabella34[[#This Row],[Italy h.t.]]/Italy_ht_at_lockdown</f>
        <v>1.4454414689019723</v>
      </c>
      <c r="Z51" s="72">
        <f>-2*$BY$48*TANH($BY$48*(Tabella34[[#This Row],[Day]]-$BY$57)-$BY$47)*Tabella34[[#This Row],[Italy velocity]]</f>
        <v>11.072878995454516</v>
      </c>
      <c r="AA51" s="72">
        <f>Tabella34[[#This Row],[Italy acc. fit]]/Itali_acc_at_lockdown</f>
        <v>0.31636500180702543</v>
      </c>
      <c r="AB51" s="143">
        <f>Tabella34[[#This Row],[Italy acc. fit]]/y_f_peak</f>
        <v>3.5051966769877839E-3</v>
      </c>
      <c r="AC51" s="143">
        <f>Tabella34[[#This Row],[Italy (fit of selected region + fitted sum of the other regions)]]*NOT(ISBLANK(Tabella34[[#This Row],[Italy rate data]]))</f>
        <v>10.969022258248472</v>
      </c>
      <c r="AD51" s="143">
        <f>Tabella34[[#This Row],[Italy acc. fit]]*NOT(ISBLANK(Tabella34[[#This Row],[Italy rate data]]))</f>
        <v>11.072878995454516</v>
      </c>
      <c r="AE51" s="77">
        <f>Tabella34[[#This Row],[Italy acc. fit]]+CIf</f>
        <v>1666.2828479192058</v>
      </c>
      <c r="AF51" s="77">
        <f>MAX(Tabella34[[#This Row],[Italy acc. fit]]-CIf,0)</f>
        <v>0</v>
      </c>
      <c r="AG51" s="141"/>
      <c r="AH51" s="33"/>
      <c r="AI51" s="33"/>
      <c r="AJ51" s="142">
        <f>Tabella34[[#This Row],[selected region rate data]]*NOT(ISBLANK(Tabella34[[#This Row],[selected region rate data]]))</f>
        <v>0</v>
      </c>
      <c r="AK51" s="147">
        <f>Tabella8[[#This Row],[region fit]]</f>
        <v>0</v>
      </c>
      <c r="AL51" s="143">
        <f>(ATANH(alpha*Tabella34[[#This Row],[sel. region cumul. fit]]/Kl-(1-alpha*Tabella34[[#This Row],[sel. region cumul. fit]]/Kl)*TANH(phi_l))+phi_l)/psi_l-(Tabella34[[#This Row],[Day]]-pl)</f>
        <v>32.356483051343162</v>
      </c>
      <c r="AM51" s="142">
        <f>Tabella34[[#This Row],[sel. region cumul. fit]]/Kl</f>
        <v>0</v>
      </c>
      <c r="AN51" s="143">
        <f>Tabella3[[#This Row],[region fit]]</f>
        <v>16.750641767081841</v>
      </c>
      <c r="AO51" s="183" t="e">
        <f>Tabella34[[#This Row],[sel. region velocity]]/Tabella34[[#This Row],[sel. region cumul. fit]]</f>
        <v>#DIV/0!</v>
      </c>
      <c r="AP51" s="236" t="e">
        <f>(LN(Tabella34[[#This Row],[Day]]-pr)-phi_r)/psi_r</f>
        <v>#NUM!</v>
      </c>
      <c r="AQ51" s="244">
        <f>EXP(phi_r+psi_r*Tabella34[[#This Row],[x_r_alpha©+plus]])-(Tabella34[[#This Row],[Day]]-pr)</f>
        <v>35.625987987766898</v>
      </c>
      <c r="AR51" s="244">
        <f>EXP(phi_r+psi_r*Tabella34[[#This Row],[x_r_alpha©-minus]])-(Tabella34[[#This Row],[Day]]-pr)</f>
        <v>35.105878622988051</v>
      </c>
      <c r="AS51" s="244">
        <f>-psi_r+SQRT(psi_r^2-2*Tabella34[[#This Row],[c_r]])</f>
        <v>4.2803286147379431</v>
      </c>
      <c r="AT51" s="244">
        <f>-psi_r-SQRT(psi_r^2-2*Tabella34[[#This Row],[c_r]])</f>
        <v>-4.3206166244042805</v>
      </c>
      <c r="AU51" s="244">
        <f>phi_r-LN(alpha*Kr/(Tabella34[[#This Row],[sel. region velocity]]*psi_r*SQRTPI(2)))</f>
        <v>-9.2468294853750486</v>
      </c>
      <c r="AV51" s="244">
        <f>(ACOSH(SQRT(alpha*Kl*psi_l/(Tabella34[[#This Row],[sel. region velocity]]*(1+TANH(phi_l)))))+phi_l)/psi_l-(Tabella34[[#This Row],[Day]]-pl)</f>
        <v>191.72886577928872</v>
      </c>
      <c r="AW51" s="72">
        <f>-2*$BY$22*TANH($BY$22*(Tabella34[[#This Row],[Day]]-$BY$31)-$BY$21)*Tabella34[[#This Row],[sel. region velocity]]</f>
        <v>0.63530302300214603</v>
      </c>
      <c r="AX51" s="143">
        <f>Tabella34[[#This Row],[sel. region acc. fit]]/y_l_peak</f>
        <v>4.3148972255217036E-3</v>
      </c>
      <c r="AY51" s="143">
        <f>Tabella34[[#This Row],[sel. region acc. fit]]*NOT(ISBLANK(Tabella34[[#This Row],[selected region rate data]]))</f>
        <v>0</v>
      </c>
      <c r="AZ51" s="77">
        <f>Tabella34[[#This Row],[sel. region acc. fit]]+CIl</f>
        <v>70.000289398102552</v>
      </c>
      <c r="BA51" s="77">
        <f>MAX(Tabella34[[#This Row],[sel. region acc. fit]]-CIl,0)</f>
        <v>0</v>
      </c>
      <c r="BB51" s="141"/>
      <c r="BC51" s="33"/>
      <c r="BD51" s="33"/>
      <c r="BE51" s="142">
        <f>Tabella34[[#This Row],[rest of Italy rate data]]*NOT(ISBLANK(Tabella34[[#This Row],[rest of Italy rate data]]))</f>
        <v>0</v>
      </c>
      <c r="BF51" s="188">
        <f>Tabella8[[#This Row],[rest of Italy fit]]</f>
        <v>0</v>
      </c>
      <c r="BG51" s="78">
        <f>(ATANH(alpha*Tabella34[[#This Row],[rest of Italy cumul. fit]]/Ka-(1-alpha*Tabella34[[#This Row],[rest of Italy cumul. fit]]/Ka)*TANH(phi_a))+phi_a)/psi_a-(Tabella34[[#This Row],[Day]]-pa)</f>
        <v>23.882529907638357</v>
      </c>
      <c r="BH51" s="143">
        <f>Tabella34[[#This Row],[rest of Italy cumul. fit]]/Ka</f>
        <v>0</v>
      </c>
      <c r="BI51" s="143">
        <f>Tabella3[[#This Row],[rest of Italy fit]]</f>
        <v>208.72855751374934</v>
      </c>
      <c r="BJ51" s="183" t="e">
        <f>Tabella34[[#This Row],[rest of Italy velocity]]/Tabella34[[#This Row],[rest of Italy cumul. fit]]</f>
        <v>#DIV/0!</v>
      </c>
      <c r="BK51" s="236" t="e">
        <f>(LN(Tabella34[[#This Row],[Day]]-po)-phi_o)/psi_o</f>
        <v>#NUM!</v>
      </c>
      <c r="BL51" s="244">
        <f>EXP(phi_o+psi_o*Tabella34[[#This Row],[x_o_alpha©+plus]])-(Tabella34[[#This Row],[Day]]-po)</f>
        <v>28.394756952635092</v>
      </c>
      <c r="BM51" s="244">
        <f>EXP(phi_o+psi_o*Tabella34[[#This Row],[x_o_alpha©-minus]])-(Tabella34[[#This Row],[Day]]-po)</f>
        <v>27.511666188094665</v>
      </c>
      <c r="BN51" s="244">
        <f>-psi_o+SQRT(psi_o^2-2*Tabella34[[#This Row],[c_o]])</f>
        <v>4.2187832840572321</v>
      </c>
      <c r="BO51" s="244">
        <f>-psi_o-SQRT(psi_o^2-2*Tabella34[[#This Row],[c_o]])</f>
        <v>-4.2700965683248855</v>
      </c>
      <c r="BP51" s="244">
        <f>phi_o-LN(alpha*Ko/(Tabella34[[#This Row],[rest of Italy velocity]]*psi_o*SQRTPI(2)))</f>
        <v>-9.0073060118795905</v>
      </c>
      <c r="BQ51" s="244">
        <f>(ACOSH(SQRT(alpha*Ka*psi_a/(Tabella34[[#This Row],[rest of Italy velocity]]*(1+TANH(phi_a)))))+phi_a)/psi_a-(Tabella34[[#This Row],[Day]]-pa)</f>
        <v>170.64429113161771</v>
      </c>
      <c r="BR51" s="72">
        <f>-2*$BY$35*TANH($BY$35*(Tabella34[[#This Row],[Day]]-$BY$44)-$BY$34)*Tabella34[[#This Row],[rest of Italy velocity]]</f>
        <v>10.333719235246326</v>
      </c>
      <c r="BS51" s="143">
        <f>Tabella34[[#This Row],[rest of Italy acc. fit]]/y_a_peak</f>
        <v>3.4223864337108874E-3</v>
      </c>
      <c r="BT51" s="142">
        <f>Tabella34[[#This Row],[rest of Italy acc. fit]]*NOT(ISBLANK(Tabella34[[#This Row],[rest of Italy rate data]]))</f>
        <v>0</v>
      </c>
      <c r="BU51" s="77">
        <f>Tabella34[[#This Row],[rest of Italy acc. fit]]+CIa</f>
        <v>1644.4676591890477</v>
      </c>
      <c r="BV51" s="77">
        <f>MAX(Tabella34[[#This Row],[rest of Italy acc. fit]]-CIa,0)</f>
        <v>0</v>
      </c>
      <c r="BX51" s="213" t="s">
        <v>3</v>
      </c>
      <c r="BY51" s="214" cm="1">
        <f t="array" ref="BY51">SQRT(SUM((Tabella34[Colonna1]-Tabella34[Colonna22])^2)/dff)</f>
        <v>2363.7118202512993</v>
      </c>
    </row>
    <row r="52" spans="2:79" ht="16.2" x14ac:dyDescent="0.3">
      <c r="B52" s="262">
        <v>43875</v>
      </c>
      <c r="C52" s="4">
        <v>45</v>
      </c>
      <c r="D52" s="10">
        <f>Tabella8[[#This Row],[Italy cumulative]]</f>
        <v>0</v>
      </c>
      <c r="E52" s="72">
        <f>(Tabella34[[#This Row],[Italy cumul. data]]-D51)</f>
        <v>0</v>
      </c>
      <c r="F52" s="72">
        <f>Tabella34[[#This Row],[Italy rate data]]-E51</f>
        <v>0</v>
      </c>
      <c r="G52" s="142">
        <f>Tabella34[[#This Row],[Italy rate data]]*NOT(ISBLANK(Tabella34[[#This Row],[Italy rate data]]))</f>
        <v>0</v>
      </c>
      <c r="H52" s="143">
        <f>Tabella8[[#This Row],[Italy fit]]</f>
        <v>0</v>
      </c>
      <c r="I52" s="143">
        <f>(ATANH(alpha*Tabella34[[#This Row],[Italy cumul. Fit]]/Kf-(1-alpha*Tabella34[[#This Row],[Italy cumul. Fit]]/Kf)*TANH(phi_f))+phi_f)/psi_f-(Tabella34[[#This Row],[Day]]-pf)</f>
        <v>23.480394693650979</v>
      </c>
      <c r="J52" s="143">
        <f>Tabella34[[#This Row],[Italy d.t.]]/Italy_dt_at_lockdown</f>
        <v>10.344921682236134</v>
      </c>
      <c r="K52" s="143">
        <f>Tabella34[[#This Row],[Italy cumul. Fit]]/Kf</f>
        <v>0</v>
      </c>
      <c r="L52" s="146">
        <f>Tabella34[[#This Row],[sel. region acc. fit]]+Tabella34[[#This Row],[rest of Italy acc. fit]]</f>
        <v>11.49542536160461</v>
      </c>
      <c r="M52" s="143">
        <f>Tabella34[[#This Row],[Italy (fit of selected region + fitted sum of the other regions)]]/(y_l_peak+y_a_peak)</f>
        <v>3.6301153756363091E-3</v>
      </c>
      <c r="N52" s="143">
        <f>Tabella3[[#This Row],[Italy remov. rate fit]]</f>
        <v>238.8667127148415</v>
      </c>
      <c r="O52" s="143" t="e">
        <f>Kt*EXP(-0.5*Tabella34[[#This Row],[x_t]]^2)/(psi_t*SQRTPI(2)*(Tabella34[[#This Row],[Day]]-D_bk))</f>
        <v>#NUM!</v>
      </c>
      <c r="P52" s="183" t="e">
        <f>Tabella34[[#This Row],[Italy velocity]]/Tabella34[[#This Row],[Italy cumul. Fit]]</f>
        <v>#DIV/0!</v>
      </c>
      <c r="Q52" s="244" t="e">
        <f>(LN(Tabella34[[#This Row],[Day]]-D_bk)-phi_t)/psi_t</f>
        <v>#NUM!</v>
      </c>
      <c r="R52" s="244">
        <f>EXP(phi_t+psi_t*Tabella34[[#This Row],[x_t_alpha©+plus]])-(Tabella34[[#This Row],[Day]]-D_bk)</f>
        <v>27.864572423397803</v>
      </c>
      <c r="S52" s="244">
        <f>EXP(phi_t+psi_t*Tabella34[[#This Row],[x_t_alpha©-minus]])-(Tabella34[[#This Row],[Day]]-D_bk)</f>
        <v>27.019919898594992</v>
      </c>
      <c r="T52" s="244">
        <f>-psi_t+SQRT(psi_t^2-2*Tabella34[[#This Row],[c_t]])</f>
        <v>4.2109858808242597</v>
      </c>
      <c r="U52" s="244">
        <f>-psi_t-SQRT(psi_t^2-2*Tabella34[[#This Row],[c_t]])</f>
        <v>-4.2615045555216318</v>
      </c>
      <c r="V52" s="244">
        <f>phi_t-LN(alpha*Kt/(Tabella34[[#This Row],[Italy velocity]]*psi_t*SQRTPI(2)))</f>
        <v>-8.9725677571849261</v>
      </c>
      <c r="W52" s="244" t="e">
        <f>Tabella34[[#This Row],[Italy g.r.]]/Italy_gr_at_lockdown</f>
        <v>#DIV/0!</v>
      </c>
      <c r="X52" s="244">
        <f>(ACOSH(SQRT(alpha*Kf*psi_f/(Tabella34[[#This Row],[Italy velocity]]*(1+TANH(phi_f)))))+phi_f)/psi_f-(Tabella34[[#This Row],[Day]]-pf)</f>
        <v>169.67655970297972</v>
      </c>
      <c r="Y52" s="244">
        <f>Tabella34[[#This Row],[Italy h.t.]]/Italy_ht_at_lockdown</f>
        <v>1.4287633503074926</v>
      </c>
      <c r="Z52" s="72">
        <f>-2*$BY$48*TANH($BY$48*(Tabella34[[#This Row],[Day]]-$BY$57)-$BY$47)*Tabella34[[#This Row],[Italy velocity]]</f>
        <v>11.602031661187246</v>
      </c>
      <c r="AA52" s="72">
        <f>Tabella34[[#This Row],[Italy acc. fit]]/Itali_acc_at_lockdown</f>
        <v>0.33148350749280492</v>
      </c>
      <c r="AB52" s="143">
        <f>Tabella34[[#This Row],[Italy acc. fit]]/y_f_peak</f>
        <v>3.6727036249375442E-3</v>
      </c>
      <c r="AC52" s="143">
        <f>Tabella34[[#This Row],[Italy (fit of selected region + fitted sum of the other regions)]]*NOT(ISBLANK(Tabella34[[#This Row],[Italy rate data]]))</f>
        <v>11.49542536160461</v>
      </c>
      <c r="AD52" s="143">
        <f>Tabella34[[#This Row],[Italy acc. fit]]*NOT(ISBLANK(Tabella34[[#This Row],[Italy rate data]]))</f>
        <v>11.602031661187246</v>
      </c>
      <c r="AE52" s="77">
        <f>Tabella34[[#This Row],[Italy acc. fit]]+CIf</f>
        <v>1666.8120005849387</v>
      </c>
      <c r="AF52" s="77">
        <f>MAX(Tabella34[[#This Row],[Italy acc. fit]]-CIf,0)</f>
        <v>0</v>
      </c>
      <c r="AG52" s="141"/>
      <c r="AH52" s="33"/>
      <c r="AI52" s="33"/>
      <c r="AJ52" s="142">
        <f>Tabella34[[#This Row],[selected region rate data]]*NOT(ISBLANK(Tabella34[[#This Row],[selected region rate data]]))</f>
        <v>0</v>
      </c>
      <c r="AK52" s="147">
        <f>Tabella8[[#This Row],[region fit]]</f>
        <v>0</v>
      </c>
      <c r="AL52" s="143">
        <f>(ATANH(alpha*Tabella34[[#This Row],[sel. region cumul. fit]]/Kl-(1-alpha*Tabella34[[#This Row],[sel. region cumul. fit]]/Kl)*TANH(phi_l))+phi_l)/psi_l-(Tabella34[[#This Row],[Day]]-pl)</f>
        <v>31.356483051343162</v>
      </c>
      <c r="AM52" s="142">
        <f>Tabella34[[#This Row],[sel. region cumul. fit]]/Kl</f>
        <v>0</v>
      </c>
      <c r="AN52" s="143">
        <f>Tabella3[[#This Row],[region fit]]</f>
        <v>17.397332740599591</v>
      </c>
      <c r="AO52" s="183" t="e">
        <f>Tabella34[[#This Row],[sel. region velocity]]/Tabella34[[#This Row],[sel. region cumul. fit]]</f>
        <v>#DIV/0!</v>
      </c>
      <c r="AP52" s="236" t="e">
        <f>(LN(Tabella34[[#This Row],[Day]]-pr)-phi_r)/psi_r</f>
        <v>#NUM!</v>
      </c>
      <c r="AQ52" s="244">
        <f>EXP(phi_r+psi_r*Tabella34[[#This Row],[x_r_alpha©+plus]])-(Tabella34[[#This Row],[Day]]-pr)</f>
        <v>34.625407313892147</v>
      </c>
      <c r="AR52" s="244">
        <f>EXP(phi_r+psi_r*Tabella34[[#This Row],[x_r_alpha©-minus]])-(Tabella34[[#This Row],[Day]]-pr)</f>
        <v>34.106367010620055</v>
      </c>
      <c r="AS52" s="244">
        <f>-psi_r+SQRT(psi_r^2-2*Tabella34[[#This Row],[c_r]])</f>
        <v>4.2715111640102092</v>
      </c>
      <c r="AT52" s="244">
        <f>-psi_r-SQRT(psi_r^2-2*Tabella34[[#This Row],[c_r]])</f>
        <v>-4.3117991736765466</v>
      </c>
      <c r="AU52" s="244">
        <f>phi_r-LN(alpha*Kr/(Tabella34[[#This Row],[sel. region velocity]]*psi_r*SQRTPI(2)))</f>
        <v>-9.2089491536646797</v>
      </c>
      <c r="AV52" s="244">
        <f>(ACOSH(SQRT(alpha*Kl*psi_l/(Tabella34[[#This Row],[sel. region velocity]]*(1+TANH(phi_l)))))+phi_l)/psi_l-(Tabella34[[#This Row],[Day]]-pl)</f>
        <v>189.76012657471469</v>
      </c>
      <c r="AW52" s="72">
        <f>-2*$BY$22*TANH($BY$22*(Tabella34[[#This Row],[Day]]-$BY$31)-$BY$21)*Tabella34[[#This Row],[sel. region velocity]]</f>
        <v>0.65819300780677858</v>
      </c>
      <c r="AX52" s="143">
        <f>Tabella34[[#This Row],[sel. region acc. fit]]/y_l_peak</f>
        <v>4.4703630872438968E-3</v>
      </c>
      <c r="AY52" s="143">
        <f>Tabella34[[#This Row],[sel. region acc. fit]]*NOT(ISBLANK(Tabella34[[#This Row],[selected region rate data]]))</f>
        <v>0</v>
      </c>
      <c r="AZ52" s="77">
        <f>Tabella34[[#This Row],[sel. region acc. fit]]+CIl</f>
        <v>70.023179382907173</v>
      </c>
      <c r="BA52" s="77">
        <f>MAX(Tabella34[[#This Row],[sel. region acc. fit]]-CIl,0)</f>
        <v>0</v>
      </c>
      <c r="BB52" s="141"/>
      <c r="BC52" s="33"/>
      <c r="BD52" s="33"/>
      <c r="BE52" s="142">
        <f>Tabella34[[#This Row],[rest of Italy rate data]]*NOT(ISBLANK(Tabella34[[#This Row],[rest of Italy rate data]]))</f>
        <v>0</v>
      </c>
      <c r="BF52" s="188">
        <f>Tabella8[[#This Row],[rest of Italy fit]]</f>
        <v>0</v>
      </c>
      <c r="BG52" s="78">
        <f>(ATANH(alpha*Tabella34[[#This Row],[rest of Italy cumul. fit]]/Ka-(1-alpha*Tabella34[[#This Row],[rest of Italy cumul. fit]]/Ka)*TANH(phi_a))+phi_a)/psi_a-(Tabella34[[#This Row],[Day]]-pa)</f>
        <v>22.882529907638357</v>
      </c>
      <c r="BH52" s="143">
        <f>Tabella34[[#This Row],[rest of Italy cumul. fit]]/Ka</f>
        <v>0</v>
      </c>
      <c r="BI52" s="143">
        <f>Tabella3[[#This Row],[rest of Italy fit]]</f>
        <v>219.31220485087013</v>
      </c>
      <c r="BJ52" s="183" t="e">
        <f>Tabella34[[#This Row],[rest of Italy velocity]]/Tabella34[[#This Row],[rest of Italy cumul. fit]]</f>
        <v>#DIV/0!</v>
      </c>
      <c r="BK52" s="236" t="e">
        <f>(LN(Tabella34[[#This Row],[Day]]-po)-phi_o)/psi_o</f>
        <v>#NUM!</v>
      </c>
      <c r="BL52" s="244">
        <f>EXP(phi_o+psi_o*Tabella34[[#This Row],[x_o_alpha©+plus]])-(Tabella34[[#This Row],[Day]]-po)</f>
        <v>27.393406213350861</v>
      </c>
      <c r="BM52" s="244">
        <f>EXP(phi_o+psi_o*Tabella34[[#This Row],[x_o_alpha©-minus]])-(Tabella34[[#This Row],[Day]]-po)</f>
        <v>26.512752898660334</v>
      </c>
      <c r="BN52" s="244">
        <f>-psi_o+SQRT(psi_o^2-2*Tabella34[[#This Row],[c_o]])</f>
        <v>4.2071139578232417</v>
      </c>
      <c r="BO52" s="244">
        <f>-psi_o-SQRT(psi_o^2-2*Tabella34[[#This Row],[c_o]])</f>
        <v>-4.2584272420908951</v>
      </c>
      <c r="BP52" s="244">
        <f>phi_o-LN(alpha*Ko/(Tabella34[[#This Row],[rest of Italy velocity]]*psi_o*SQRTPI(2)))</f>
        <v>-8.9578443442876683</v>
      </c>
      <c r="BQ52" s="244">
        <f>(ACOSH(SQRT(alpha*Ka*psi_a/(Tabella34[[#This Row],[rest of Italy velocity]]*(1+TANH(phi_a)))))+phi_a)/psi_a-(Tabella34[[#This Row],[Day]]-pa)</f>
        <v>168.66283067388702</v>
      </c>
      <c r="BR52" s="72">
        <f>-2*$BY$35*TANH($BY$35*(Tabella34[[#This Row],[Day]]-$BY$44)-$BY$34)*Tabella34[[#This Row],[rest of Italy velocity]]</f>
        <v>10.837232353797832</v>
      </c>
      <c r="BS52" s="143">
        <f>Tabella34[[#This Row],[rest of Italy acc. fit]]/y_a_peak</f>
        <v>3.5891430899444511E-3</v>
      </c>
      <c r="BT52" s="142">
        <f>Tabella34[[#This Row],[rest of Italy acc. fit]]*NOT(ISBLANK(Tabella34[[#This Row],[rest of Italy rate data]]))</f>
        <v>0</v>
      </c>
      <c r="BU52" s="77">
        <f>Tabella34[[#This Row],[rest of Italy acc. fit]]+CIa</f>
        <v>1644.9711723075993</v>
      </c>
      <c r="BV52" s="77">
        <f>MAX(Tabella34[[#This Row],[rest of Italy acc. fit]]-CIa,0)</f>
        <v>0</v>
      </c>
      <c r="BX52" s="213" t="s">
        <v>4357</v>
      </c>
      <c r="BY52" s="216" cm="1">
        <f t="array" ref="BY52">1-SUM((Tabella34[Colonna1]-Tabella34[Colonna22])^2)/SUM((Tabella34[Colonna1]-Mean_of_yf)^2)</f>
        <v>-0.21703903291016169</v>
      </c>
    </row>
    <row r="53" spans="2:79" x14ac:dyDescent="0.3">
      <c r="B53" s="262">
        <v>43876</v>
      </c>
      <c r="C53" s="4">
        <v>46</v>
      </c>
      <c r="D53" s="10">
        <f>Tabella8[[#This Row],[Italy cumulative]]</f>
        <v>0</v>
      </c>
      <c r="E53" s="72">
        <f>(Tabella34[[#This Row],[Italy cumul. data]]-D52)</f>
        <v>0</v>
      </c>
      <c r="F53" s="72">
        <f>Tabella34[[#This Row],[Italy rate data]]-E52</f>
        <v>0</v>
      </c>
      <c r="G53" s="142">
        <f>Tabella34[[#This Row],[Italy rate data]]*NOT(ISBLANK(Tabella34[[#This Row],[Italy rate data]]))</f>
        <v>0</v>
      </c>
      <c r="H53" s="143">
        <f>Tabella8[[#This Row],[Italy fit]]</f>
        <v>0</v>
      </c>
      <c r="I53" s="143">
        <f>(ATANH(alpha*Tabella34[[#This Row],[Italy cumul. Fit]]/Kf-(1-alpha*Tabella34[[#This Row],[Italy cumul. Fit]]/Kf)*TANH(phi_f))+phi_f)/psi_f-(Tabella34[[#This Row],[Day]]-pf)</f>
        <v>22.480394693650979</v>
      </c>
      <c r="J53" s="143">
        <f>Tabella34[[#This Row],[Italy d.t.]]/Italy_dt_at_lockdown</f>
        <v>9.9043446895063916</v>
      </c>
      <c r="K53" s="143">
        <f>Tabella34[[#This Row],[Italy cumul. Fit]]/Kf</f>
        <v>0</v>
      </c>
      <c r="L53" s="146">
        <f>Tabella34[[#This Row],[sel. region acc. fit]]+Tabella34[[#This Row],[rest of Italy acc. fit]]</f>
        <v>12.044835448042591</v>
      </c>
      <c r="M53" s="143">
        <f>Tabella34[[#This Row],[Italy (fit of selected region + fitted sum of the other regions)]]/(y_l_peak+y_a_peak)</f>
        <v>3.8036123920207289E-3</v>
      </c>
      <c r="N53" s="143">
        <f>Tabella3[[#This Row],[Italy remov. rate fit]]</f>
        <v>250.74282865551183</v>
      </c>
      <c r="O53" s="143" t="e">
        <f>Kt*EXP(-0.5*Tabella34[[#This Row],[x_t]]^2)/(psi_t*SQRTPI(2)*(Tabella34[[#This Row],[Day]]-D_bk))</f>
        <v>#NUM!</v>
      </c>
      <c r="P53" s="183" t="e">
        <f>Tabella34[[#This Row],[Italy velocity]]/Tabella34[[#This Row],[Italy cumul. Fit]]</f>
        <v>#DIV/0!</v>
      </c>
      <c r="Q53" s="244" t="e">
        <f>(LN(Tabella34[[#This Row],[Day]]-D_bk)-phi_t)/psi_t</f>
        <v>#NUM!</v>
      </c>
      <c r="R53" s="244">
        <f>EXP(phi_t+psi_t*Tabella34[[#This Row],[x_t_alpha©+plus]])-(Tabella34[[#This Row],[Day]]-D_bk)</f>
        <v>26.863302451316528</v>
      </c>
      <c r="S53" s="244">
        <f>EXP(phi_t+psi_t*Tabella34[[#This Row],[x_t_alpha©-minus]])-(Tabella34[[#This Row],[Day]]-D_bk)</f>
        <v>26.020945495855941</v>
      </c>
      <c r="T53" s="244">
        <f>-psi_t+SQRT(psi_t^2-2*Tabella34[[#This Row],[c_t]])</f>
        <v>4.1995163150080588</v>
      </c>
      <c r="U53" s="244">
        <f>-psi_t-SQRT(psi_t^2-2*Tabella34[[#This Row],[c_t]])</f>
        <v>-4.2500349897054308</v>
      </c>
      <c r="V53" s="244">
        <f>phi_t-LN(alpha*Kt/(Tabella34[[#This Row],[Italy velocity]]*psi_t*SQRTPI(2)))</f>
        <v>-8.9240456393115313</v>
      </c>
      <c r="W53" s="244" t="e">
        <f>Tabella34[[#This Row],[Italy g.r.]]/Italy_gr_at_lockdown</f>
        <v>#DIV/0!</v>
      </c>
      <c r="X53" s="244">
        <f>(ACOSH(SQRT(alpha*Kf*psi_f/(Tabella34[[#This Row],[Italy velocity]]*(1+TANH(phi_f)))))+phi_f)/psi_f-(Tabella34[[#This Row],[Day]]-pf)</f>
        <v>167.6969177986432</v>
      </c>
      <c r="Y53" s="244">
        <f>Tabella34[[#This Row],[Italy h.t.]]/Italy_ht_at_lockdown</f>
        <v>1.4120937537256184</v>
      </c>
      <c r="Z53" s="72">
        <f>-2*$BY$48*TANH($BY$48*(Tabella34[[#This Row],[Day]]-$BY$57)-$BY$47)*Tabella34[[#This Row],[Italy velocity]]</f>
        <v>12.154077393310533</v>
      </c>
      <c r="AA53" s="72">
        <f>Tabella34[[#This Row],[Italy acc. fit]]/Itali_acc_at_lockdown</f>
        <v>0.3472560946503489</v>
      </c>
      <c r="AB53" s="143">
        <f>Tabella34[[#This Row],[Italy acc. fit]]/y_f_peak</f>
        <v>3.8474575319005101E-3</v>
      </c>
      <c r="AC53" s="143">
        <f>Tabella34[[#This Row],[Italy (fit of selected region + fitted sum of the other regions)]]*NOT(ISBLANK(Tabella34[[#This Row],[Italy rate data]]))</f>
        <v>12.044835448042591</v>
      </c>
      <c r="AD53" s="143">
        <f>Tabella34[[#This Row],[Italy acc. fit]]*NOT(ISBLANK(Tabella34[[#This Row],[Italy rate data]]))</f>
        <v>12.154077393310533</v>
      </c>
      <c r="AE53" s="77">
        <f>Tabella34[[#This Row],[Italy acc. fit]]+CIf</f>
        <v>1667.3640463170618</v>
      </c>
      <c r="AF53" s="77">
        <f>MAX(Tabella34[[#This Row],[Italy acc. fit]]-CIf,0)</f>
        <v>0</v>
      </c>
      <c r="AG53" s="141"/>
      <c r="AH53" s="33"/>
      <c r="AI53" s="33"/>
      <c r="AJ53" s="142">
        <f>Tabella34[[#This Row],[selected region rate data]]*NOT(ISBLANK(Tabella34[[#This Row],[selected region rate data]]))</f>
        <v>0</v>
      </c>
      <c r="AK53" s="147">
        <f>Tabella8[[#This Row],[region fit]]</f>
        <v>0</v>
      </c>
      <c r="AL53" s="143">
        <f>(ATANH(alpha*Tabella34[[#This Row],[sel. region cumul. fit]]/Kl-(1-alpha*Tabella34[[#This Row],[sel. region cumul. fit]]/Kl)*TANH(phi_l))+phi_l)/psi_l-(Tabella34[[#This Row],[Day]]-pl)</f>
        <v>30.356483051343162</v>
      </c>
      <c r="AM53" s="142">
        <f>Tabella34[[#This Row],[sel. region cumul. fit]]/Kl</f>
        <v>0</v>
      </c>
      <c r="AN53" s="143">
        <f>Tabella3[[#This Row],[region fit]]</f>
        <v>18.06725764479236</v>
      </c>
      <c r="AO53" s="183" t="e">
        <f>Tabella34[[#This Row],[sel. region velocity]]/Tabella34[[#This Row],[sel. region cumul. fit]]</f>
        <v>#DIV/0!</v>
      </c>
      <c r="AP53" s="236" t="e">
        <f>(LN(Tabella34[[#This Row],[Day]]-pr)-phi_r)/psi_r</f>
        <v>#NUM!</v>
      </c>
      <c r="AQ53" s="244">
        <f>EXP(phi_r+psi_r*Tabella34[[#This Row],[x_r_alpha©+plus]])-(Tabella34[[#This Row],[Day]]-pr)</f>
        <v>33.624827022275262</v>
      </c>
      <c r="AR53" s="244">
        <f>EXP(phi_r+psi_r*Tabella34[[#This Row],[x_r_alpha©-minus]])-(Tabella34[[#This Row],[Day]]-pr)</f>
        <v>33.106855250114783</v>
      </c>
      <c r="AS53" s="244">
        <f>-psi_r+SQRT(psi_r^2-2*Tabella34[[#This Row],[c_r]])</f>
        <v>4.262697952937696</v>
      </c>
      <c r="AT53" s="244">
        <f>-psi_r-SQRT(psi_r^2-2*Tabella34[[#This Row],[c_r]])</f>
        <v>-4.3029859626040334</v>
      </c>
      <c r="AU53" s="244">
        <f>phi_r-LN(alpha*Kr/(Tabella34[[#This Row],[sel. region velocity]]*psi_r*SQRTPI(2)))</f>
        <v>-9.1711647271559258</v>
      </c>
      <c r="AV53" s="244">
        <f>(ACOSH(SQRT(alpha*Kl*psi_l/(Tabella34[[#This Row],[sel. region velocity]]*(1+TANH(phi_l)))))+phi_l)/psi_l-(Tabella34[[#This Row],[Day]]-pl)</f>
        <v>187.79269150512127</v>
      </c>
      <c r="AW53" s="72">
        <f>-2*$BY$22*TANH($BY$22*(Tabella34[[#This Row],[Day]]-$BY$31)-$BY$21)*Tabella34[[#This Row],[sel. region velocity]]</f>
        <v>0.68177255240267676</v>
      </c>
      <c r="AX53" s="143">
        <f>Tabella34[[#This Row],[sel. region acc. fit]]/y_l_peak</f>
        <v>4.6305123512519839E-3</v>
      </c>
      <c r="AY53" s="143">
        <f>Tabella34[[#This Row],[sel. region acc. fit]]*NOT(ISBLANK(Tabella34[[#This Row],[selected region rate data]]))</f>
        <v>0</v>
      </c>
      <c r="AZ53" s="77">
        <f>Tabella34[[#This Row],[sel. region acc. fit]]+CIl</f>
        <v>70.046758927503078</v>
      </c>
      <c r="BA53" s="77">
        <f>MAX(Tabella34[[#This Row],[sel. region acc. fit]]-CIl,0)</f>
        <v>0</v>
      </c>
      <c r="BB53" s="141"/>
      <c r="BC53" s="33"/>
      <c r="BD53" s="33"/>
      <c r="BE53" s="142">
        <f>Tabella34[[#This Row],[rest of Italy rate data]]*NOT(ISBLANK(Tabella34[[#This Row],[rest of Italy rate data]]))</f>
        <v>0</v>
      </c>
      <c r="BF53" s="188">
        <f>Tabella8[[#This Row],[rest of Italy fit]]</f>
        <v>0</v>
      </c>
      <c r="BG53" s="78">
        <f>(ATANH(alpha*Tabella34[[#This Row],[rest of Italy cumul. fit]]/Ka-(1-alpha*Tabella34[[#This Row],[rest of Italy cumul. fit]]/Ka)*TANH(phi_a))+phi_a)/psi_a-(Tabella34[[#This Row],[Day]]-pa)</f>
        <v>21.882529907638357</v>
      </c>
      <c r="BH53" s="143">
        <f>Tabella34[[#This Row],[rest of Italy cumul. fit]]/Ka</f>
        <v>0</v>
      </c>
      <c r="BI53" s="143">
        <f>Tabella3[[#This Row],[rest of Italy fit]]</f>
        <v>230.41046133827601</v>
      </c>
      <c r="BJ53" s="183" t="e">
        <f>Tabella34[[#This Row],[rest of Italy velocity]]/Tabella34[[#This Row],[rest of Italy cumul. fit]]</f>
        <v>#DIV/0!</v>
      </c>
      <c r="BK53" s="236" t="e">
        <f>(LN(Tabella34[[#This Row],[Day]]-po)-phi_o)/psi_o</f>
        <v>#NUM!</v>
      </c>
      <c r="BL53" s="244">
        <f>EXP(phi_o+psi_o*Tabella34[[#This Row],[x_o_alpha©+plus]])-(Tabella34[[#This Row],[Day]]-po)</f>
        <v>26.392054767468021</v>
      </c>
      <c r="BM53" s="244">
        <f>EXP(phi_o+psi_o*Tabella34[[#This Row],[x_o_alpha©-minus]])-(Tabella34[[#This Row],[Day]]-po)</f>
        <v>25.513840829222314</v>
      </c>
      <c r="BN53" s="244">
        <f>-psi_o+SQRT(psi_o^2-2*Tabella34[[#This Row],[c_o]])</f>
        <v>4.1954350295964691</v>
      </c>
      <c r="BO53" s="244">
        <f>-psi_o-SQRT(psi_o^2-2*Tabella34[[#This Row],[c_o]])</f>
        <v>-4.2467483138641224</v>
      </c>
      <c r="BP53" s="244">
        <f>phi_o-LN(alpha*Ko/(Tabella34[[#This Row],[rest of Italy velocity]]*psi_o*SQRTPI(2)))</f>
        <v>-8.9084783189326409</v>
      </c>
      <c r="BQ53" s="244">
        <f>(ACOSH(SQRT(alpha*Ka*psi_a/(Tabella34[[#This Row],[rest of Italy velocity]]*(1+TANH(phi_a)))))+phi_a)/psi_a-(Tabella34[[#This Row],[Day]]-pa)</f>
        <v>166.68235536899897</v>
      </c>
      <c r="BR53" s="72">
        <f>-2*$BY$35*TANH($BY$35*(Tabella34[[#This Row],[Day]]-$BY$44)-$BY$34)*Tabella34[[#This Row],[rest of Italy velocity]]</f>
        <v>11.363062895639914</v>
      </c>
      <c r="BS53" s="143">
        <f>Tabella34[[#This Row],[rest of Italy acc. fit]]/y_a_peak</f>
        <v>3.7632909714441841E-3</v>
      </c>
      <c r="BT53" s="142">
        <f>Tabella34[[#This Row],[rest of Italy acc. fit]]*NOT(ISBLANK(Tabella34[[#This Row],[rest of Italy rate data]]))</f>
        <v>0</v>
      </c>
      <c r="BU53" s="77">
        <f>Tabella34[[#This Row],[rest of Italy acc. fit]]+CIa</f>
        <v>1645.4970028494413</v>
      </c>
      <c r="BV53" s="77">
        <f>MAX(Tabella34[[#This Row],[rest of Italy acc. fit]]-CIa,0)</f>
        <v>0</v>
      </c>
      <c r="BX53" s="213" t="s">
        <v>5</v>
      </c>
      <c r="BY53" s="216">
        <f>TINV(0.05,dff)</f>
        <v>1.9844674545084788</v>
      </c>
    </row>
    <row r="54" spans="2:79" x14ac:dyDescent="0.3">
      <c r="B54" s="262">
        <v>43877</v>
      </c>
      <c r="C54" s="4">
        <v>47</v>
      </c>
      <c r="D54" s="10">
        <f>Tabella8[[#This Row],[Italy cumulative]]</f>
        <v>0</v>
      </c>
      <c r="E54" s="72">
        <f>(Tabella34[[#This Row],[Italy cumul. data]]-D53)</f>
        <v>0</v>
      </c>
      <c r="F54" s="72">
        <f>Tabella34[[#This Row],[Italy rate data]]-E53</f>
        <v>0</v>
      </c>
      <c r="G54" s="142">
        <f>Tabella34[[#This Row],[Italy rate data]]*NOT(ISBLANK(Tabella34[[#This Row],[Italy rate data]]))</f>
        <v>0</v>
      </c>
      <c r="H54" s="143">
        <f>Tabella8[[#This Row],[Italy fit]]</f>
        <v>0</v>
      </c>
      <c r="I54" s="143">
        <f>(ATANH(alpha*Tabella34[[#This Row],[Italy cumul. Fit]]/Kf-(1-alpha*Tabella34[[#This Row],[Italy cumul. Fit]]/Kf)*TANH(phi_f))+phi_f)/psi_f-(Tabella34[[#This Row],[Day]]-pf)</f>
        <v>21.480394693650979</v>
      </c>
      <c r="J54" s="143">
        <f>Tabella34[[#This Row],[Italy d.t.]]/Italy_dt_at_lockdown</f>
        <v>9.4637676967766495</v>
      </c>
      <c r="K54" s="143">
        <f>Tabella34[[#This Row],[Italy cumul. Fit]]/Kf</f>
        <v>0</v>
      </c>
      <c r="L54" s="146">
        <f>Tabella34[[#This Row],[sel. region acc. fit]]+Tabella34[[#This Row],[rest of Italy acc. fit]]</f>
        <v>12.618014769766386</v>
      </c>
      <c r="M54" s="143">
        <f>Tabella34[[#This Row],[Italy (fit of selected region + fitted sum of the other regions)]]/(y_l_peak+y_a_peak)</f>
        <v>3.9846154435246792E-3</v>
      </c>
      <c r="N54" s="143">
        <f>Tabella3[[#This Row],[Italy remov. rate fit]]</f>
        <v>263.18274495510497</v>
      </c>
      <c r="O54" s="143" t="e">
        <f>Kt*EXP(-0.5*Tabella34[[#This Row],[x_t]]^2)/(psi_t*SQRTPI(2)*(Tabella34[[#This Row],[Day]]-D_bk))</f>
        <v>#NUM!</v>
      </c>
      <c r="P54" s="183" t="e">
        <f>Tabella34[[#This Row],[Italy velocity]]/Tabella34[[#This Row],[Italy cumul. Fit]]</f>
        <v>#DIV/0!</v>
      </c>
      <c r="Q54" s="244" t="e">
        <f>(LN(Tabella34[[#This Row],[Day]]-D_bk)-phi_t)/psi_t</f>
        <v>#NUM!</v>
      </c>
      <c r="R54" s="244">
        <f>EXP(phi_t+psi_t*Tabella34[[#This Row],[x_t_alpha©+plus]])-(Tabella34[[#This Row],[Day]]-D_bk)</f>
        <v>25.86203205262284</v>
      </c>
      <c r="S54" s="244">
        <f>EXP(phi_t+psi_t*Tabella34[[#This Row],[x_t_alpha©-minus]])-(Tabella34[[#This Row],[Day]]-D_bk)</f>
        <v>25.021972032455288</v>
      </c>
      <c r="T54" s="244">
        <f>-psi_t+SQRT(psi_t^2-2*Tabella34[[#This Row],[c_t]])</f>
        <v>4.1880395707769047</v>
      </c>
      <c r="U54" s="244">
        <f>-psi_t-SQRT(psi_t^2-2*Tabella34[[#This Row],[c_t]])</f>
        <v>-4.2385582454742767</v>
      </c>
      <c r="V54" s="244">
        <f>phi_t-LN(alpha*Kt/(Tabella34[[#This Row],[Italy velocity]]*psi_t*SQRTPI(2)))</f>
        <v>-8.8756248275444989</v>
      </c>
      <c r="W54" s="244" t="e">
        <f>Tabella34[[#This Row],[Italy g.r.]]/Italy_gr_at_lockdown</f>
        <v>#DIV/0!</v>
      </c>
      <c r="X54" s="244">
        <f>(ACOSH(SQRT(alpha*Kf*psi_f/(Tabella34[[#This Row],[Italy velocity]]*(1+TANH(phi_f)))))+phi_f)/psi_f-(Tabella34[[#This Row],[Day]]-pf)</f>
        <v>165.71834138762648</v>
      </c>
      <c r="Y54" s="244">
        <f>Tabella34[[#This Row],[Italy h.t.]]/Italy_ht_at_lockdown</f>
        <v>1.395433129142045</v>
      </c>
      <c r="Z54" s="72">
        <f>-2*$BY$48*TANH($BY$48*(Tabella34[[#This Row],[Day]]-$BY$57)-$BY$47)*Tabella34[[#This Row],[Italy velocity]]</f>
        <v>12.729755356733781</v>
      </c>
      <c r="AA54" s="72">
        <f>Tabella34[[#This Row],[Italy acc. fit]]/Itali_acc_at_lockdown</f>
        <v>0.36370388207884186</v>
      </c>
      <c r="AB54" s="143">
        <f>Tabella34[[#This Row],[Italy acc. fit]]/y_f_peak</f>
        <v>4.0296923856575689E-3</v>
      </c>
      <c r="AC54" s="143">
        <f>Tabella34[[#This Row],[Italy (fit of selected region + fitted sum of the other regions)]]*NOT(ISBLANK(Tabella34[[#This Row],[Italy rate data]]))</f>
        <v>12.618014769766386</v>
      </c>
      <c r="AD54" s="143">
        <f>Tabella34[[#This Row],[Italy acc. fit]]*NOT(ISBLANK(Tabella34[[#This Row],[Italy rate data]]))</f>
        <v>12.729755356733781</v>
      </c>
      <c r="AE54" s="77">
        <f>Tabella34[[#This Row],[Italy acc. fit]]+CIf</f>
        <v>1667.9397242804851</v>
      </c>
      <c r="AF54" s="77">
        <f>MAX(Tabella34[[#This Row],[Italy acc. fit]]-CIf,0)</f>
        <v>0</v>
      </c>
      <c r="AG54" s="141"/>
      <c r="AH54" s="33"/>
      <c r="AI54" s="33"/>
      <c r="AJ54" s="142">
        <f>Tabella34[[#This Row],[selected region rate data]]*NOT(ISBLANK(Tabella34[[#This Row],[selected region rate data]]))</f>
        <v>0</v>
      </c>
      <c r="AK54" s="147">
        <f>Tabella8[[#This Row],[region fit]]</f>
        <v>0</v>
      </c>
      <c r="AL54" s="143">
        <f>(ATANH(alpha*Tabella34[[#This Row],[sel. region cumul. fit]]/Kl-(1-alpha*Tabella34[[#This Row],[sel. region cumul. fit]]/Kl)*TANH(phi_l))+phi_l)/psi_l-(Tabella34[[#This Row],[Day]]-pl)</f>
        <v>29.356483051343162</v>
      </c>
      <c r="AM54" s="142">
        <f>Tabella34[[#This Row],[sel. region cumul. fit]]/Kl</f>
        <v>0</v>
      </c>
      <c r="AN54" s="143">
        <f>Tabella3[[#This Row],[region fit]]</f>
        <v>18.761110905844905</v>
      </c>
      <c r="AO54" s="183" t="e">
        <f>Tabella34[[#This Row],[sel. region velocity]]/Tabella34[[#This Row],[sel. region cumul. fit]]</f>
        <v>#DIV/0!</v>
      </c>
      <c r="AP54" s="236" t="e">
        <f>(LN(Tabella34[[#This Row],[Day]]-pr)-phi_r)/psi_r</f>
        <v>#NUM!</v>
      </c>
      <c r="AQ54" s="244">
        <f>EXP(phi_r+psi_r*Tabella34[[#This Row],[x_r_alpha©+plus]])-(Tabella34[[#This Row],[Day]]-pr)</f>
        <v>32.624247171352266</v>
      </c>
      <c r="AR54" s="244">
        <f>EXP(phi_r+psi_r*Tabella34[[#This Row],[x_r_alpha©-minus]])-(Tabella34[[#This Row],[Day]]-pr)</f>
        <v>32.107343292029526</v>
      </c>
      <c r="AS54" s="244">
        <f>-psi_r+SQRT(psi_r^2-2*Tabella34[[#This Row],[c_r]])</f>
        <v>4.253889871793417</v>
      </c>
      <c r="AT54" s="244">
        <f>-psi_r-SQRT(psi_r^2-2*Tabella34[[#This Row],[c_r]])</f>
        <v>-4.2941778814597544</v>
      </c>
      <c r="AU54" s="244">
        <f>phi_r-LN(alpha*Kr/(Tabella34[[#This Row],[sel. region velocity]]*psi_r*SQRTPI(2)))</f>
        <v>-9.1334798988104815</v>
      </c>
      <c r="AV54" s="244">
        <f>(ACOSH(SQRT(alpha*Kl*psi_l/(Tabella34[[#This Row],[sel. region velocity]]*(1+TANH(phi_l)))))+phi_l)/psi_l-(Tabella34[[#This Row],[Day]]-pl)</f>
        <v>185.82661571661868</v>
      </c>
      <c r="AW54" s="72">
        <f>-2*$BY$22*TANH($BY$22*(Tabella34[[#This Row],[Day]]-$BY$31)-$BY$21)*Tabella34[[#This Row],[sel. region velocity]]</f>
        <v>0.70605124825963483</v>
      </c>
      <c r="AX54" s="143">
        <f>Tabella34[[#This Row],[sel. region acc. fit]]/y_l_peak</f>
        <v>4.7954101615873199E-3</v>
      </c>
      <c r="AY54" s="143">
        <f>Tabella34[[#This Row],[sel. region acc. fit]]*NOT(ISBLANK(Tabella34[[#This Row],[selected region rate data]]))</f>
        <v>0</v>
      </c>
      <c r="AZ54" s="77">
        <f>Tabella34[[#This Row],[sel. region acc. fit]]+CIl</f>
        <v>70.071037623360041</v>
      </c>
      <c r="BA54" s="77">
        <f>MAX(Tabella34[[#This Row],[sel. region acc. fit]]-CIl,0)</f>
        <v>0</v>
      </c>
      <c r="BB54" s="141"/>
      <c r="BC54" s="33"/>
      <c r="BD54" s="33"/>
      <c r="BE54" s="142">
        <f>Tabella34[[#This Row],[rest of Italy rate data]]*NOT(ISBLANK(Tabella34[[#This Row],[rest of Italy rate data]]))</f>
        <v>0</v>
      </c>
      <c r="BF54" s="188">
        <f>Tabella8[[#This Row],[rest of Italy fit]]</f>
        <v>0</v>
      </c>
      <c r="BG54" s="78">
        <f>(ATANH(alpha*Tabella34[[#This Row],[rest of Italy cumul. fit]]/Ka-(1-alpha*Tabella34[[#This Row],[rest of Italy cumul. fit]]/Ka)*TANH(phi_a))+phi_a)/psi_a-(Tabella34[[#This Row],[Day]]-pa)</f>
        <v>20.882529907638357</v>
      </c>
      <c r="BH54" s="143">
        <f>Tabella34[[#This Row],[rest of Italy cumul. fit]]/Ka</f>
        <v>0</v>
      </c>
      <c r="BI54" s="143">
        <f>Tabella3[[#This Row],[rest of Italy fit]]</f>
        <v>242.04602068230668</v>
      </c>
      <c r="BJ54" s="183" t="e">
        <f>Tabella34[[#This Row],[rest of Italy velocity]]/Tabella34[[#This Row],[rest of Italy cumul. fit]]</f>
        <v>#DIV/0!</v>
      </c>
      <c r="BK54" s="236" t="e">
        <f>(LN(Tabella34[[#This Row],[Day]]-po)-phi_o)/psi_o</f>
        <v>#NUM!</v>
      </c>
      <c r="BL54" s="244">
        <f>EXP(phi_o+psi_o*Tabella34[[#This Row],[x_o_alpha©+plus]])-(Tabella34[[#This Row],[Day]]-po)</f>
        <v>25.390702739607335</v>
      </c>
      <c r="BM54" s="244">
        <f>EXP(phi_o+psi_o*Tabella34[[#This Row],[x_o_alpha©-minus]])-(Tabella34[[#This Row],[Day]]-po)</f>
        <v>24.514929880977821</v>
      </c>
      <c r="BN54" s="244">
        <f>-psi_o+SQRT(psi_o^2-2*Tabella34[[#This Row],[c_o]])</f>
        <v>4.1837475692230974</v>
      </c>
      <c r="BO54" s="244">
        <f>-psi_o-SQRT(psi_o^2-2*Tabella34[[#This Row],[c_o]])</f>
        <v>-4.2350608534907508</v>
      </c>
      <c r="BP54" s="244">
        <f>phi_o-LN(alpha*Ko/(Tabella34[[#This Row],[rest of Italy velocity]]*psi_o*SQRTPI(2)))</f>
        <v>-8.8592127756519119</v>
      </c>
      <c r="BQ54" s="244">
        <f>(ACOSH(SQRT(alpha*Ka*psi_a/(Tabella34[[#This Row],[rest of Italy velocity]]*(1+TANH(phi_a)))))+phi_a)/psi_a-(Tabella34[[#This Row],[Day]]-pa)</f>
        <v>164.70291803878212</v>
      </c>
      <c r="BR54" s="72">
        <f>-2*$BY$35*TANH($BY$35*(Tabella34[[#This Row],[Day]]-$BY$44)-$BY$34)*Tabella34[[#This Row],[rest of Italy velocity]]</f>
        <v>11.911963521506751</v>
      </c>
      <c r="BS54" s="143">
        <f>Tabella34[[#This Row],[rest of Italy acc. fit]]/y_a_peak</f>
        <v>3.9450793491479933E-3</v>
      </c>
      <c r="BT54" s="142">
        <f>Tabella34[[#This Row],[rest of Italy acc. fit]]*NOT(ISBLANK(Tabella34[[#This Row],[rest of Italy rate data]]))</f>
        <v>0</v>
      </c>
      <c r="BU54" s="77">
        <f>Tabella34[[#This Row],[rest of Italy acc. fit]]+CIa</f>
        <v>1646.0459034753083</v>
      </c>
      <c r="BV54" s="77">
        <f>MAX(Tabella34[[#This Row],[rest of Italy acc. fit]]-CIa,0)</f>
        <v>0</v>
      </c>
      <c r="BX54" s="213" t="s">
        <v>6</v>
      </c>
      <c r="BY54" s="214">
        <f>Critical_tf*SE_of_yf</f>
        <v>1655.2099689237514</v>
      </c>
    </row>
    <row r="55" spans="2:79" x14ac:dyDescent="0.3">
      <c r="B55" s="262">
        <v>43878</v>
      </c>
      <c r="C55" s="4">
        <v>48</v>
      </c>
      <c r="D55" s="10">
        <f>Tabella8[[#This Row],[Italy cumulative]]</f>
        <v>0</v>
      </c>
      <c r="E55" s="72">
        <f>(Tabella34[[#This Row],[Italy cumul. data]]-D54)</f>
        <v>0</v>
      </c>
      <c r="F55" s="72">
        <f>Tabella34[[#This Row],[Italy rate data]]-E54</f>
        <v>0</v>
      </c>
      <c r="G55" s="142">
        <f>Tabella34[[#This Row],[Italy rate data]]*NOT(ISBLANK(Tabella34[[#This Row],[Italy rate data]]))</f>
        <v>0</v>
      </c>
      <c r="H55" s="143">
        <f>Tabella8[[#This Row],[Italy fit]]</f>
        <v>0</v>
      </c>
      <c r="I55" s="143">
        <f>(ATANH(alpha*Tabella34[[#This Row],[Italy cumul. Fit]]/Kf-(1-alpha*Tabella34[[#This Row],[Italy cumul. Fit]]/Kf)*TANH(phi_f))+phi_f)/psi_f-(Tabella34[[#This Row],[Day]]-pf)</f>
        <v>20.480394693650979</v>
      </c>
      <c r="J55" s="143">
        <f>Tabella34[[#This Row],[Italy d.t.]]/Italy_dt_at_lockdown</f>
        <v>9.0231907040469093</v>
      </c>
      <c r="K55" s="143">
        <f>Tabella34[[#This Row],[Italy cumul. Fit]]/Kf</f>
        <v>0</v>
      </c>
      <c r="L55" s="146">
        <f>Tabella34[[#This Row],[sel. region acc. fit]]+Tabella34[[#This Row],[rest of Italy acc. fit]]</f>
        <v>13.215723530763785</v>
      </c>
      <c r="M55" s="143">
        <f>Tabella34[[#This Row],[Italy (fit of selected region + fitted sum of the other regions)]]/(y_l_peak+y_a_peak)</f>
        <v>4.1733645933122359E-3</v>
      </c>
      <c r="N55" s="143">
        <f>Tabella3[[#This Row],[Italy remov. rate fit]]</f>
        <v>276.21046194041429</v>
      </c>
      <c r="O55" s="143" t="e">
        <f>Kt*EXP(-0.5*Tabella34[[#This Row],[x_t]]^2)/(psi_t*SQRTPI(2)*(Tabella34[[#This Row],[Day]]-D_bk))</f>
        <v>#NUM!</v>
      </c>
      <c r="P55" s="183" t="e">
        <f>Tabella34[[#This Row],[Italy velocity]]/Tabella34[[#This Row],[Italy cumul. Fit]]</f>
        <v>#DIV/0!</v>
      </c>
      <c r="Q55" s="244" t="e">
        <f>(LN(Tabella34[[#This Row],[Day]]-D_bk)-phi_t)/psi_t</f>
        <v>#NUM!</v>
      </c>
      <c r="R55" s="244">
        <f>EXP(phi_t+psi_t*Tabella34[[#This Row],[x_t_alpha©+plus]])-(Tabella34[[#This Row],[Day]]-D_bk)</f>
        <v>24.860761353738067</v>
      </c>
      <c r="S55" s="244">
        <f>EXP(phi_t+psi_t*Tabella34[[#This Row],[x_t_alpha©-minus]])-(Tabella34[[#This Row],[Day]]-D_bk)</f>
        <v>24.022999407267484</v>
      </c>
      <c r="T55" s="244">
        <f>-psi_t+SQRT(psi_t^2-2*Tabella34[[#This Row],[c_t]])</f>
        <v>4.1765567854334407</v>
      </c>
      <c r="U55" s="244">
        <f>-psi_t-SQRT(psi_t^2-2*Tabella34[[#This Row],[c_t]])</f>
        <v>-4.2270754601308127</v>
      </c>
      <c r="V55" s="244">
        <f>phi_t-LN(alpha*Kt/(Tabella34[[#This Row],[Italy velocity]]*psi_t*SQRTPI(2)))</f>
        <v>-8.8273103477742634</v>
      </c>
      <c r="W55" s="244" t="e">
        <f>Tabella34[[#This Row],[Italy g.r.]]/Italy_gr_at_lockdown</f>
        <v>#DIV/0!</v>
      </c>
      <c r="X55" s="244">
        <f>(ACOSH(SQRT(alpha*Kf*psi_f/(Tabella34[[#This Row],[Italy velocity]]*(1+TANH(phi_f)))))+phi_f)/psi_f-(Tabella34[[#This Row],[Day]]-pf)</f>
        <v>163.74088678040903</v>
      </c>
      <c r="Y55" s="244">
        <f>Tabella34[[#This Row],[Italy h.t.]]/Italy_ht_at_lockdown</f>
        <v>1.3787819507197885</v>
      </c>
      <c r="Z55" s="72">
        <f>-2*$BY$48*TANH($BY$48*(Tabella34[[#This Row],[Day]]-$BY$57)-$BY$47)*Tabella34[[#This Row],[Italy velocity]]</f>
        <v>13.329800775254826</v>
      </c>
      <c r="AA55" s="72">
        <f>Tabella34[[#This Row],[Italy acc. fit]]/Itali_acc_at_lockdown</f>
        <v>0.38084787597533759</v>
      </c>
      <c r="AB55" s="143">
        <f>Tabella34[[#This Row],[Italy acc. fit]]/y_f_peak</f>
        <v>4.219640926403396E-3</v>
      </c>
      <c r="AC55" s="143">
        <f>Tabella34[[#This Row],[Italy (fit of selected region + fitted sum of the other regions)]]*NOT(ISBLANK(Tabella34[[#This Row],[Italy rate data]]))</f>
        <v>13.215723530763785</v>
      </c>
      <c r="AD55" s="143">
        <f>Tabella34[[#This Row],[Italy acc. fit]]*NOT(ISBLANK(Tabella34[[#This Row],[Italy rate data]]))</f>
        <v>13.329800775254826</v>
      </c>
      <c r="AE55" s="77">
        <f>Tabella34[[#This Row],[Italy acc. fit]]+CIf</f>
        <v>1668.5397696990062</v>
      </c>
      <c r="AF55" s="77">
        <f>MAX(Tabella34[[#This Row],[Italy acc. fit]]-CIf,0)</f>
        <v>0</v>
      </c>
      <c r="AG55" s="141"/>
      <c r="AH55" s="33"/>
      <c r="AI55" s="33"/>
      <c r="AJ55" s="142">
        <f>Tabella34[[#This Row],[selected region rate data]]*NOT(ISBLANK(Tabella34[[#This Row],[selected region rate data]]))</f>
        <v>0</v>
      </c>
      <c r="AK55" s="147">
        <f>Tabella8[[#This Row],[region fit]]</f>
        <v>0</v>
      </c>
      <c r="AL55" s="143">
        <f>(ATANH(alpha*Tabella34[[#This Row],[sel. region cumul. fit]]/Kl-(1-alpha*Tabella34[[#This Row],[sel. region cumul. fit]]/Kl)*TANH(phi_l))+phi_l)/psi_l-(Tabella34[[#This Row],[Day]]-pl)</f>
        <v>28.356483051343162</v>
      </c>
      <c r="AM55" s="142">
        <f>Tabella34[[#This Row],[sel. region cumul. fit]]/Kl</f>
        <v>0</v>
      </c>
      <c r="AN55" s="143">
        <f>Tabella3[[#This Row],[region fit]]</f>
        <v>19.479596099292259</v>
      </c>
      <c r="AO55" s="183" t="e">
        <f>Tabella34[[#This Row],[sel. region velocity]]/Tabella34[[#This Row],[sel. region cumul. fit]]</f>
        <v>#DIV/0!</v>
      </c>
      <c r="AP55" s="236" t="e">
        <f>(LN(Tabella34[[#This Row],[Day]]-pr)-phi_r)/psi_r</f>
        <v>#NUM!</v>
      </c>
      <c r="AQ55" s="244">
        <f>EXP(phi_r+psi_r*Tabella34[[#This Row],[x_r_alpha©+plus]])-(Tabella34[[#This Row],[Day]]-pr)</f>
        <v>31.623667822035863</v>
      </c>
      <c r="AR55" s="244">
        <f>EXP(phi_r+psi_r*Tabella34[[#This Row],[x_r_alpha©-minus]])-(Tabella34[[#This Row],[Day]]-pr)</f>
        <v>31.107831084766033</v>
      </c>
      <c r="AS55" s="244">
        <f>-psi_r+SQRT(psi_r^2-2*Tabella34[[#This Row],[c_r]])</f>
        <v>4.245087849111771</v>
      </c>
      <c r="AT55" s="244">
        <f>-psi_r-SQRT(psi_r^2-2*Tabella34[[#This Row],[c_r]])</f>
        <v>-4.2853758587781083</v>
      </c>
      <c r="AU55" s="244">
        <f>phi_r-LN(alpha*Kr/(Tabella34[[#This Row],[sel. region velocity]]*psi_r*SQRTPI(2)))</f>
        <v>-9.0958984934879332</v>
      </c>
      <c r="AV55" s="244">
        <f>(ACOSH(SQRT(alpha*Kl*psi_l/(Tabella34[[#This Row],[sel. region velocity]]*(1+TANH(phi_l)))))+phi_l)/psi_l-(Tabella34[[#This Row],[Day]]-pl)</f>
        <v>183.86195674302138</v>
      </c>
      <c r="AW55" s="72">
        <f>-2*$BY$22*TANH($BY$22*(Tabella34[[#This Row],[Day]]-$BY$31)-$BY$21)*Tabella34[[#This Row],[sel. region velocity]]</f>
        <v>0.73103778419081444</v>
      </c>
      <c r="AX55" s="143">
        <f>Tabella34[[#This Row],[sel. region acc. fit]]/y_l_peak</f>
        <v>4.965115531562367E-3</v>
      </c>
      <c r="AY55" s="143">
        <f>Tabella34[[#This Row],[sel. region acc. fit]]*NOT(ISBLANK(Tabella34[[#This Row],[selected region rate data]]))</f>
        <v>0</v>
      </c>
      <c r="AZ55" s="77">
        <f>Tabella34[[#This Row],[sel. region acc. fit]]+CIl</f>
        <v>70.096024159291218</v>
      </c>
      <c r="BA55" s="77">
        <f>MAX(Tabella34[[#This Row],[sel. region acc. fit]]-CIl,0)</f>
        <v>0</v>
      </c>
      <c r="BB55" s="141"/>
      <c r="BC55" s="33"/>
      <c r="BD55" s="33"/>
      <c r="BE55" s="142">
        <f>Tabella34[[#This Row],[rest of Italy rate data]]*NOT(ISBLANK(Tabella34[[#This Row],[rest of Italy rate data]]))</f>
        <v>0</v>
      </c>
      <c r="BF55" s="188">
        <f>Tabella8[[#This Row],[rest of Italy fit]]</f>
        <v>0</v>
      </c>
      <c r="BG55" s="78">
        <f>(ATANH(alpha*Tabella34[[#This Row],[rest of Italy cumul. fit]]/Ka-(1-alpha*Tabella34[[#This Row],[rest of Italy cumul. fit]]/Ka)*TANH(phi_a))+phi_a)/psi_a-(Tabella34[[#This Row],[Day]]-pa)</f>
        <v>19.882529907638357</v>
      </c>
      <c r="BH55" s="143">
        <f>Tabella34[[#This Row],[rest of Italy cumul. fit]]/Ka</f>
        <v>0</v>
      </c>
      <c r="BI55" s="143">
        <f>Tabella3[[#This Row],[rest of Italy fit]]</f>
        <v>254.2423289676918</v>
      </c>
      <c r="BJ55" s="183" t="e">
        <f>Tabella34[[#This Row],[rest of Italy velocity]]/Tabella34[[#This Row],[rest of Italy cumul. fit]]</f>
        <v>#DIV/0!</v>
      </c>
      <c r="BK55" s="236" t="e">
        <f>(LN(Tabella34[[#This Row],[Day]]-po)-phi_o)/psi_o</f>
        <v>#NUM!</v>
      </c>
      <c r="BL55" s="244">
        <f>EXP(phi_o+psi_o*Tabella34[[#This Row],[x_o_alpha©+plus]])-(Tabella34[[#This Row],[Day]]-po)</f>
        <v>24.389350262066497</v>
      </c>
      <c r="BM55" s="244">
        <f>EXP(phi_o+psi_o*Tabella34[[#This Row],[x_o_alpha©-minus]])-(Tabella34[[#This Row],[Day]]-po)</f>
        <v>23.51601994869673</v>
      </c>
      <c r="BN55" s="244">
        <f>-psi_o+SQRT(psi_o^2-2*Tabella34[[#This Row],[c_o]])</f>
        <v>4.1720527142236241</v>
      </c>
      <c r="BO55" s="244">
        <f>-psi_o-SQRT(psi_o^2-2*Tabella34[[#This Row],[c_o]])</f>
        <v>-4.2233659984912775</v>
      </c>
      <c r="BP55" s="244">
        <f>phi_o-LN(alpha*Ko/(Tabella34[[#This Row],[rest of Italy velocity]]*psi_o*SQRTPI(2)))</f>
        <v>-8.8100527885826505</v>
      </c>
      <c r="BQ55" s="244">
        <f>(ACOSH(SQRT(alpha*Ka*psi_a/(Tabella34[[#This Row],[rest of Italy velocity]]*(1+TANH(phi_a)))))+phi_a)/psi_a-(Tabella34[[#This Row],[Day]]-pa)</f>
        <v>162.72457438542648</v>
      </c>
      <c r="BR55" s="72">
        <f>-2*$BY$35*TANH($BY$35*(Tabella34[[#This Row],[Day]]-$BY$44)-$BY$34)*Tabella34[[#This Row],[rest of Italy velocity]]</f>
        <v>12.484685746572971</v>
      </c>
      <c r="BS55" s="143">
        <f>Tabella34[[#This Row],[rest of Italy acc. fit]]/y_a_peak</f>
        <v>4.134757114600136E-3</v>
      </c>
      <c r="BT55" s="142">
        <f>Tabella34[[#This Row],[rest of Italy acc. fit]]*NOT(ISBLANK(Tabella34[[#This Row],[rest of Italy rate data]]))</f>
        <v>0</v>
      </c>
      <c r="BU55" s="77">
        <f>Tabella34[[#This Row],[rest of Italy acc. fit]]+CIa</f>
        <v>1646.6186257003744</v>
      </c>
      <c r="BV55" s="77">
        <f>MAX(Tabella34[[#This Row],[rest of Italy acc. fit]]-CIa,0)</f>
        <v>0</v>
      </c>
      <c r="BX55" s="231" t="s">
        <v>299</v>
      </c>
      <c r="BY55" s="232">
        <f>Kf*_xlfn.LOGNORM.DIST(EXP(phi_f-psi_f^2),phi_f,psi_f,FALSE)</f>
        <v>941891.43991623307</v>
      </c>
    </row>
    <row r="56" spans="2:79" x14ac:dyDescent="0.3">
      <c r="B56" s="262">
        <v>43879</v>
      </c>
      <c r="C56" s="4">
        <v>49</v>
      </c>
      <c r="D56" s="10">
        <f>Tabella8[[#This Row],[Italy cumulative]]</f>
        <v>0</v>
      </c>
      <c r="E56" s="72">
        <f>(Tabella34[[#This Row],[Italy cumul. data]]-D55)</f>
        <v>0</v>
      </c>
      <c r="F56" s="72">
        <f>Tabella34[[#This Row],[Italy rate data]]-E55</f>
        <v>0</v>
      </c>
      <c r="G56" s="142">
        <f>Tabella34[[#This Row],[Italy rate data]]*NOT(ISBLANK(Tabella34[[#This Row],[Italy rate data]]))</f>
        <v>0</v>
      </c>
      <c r="H56" s="143">
        <f>Tabella8[[#This Row],[Italy fit]]</f>
        <v>0</v>
      </c>
      <c r="I56" s="143">
        <f>(ATANH(alpha*Tabella34[[#This Row],[Italy cumul. Fit]]/Kf-(1-alpha*Tabella34[[#This Row],[Italy cumul. Fit]]/Kf)*TANH(phi_f))+phi_f)/psi_f-(Tabella34[[#This Row],[Day]]-pf)</f>
        <v>19.480394693650979</v>
      </c>
      <c r="J56" s="143">
        <f>Tabella34[[#This Row],[Italy d.t.]]/Italy_dt_at_lockdown</f>
        <v>8.5826137113171672</v>
      </c>
      <c r="K56" s="143">
        <f>Tabella34[[#This Row],[Italy cumul. Fit]]/Kf</f>
        <v>0</v>
      </c>
      <c r="L56" s="146">
        <f>Tabella34[[#This Row],[sel. region acc. fit]]+Tabella34[[#This Row],[rest of Italy acc. fit]]</f>
        <v>13.838716061185831</v>
      </c>
      <c r="M56" s="143">
        <f>Tabella34[[#This Row],[Italy (fit of selected region + fitted sum of the other regions)]]/(y_l_peak+y_a_peak)</f>
        <v>4.3700980496613412E-3</v>
      </c>
      <c r="N56" s="143">
        <f>Tabella3[[#This Row],[Italy remov. rate fit]]</f>
        <v>289.85071158920027</v>
      </c>
      <c r="O56" s="143" t="e">
        <f>Kt*EXP(-0.5*Tabella34[[#This Row],[x_t]]^2)/(psi_t*SQRTPI(2)*(Tabella34[[#This Row],[Day]]-D_bk))</f>
        <v>#NUM!</v>
      </c>
      <c r="P56" s="183" t="e">
        <f>Tabella34[[#This Row],[Italy velocity]]/Tabella34[[#This Row],[Italy cumul. Fit]]</f>
        <v>#DIV/0!</v>
      </c>
      <c r="Q56" s="244" t="e">
        <f>(LN(Tabella34[[#This Row],[Day]]-D_bk)-phi_t)/psi_t</f>
        <v>#NUM!</v>
      </c>
      <c r="R56" s="244">
        <f>EXP(phi_t+psi_t*Tabella34[[#This Row],[x_t_alpha©+plus]])-(Tabella34[[#This Row],[Day]]-D_bk)</f>
        <v>23.859490488581606</v>
      </c>
      <c r="S56" s="244">
        <f>EXP(phi_t+psi_t*Tabella34[[#This Row],[x_t_alpha©-minus]])-(Tabella34[[#This Row],[Day]]-D_bk)</f>
        <v>23.024027512863821</v>
      </c>
      <c r="T56" s="244">
        <f>-psi_t+SQRT(psi_t^2-2*Tabella34[[#This Row],[c_t]])</f>
        <v>4.1650691653867735</v>
      </c>
      <c r="U56" s="244">
        <f>-psi_t-SQRT(psi_t^2-2*Tabella34[[#This Row],[c_t]])</f>
        <v>-4.2155878400841456</v>
      </c>
      <c r="V56" s="244">
        <f>phi_t-LN(alpha*Kt/(Tabella34[[#This Row],[Italy velocity]]*psi_t*SQRTPI(2)))</f>
        <v>-8.7791074633569526</v>
      </c>
      <c r="W56" s="244" t="e">
        <f>Tabella34[[#This Row],[Italy g.r.]]/Italy_gr_at_lockdown</f>
        <v>#DIV/0!</v>
      </c>
      <c r="X56" s="244">
        <f>(ACOSH(SQRT(alpha*Kf*psi_f/(Tabella34[[#This Row],[Italy velocity]]*(1+TANH(phi_f)))))+phi_f)/psi_f-(Tabella34[[#This Row],[Day]]-pf)</f>
        <v>161.76461331770327</v>
      </c>
      <c r="Y56" s="244">
        <f>Tabella34[[#This Row],[Italy h.t.]]/Italy_ht_at_lockdown</f>
        <v>1.3621407181379748</v>
      </c>
      <c r="Z56" s="72">
        <f>-2*$BY$48*TANH($BY$48*(Tabella34[[#This Row],[Day]]-$BY$57)-$BY$47)*Tabella34[[#This Row],[Italy velocity]]</f>
        <v>13.954941039909343</v>
      </c>
      <c r="AA56" s="72">
        <f>Tabella34[[#This Row],[Italy acc. fit]]/Itali_acc_at_lockdown</f>
        <v>0.39870885874578577</v>
      </c>
      <c r="AB56" s="143">
        <f>Tabella34[[#This Row],[Italy acc. fit]]/y_f_peak</f>
        <v>4.4175334148174568E-3</v>
      </c>
      <c r="AC56" s="143">
        <f>Tabella34[[#This Row],[Italy (fit of selected region + fitted sum of the other regions)]]*NOT(ISBLANK(Tabella34[[#This Row],[Italy rate data]]))</f>
        <v>13.838716061185831</v>
      </c>
      <c r="AD56" s="143">
        <f>Tabella34[[#This Row],[Italy acc. fit]]*NOT(ISBLANK(Tabella34[[#This Row],[Italy rate data]]))</f>
        <v>13.954941039909343</v>
      </c>
      <c r="AE56" s="77">
        <f>Tabella34[[#This Row],[Italy acc. fit]]+CIf</f>
        <v>1669.1649099636606</v>
      </c>
      <c r="AF56" s="77">
        <f>MAX(Tabella34[[#This Row],[Italy acc. fit]]-CIf,0)</f>
        <v>0</v>
      </c>
      <c r="AG56" s="141"/>
      <c r="AH56" s="33"/>
      <c r="AI56" s="33"/>
      <c r="AJ56" s="142">
        <f>Tabella34[[#This Row],[selected region rate data]]*NOT(ISBLANK(Tabella34[[#This Row],[selected region rate data]]))</f>
        <v>0</v>
      </c>
      <c r="AK56" s="147">
        <f>Tabella8[[#This Row],[region fit]]</f>
        <v>0</v>
      </c>
      <c r="AL56" s="143">
        <f>(ATANH(alpha*Tabella34[[#This Row],[sel. region cumul. fit]]/Kl-(1-alpha*Tabella34[[#This Row],[sel. region cumul. fit]]/Kl)*TANH(phi_l))+phi_l)/psi_l-(Tabella34[[#This Row],[Day]]-pl)</f>
        <v>27.356483051343162</v>
      </c>
      <c r="AM56" s="142">
        <f>Tabella34[[#This Row],[sel. region cumul. fit]]/Kl</f>
        <v>0</v>
      </c>
      <c r="AN56" s="143">
        <f>Tabella3[[#This Row],[region fit]]</f>
        <v>20.223424990849605</v>
      </c>
      <c r="AO56" s="183" t="e">
        <f>Tabella34[[#This Row],[sel. region velocity]]/Tabella34[[#This Row],[sel. region cumul. fit]]</f>
        <v>#DIV/0!</v>
      </c>
      <c r="AP56" s="236" t="e">
        <f>(LN(Tabella34[[#This Row],[Day]]-pr)-phi_r)/psi_r</f>
        <v>#NUM!</v>
      </c>
      <c r="AQ56" s="244">
        <f>EXP(phi_r+psi_r*Tabella34[[#This Row],[x_r_alpha©+plus]])-(Tabella34[[#This Row],[Day]]-pr)</f>
        <v>30.623089037798529</v>
      </c>
      <c r="AR56" s="244">
        <f>EXP(phi_r+psi_r*Tabella34[[#This Row],[x_r_alpha©-minus]])-(Tabella34[[#This Row],[Day]]-pr)</f>
        <v>30.108318574496892</v>
      </c>
      <c r="AS56" s="244">
        <f>-psi_r+SQRT(psi_r^2-2*Tabella34[[#This Row],[c_r]])</f>
        <v>4.2362928529831931</v>
      </c>
      <c r="AT56" s="244">
        <f>-psi_r-SQRT(psi_r^2-2*Tabella34[[#This Row],[c_r]])</f>
        <v>-4.2765808626495305</v>
      </c>
      <c r="AU56" s="244">
        <f>phi_r-LN(alpha*Kr/(Tabella34[[#This Row],[sel. region velocity]]*psi_r*SQRTPI(2)))</f>
        <v>-9.0584244718234501</v>
      </c>
      <c r="AV56" s="244">
        <f>(ACOSH(SQRT(alpha*Kl*psi_l/(Tabella34[[#This Row],[sel. region velocity]]*(1+TANH(phi_l)))))+phi_l)/psi_l-(Tabella34[[#This Row],[Day]]-pl)</f>
        <v>181.89877461307839</v>
      </c>
      <c r="AW56" s="72">
        <f>-2*$BY$22*TANH($BY$22*(Tabella34[[#This Row],[Day]]-$BY$31)-$BY$21)*Tabella34[[#This Row],[sel. region velocity]]</f>
        <v>0.75673983205656636</v>
      </c>
      <c r="AX56" s="143">
        <f>Tabella34[[#This Row],[sel. region acc. fit]]/y_l_peak</f>
        <v>5.1396805674756062E-3</v>
      </c>
      <c r="AY56" s="143">
        <f>Tabella34[[#This Row],[sel. region acc. fit]]*NOT(ISBLANK(Tabella34[[#This Row],[selected region rate data]]))</f>
        <v>0</v>
      </c>
      <c r="AZ56" s="77">
        <f>Tabella34[[#This Row],[sel. region acc. fit]]+CIl</f>
        <v>70.121726207156968</v>
      </c>
      <c r="BA56" s="77">
        <f>MAX(Tabella34[[#This Row],[sel. region acc. fit]]-CIl,0)</f>
        <v>0</v>
      </c>
      <c r="BB56" s="141"/>
      <c r="BC56" s="33"/>
      <c r="BD56" s="33"/>
      <c r="BE56" s="142">
        <f>Tabella34[[#This Row],[rest of Italy rate data]]*NOT(ISBLANK(Tabella34[[#This Row],[rest of Italy rate data]]))</f>
        <v>0</v>
      </c>
      <c r="BF56" s="188">
        <f>Tabella8[[#This Row],[rest of Italy fit]]</f>
        <v>0</v>
      </c>
      <c r="BG56" s="78">
        <f>(ATANH(alpha*Tabella34[[#This Row],[rest of Italy cumul. fit]]/Ka-(1-alpha*Tabella34[[#This Row],[rest of Italy cumul. fit]]/Ka)*TANH(phi_a))+phi_a)/psi_a-(Tabella34[[#This Row],[Day]]-pa)</f>
        <v>18.882529907638357</v>
      </c>
      <c r="BH56" s="143">
        <f>Tabella34[[#This Row],[rest of Italy cumul. fit]]/Ka</f>
        <v>0</v>
      </c>
      <c r="BI56" s="143">
        <f>Tabella3[[#This Row],[rest of Italy fit]]</f>
        <v>267.02358169442857</v>
      </c>
      <c r="BJ56" s="183" t="e">
        <f>Tabella34[[#This Row],[rest of Italy velocity]]/Tabella34[[#This Row],[rest of Italy cumul. fit]]</f>
        <v>#DIV/0!</v>
      </c>
      <c r="BK56" s="236" t="e">
        <f>(LN(Tabella34[[#This Row],[Day]]-po)-phi_o)/psi_o</f>
        <v>#NUM!</v>
      </c>
      <c r="BL56" s="244">
        <f>EXP(phi_o+psi_o*Tabella34[[#This Row],[x_o_alpha©+plus]])-(Tabella34[[#This Row],[Day]]-po)</f>
        <v>23.387997475202212</v>
      </c>
      <c r="BM56" s="244">
        <f>EXP(phi_o+psi_o*Tabella34[[#This Row],[x_o_alpha©-minus]])-(Tabella34[[#This Row],[Day]]-po)</f>
        <v>22.517110920393971</v>
      </c>
      <c r="BN56" s="244">
        <f>-psi_o+SQRT(psi_o^2-2*Tabella34[[#This Row],[c_o]])</f>
        <v>4.1603516732012809</v>
      </c>
      <c r="BO56" s="244">
        <f>-psi_o-SQRT(psi_o^2-2*Tabella34[[#This Row],[c_o]])</f>
        <v>-4.2116649574689342</v>
      </c>
      <c r="BP56" s="244">
        <f>phi_o-LN(alpha*Ko/(Tabella34[[#This Row],[rest of Italy velocity]]*psi_o*SQRTPI(2)))</f>
        <v>-8.76100367638454</v>
      </c>
      <c r="BQ56" s="244">
        <f>(ACOSH(SQRT(alpha*Ka*psi_a/(Tabella34[[#This Row],[rest of Italy velocity]]*(1+TANH(phi_a)))))+phi_a)/psi_a-(Tabella34[[#This Row],[Day]]-pa)</f>
        <v>160.74738315324475</v>
      </c>
      <c r="BR56" s="72">
        <f>-2*$BY$35*TANH($BY$35*(Tabella34[[#This Row],[Day]]-$BY$44)-$BY$34)*Tabella34[[#This Row],[rest of Italy velocity]]</f>
        <v>13.081976229129264</v>
      </c>
      <c r="BS56" s="143">
        <f>Tabella34[[#This Row],[rest of Italy acc. fit]]/y_a_peak</f>
        <v>4.3325715508113552E-3</v>
      </c>
      <c r="BT56" s="142">
        <f>Tabella34[[#This Row],[rest of Italy acc. fit]]*NOT(ISBLANK(Tabella34[[#This Row],[rest of Italy rate data]]))</f>
        <v>0</v>
      </c>
      <c r="BU56" s="77">
        <f>Tabella34[[#This Row],[rest of Italy acc. fit]]+CIa</f>
        <v>1647.2159161829306</v>
      </c>
      <c r="BV56" s="77">
        <f>MAX(Tabella34[[#This Row],[rest of Italy acc. fit]]-CIa,0)</f>
        <v>0</v>
      </c>
      <c r="BX56" s="231" t="s">
        <v>128</v>
      </c>
      <c r="BY56" s="233">
        <f>_xlfn.XLOOKUP(ROUND(EXP(phi_f-psi_f^2),0),Tabella34[Day],Tabella34[Date])</f>
        <v>43834</v>
      </c>
    </row>
    <row r="57" spans="2:79" x14ac:dyDescent="0.3">
      <c r="B57" s="262">
        <v>43880</v>
      </c>
      <c r="C57" s="4">
        <v>50</v>
      </c>
      <c r="D57" s="10">
        <f>Tabella8[[#This Row],[Italy cumulative]]</f>
        <v>0</v>
      </c>
      <c r="E57" s="72">
        <f>(Tabella34[[#This Row],[Italy cumul. data]]-D56)</f>
        <v>0</v>
      </c>
      <c r="F57" s="72">
        <f>Tabella34[[#This Row],[Italy rate data]]-E56</f>
        <v>0</v>
      </c>
      <c r="G57" s="142">
        <f>Tabella34[[#This Row],[Italy rate data]]*NOT(ISBLANK(Tabella34[[#This Row],[Italy rate data]]))</f>
        <v>0</v>
      </c>
      <c r="H57" s="143">
        <f>Tabella8[[#This Row],[Italy fit]]</f>
        <v>0</v>
      </c>
      <c r="I57" s="143">
        <f>(ATANH(alpha*Tabella34[[#This Row],[Italy cumul. Fit]]/Kf-(1-alpha*Tabella34[[#This Row],[Italy cumul. Fit]]/Kf)*TANH(phi_f))+phi_f)/psi_f-(Tabella34[[#This Row],[Day]]-pf)</f>
        <v>18.480394693650979</v>
      </c>
      <c r="J57" s="143">
        <f>Tabella34[[#This Row],[Italy d.t.]]/Italy_dt_at_lockdown</f>
        <v>8.1420367185874252</v>
      </c>
      <c r="K57" s="143">
        <f>Tabella34[[#This Row],[Italy cumul. Fit]]/Kf</f>
        <v>0</v>
      </c>
      <c r="L57" s="146">
        <f>Tabella34[[#This Row],[sel. region acc. fit]]+Tabella34[[#This Row],[rest of Italy acc. fit]]</f>
        <v>14.487736507745254</v>
      </c>
      <c r="M57" s="143">
        <f>Tabella34[[#This Row],[Italy (fit of selected region + fitted sum of the other regions)]]/(y_l_peak+y_a_peak)</f>
        <v>4.5750508050440997E-3</v>
      </c>
      <c r="N57" s="143">
        <f>Tabella3[[#This Row],[Italy remov. rate fit]]</f>
        <v>304.12894755510166</v>
      </c>
      <c r="O57" s="143" t="e">
        <f>Kt*EXP(-0.5*Tabella34[[#This Row],[x_t]]^2)/(psi_t*SQRTPI(2)*(Tabella34[[#This Row],[Day]]-D_bk))</f>
        <v>#NUM!</v>
      </c>
      <c r="P57" s="183" t="e">
        <f>Tabella34[[#This Row],[Italy velocity]]/Tabella34[[#This Row],[Italy cumul. Fit]]</f>
        <v>#DIV/0!</v>
      </c>
      <c r="Q57" s="244" t="e">
        <f>(LN(Tabella34[[#This Row],[Day]]-D_bk)-phi_t)/psi_t</f>
        <v>#NUM!</v>
      </c>
      <c r="R57" s="244">
        <f>EXP(phi_t+psi_t*Tabella34[[#This Row],[x_t_alpha©+plus]])-(Tabella34[[#This Row],[Day]]-D_bk)</f>
        <v>22.858219598930859</v>
      </c>
      <c r="S57" s="244">
        <f>EXP(phi_t+psi_t*Tabella34[[#This Row],[x_t_alpha©-minus]])-(Tabella34[[#This Row],[Day]]-D_bk)</f>
        <v>22.025056235202751</v>
      </c>
      <c r="T57" s="244">
        <f>-psi_t+SQRT(psi_t^2-2*Tabella34[[#This Row],[c_t]])</f>
        <v>4.1535779895081877</v>
      </c>
      <c r="U57" s="244">
        <f>-psi_t-SQRT(psi_t^2-2*Tabella34[[#This Row],[c_t]])</f>
        <v>-4.2040966642055597</v>
      </c>
      <c r="V57" s="244">
        <f>phi_t-LN(alpha*Kt/(Tabella34[[#This Row],[Italy velocity]]*psi_t*SQRTPI(2)))</f>
        <v>-8.731021685104503</v>
      </c>
      <c r="W57" s="244" t="e">
        <f>Tabella34[[#This Row],[Italy g.r.]]/Italy_gr_at_lockdown</f>
        <v>#DIV/0!</v>
      </c>
      <c r="X57" s="244">
        <f>(ACOSH(SQRT(alpha*Kf*psi_f/(Tabella34[[#This Row],[Italy velocity]]*(1+TANH(phi_f)))))+phi_f)/psi_f-(Tabella34[[#This Row],[Day]]-pf)</f>
        <v>159.78958353866102</v>
      </c>
      <c r="Y57" s="244">
        <f>Tabella34[[#This Row],[Italy h.t.]]/Italy_ht_at_lockdown</f>
        <v>1.3455099580082248</v>
      </c>
      <c r="Z57" s="72">
        <f>-2*$BY$48*TANH($BY$48*(Tabella34[[#This Row],[Day]]-$BY$57)-$BY$47)*Tabella34[[#This Row],[Italy velocity]]</f>
        <v>14.60589134205669</v>
      </c>
      <c r="AA57" s="72">
        <f>Tabella34[[#This Row],[Italy acc. fit]]/Itali_acc_at_lockdown</f>
        <v>0.4173072642372273</v>
      </c>
      <c r="AB57" s="143">
        <f>Tabella34[[#This Row],[Italy acc. fit]]/y_f_peak</f>
        <v>4.6235962496870269E-3</v>
      </c>
      <c r="AC57" s="143">
        <f>Tabella34[[#This Row],[Italy (fit of selected region + fitted sum of the other regions)]]*NOT(ISBLANK(Tabella34[[#This Row],[Italy rate data]]))</f>
        <v>14.487736507745254</v>
      </c>
      <c r="AD57" s="143">
        <f>Tabella34[[#This Row],[Italy acc. fit]]*NOT(ISBLANK(Tabella34[[#This Row],[Italy rate data]]))</f>
        <v>14.60589134205669</v>
      </c>
      <c r="AE57" s="77">
        <f>Tabella34[[#This Row],[Italy acc. fit]]+CIf</f>
        <v>1669.8158602658082</v>
      </c>
      <c r="AF57" s="77">
        <f>MAX(Tabella34[[#This Row],[Italy acc. fit]]-CIf,0)</f>
        <v>0</v>
      </c>
      <c r="AG57" s="141"/>
      <c r="AH57" s="33"/>
      <c r="AI57" s="33"/>
      <c r="AJ57" s="142">
        <f>Tabella34[[#This Row],[selected region rate data]]*NOT(ISBLANK(Tabella34[[#This Row],[selected region rate data]]))</f>
        <v>0</v>
      </c>
      <c r="AK57" s="147">
        <f>Tabella8[[#This Row],[region fit]]</f>
        <v>0</v>
      </c>
      <c r="AL57" s="143">
        <f>(ATANH(alpha*Tabella34[[#This Row],[sel. region cumul. fit]]/Kl-(1-alpha*Tabella34[[#This Row],[sel. region cumul. fit]]/Kl)*TANH(phi_l))+phi_l)/psi_l-(Tabella34[[#This Row],[Day]]-pl)</f>
        <v>26.356483051343162</v>
      </c>
      <c r="AM57" s="142">
        <f>Tabella34[[#This Row],[sel. region cumul. fit]]/Kl</f>
        <v>0</v>
      </c>
      <c r="AN57" s="143">
        <f>Tabella3[[#This Row],[region fit]]</f>
        <v>20.99331645909707</v>
      </c>
      <c r="AO57" s="183" t="e">
        <f>Tabella34[[#This Row],[sel. region velocity]]/Tabella34[[#This Row],[sel. region cumul. fit]]</f>
        <v>#DIV/0!</v>
      </c>
      <c r="AP57" s="236" t="e">
        <f>(LN(Tabella34[[#This Row],[Day]]-pr)-phi_r)/psi_r</f>
        <v>#NUM!</v>
      </c>
      <c r="AQ57" s="244">
        <f>EXP(phi_r+psi_r*Tabella34[[#This Row],[x_r_alpha©+plus]])-(Tabella34[[#This Row],[Day]]-pr)</f>
        <v>29.622510884757016</v>
      </c>
      <c r="AR57" s="244">
        <f>EXP(phi_r+psi_r*Tabella34[[#This Row],[x_r_alpha©-minus]])-(Tabella34[[#This Row],[Day]]-pr)</f>
        <v>29.108805705090568</v>
      </c>
      <c r="AS57" s="244">
        <f>-psi_r+SQRT(psi_r^2-2*Tabella34[[#This Row],[c_r]])</f>
        <v>4.2275058923725641</v>
      </c>
      <c r="AT57" s="244">
        <f>-psi_r-SQRT(psi_r^2-2*Tabella34[[#This Row],[c_r]])</f>
        <v>-4.2677939020389015</v>
      </c>
      <c r="AU57" s="244">
        <f>phi_r-LN(alpha*Kr/(Tabella34[[#This Row],[sel. region velocity]]*psi_r*SQRTPI(2)))</f>
        <v>-9.0210619341505769</v>
      </c>
      <c r="AV57" s="244">
        <f>(ACOSH(SQRT(alpha*Kl*psi_l/(Tabella34[[#This Row],[sel. region velocity]]*(1+TANH(phi_l)))))+phi_l)/psi_l-(Tabella34[[#This Row],[Day]]-pl)</f>
        <v>179.93713196273316</v>
      </c>
      <c r="AW57" s="72">
        <f>-2*$BY$22*TANH($BY$22*(Tabella34[[#This Row],[Day]]-$BY$31)-$BY$21)*Tabella34[[#This Row],[sel. region velocity]]</f>
        <v>0.78316392473012186</v>
      </c>
      <c r="AX57" s="143">
        <f>Tabella34[[#This Row],[sel. region acc. fit]]/y_l_peak</f>
        <v>5.3191496397700534E-3</v>
      </c>
      <c r="AY57" s="143">
        <f>Tabella34[[#This Row],[sel. region acc. fit]]*NOT(ISBLANK(Tabella34[[#This Row],[selected region rate data]]))</f>
        <v>0</v>
      </c>
      <c r="AZ57" s="77">
        <f>Tabella34[[#This Row],[sel. region acc. fit]]+CIl</f>
        <v>70.148150299830519</v>
      </c>
      <c r="BA57" s="77">
        <f>MAX(Tabella34[[#This Row],[sel. region acc. fit]]-CIl,0)</f>
        <v>0</v>
      </c>
      <c r="BB57" s="141"/>
      <c r="BC57" s="33"/>
      <c r="BD57" s="33"/>
      <c r="BE57" s="142">
        <f>Tabella34[[#This Row],[rest of Italy rate data]]*NOT(ISBLANK(Tabella34[[#This Row],[rest of Italy rate data]]))</f>
        <v>0</v>
      </c>
      <c r="BF57" s="188">
        <f>Tabella8[[#This Row],[rest of Italy fit]]</f>
        <v>0</v>
      </c>
      <c r="BG57" s="78">
        <f>(ATANH(alpha*Tabella34[[#This Row],[rest of Italy cumul. fit]]/Ka-(1-alpha*Tabella34[[#This Row],[rest of Italy cumul. fit]]/Ka)*TANH(phi_a))+phi_a)/psi_a-(Tabella34[[#This Row],[Day]]-pa)</f>
        <v>17.882529907638357</v>
      </c>
      <c r="BH57" s="143">
        <f>Tabella34[[#This Row],[rest of Italy cumul. fit]]/Ka</f>
        <v>0</v>
      </c>
      <c r="BI57" s="143">
        <f>Tabella3[[#This Row],[rest of Italy fit]]</f>
        <v>280.41471686840629</v>
      </c>
      <c r="BJ57" s="183" t="e">
        <f>Tabella34[[#This Row],[rest of Italy velocity]]/Tabella34[[#This Row],[rest of Italy cumul. fit]]</f>
        <v>#DIV/0!</v>
      </c>
      <c r="BK57" s="236" t="e">
        <f>(LN(Tabella34[[#This Row],[Day]]-po)-phi_o)/psi_o</f>
        <v>#NUM!</v>
      </c>
      <c r="BL57" s="244">
        <f>EXP(phi_o+psi_o*Tabella34[[#This Row],[x_o_alpha©+plus]])-(Tabella34[[#This Row],[Day]]-po)</f>
        <v>22.386644527827137</v>
      </c>
      <c r="BM57" s="244">
        <f>EXP(phi_o+psi_o*Tabella34[[#This Row],[x_o_alpha©-minus]])-(Tabella34[[#This Row],[Day]]-po)</f>
        <v>21.518202676988857</v>
      </c>
      <c r="BN57" s="244">
        <f>-psi_o+SQRT(psi_o^2-2*Tabella34[[#This Row],[c_o]])</f>
        <v>4.1486457293845431</v>
      </c>
      <c r="BO57" s="244">
        <f>-psi_o-SQRT(psi_o^2-2*Tabella34[[#This Row],[c_o]])</f>
        <v>-4.1999590136521965</v>
      </c>
      <c r="BP57" s="244">
        <f>phi_o-LN(alpha*Ko/(Tabella34[[#This Row],[rest of Italy velocity]]*psi_o*SQRTPI(2)))</f>
        <v>-8.712071012789151</v>
      </c>
      <c r="BQ57" s="244">
        <f>(ACOSH(SQRT(alpha*Ka*psi_a/(Tabella34[[#This Row],[rest of Italy velocity]]*(1+TANH(phi_a)))))+phi_a)/psi_a-(Tabella34[[#This Row],[Day]]-pa)</f>
        <v>158.7714062999371</v>
      </c>
      <c r="BR57" s="72">
        <f>-2*$BY$35*TANH($BY$35*(Tabella34[[#This Row],[Day]]-$BY$44)-$BY$34)*Tabella34[[#This Row],[rest of Italy velocity]]</f>
        <v>13.704572583015132</v>
      </c>
      <c r="BS57" s="143">
        <f>Tabella34[[#This Row],[rest of Italy acc. fit]]/y_a_peak</f>
        <v>4.5387669453939008E-3</v>
      </c>
      <c r="BT57" s="142">
        <f>Tabella34[[#This Row],[rest of Italy acc. fit]]*NOT(ISBLANK(Tabella34[[#This Row],[rest of Italy rate data]]))</f>
        <v>0</v>
      </c>
      <c r="BU57" s="77">
        <f>Tabella34[[#This Row],[rest of Italy acc. fit]]+CIa</f>
        <v>1647.8385125368166</v>
      </c>
      <c r="BV57" s="77">
        <f>MAX(Tabella34[[#This Row],[rest of Italy acc. fit]]-CIa,0)</f>
        <v>0</v>
      </c>
      <c r="BX57" s="227" t="s">
        <v>4346</v>
      </c>
      <c r="BY57" s="228">
        <f>pf</f>
        <v>68.480394693650979</v>
      </c>
    </row>
    <row r="58" spans="2:79" x14ac:dyDescent="0.3">
      <c r="B58" s="262">
        <v>43881</v>
      </c>
      <c r="C58" s="4">
        <v>51</v>
      </c>
      <c r="D58" s="10">
        <f>Tabella8[[#This Row],[Italy cumulative]]</f>
        <v>0</v>
      </c>
      <c r="E58" s="72">
        <f>(Tabella34[[#This Row],[Italy cumul. data]]-D57)</f>
        <v>0</v>
      </c>
      <c r="F58" s="72">
        <f>Tabella34[[#This Row],[Italy rate data]]-E57</f>
        <v>0</v>
      </c>
      <c r="G58" s="142">
        <f>Tabella34[[#This Row],[Italy rate data]]*NOT(ISBLANK(Tabella34[[#This Row],[Italy rate data]]))</f>
        <v>0</v>
      </c>
      <c r="H58" s="143">
        <f>Tabella8[[#This Row],[Italy fit]]</f>
        <v>0</v>
      </c>
      <c r="I58" s="143">
        <f>(ATANH(alpha*Tabella34[[#This Row],[Italy cumul. Fit]]/Kf-(1-alpha*Tabella34[[#This Row],[Italy cumul. Fit]]/Kf)*TANH(phi_f))+phi_f)/psi_f-(Tabella34[[#This Row],[Day]]-pf)</f>
        <v>17.480394693650979</v>
      </c>
      <c r="J58" s="143">
        <f>Tabella34[[#This Row],[Italy d.t.]]/Italy_dt_at_lockdown</f>
        <v>7.7014597258576831</v>
      </c>
      <c r="K58" s="143">
        <f>Tabella34[[#This Row],[Italy cumul. Fit]]/Kf</f>
        <v>0</v>
      </c>
      <c r="L58" s="146">
        <f>Tabella34[[#This Row],[sel. region acc. fit]]+Tabella34[[#This Row],[rest of Italy acc. fit]]</f>
        <v>15.163514000865591</v>
      </c>
      <c r="M58" s="143">
        <f>Tabella34[[#This Row],[Italy (fit of selected region + fitted sum of the other regions)]]/(y_l_peak+y_a_peak)</f>
        <v>4.788453109971307E-3</v>
      </c>
      <c r="N58" s="143">
        <f>Tabella3[[#This Row],[Italy remov. rate fit]]</f>
        <v>319.07133057261279</v>
      </c>
      <c r="O58" s="143" t="e">
        <f>Kt*EXP(-0.5*Tabella34[[#This Row],[x_t]]^2)/(psi_t*SQRTPI(2)*(Tabella34[[#This Row],[Day]]-D_bk))</f>
        <v>#NUM!</v>
      </c>
      <c r="P58" s="183" t="e">
        <f>Tabella34[[#This Row],[Italy velocity]]/Tabella34[[#This Row],[Italy cumul. Fit]]</f>
        <v>#DIV/0!</v>
      </c>
      <c r="Q58" s="244" t="e">
        <f>(LN(Tabella34[[#This Row],[Day]]-D_bk)-phi_t)/psi_t</f>
        <v>#NUM!</v>
      </c>
      <c r="R58" s="244">
        <f>EXP(phi_t+psi_t*Tabella34[[#This Row],[x_t_alpha©+plus]])-(Tabella34[[#This Row],[Day]]-D_bk)</f>
        <v>21.856948834794125</v>
      </c>
      <c r="S58" s="244">
        <f>EXP(phi_t+psi_t*Tabella34[[#This Row],[x_t_alpha©-minus]])-(Tabella34[[#This Row],[Day]]-D_bk)</f>
        <v>21.026085453308728</v>
      </c>
      <c r="T58" s="244">
        <f>-psi_t+SQRT(psi_t^2-2*Tabella34[[#This Row],[c_t]])</f>
        <v>4.1420846126097928</v>
      </c>
      <c r="U58" s="244">
        <f>-psi_t-SQRT(psi_t^2-2*Tabella34[[#This Row],[c_t]])</f>
        <v>-4.1926032873071648</v>
      </c>
      <c r="V58" s="244">
        <f>phi_t-LN(alpha*Kt/(Tabella34[[#This Row],[Italy velocity]]*psi_t*SQRTPI(2)))</f>
        <v>-8.6830587815661193</v>
      </c>
      <c r="W58" s="244" t="e">
        <f>Tabella34[[#This Row],[Italy g.r.]]/Italy_gr_at_lockdown</f>
        <v>#DIV/0!</v>
      </c>
      <c r="X58" s="244">
        <f>(ACOSH(SQRT(alpha*Kf*psi_f/(Tabella34[[#This Row],[Italy velocity]]*(1+TANH(phi_f)))))+phi_f)/psi_f-(Tabella34[[#This Row],[Day]]-pf)</f>
        <v>157.81586335885771</v>
      </c>
      <c r="Y58" s="244">
        <f>Tabella34[[#This Row],[Italy h.t.]]/Italy_ht_at_lockdown</f>
        <v>1.3288902253733712</v>
      </c>
      <c r="Z58" s="72">
        <f>-2*$BY$48*TANH($BY$48*(Tabella34[[#This Row],[Day]]-$BY$57)-$BY$47)*Tabella34[[#This Row],[Italy velocity]]</f>
        <v>15.283349794154768</v>
      </c>
      <c r="AA58" s="72">
        <f>Tabella34[[#This Row],[Italy acc. fit]]/Itali_acc_at_lockdown</f>
        <v>0.43666303833267028</v>
      </c>
      <c r="AB58" s="143">
        <f>Tabella34[[#This Row],[Italy acc. fit]]/y_f_peak</f>
        <v>4.8380504233546222E-3</v>
      </c>
      <c r="AC58" s="143">
        <f>Tabella34[[#This Row],[Italy (fit of selected region + fitted sum of the other regions)]]*NOT(ISBLANK(Tabella34[[#This Row],[Italy rate data]]))</f>
        <v>15.163514000865591</v>
      </c>
      <c r="AD58" s="143">
        <f>Tabella34[[#This Row],[Italy acc. fit]]*NOT(ISBLANK(Tabella34[[#This Row],[Italy rate data]]))</f>
        <v>15.283349794154768</v>
      </c>
      <c r="AE58" s="77">
        <f>Tabella34[[#This Row],[Italy acc. fit]]+CIf</f>
        <v>1670.493318717906</v>
      </c>
      <c r="AF58" s="77">
        <f>MAX(Tabella34[[#This Row],[Italy acc. fit]]-CIf,0)</f>
        <v>0</v>
      </c>
      <c r="AG58" s="141"/>
      <c r="AH58" s="33"/>
      <c r="AI58" s="33"/>
      <c r="AJ58" s="142">
        <f>Tabella34[[#This Row],[selected region rate data]]*NOT(ISBLANK(Tabella34[[#This Row],[selected region rate data]]))</f>
        <v>0</v>
      </c>
      <c r="AK58" s="147">
        <f>Tabella8[[#This Row],[region fit]]</f>
        <v>0</v>
      </c>
      <c r="AL58" s="143">
        <f>(ATANH(alpha*Tabella34[[#This Row],[sel. region cumul. fit]]/Kl-(1-alpha*Tabella34[[#This Row],[sel. region cumul. fit]]/Kl)*TANH(phi_l))+phi_l)/psi_l-(Tabella34[[#This Row],[Day]]-pl)</f>
        <v>25.356483051343162</v>
      </c>
      <c r="AM58" s="142">
        <f>Tabella34[[#This Row],[sel. region cumul. fit]]/Kl</f>
        <v>0</v>
      </c>
      <c r="AN58" s="143">
        <f>Tabella3[[#This Row],[region fit]]</f>
        <v>21.789995292164782</v>
      </c>
      <c r="AO58" s="183" t="e">
        <f>Tabella34[[#This Row],[sel. region velocity]]/Tabella34[[#This Row],[sel. region cumul. fit]]</f>
        <v>#DIV/0!</v>
      </c>
      <c r="AP58" s="236" t="e">
        <f>(LN(Tabella34[[#This Row],[Day]]-pr)-phi_r)/psi_r</f>
        <v>#NUM!</v>
      </c>
      <c r="AQ58" s="244">
        <f>EXP(phi_r+psi_r*Tabella34[[#This Row],[x_r_alpha©+plus]])-(Tabella34[[#This Row],[Day]]-pr)</f>
        <v>28.621933431758293</v>
      </c>
      <c r="AR58" s="244">
        <f>EXP(phi_r+psi_r*Tabella34[[#This Row],[x_r_alpha©-minus]])-(Tabella34[[#This Row],[Day]]-pr)</f>
        <v>28.109292418035096</v>
      </c>
      <c r="AS58" s="244">
        <f>-psi_r+SQRT(psi_r^2-2*Tabella34[[#This Row],[c_r]])</f>
        <v>4.2187280184599381</v>
      </c>
      <c r="AT58" s="244">
        <f>-psi_r-SQRT(psi_r^2-2*Tabella34[[#This Row],[c_r]])</f>
        <v>-4.2590160281262754</v>
      </c>
      <c r="AU58" s="244">
        <f>phi_r-LN(alpha*Kr/(Tabella34[[#This Row],[sel. region velocity]]*psi_r*SQRTPI(2)))</f>
        <v>-8.9838151244631383</v>
      </c>
      <c r="AV58" s="244">
        <f>(ACOSH(SQRT(alpha*Kl*psi_l/(Tabella34[[#This Row],[sel. region velocity]]*(1+TANH(phi_l)))))+phi_l)/psi_l-(Tabella34[[#This Row],[Day]]-pl)</f>
        <v>177.97709415265376</v>
      </c>
      <c r="AW58" s="72">
        <f>-2*$BY$22*TANH($BY$22*(Tabella34[[#This Row],[Day]]-$BY$31)-$BY$21)*Tabella34[[#This Row],[sel. region velocity]]</f>
        <v>0.81031532609632584</v>
      </c>
      <c r="AX58" s="143">
        <f>Tabella34[[#This Row],[sel. region acc. fit]]/y_l_peak</f>
        <v>5.5035585000812121E-3</v>
      </c>
      <c r="AY58" s="143">
        <f>Tabella34[[#This Row],[sel. region acc. fit]]*NOT(ISBLANK(Tabella34[[#This Row],[selected region rate data]]))</f>
        <v>0</v>
      </c>
      <c r="AZ58" s="77">
        <f>Tabella34[[#This Row],[sel. region acc. fit]]+CIl</f>
        <v>70.17530170119673</v>
      </c>
      <c r="BA58" s="77">
        <f>MAX(Tabella34[[#This Row],[sel. region acc. fit]]-CIl,0)</f>
        <v>0</v>
      </c>
      <c r="BB58" s="141"/>
      <c r="BC58" s="33"/>
      <c r="BD58" s="33"/>
      <c r="BE58" s="142">
        <f>Tabella34[[#This Row],[rest of Italy rate data]]*NOT(ISBLANK(Tabella34[[#This Row],[rest of Italy rate data]]))</f>
        <v>0</v>
      </c>
      <c r="BF58" s="188">
        <f>Tabella8[[#This Row],[rest of Italy fit]]</f>
        <v>0</v>
      </c>
      <c r="BG58" s="78">
        <f>(ATANH(alpha*Tabella34[[#This Row],[rest of Italy cumul. fit]]/Ka-(1-alpha*Tabella34[[#This Row],[rest of Italy cumul. fit]]/Ka)*TANH(phi_a))+phi_a)/psi_a-(Tabella34[[#This Row],[Day]]-pa)</f>
        <v>16.882529907638357</v>
      </c>
      <c r="BH58" s="143">
        <f>Tabella34[[#This Row],[rest of Italy cumul. fit]]/Ka</f>
        <v>0</v>
      </c>
      <c r="BI58" s="143">
        <f>Tabella3[[#This Row],[rest of Italy fit]]</f>
        <v>294.44140365013442</v>
      </c>
      <c r="BJ58" s="183" t="e">
        <f>Tabella34[[#This Row],[rest of Italy velocity]]/Tabella34[[#This Row],[rest of Italy cumul. fit]]</f>
        <v>#DIV/0!</v>
      </c>
      <c r="BK58" s="236" t="e">
        <f>(LN(Tabella34[[#This Row],[Day]]-po)-phi_o)/psi_o</f>
        <v>#NUM!</v>
      </c>
      <c r="BL58" s="244">
        <f>EXP(phi_o+psi_o*Tabella34[[#This Row],[x_o_alpha©+plus]])-(Tabella34[[#This Row],[Day]]-po)</f>
        <v>21.38529157762175</v>
      </c>
      <c r="BM58" s="244">
        <f>EXP(phi_o+psi_o*Tabella34[[#This Row],[x_o_alpha©-minus]])-(Tabella34[[#This Row],[Day]]-po)</f>
        <v>20.519295091951168</v>
      </c>
      <c r="BN58" s="244">
        <f>-psi_o+SQRT(psi_o^2-2*Tabella34[[#This Row],[c_o]])</f>
        <v>4.1369362443050255</v>
      </c>
      <c r="BO58" s="244">
        <f>-psi_o-SQRT(psi_o^2-2*Tabella34[[#This Row],[c_o]])</f>
        <v>-4.1882495285726788</v>
      </c>
      <c r="BP58" s="244">
        <f>phi_o-LN(alpha*Ko/(Tabella34[[#This Row],[rest of Italy velocity]]*psi_o*SQRTPI(2)))</f>
        <v>-8.6632606374728773</v>
      </c>
      <c r="BQ58" s="244">
        <f>(ACOSH(SQRT(alpha*Ka*psi_a/(Tabella34[[#This Row],[rest of Italy velocity]]*(1+TANH(phi_a)))))+phi_a)/psi_a-(Tabella34[[#This Row],[Day]]-pa)</f>
        <v>156.79670917795005</v>
      </c>
      <c r="BR58" s="72">
        <f>-2*$BY$35*TANH($BY$35*(Tabella34[[#This Row],[Day]]-$BY$44)-$BY$34)*Tabella34[[#This Row],[rest of Italy velocity]]</f>
        <v>14.353198674769265</v>
      </c>
      <c r="BS58" s="143">
        <f>Tabella34[[#This Row],[rest of Italy acc. fit]]/y_a_peak</f>
        <v>4.7535830330420713E-3</v>
      </c>
      <c r="BT58" s="142">
        <f>Tabella34[[#This Row],[rest of Italy acc. fit]]*NOT(ISBLANK(Tabella34[[#This Row],[rest of Italy rate data]]))</f>
        <v>0</v>
      </c>
      <c r="BU58" s="77">
        <f>Tabella34[[#This Row],[rest of Italy acc. fit]]+CIa</f>
        <v>1648.4871386285708</v>
      </c>
      <c r="BV58" s="77">
        <f>MAX(Tabella34[[#This Row],[rest of Italy acc. fit]]-CIa,0)</f>
        <v>0</v>
      </c>
      <c r="BX58" s="234"/>
      <c r="BY58" s="234"/>
    </row>
    <row r="59" spans="2:79" x14ac:dyDescent="0.3">
      <c r="B59" s="262">
        <v>43882</v>
      </c>
      <c r="C59" s="4">
        <v>52</v>
      </c>
      <c r="D59" s="10">
        <f>Tabella8[[#This Row],[Italy cumulative]]</f>
        <v>0</v>
      </c>
      <c r="E59" s="72">
        <f>(Tabella34[[#This Row],[Italy cumul. data]]-D58)</f>
        <v>0</v>
      </c>
      <c r="F59" s="72">
        <f>Tabella34[[#This Row],[Italy rate data]]-E58</f>
        <v>0</v>
      </c>
      <c r="G59" s="142">
        <f>Tabella34[[#This Row],[Italy rate data]]*NOT(ISBLANK(Tabella34[[#This Row],[Italy rate data]]))</f>
        <v>0</v>
      </c>
      <c r="H59" s="143">
        <f>Tabella8[[#This Row],[Italy fit]]</f>
        <v>0</v>
      </c>
      <c r="I59" s="143">
        <f>(ATANH(alpha*Tabella34[[#This Row],[Italy cumul. Fit]]/Kf-(1-alpha*Tabella34[[#This Row],[Italy cumul. Fit]]/Kf)*TANH(phi_f))+phi_f)/psi_f-(Tabella34[[#This Row],[Day]]-pf)</f>
        <v>16.480394693650979</v>
      </c>
      <c r="J59" s="143">
        <f>Tabella34[[#This Row],[Italy d.t.]]/Italy_dt_at_lockdown</f>
        <v>7.2608827331279411</v>
      </c>
      <c r="K59" s="143">
        <f>Tabella34[[#This Row],[Italy cumul. Fit]]/Kf</f>
        <v>0</v>
      </c>
      <c r="L59" s="146">
        <f>Tabella34[[#This Row],[sel. region acc. fit]]+Tabella34[[#This Row],[rest of Italy acc. fit]]</f>
        <v>15.8667572579775</v>
      </c>
      <c r="M59" s="143">
        <f>Tabella34[[#This Row],[Italy (fit of selected region + fitted sum of the other regions)]]/(y_l_peak+y_a_peak)</f>
        <v>5.01052876877913E-3</v>
      </c>
      <c r="N59" s="143">
        <f>Tabella3[[#This Row],[Italy remov. rate fit]]</f>
        <v>334.70470871083944</v>
      </c>
      <c r="O59" s="143" t="e">
        <f>Kt*EXP(-0.5*Tabella34[[#This Row],[x_t]]^2)/(psi_t*SQRTPI(2)*(Tabella34[[#This Row],[Day]]-D_bk))</f>
        <v>#NUM!</v>
      </c>
      <c r="P59" s="183" t="e">
        <f>Tabella34[[#This Row],[Italy velocity]]/Tabella34[[#This Row],[Italy cumul. Fit]]</f>
        <v>#DIV/0!</v>
      </c>
      <c r="Q59" s="244" t="e">
        <f>(LN(Tabella34[[#This Row],[Day]]-D_bk)-phi_t)/psi_t</f>
        <v>#NUM!</v>
      </c>
      <c r="R59" s="244">
        <f>EXP(phi_t+psi_t*Tabella34[[#This Row],[x_t_alpha©+plus]])-(Tabella34[[#This Row],[Day]]-D_bk)</f>
        <v>20.855678354796503</v>
      </c>
      <c r="S59" s="244">
        <f>EXP(phi_t+psi_t*Tabella34[[#This Row],[x_t_alpha©-minus]])-(Tabella34[[#This Row],[Day]]-D_bk)</f>
        <v>20.02711503893946</v>
      </c>
      <c r="T59" s="244">
        <f>-psi_t+SQRT(psi_t^2-2*Tabella34[[#This Row],[c_t]])</f>
        <v>4.1305904690463544</v>
      </c>
      <c r="U59" s="244">
        <f>-psi_t-SQRT(psi_t^2-2*Tabella34[[#This Row],[c_t]])</f>
        <v>-4.1811091437437264</v>
      </c>
      <c r="V59" s="244">
        <f>phi_t-LN(alpha*Kt/(Tabella34[[#This Row],[Italy velocity]]*psi_t*SQRTPI(2)))</f>
        <v>-8.635224789595199</v>
      </c>
      <c r="W59" s="244" t="e">
        <f>Tabella34[[#This Row],[Italy g.r.]]/Italy_gr_at_lockdown</f>
        <v>#DIV/0!</v>
      </c>
      <c r="X59" s="244">
        <f>(ACOSH(SQRT(alpha*Kf*psi_f/(Tabella34[[#This Row],[Italy velocity]]*(1+TANH(phi_f)))))+phi_f)/psi_f-(Tabella34[[#This Row],[Day]]-pf)</f>
        <v>155.84352225865189</v>
      </c>
      <c r="Y59" s="244">
        <f>Tabella34[[#This Row],[Italy h.t.]]/Italy_ht_at_lockdown</f>
        <v>1.3122821052935429</v>
      </c>
      <c r="Z59" s="72">
        <f>-2*$BY$48*TANH($BY$48*(Tabella34[[#This Row],[Day]]-$BY$57)-$BY$47)*Tabella34[[#This Row],[Italy velocity]]</f>
        <v>15.987992000115572</v>
      </c>
      <c r="AA59" s="72">
        <f>Tabella34[[#This Row],[Italy acc. fit]]/Itali_acc_at_lockdown</f>
        <v>0.45679548381984736</v>
      </c>
      <c r="AB59" s="143">
        <f>Tabella34[[#This Row],[Italy acc. fit]]/y_f_peak</f>
        <v>5.0611098029263724E-3</v>
      </c>
      <c r="AC59" s="143">
        <f>Tabella34[[#This Row],[Italy (fit of selected region + fitted sum of the other regions)]]*NOT(ISBLANK(Tabella34[[#This Row],[Italy rate data]]))</f>
        <v>15.8667572579775</v>
      </c>
      <c r="AD59" s="143">
        <f>Tabella34[[#This Row],[Italy acc. fit]]*NOT(ISBLANK(Tabella34[[#This Row],[Italy rate data]]))</f>
        <v>15.987992000115572</v>
      </c>
      <c r="AE59" s="77">
        <f>Tabella34[[#This Row],[Italy acc. fit]]+CIf</f>
        <v>1671.197960923867</v>
      </c>
      <c r="AF59" s="77">
        <f>MAX(Tabella34[[#This Row],[Italy acc. fit]]-CIf,0)</f>
        <v>0</v>
      </c>
      <c r="AG59" s="141"/>
      <c r="AH59" s="33"/>
      <c r="AI59" s="33"/>
      <c r="AJ59" s="142">
        <f>Tabella34[[#This Row],[selected region rate data]]*NOT(ISBLANK(Tabella34[[#This Row],[selected region rate data]]))</f>
        <v>0</v>
      </c>
      <c r="AK59" s="147">
        <f>Tabella8[[#This Row],[region fit]]</f>
        <v>0</v>
      </c>
      <c r="AL59" s="143">
        <f>(ATANH(alpha*Tabella34[[#This Row],[sel. region cumul. fit]]/Kl-(1-alpha*Tabella34[[#This Row],[sel. region cumul. fit]]/Kl)*TANH(phi_l))+phi_l)/psi_l-(Tabella34[[#This Row],[Day]]-pl)</f>
        <v>24.356483051343162</v>
      </c>
      <c r="AM59" s="142">
        <f>Tabella34[[#This Row],[sel. region cumul. fit]]/Kl</f>
        <v>0</v>
      </c>
      <c r="AN59" s="143">
        <f>Tabella3[[#This Row],[region fit]]</f>
        <v>22.614190850348045</v>
      </c>
      <c r="AO59" s="183" t="e">
        <f>Tabella34[[#This Row],[sel. region velocity]]/Tabella34[[#This Row],[sel. region cumul. fit]]</f>
        <v>#DIV/0!</v>
      </c>
      <c r="AP59" s="236" t="e">
        <f>(LN(Tabella34[[#This Row],[Day]]-pr)-phi_r)/psi_r</f>
        <v>#NUM!</v>
      </c>
      <c r="AQ59" s="244">
        <f>EXP(phi_r+psi_r*Tabella34[[#This Row],[x_r_alpha©+plus]])-(Tabella34[[#This Row],[Day]]-pr)</f>
        <v>27.621356750466752</v>
      </c>
      <c r="AR59" s="244">
        <f>EXP(phi_r+psi_r*Tabella34[[#This Row],[x_r_alpha©-minus]])-(Tabella34[[#This Row],[Day]]-pr)</f>
        <v>27.109778652360596</v>
      </c>
      <c r="AS59" s="244">
        <f>-psi_r+SQRT(psi_r^2-2*Tabella34[[#This Row],[c_r]])</f>
        <v>4.2099603260019558</v>
      </c>
      <c r="AT59" s="244">
        <f>-psi_r-SQRT(psi_r^2-2*Tabella34[[#This Row],[c_r]])</f>
        <v>-4.2502483356682932</v>
      </c>
      <c r="AU59" s="244">
        <f>phi_r-LN(alpha*Kr/(Tabella34[[#This Row],[sel. region velocity]]*psi_r*SQRTPI(2)))</f>
        <v>-8.9466884344096798</v>
      </c>
      <c r="AV59" s="244">
        <f>(ACOSH(SQRT(alpha*Kl*psi_l/(Tabella34[[#This Row],[sel. region velocity]]*(1+TANH(phi_l)))))+phi_l)/psi_l-(Tabella34[[#This Row],[Day]]-pl)</f>
        <v>176.01872939128393</v>
      </c>
      <c r="AW59" s="72">
        <f>-2*$BY$22*TANH($BY$22*(Tabella34[[#This Row],[Day]]-$BY$31)-$BY$21)*Tabella34[[#This Row],[sel. region velocity]]</f>
        <v>0.8381978928824001</v>
      </c>
      <c r="AX59" s="143">
        <f>Tabella34[[#This Row],[sel. region acc. fit]]/y_l_peak</f>
        <v>5.692933342809214E-3</v>
      </c>
      <c r="AY59" s="143">
        <f>Tabella34[[#This Row],[sel. region acc. fit]]*NOT(ISBLANK(Tabella34[[#This Row],[selected region rate data]]))</f>
        <v>0</v>
      </c>
      <c r="AZ59" s="77">
        <f>Tabella34[[#This Row],[sel. region acc. fit]]+CIl</f>
        <v>70.203184267982806</v>
      </c>
      <c r="BA59" s="77">
        <f>MAX(Tabella34[[#This Row],[sel. region acc. fit]]-CIl,0)</f>
        <v>0</v>
      </c>
      <c r="BB59" s="141"/>
      <c r="BC59" s="33"/>
      <c r="BD59" s="33"/>
      <c r="BE59" s="142">
        <f>Tabella34[[#This Row],[rest of Italy rate data]]*NOT(ISBLANK(Tabella34[[#This Row],[rest of Italy rate data]]))</f>
        <v>0</v>
      </c>
      <c r="BF59" s="188">
        <f>Tabella8[[#This Row],[rest of Italy fit]]</f>
        <v>0</v>
      </c>
      <c r="BG59" s="78">
        <f>(ATANH(alpha*Tabella34[[#This Row],[rest of Italy cumul. fit]]/Ka-(1-alpha*Tabella34[[#This Row],[rest of Italy cumul. fit]]/Ka)*TANH(phi_a))+phi_a)/psi_a-(Tabella34[[#This Row],[Day]]-pa)</f>
        <v>15.882529907638357</v>
      </c>
      <c r="BH59" s="143">
        <f>Tabella34[[#This Row],[rest of Italy cumul. fit]]/Ka</f>
        <v>0</v>
      </c>
      <c r="BI59" s="143">
        <f>Tabella3[[#This Row],[rest of Italy fit]]</f>
        <v>309.13002602619594</v>
      </c>
      <c r="BJ59" s="183" t="e">
        <f>Tabella34[[#This Row],[rest of Italy velocity]]/Tabella34[[#This Row],[rest of Italy cumul. fit]]</f>
        <v>#DIV/0!</v>
      </c>
      <c r="BK59" s="236" t="e">
        <f>(LN(Tabella34[[#This Row],[Day]]-po)-phi_o)/psi_o</f>
        <v>#NUM!</v>
      </c>
      <c r="BL59" s="244">
        <f>EXP(phi_o+psi_o*Tabella34[[#This Row],[x_o_alpha©+plus]])-(Tabella34[[#This Row],[Day]]-po)</f>
        <v>20.383938791561199</v>
      </c>
      <c r="BM59" s="244">
        <f>EXP(phi_o+psi_o*Tabella34[[#This Row],[x_o_alpha©-minus]])-(Tabella34[[#This Row],[Day]]-po)</f>
        <v>19.520388030933983</v>
      </c>
      <c r="BN59" s="244">
        <f>-psi_o+SQRT(psi_o^2-2*Tabella34[[#This Row],[c_o]])</f>
        <v>4.1252246616115116</v>
      </c>
      <c r="BO59" s="244">
        <f>-psi_o-SQRT(psi_o^2-2*Tabella34[[#This Row],[c_o]])</f>
        <v>-4.1765379458791649</v>
      </c>
      <c r="BP59" s="244">
        <f>phi_o-LN(alpha*Ko/(Tabella34[[#This Row],[rest of Italy velocity]]*psi_o*SQRTPI(2)))</f>
        <v>-8.614578667248507</v>
      </c>
      <c r="BQ59" s="244">
        <f>(ACOSH(SQRT(alpha*Ka*psi_a/(Tabella34[[#This Row],[rest of Italy velocity]]*(1+TANH(phi_a)))))+phi_a)/psi_a-(Tabella34[[#This Row],[Day]]-pa)</f>
        <v>154.82336072655528</v>
      </c>
      <c r="BR59" s="72">
        <f>-2*$BY$35*TANH($BY$35*(Tabella34[[#This Row],[Day]]-$BY$44)-$BY$34)*Tabella34[[#This Row],[rest of Italy velocity]]</f>
        <v>15.0285593650951</v>
      </c>
      <c r="BS59" s="143">
        <f>Tabella34[[#This Row],[rest of Italy acc. fit]]/y_a_peak</f>
        <v>4.9772532539775509E-3</v>
      </c>
      <c r="BT59" s="142">
        <f>Tabella34[[#This Row],[rest of Italy acc. fit]]*NOT(ISBLANK(Tabella34[[#This Row],[rest of Italy rate data]]))</f>
        <v>0</v>
      </c>
      <c r="BU59" s="77">
        <f>Tabella34[[#This Row],[rest of Italy acc. fit]]+CIa</f>
        <v>1649.1624993188966</v>
      </c>
      <c r="BV59" s="77">
        <f>MAX(Tabella34[[#This Row],[rest of Italy acc. fit]]-CIa,0)</f>
        <v>0</v>
      </c>
      <c r="BY59" s="55"/>
    </row>
    <row r="60" spans="2:79" x14ac:dyDescent="0.3">
      <c r="B60" s="262">
        <v>43883</v>
      </c>
      <c r="C60" s="4">
        <v>53</v>
      </c>
      <c r="D60" s="10">
        <f>Tabella8[[#This Row],[Italy cumulative]]</f>
        <v>0</v>
      </c>
      <c r="E60" s="72">
        <f>(Tabella34[[#This Row],[Italy cumul. data]]-D59)</f>
        <v>0</v>
      </c>
      <c r="F60" s="72">
        <f>Tabella34[[#This Row],[Italy rate data]]-E59</f>
        <v>0</v>
      </c>
      <c r="G60" s="142">
        <f>Tabella34[[#This Row],[Italy rate data]]*NOT(ISBLANK(Tabella34[[#This Row],[Italy rate data]]))</f>
        <v>0</v>
      </c>
      <c r="H60" s="143">
        <f>Tabella8[[#This Row],[Italy fit]]</f>
        <v>0</v>
      </c>
      <c r="I60" s="143">
        <f>(ATANH(alpha*Tabella34[[#This Row],[Italy cumul. Fit]]/Kf-(1-alpha*Tabella34[[#This Row],[Italy cumul. Fit]]/Kf)*TANH(phi_f))+phi_f)/psi_f-(Tabella34[[#This Row],[Day]]-pf)</f>
        <v>15.480394693650979</v>
      </c>
      <c r="J60" s="143">
        <f>Tabella34[[#This Row],[Italy d.t.]]/Italy_dt_at_lockdown</f>
        <v>6.8203057403981999</v>
      </c>
      <c r="K60" s="143">
        <f>Tabella34[[#This Row],[Italy cumul. Fit]]/Kf</f>
        <v>0</v>
      </c>
      <c r="L60" s="146">
        <f>Tabella34[[#This Row],[sel. region acc. fit]]+Tabella34[[#This Row],[rest of Italy acc. fit]]</f>
        <v>16.59814858129424</v>
      </c>
      <c r="M60" s="143">
        <f>Tabella34[[#This Row],[Italy (fit of selected region + fitted sum of the other regions)]]/(y_l_peak+y_a_peak)</f>
        <v>5.2414932441996786E-3</v>
      </c>
      <c r="N60" s="143">
        <f>Tabella3[[#This Row],[Italy remov. rate fit]]</f>
        <v>351.0565919062214</v>
      </c>
      <c r="O60" s="143" t="e">
        <f>Kt*EXP(-0.5*Tabella34[[#This Row],[x_t]]^2)/(psi_t*SQRTPI(2)*(Tabella34[[#This Row],[Day]]-D_bk))</f>
        <v>#NUM!</v>
      </c>
      <c r="P60" s="183" t="e">
        <f>Tabella34[[#This Row],[Italy velocity]]/Tabella34[[#This Row],[Italy cumul. Fit]]</f>
        <v>#DIV/0!</v>
      </c>
      <c r="Q60" s="244" t="e">
        <f>(LN(Tabella34[[#This Row],[Day]]-D_bk)-phi_t)/psi_t</f>
        <v>#NUM!</v>
      </c>
      <c r="R60" s="244">
        <f>EXP(phi_t+psi_t*Tabella34[[#This Row],[x_t_alpha©+plus]])-(Tabella34[[#This Row],[Day]]-D_bk)</f>
        <v>19.854408326578699</v>
      </c>
      <c r="S60" s="244">
        <f>EXP(phi_t+psi_t*Tabella34[[#This Row],[x_t_alpha©-minus]])-(Tabella34[[#This Row],[Day]]-D_bk)</f>
        <v>19.028144856241646</v>
      </c>
      <c r="T60" s="244">
        <f>-psi_t+SQRT(psi_t^2-2*Tabella34[[#This Row],[c_t]])</f>
        <v>4.119097076439914</v>
      </c>
      <c r="U60" s="244">
        <f>-psi_t-SQRT(psi_t^2-2*Tabella34[[#This Row],[c_t]])</f>
        <v>-4.169615751137286</v>
      </c>
      <c r="V60" s="244">
        <f>phi_t-LN(alpha*Kt/(Tabella34[[#This Row],[Italy velocity]]*psi_t*SQRTPI(2)))</f>
        <v>-8.5875260251937036</v>
      </c>
      <c r="W60" s="244" t="e">
        <f>Tabella34[[#This Row],[Italy g.r.]]/Italy_gr_at_lockdown</f>
        <v>#DIV/0!</v>
      </c>
      <c r="X60" s="244">
        <f>(ACOSH(SQRT(alpha*Kf*psi_f/(Tabella34[[#This Row],[Italy velocity]]*(1+TANH(phi_f)))))+phi_f)/psi_f-(Tabella34[[#This Row],[Day]]-pf)</f>
        <v>153.87263348255573</v>
      </c>
      <c r="Y60" s="244">
        <f>Tabella34[[#This Row],[Italy h.t.]]/Italy_ht_at_lockdown</f>
        <v>1.2956862145249659</v>
      </c>
      <c r="Z60" s="72">
        <f>-2*$BY$48*TANH($BY$48*(Tabella34[[#This Row],[Day]]-$BY$57)-$BY$47)*Tabella34[[#This Row],[Italy velocity]]</f>
        <v>16.720465036358128</v>
      </c>
      <c r="AA60" s="72">
        <f>Tabella34[[#This Row],[Italy acc. fit]]/Itali_acc_at_lockdown</f>
        <v>0.477723088422914</v>
      </c>
      <c r="AB60" s="143">
        <f>Tabella34[[#This Row],[Italy acc. fit]]/y_f_peak</f>
        <v>5.2929792249325662E-3</v>
      </c>
      <c r="AC60" s="143">
        <f>Tabella34[[#This Row],[Italy (fit of selected region + fitted sum of the other regions)]]*NOT(ISBLANK(Tabella34[[#This Row],[Italy rate data]]))</f>
        <v>16.59814858129424</v>
      </c>
      <c r="AD60" s="143">
        <f>Tabella34[[#This Row],[Italy acc. fit]]*NOT(ISBLANK(Tabella34[[#This Row],[Italy rate data]]))</f>
        <v>16.720465036358128</v>
      </c>
      <c r="AE60" s="77">
        <f>Tabella34[[#This Row],[Italy acc. fit]]+CIf</f>
        <v>1671.9304339601094</v>
      </c>
      <c r="AF60" s="77">
        <f>MAX(Tabella34[[#This Row],[Italy acc. fit]]-CIf,0)</f>
        <v>0</v>
      </c>
      <c r="AG60" s="141"/>
      <c r="AH60" s="33"/>
      <c r="AI60" s="33"/>
      <c r="AJ60" s="142">
        <f>Tabella34[[#This Row],[selected region rate data]]*NOT(ISBLANK(Tabella34[[#This Row],[selected region rate data]]))</f>
        <v>0</v>
      </c>
      <c r="AK60" s="147">
        <f>Tabella8[[#This Row],[region fit]]</f>
        <v>0</v>
      </c>
      <c r="AL60" s="143">
        <f>(ATANH(alpha*Tabella34[[#This Row],[sel. region cumul. fit]]/Kl-(1-alpha*Tabella34[[#This Row],[sel. region cumul. fit]]/Kl)*TANH(phi_l))+phi_l)/psi_l-(Tabella34[[#This Row],[Day]]-pl)</f>
        <v>23.356483051343162</v>
      </c>
      <c r="AM60" s="142">
        <f>Tabella34[[#This Row],[sel. region cumul. fit]]/Kl</f>
        <v>0</v>
      </c>
      <c r="AN60" s="143">
        <f>Tabella3[[#This Row],[region fit]]</f>
        <v>23.466635586398084</v>
      </c>
      <c r="AO60" s="183" t="e">
        <f>Tabella34[[#This Row],[sel. region velocity]]/Tabella34[[#This Row],[sel. region cumul. fit]]</f>
        <v>#DIV/0!</v>
      </c>
      <c r="AP60" s="236" t="e">
        <f>(LN(Tabella34[[#This Row],[Day]]-pr)-phi_r)/psi_r</f>
        <v>#NUM!</v>
      </c>
      <c r="AQ60" s="244">
        <f>EXP(phi_r+psi_r*Tabella34[[#This Row],[x_r_alpha©+plus]])-(Tabella34[[#This Row],[Day]]-pr)</f>
        <v>26.620780915452627</v>
      </c>
      <c r="AR60" s="244">
        <f>EXP(phi_r+psi_r*Tabella34[[#This Row],[x_r_alpha©-minus]])-(Tabella34[[#This Row],[Day]]-pr)</f>
        <v>26.110264344560669</v>
      </c>
      <c r="AS60" s="244">
        <f>-psi_r+SQRT(psi_r^2-2*Tabella34[[#This Row],[c_r]])</f>
        <v>4.201203954712077</v>
      </c>
      <c r="AT60" s="244">
        <f>-psi_r-SQRT(psi_r^2-2*Tabella34[[#This Row],[c_r]])</f>
        <v>-4.2414919643784144</v>
      </c>
      <c r="AU60" s="244">
        <f>phi_r-LN(alpha*Kr/(Tabella34[[#This Row],[sel. region velocity]]*psi_r*SQRTPI(2)))</f>
        <v>-8.9096864073130462</v>
      </c>
      <c r="AV60" s="244">
        <f>(ACOSH(SQRT(alpha*Kl*psi_l/(Tabella34[[#This Row],[sel. region velocity]]*(1+TANH(phi_l)))))+phi_l)/psi_l-(Tabella34[[#This Row],[Day]]-pl)</f>
        <v>174.06210886367563</v>
      </c>
      <c r="AW60" s="72">
        <f>-2*$BY$22*TANH($BY$22*(Tabella34[[#This Row],[Day]]-$BY$31)-$BY$21)*Tabella34[[#This Row],[sel. region velocity]]</f>
        <v>0.86681392815361913</v>
      </c>
      <c r="AX60" s="143">
        <f>Tabella34[[#This Row],[sel. region acc. fit]]/y_l_peak</f>
        <v>5.8872898100801041E-3</v>
      </c>
      <c r="AY60" s="143">
        <f>Tabella34[[#This Row],[sel. region acc. fit]]*NOT(ISBLANK(Tabella34[[#This Row],[selected region rate data]]))</f>
        <v>0</v>
      </c>
      <c r="AZ60" s="77">
        <f>Tabella34[[#This Row],[sel. region acc. fit]]+CIl</f>
        <v>70.231800303254019</v>
      </c>
      <c r="BA60" s="77">
        <f>MAX(Tabella34[[#This Row],[sel. region acc. fit]]-CIl,0)</f>
        <v>0</v>
      </c>
      <c r="BB60" s="141"/>
      <c r="BC60" s="33"/>
      <c r="BD60" s="33"/>
      <c r="BE60" s="142">
        <f>Tabella34[[#This Row],[rest of Italy rate data]]*NOT(ISBLANK(Tabella34[[#This Row],[rest of Italy rate data]]))</f>
        <v>0</v>
      </c>
      <c r="BF60" s="188">
        <f>Tabella8[[#This Row],[rest of Italy fit]]</f>
        <v>0</v>
      </c>
      <c r="BG60" s="78">
        <f>(ATANH(alpha*Tabella34[[#This Row],[rest of Italy cumul. fit]]/Ka-(1-alpha*Tabella34[[#This Row],[rest of Italy cumul. fit]]/Ka)*TANH(phi_a))+phi_a)/psi_a-(Tabella34[[#This Row],[Day]]-pa)</f>
        <v>14.882529907638357</v>
      </c>
      <c r="BH60" s="143">
        <f>Tabella34[[#This Row],[rest of Italy cumul. fit]]/Ka</f>
        <v>0</v>
      </c>
      <c r="BI60" s="143">
        <f>Tabella3[[#This Row],[rest of Italy fit]]</f>
        <v>324.50766092707039</v>
      </c>
      <c r="BJ60" s="183" t="e">
        <f>Tabella34[[#This Row],[rest of Italy velocity]]/Tabella34[[#This Row],[rest of Italy cumul. fit]]</f>
        <v>#DIV/0!</v>
      </c>
      <c r="BK60" s="236" t="e">
        <f>(LN(Tabella34[[#This Row],[Day]]-po)-phi_o)/psi_o</f>
        <v>#NUM!</v>
      </c>
      <c r="BL60" s="244">
        <f>EXP(phi_o+psi_o*Tabella34[[#This Row],[x_o_alpha©+plus]])-(Tabella34[[#This Row],[Day]]-po)</f>
        <v>19.38258634635719</v>
      </c>
      <c r="BM60" s="244">
        <f>EXP(phi_o+psi_o*Tabella34[[#This Row],[x_o_alpha©-minus]])-(Tabella34[[#This Row],[Day]]-po)</f>
        <v>18.52148135139312</v>
      </c>
      <c r="BN60" s="244">
        <f>-psi_o+SQRT(psi_o^2-2*Tabella34[[#This Row],[c_o]])</f>
        <v>4.1135125110202324</v>
      </c>
      <c r="BO60" s="244">
        <f>-psi_o-SQRT(psi_o^2-2*Tabella34[[#This Row],[c_o]])</f>
        <v>-4.1648257952878858</v>
      </c>
      <c r="BP60" s="244">
        <f>phi_o-LN(alpha*Ko/(Tabella34[[#This Row],[rest of Italy velocity]]*psi_o*SQRTPI(2)))</f>
        <v>-8.5660315075682547</v>
      </c>
      <c r="BQ60" s="244">
        <f>(ACOSH(SQRT(alpha*Ka*psi_a/(Tabella34[[#This Row],[rest of Italy velocity]]*(1+TANH(phi_a)))))+phi_a)/psi_a-(Tabella34[[#This Row],[Day]]-pa)</f>
        <v>152.85143367531464</v>
      </c>
      <c r="BR60" s="72">
        <f>-2*$BY$35*TANH($BY$35*(Tabella34[[#This Row],[Day]]-$BY$44)-$BY$34)*Tabella34[[#This Row],[rest of Italy velocity]]</f>
        <v>15.731334653140621</v>
      </c>
      <c r="BS60" s="143">
        <f>Tabella34[[#This Row],[rest of Italy acc. fit]]/y_a_peak</f>
        <v>5.2100028146149909E-3</v>
      </c>
      <c r="BT60" s="142">
        <f>Tabella34[[#This Row],[rest of Italy acc. fit]]*NOT(ISBLANK(Tabella34[[#This Row],[rest of Italy rate data]]))</f>
        <v>0</v>
      </c>
      <c r="BU60" s="77">
        <f>Tabella34[[#This Row],[rest of Italy acc. fit]]+CIa</f>
        <v>1649.8652746069422</v>
      </c>
      <c r="BV60" s="77">
        <f>MAX(Tabella34[[#This Row],[rest of Italy acc. fit]]-CIa,0)</f>
        <v>0</v>
      </c>
    </row>
    <row r="61" spans="2:79" ht="15" thickBot="1" x14ac:dyDescent="0.35">
      <c r="B61" s="262">
        <v>43884</v>
      </c>
      <c r="C61" s="4">
        <v>54</v>
      </c>
      <c r="D61" s="10">
        <f>Tabella8[[#This Row],[Italy cumulative]]</f>
        <v>0</v>
      </c>
      <c r="E61" s="72">
        <f>(Tabella34[[#This Row],[Italy cumul. data]]-D60)</f>
        <v>0</v>
      </c>
      <c r="F61" s="72">
        <f>Tabella34[[#This Row],[Italy rate data]]-E60</f>
        <v>0</v>
      </c>
      <c r="G61" s="142">
        <f>Tabella34[[#This Row],[Italy rate data]]*NOT(ISBLANK(Tabella34[[#This Row],[Italy rate data]]))</f>
        <v>0</v>
      </c>
      <c r="H61" s="143">
        <f>Tabella8[[#This Row],[Italy fit]]</f>
        <v>0</v>
      </c>
      <c r="I61" s="143">
        <f>(ATANH(alpha*Tabella34[[#This Row],[Italy cumul. Fit]]/Kf-(1-alpha*Tabella34[[#This Row],[Italy cumul. Fit]]/Kf)*TANH(phi_f))+phi_f)/psi_f-(Tabella34[[#This Row],[Day]]-pf)</f>
        <v>14.480394693650979</v>
      </c>
      <c r="J61" s="143">
        <f>Tabella34[[#This Row],[Italy d.t.]]/Italy_dt_at_lockdown</f>
        <v>6.3797287476684579</v>
      </c>
      <c r="K61" s="143">
        <f>Tabella34[[#This Row],[Italy cumul. Fit]]/Kf</f>
        <v>0</v>
      </c>
      <c r="L61" s="146">
        <f>Tabella34[[#This Row],[sel. region acc. fit]]+Tabella34[[#This Row],[rest of Italy acc. fit]]</f>
        <v>17.358337207677593</v>
      </c>
      <c r="M61" s="143">
        <f>Tabella34[[#This Row],[Italy (fit of selected region + fitted sum of the other regions)]]/(y_l_peak+y_a_peak)</f>
        <v>5.4815515573296289E-3</v>
      </c>
      <c r="N61" s="143">
        <f>Tabella3[[#This Row],[Italy remov. rate fit]]</f>
        <v>368.15512016528976</v>
      </c>
      <c r="O61" s="143" t="e">
        <f>Kt*EXP(-0.5*Tabella34[[#This Row],[x_t]]^2)/(psi_t*SQRTPI(2)*(Tabella34[[#This Row],[Day]]-D_bk))</f>
        <v>#NUM!</v>
      </c>
      <c r="P61" s="183" t="e">
        <f>Tabella34[[#This Row],[Italy velocity]]/Tabella34[[#This Row],[Italy cumul. Fit]]</f>
        <v>#DIV/0!</v>
      </c>
      <c r="Q61" s="244" t="e">
        <f>(LN(Tabella34[[#This Row],[Day]]-D_bk)-phi_t)/psi_t</f>
        <v>#NUM!</v>
      </c>
      <c r="R61" s="244">
        <f>EXP(phi_t+psi_t*Tabella34[[#This Row],[x_t_alpha©+plus]])-(Tabella34[[#This Row],[Day]]-D_bk)</f>
        <v>18.853138927208654</v>
      </c>
      <c r="S61" s="244">
        <f>EXP(phi_t+psi_t*Tabella34[[#This Row],[x_t_alpha©-minus]])-(Tabella34[[#This Row],[Day]]-D_bk)</f>
        <v>18.029174761395236</v>
      </c>
      <c r="T61" s="244">
        <f>-psi_t+SQRT(psi_t^2-2*Tabella34[[#This Row],[c_t]])</f>
        <v>4.1076060395261367</v>
      </c>
      <c r="U61" s="244">
        <f>-psi_t-SQRT(psi_t^2-2*Tabella34[[#This Row],[c_t]])</f>
        <v>-4.1581247142235087</v>
      </c>
      <c r="V61" s="244">
        <f>phi_t-LN(alpha*Kt/(Tabella34[[#This Row],[Italy velocity]]*psi_t*SQRTPI(2)))</f>
        <v>-8.5399690946236859</v>
      </c>
      <c r="W61" s="244" t="e">
        <f>Tabella34[[#This Row],[Italy g.r.]]/Italy_gr_at_lockdown</f>
        <v>#DIV/0!</v>
      </c>
      <c r="X61" s="244">
        <f>(ACOSH(SQRT(alpha*Kf*psi_f/(Tabella34[[#This Row],[Italy velocity]]*(1+TANH(phi_f)))))+phi_f)/psi_f-(Tabella34[[#This Row],[Day]]-pf)</f>
        <v>151.90327425028971</v>
      </c>
      <c r="Y61" s="244">
        <f>Tabella34[[#This Row],[Italy h.t.]]/Italy_ht_at_lockdown</f>
        <v>1.2791032032971519</v>
      </c>
      <c r="Z61" s="72">
        <f>-2*$BY$48*TANH($BY$48*(Tabella34[[#This Row],[Day]]-$BY$57)-$BY$47)*Tabella34[[#This Row],[Italy velocity]]</f>
        <v>17.481380804258208</v>
      </c>
      <c r="AA61" s="72">
        <f>Tabella34[[#This Row],[Italy acc. fit]]/Itali_acc_at_lockdown</f>
        <v>0.4994633348742229</v>
      </c>
      <c r="AB61" s="143">
        <f>Tabella34[[#This Row],[Italy acc. fit]]/y_f_peak</f>
        <v>5.5338523909994808E-3</v>
      </c>
      <c r="AC61" s="143">
        <f>Tabella34[[#This Row],[Italy (fit of selected region + fitted sum of the other regions)]]*NOT(ISBLANK(Tabella34[[#This Row],[Italy rate data]]))</f>
        <v>17.358337207677593</v>
      </c>
      <c r="AD61" s="143">
        <f>Tabella34[[#This Row],[Italy acc. fit]]*NOT(ISBLANK(Tabella34[[#This Row],[Italy rate data]]))</f>
        <v>17.481380804258208</v>
      </c>
      <c r="AE61" s="77">
        <f>Tabella34[[#This Row],[Italy acc. fit]]+CIf</f>
        <v>1672.6913497280095</v>
      </c>
      <c r="AF61" s="77">
        <f>MAX(Tabella34[[#This Row],[Italy acc. fit]]-CIf,0)</f>
        <v>0</v>
      </c>
      <c r="AG61" s="141"/>
      <c r="AH61" s="33"/>
      <c r="AI61" s="33"/>
      <c r="AJ61" s="142">
        <f>Tabella34[[#This Row],[selected region rate data]]*NOT(ISBLANK(Tabella34[[#This Row],[selected region rate data]]))</f>
        <v>0</v>
      </c>
      <c r="AK61" s="147">
        <f>Tabella8[[#This Row],[region fit]]</f>
        <v>0</v>
      </c>
      <c r="AL61" s="143">
        <f>(ATANH(alpha*Tabella34[[#This Row],[sel. region cumul. fit]]/Kl-(1-alpha*Tabella34[[#This Row],[sel. region cumul. fit]]/Kl)*TANH(phi_l))+phi_l)/psi_l-(Tabella34[[#This Row],[Day]]-pl)</f>
        <v>22.356483051343162</v>
      </c>
      <c r="AM61" s="142">
        <f>Tabella34[[#This Row],[sel. region cumul. fit]]/Kl</f>
        <v>0</v>
      </c>
      <c r="AN61" s="143">
        <f>Tabella3[[#This Row],[region fit]]</f>
        <v>24.348063415086266</v>
      </c>
      <c r="AO61" s="183" t="e">
        <f>Tabella34[[#This Row],[sel. region velocity]]/Tabella34[[#This Row],[sel. region cumul. fit]]</f>
        <v>#DIV/0!</v>
      </c>
      <c r="AP61" s="236" t="e">
        <f>(LN(Tabella34[[#This Row],[Day]]-pr)-phi_r)/psi_r</f>
        <v>#NUM!</v>
      </c>
      <c r="AQ61" s="244">
        <f>EXP(phi_r+psi_r*Tabella34[[#This Row],[x_r_alpha©+plus]])-(Tabella34[[#This Row],[Day]]-pr)</f>
        <v>25.620206004281364</v>
      </c>
      <c r="AR61" s="244">
        <f>EXP(phi_r+psi_r*Tabella34[[#This Row],[x_r_alpha©-minus]])-(Tabella34[[#This Row],[Day]]-pr)</f>
        <v>25.110749428512804</v>
      </c>
      <c r="AS61" s="244">
        <f>-psi_r+SQRT(psi_r^2-2*Tabella34[[#This Row],[c_r]])</f>
        <v>4.1924600906574785</v>
      </c>
      <c r="AT61" s="244">
        <f>-psi_r-SQRT(psi_r^2-2*Tabella34[[#This Row],[c_r]])</f>
        <v>-4.2327481003238159</v>
      </c>
      <c r="AU61" s="244">
        <f>phi_r-LN(alpha*Kr/(Tabella34[[#This Row],[sel. region velocity]]*psi_r*SQRTPI(2)))</f>
        <v>-8.872813742206926</v>
      </c>
      <c r="AV61" s="244">
        <f>(ACOSH(SQRT(alpha*Kl*psi_l/(Tabella34[[#This Row],[sel. region velocity]]*(1+TANH(phi_l)))))+phi_l)/psi_l-(Tabella34[[#This Row],[Day]]-pl)</f>
        <v>172.10730686637393</v>
      </c>
      <c r="AW61" s="72">
        <f>-2*$BY$22*TANH($BY$22*(Tabella34[[#This Row],[Day]]-$BY$31)-$BY$21)*Tabella34[[#This Row],[sel. region velocity]]</f>
        <v>0.89616402634730563</v>
      </c>
      <c r="AX61" s="143">
        <f>Tabella34[[#This Row],[sel. region acc. fit]]/y_l_peak</f>
        <v>6.0866319392364763E-3</v>
      </c>
      <c r="AY61" s="143">
        <f>Tabella34[[#This Row],[sel. region acc. fit]]*NOT(ISBLANK(Tabella34[[#This Row],[selected region rate data]]))</f>
        <v>0</v>
      </c>
      <c r="AZ61" s="77">
        <f>Tabella34[[#This Row],[sel. region acc. fit]]+CIl</f>
        <v>70.261150401447708</v>
      </c>
      <c r="BA61" s="77">
        <f>MAX(Tabella34[[#This Row],[sel. region acc. fit]]-CIl,0)</f>
        <v>0</v>
      </c>
      <c r="BB61" s="141"/>
      <c r="BC61" s="33"/>
      <c r="BD61" s="33"/>
      <c r="BE61" s="142">
        <f>Tabella34[[#This Row],[rest of Italy rate data]]*NOT(ISBLANK(Tabella34[[#This Row],[rest of Italy rate data]]))</f>
        <v>0</v>
      </c>
      <c r="BF61" s="188">
        <f>Tabella8[[#This Row],[rest of Italy fit]]</f>
        <v>0</v>
      </c>
      <c r="BG61" s="78">
        <f>(ATANH(alpha*Tabella34[[#This Row],[rest of Italy cumul. fit]]/Ka-(1-alpha*Tabella34[[#This Row],[rest of Italy cumul. fit]]/Ka)*TANH(phi_a))+phi_a)/psi_a-(Tabella34[[#This Row],[Day]]-pa)</f>
        <v>13.882529907638357</v>
      </c>
      <c r="BH61" s="143">
        <f>Tabella34[[#This Row],[rest of Italy cumul. fit]]/Ka</f>
        <v>0</v>
      </c>
      <c r="BI61" s="143">
        <f>Tabella3[[#This Row],[rest of Italy fit]]</f>
        <v>340.60205017305498</v>
      </c>
      <c r="BJ61" s="183" t="e">
        <f>Tabella34[[#This Row],[rest of Italy velocity]]/Tabella34[[#This Row],[rest of Italy cumul. fit]]</f>
        <v>#DIV/0!</v>
      </c>
      <c r="BK61" s="236" t="e">
        <f>(LN(Tabella34[[#This Row],[Day]]-po)-phi_o)/psi_o</f>
        <v>#NUM!</v>
      </c>
      <c r="BL61" s="244">
        <f>EXP(phi_o+psi_o*Tabella34[[#This Row],[x_o_alpha©+plus]])-(Tabella34[[#This Row],[Day]]-po)</f>
        <v>18.381234428914745</v>
      </c>
      <c r="BM61" s="244">
        <f>EXP(phi_o+psi_o*Tabella34[[#This Row],[x_o_alpha©-minus]])-(Tabella34[[#This Row],[Day]]-po)</f>
        <v>17.522574902193305</v>
      </c>
      <c r="BN61" s="244">
        <f>-psi_o+SQRT(psi_o^2-2*Tabella34[[#This Row],[c_o]])</f>
        <v>4.1018014124008291</v>
      </c>
      <c r="BO61" s="244">
        <f>-psi_o-SQRT(psi_o^2-2*Tabella34[[#This Row],[c_o]])</f>
        <v>-4.1531146966684824</v>
      </c>
      <c r="BP61" s="244">
        <f>phi_o-LN(alpha*Ko/(Tabella34[[#This Row],[rest of Italy velocity]]*psi_o*SQRTPI(2)))</f>
        <v>-8.5176258643287106</v>
      </c>
      <c r="BQ61" s="244">
        <f>(ACOSH(SQRT(alpha*Ka*psi_a/(Tabella34[[#This Row],[rest of Italy velocity]]*(1+TANH(phi_a)))))+phi_a)/psi_a-(Tabella34[[#This Row],[Day]]-pa)</f>
        <v>150.88100475964035</v>
      </c>
      <c r="BR61" s="72">
        <f>-2*$BY$35*TANH($BY$35*(Tabella34[[#This Row],[Day]]-$BY$44)-$BY$34)*Tabella34[[#This Row],[rest of Italy velocity]]</f>
        <v>16.462173181330286</v>
      </c>
      <c r="BS61" s="143">
        <f>Tabella34[[#This Row],[rest of Italy acc. fit]]/y_a_peak</f>
        <v>5.4520465364512093E-3</v>
      </c>
      <c r="BT61" s="142">
        <f>Tabella34[[#This Row],[rest of Italy acc. fit]]*NOT(ISBLANK(Tabella34[[#This Row],[rest of Italy rate data]]))</f>
        <v>0</v>
      </c>
      <c r="BU61" s="77">
        <f>Tabella34[[#This Row],[rest of Italy acc. fit]]+CIa</f>
        <v>1650.5961131351319</v>
      </c>
      <c r="BV61" s="77">
        <f>MAX(Tabella34[[#This Row],[rest of Italy acc. fit]]-CIa,0)</f>
        <v>0</v>
      </c>
    </row>
    <row r="62" spans="2:79" ht="15" thickBot="1" x14ac:dyDescent="0.35">
      <c r="B62" s="262">
        <v>43885</v>
      </c>
      <c r="C62" s="174">
        <v>55</v>
      </c>
      <c r="D62" s="175">
        <f>Tabella8[[#This Row],[Italy cumulative]]</f>
        <v>8</v>
      </c>
      <c r="E62" s="176">
        <f>(Tabella34[[#This Row],[Italy cumul. data]]-D61)</f>
        <v>8</v>
      </c>
      <c r="F62" s="176">
        <f>Tabella34[[#This Row],[Italy rate data]]-E61</f>
        <v>8</v>
      </c>
      <c r="G62" s="177">
        <f>Tabella34[[#This Row],[Italy rate data]]*NOT(ISBLANK(Tabella34[[#This Row],[Italy rate data]]))</f>
        <v>8</v>
      </c>
      <c r="H62" s="178">
        <f>Tabella8[[#This Row],[Italy fit]]</f>
        <v>0</v>
      </c>
      <c r="I62" s="143">
        <f>(ATANH(alpha*Tabella34[[#This Row],[Italy cumul. Fit]]/Kf-(1-alpha*Tabella34[[#This Row],[Italy cumul. Fit]]/Kf)*TANH(phi_f))+phi_f)/psi_f-(Tabella34[[#This Row],[Day]]-pf)</f>
        <v>13.480394693650979</v>
      </c>
      <c r="J62" s="178">
        <f>Tabella34[[#This Row],[Italy d.t.]]/Italy_dt_at_lockdown</f>
        <v>5.9391517549387167</v>
      </c>
      <c r="K62" s="177">
        <f>Tabella34[[#This Row],[Italy cumul. Fit]]/Kf</f>
        <v>0</v>
      </c>
      <c r="L62" s="179">
        <f>Tabella34[[#This Row],[sel. region acc. fit]]+Tabella34[[#This Row],[rest of Italy acc. fit]]</f>
        <v>18.147931967915461</v>
      </c>
      <c r="M62" s="177">
        <f>Tabella34[[#This Row],[Italy (fit of selected region + fitted sum of the other regions)]]/(y_l_peak+y_a_peak)</f>
        <v>5.7308959695194584E-3</v>
      </c>
      <c r="N62" s="143">
        <f>Tabella3[[#This Row],[Italy remov. rate fit]]</f>
        <v>386.02902478918912</v>
      </c>
      <c r="O62" s="178" t="e">
        <f>Kt*EXP(-0.5*Tabella34[[#This Row],[x_t]]^2)/(psi_t*SQRTPI(2)*(Tabella34[[#This Row],[Day]]-D_bk))</f>
        <v>#NUM!</v>
      </c>
      <c r="P62" s="184" t="e">
        <f>Tabella34[[#This Row],[Italy velocity]]/Tabella34[[#This Row],[Italy cumul. Fit]]</f>
        <v>#DIV/0!</v>
      </c>
      <c r="Q62" s="245" t="e">
        <f>(LN(Tabella34[[#This Row],[Day]]-D_bk)-phi_t)/psi_t</f>
        <v>#NUM!</v>
      </c>
      <c r="R62" s="245">
        <f>EXP(phi_t+psi_t*Tabella34[[#This Row],[x_t_alpha©+plus]])-(Tabella34[[#This Row],[Day]]-D_bk)</f>
        <v>17.851870343605746</v>
      </c>
      <c r="S62" s="245">
        <f>EXP(phi_t+psi_t*Tabella34[[#This Row],[x_t_alpha©-minus]])-(Tabella34[[#This Row],[Day]]-D_bk)</f>
        <v>17.030204602246414</v>
      </c>
      <c r="T62" s="245">
        <f>-psi_t+SQRT(psi_t^2-2*Tabella34[[#This Row],[c_t]])</f>
        <v>4.0961190541205399</v>
      </c>
      <c r="U62" s="245">
        <f>-psi_t-SQRT(psi_t^2-2*Tabella34[[#This Row],[c_t]])</f>
        <v>-4.1466377288179119</v>
      </c>
      <c r="V62" s="245">
        <f>phi_t-LN(alpha*Kt/(Tabella34[[#This Row],[Italy velocity]]*psi_t*SQRTPI(2)))</f>
        <v>-8.492560905773086</v>
      </c>
      <c r="W62" s="245" t="e">
        <f>Tabella34[[#This Row],[Italy g.r.]]/Italy_gr_at_lockdown</f>
        <v>#DIV/0!</v>
      </c>
      <c r="X62" s="244">
        <f>(ACOSH(SQRT(alpha*Kf*psi_f/(Tabella34[[#This Row],[Italy velocity]]*(1+TANH(phi_f)))))+phi_f)/psi_f-(Tabella34[[#This Row],[Day]]-pf)</f>
        <v>149.93552598023632</v>
      </c>
      <c r="Y62" s="245">
        <f>Tabella34[[#This Row],[Italy h.t.]]/Italy_ht_at_lockdown</f>
        <v>1.2625337571944921</v>
      </c>
      <c r="Z62" s="72">
        <f>-2*$BY$48*TANH($BY$48*(Tabella34[[#This Row],[Day]]-$BY$57)-$BY$47)*Tabella34[[#This Row],[Italy velocity]]</f>
        <v>18.271308714715904</v>
      </c>
      <c r="AA62" s="176">
        <f>Tabella34[[#This Row],[Italy acc. fit]]/Itali_acc_at_lockdown</f>
        <v>0.52203249190393086</v>
      </c>
      <c r="AB62" s="177">
        <f>Tabella34[[#This Row],[Italy acc. fit]]/y_f_peak</f>
        <v>5.7839095520984913E-3</v>
      </c>
      <c r="AC62" s="178">
        <f>Tabella34[[#This Row],[Italy (fit of selected region + fitted sum of the other regions)]]*NOT(ISBLANK(Tabella34[[#This Row],[Italy rate data]]))</f>
        <v>18.147931967915461</v>
      </c>
      <c r="AD62" s="178">
        <f>Tabella34[[#This Row],[Italy acc. fit]]*NOT(ISBLANK(Tabella34[[#This Row],[Italy rate data]]))</f>
        <v>18.271308714715904</v>
      </c>
      <c r="AE62" s="177">
        <f>Tabella34[[#This Row],[Italy acc. fit]]+CIf</f>
        <v>1673.4812776384672</v>
      </c>
      <c r="AF62" s="177">
        <f>MAX(Tabella34[[#This Row],[Italy acc. fit]]-CIf,0)</f>
        <v>0</v>
      </c>
      <c r="AG62" s="180">
        <f>Tabella8[[#This Row],[region data]]</f>
        <v>0</v>
      </c>
      <c r="AH62" s="181"/>
      <c r="AI62" s="181"/>
      <c r="AJ62" s="177">
        <f>Tabella34[[#This Row],[selected region rate data]]*NOT(ISBLANK(Tabella34[[#This Row],[selected region rate data]]))</f>
        <v>0</v>
      </c>
      <c r="AK62" s="177">
        <f>Tabella8[[#This Row],[region fit]]</f>
        <v>0</v>
      </c>
      <c r="AL62" s="143">
        <f>(ATANH(alpha*Tabella34[[#This Row],[sel. region cumul. fit]]/Kl-(1-alpha*Tabella34[[#This Row],[sel. region cumul. fit]]/Kl)*TANH(phi_l))+phi_l)/psi_l-(Tabella34[[#This Row],[Day]]-pl)</f>
        <v>21.356483051343162</v>
      </c>
      <c r="AM62" s="177">
        <f>Tabella34[[#This Row],[sel. region cumul. fit]]/Kl</f>
        <v>0</v>
      </c>
      <c r="AN62" s="143">
        <f>Tabella3[[#This Row],[region fit]]</f>
        <v>25.259207923536586</v>
      </c>
      <c r="AO62" s="185" t="e">
        <f>Tabella34[[#This Row],[sel. region velocity]]/Tabella34[[#This Row],[sel. region cumul. fit]]</f>
        <v>#DIV/0!</v>
      </c>
      <c r="AP62" s="240" t="e">
        <f>(LN(Tabella34[[#This Row],[Day]]-pr)-phi_r)/psi_r</f>
        <v>#NUM!</v>
      </c>
      <c r="AQ62" s="245">
        <f>EXP(phi_r+psi_r*Tabella34[[#This Row],[x_r_alpha©+plus]])-(Tabella34[[#This Row],[Day]]-pr)</f>
        <v>24.619632097603933</v>
      </c>
      <c r="AR62" s="245">
        <f>EXP(phi_r+psi_r*Tabella34[[#This Row],[x_r_alpha©-minus]])-(Tabella34[[#This Row],[Day]]-pr)</f>
        <v>24.111233835397954</v>
      </c>
      <c r="AS62" s="245">
        <f>-psi_r+SQRT(psi_r^2-2*Tabella34[[#This Row],[c_r]])</f>
        <v>4.1837299676702271</v>
      </c>
      <c r="AT62" s="245">
        <f>-psi_r-SQRT(psi_r^2-2*Tabella34[[#This Row],[c_r]])</f>
        <v>-4.2240179773365645</v>
      </c>
      <c r="AU62" s="245">
        <f>phi_r-LN(alpha*Kr/(Tabella34[[#This Row],[sel. region velocity]]*psi_r*SQRTPI(2)))</f>
        <v>-8.8360752978803809</v>
      </c>
      <c r="AV62" s="244">
        <f>(ACOSH(SQRT(alpha*Kl*psi_l/(Tabella34[[#This Row],[sel. region velocity]]*(1+TANH(phi_l)))))+phi_l)/psi_l-(Tabella34[[#This Row],[Day]]-pl)</f>
        <v>170.15440094863666</v>
      </c>
      <c r="AW62" s="72">
        <f>-2*$BY$22*TANH($BY$22*(Tabella34[[#This Row],[Day]]-$BY$31)-$BY$21)*Tabella34[[#This Row],[sel. region velocity]]</f>
        <v>0.92624690976644586</v>
      </c>
      <c r="AX62" s="177">
        <f>Tabella34[[#This Row],[sel. region acc. fit]]/y_l_peak</f>
        <v>6.2909510523229293E-3</v>
      </c>
      <c r="AY62" s="178">
        <f>Tabella34[[#This Row],[sel. region acc. fit]]*NOT(ISBLANK(Tabella34[[#This Row],[selected region rate data]]))</f>
        <v>0</v>
      </c>
      <c r="AZ62" s="177">
        <f>Tabella34[[#This Row],[sel. region acc. fit]]+CIl</f>
        <v>70.291233284866848</v>
      </c>
      <c r="BA62" s="177">
        <f>MAX(Tabella34[[#This Row],[sel. region acc. fit]]-CIl,0)</f>
        <v>0</v>
      </c>
      <c r="BB62" s="175">
        <f>Tabella8[[#This Row],[rest of Italy ]]</f>
        <v>8</v>
      </c>
      <c r="BC62" s="181"/>
      <c r="BD62" s="181"/>
      <c r="BE62" s="177">
        <f>Tabella34[[#This Row],[rest of Italy rate data]]*NOT(ISBLANK(Tabella34[[#This Row],[rest of Italy rate data]]))</f>
        <v>0</v>
      </c>
      <c r="BF62" s="177">
        <f>Tabella8[[#This Row],[rest of Italy fit]]</f>
        <v>0</v>
      </c>
      <c r="BG62" s="78">
        <f>(ATANH(alpha*Tabella34[[#This Row],[rest of Italy cumul. fit]]/Ka-(1-alpha*Tabella34[[#This Row],[rest of Italy cumul. fit]]/Ka)*TANH(phi_a))+phi_a)/psi_a-(Tabella34[[#This Row],[Day]]-pa)</f>
        <v>12.882529907638357</v>
      </c>
      <c r="BH62" s="177">
        <f>Tabella34[[#This Row],[rest of Italy cumul. fit]]/Ka</f>
        <v>0</v>
      </c>
      <c r="BI62" s="143">
        <f>Tabella3[[#This Row],[rest of Italy fit]]</f>
        <v>357.44156558754497</v>
      </c>
      <c r="BJ62" s="184" t="e">
        <f>Tabella34[[#This Row],[rest of Italy velocity]]/Tabella34[[#This Row],[rest of Italy cumul. fit]]</f>
        <v>#DIV/0!</v>
      </c>
      <c r="BK62" s="237" t="e">
        <f>(LN(Tabella34[[#This Row],[Day]]-po)-phi_o)/psi_o</f>
        <v>#NUM!</v>
      </c>
      <c r="BL62" s="245">
        <f>EXP(phi_o+psi_o*Tabella34[[#This Row],[x_o_alpha©+plus]])-(Tabella34[[#This Row],[Day]]-po)</f>
        <v>17.3798832368037</v>
      </c>
      <c r="BM62" s="245">
        <f>EXP(phi_o+psi_o*Tabella34[[#This Row],[x_o_alpha©-minus]])-(Tabella34[[#This Row],[Day]]-po)</f>
        <v>16.523668523201152</v>
      </c>
      <c r="BN62" s="245">
        <f>-psi_o+SQRT(psi_o^2-2*Tabella34[[#This Row],[c_o]])</f>
        <v>4.0900930799965716</v>
      </c>
      <c r="BO62" s="245">
        <f>-psi_o-SQRT(psi_o^2-2*Tabella34[[#This Row],[c_o]])</f>
        <v>-4.1414063642642249</v>
      </c>
      <c r="BP62" s="245">
        <f>phi_o-LN(alpha*Ko/(Tabella34[[#This Row],[rest of Italy velocity]]*psi_o*SQRTPI(2)))</f>
        <v>-8.4693687559654318</v>
      </c>
      <c r="BQ62" s="245">
        <f>(ACOSH(SQRT(alpha*Ka*psi_a/(Tabella34[[#This Row],[rest of Italy velocity]]*(1+TANH(phi_a)))))+phi_a)/psi_a-(Tabella34[[#This Row],[Day]]-pa)</f>
        <v>148.91215494920147</v>
      </c>
      <c r="BR62" s="72">
        <f>-2*$BY$35*TANH($BY$35*(Tabella34[[#This Row],[Day]]-$BY$44)-$BY$34)*Tabella34[[#This Row],[rest of Italy velocity]]</f>
        <v>17.221685058149017</v>
      </c>
      <c r="BS62" s="177">
        <f>Tabella34[[#This Row],[rest of Italy acc. fit]]/y_a_peak</f>
        <v>5.7035864790694352E-3</v>
      </c>
      <c r="BT62" s="177">
        <f>Tabella34[[#This Row],[rest of Italy acc. fit]]*NOT(ISBLANK(Tabella34[[#This Row],[rest of Italy rate data]]))</f>
        <v>0</v>
      </c>
      <c r="BU62" s="177">
        <f>Tabella34[[#This Row],[rest of Italy acc. fit]]+CIa</f>
        <v>1651.3556250119505</v>
      </c>
      <c r="BV62" s="182">
        <f>MAX(Tabella34[[#This Row],[rest of Italy acc. fit]]-CIa,0)</f>
        <v>0</v>
      </c>
    </row>
    <row r="63" spans="2:79" x14ac:dyDescent="0.3">
      <c r="B63" s="262">
        <v>43886</v>
      </c>
      <c r="C63" s="29">
        <v>56</v>
      </c>
      <c r="D63" s="10">
        <f>Tabella8[[#This Row],[Italy cumulative]]</f>
        <v>11</v>
      </c>
      <c r="E63" s="72">
        <f>(Tabella34[[#This Row],[Italy cumul. data]]-D62)</f>
        <v>3</v>
      </c>
      <c r="F63" s="72">
        <f>Tabella34[[#This Row],[Italy rate data]]-E62</f>
        <v>-5</v>
      </c>
      <c r="G63" s="77">
        <f>Tabella34[[#This Row],[Italy rate data]]*NOT(ISBLANK(Tabella34[[#This Row],[Italy rate data]]))</f>
        <v>3</v>
      </c>
      <c r="H63" s="143">
        <f>Tabella8[[#This Row],[Italy fit]]</f>
        <v>0</v>
      </c>
      <c r="I63" s="143">
        <f>(ATANH(alpha*Tabella34[[#This Row],[Italy cumul. Fit]]/Kf-(1-alpha*Tabella34[[#This Row],[Italy cumul. Fit]]/Kf)*TANH(phi_f))+phi_f)/psi_f-(Tabella34[[#This Row],[Day]]-pf)</f>
        <v>12.480394693650979</v>
      </c>
      <c r="J63" s="143">
        <f>Tabella34[[#This Row],[Italy d.t.]]/Italy_dt_at_lockdown</f>
        <v>5.4985747622089747</v>
      </c>
      <c r="K63" s="77">
        <f>Tabella34[[#This Row],[Italy cumul. Fit]]/Kf</f>
        <v>0</v>
      </c>
      <c r="L63" s="146">
        <f>Tabella34[[#This Row],[sel. region acc. fit]]+Tabella34[[#This Row],[rest of Italy acc. fit]]</f>
        <v>18.967493212967469</v>
      </c>
      <c r="M63" s="77">
        <f>Tabella34[[#This Row],[Italy (fit of selected region + fitted sum of the other regions)]]/(y_l_peak+y_a_peak)</f>
        <v>5.989703432780099E-3</v>
      </c>
      <c r="N63" s="143">
        <f>Tabella3[[#This Row],[Italy remov. rate fit]]</f>
        <v>404.70758193265596</v>
      </c>
      <c r="O63" s="143" t="e">
        <f>Kt*EXP(-0.5*Tabella34[[#This Row],[x_t]]^2)/(psi_t*SQRTPI(2)*(Tabella34[[#This Row],[Day]]-D_bk))</f>
        <v>#NUM!</v>
      </c>
      <c r="P63" s="183" t="e">
        <f>Tabella34[[#This Row],[Italy velocity]]/Tabella34[[#This Row],[Italy cumul. Fit]]</f>
        <v>#DIV/0!</v>
      </c>
      <c r="Q63" s="244" t="e">
        <f>(LN(Tabella34[[#This Row],[Day]]-D_bk)-phi_t)/psi_t</f>
        <v>#NUM!</v>
      </c>
      <c r="R63" s="244">
        <f>EXP(phi_t+psi_t*Tabella34[[#This Row],[x_t_alpha©+plus]])-(Tabella34[[#This Row],[Day]]-D_bk)</f>
        <v>16.850602772977272</v>
      </c>
      <c r="S63" s="244">
        <f>EXP(phi_t+psi_t*Tabella34[[#This Row],[x_t_alpha©-minus]])-(Tabella34[[#This Row],[Day]]-D_bk)</f>
        <v>16.031234217929498</v>
      </c>
      <c r="T63" s="244">
        <f>-psi_t+SQRT(psi_t^2-2*Tabella34[[#This Row],[c_t]])</f>
        <v>4.0846379112018854</v>
      </c>
      <c r="U63" s="244">
        <f>-psi_t-SQRT(psi_t^2-2*Tabella34[[#This Row],[c_t]])</f>
        <v>-4.1351565858992574</v>
      </c>
      <c r="V63" s="244">
        <f>phi_t-LN(alpha*Kt/(Tabella34[[#This Row],[Italy velocity]]*psi_t*SQRTPI(2)))</f>
        <v>-8.4453086797601298</v>
      </c>
      <c r="W63" s="244" t="e">
        <f>Tabella34[[#This Row],[Italy g.r.]]/Italy_gr_at_lockdown</f>
        <v>#DIV/0!</v>
      </c>
      <c r="X63" s="244">
        <f>(ACOSH(SQRT(alpha*Kf*psi_f/(Tabella34[[#This Row],[Italy velocity]]*(1+TANH(phi_f)))))+phi_f)/psi_f-(Tabella34[[#This Row],[Day]]-pf)</f>
        <v>147.96947452605065</v>
      </c>
      <c r="Y63" s="244">
        <f>Tabella34[[#This Row],[Italy h.t.]]/Italy_ht_at_lockdown</f>
        <v>1.2459785991486403</v>
      </c>
      <c r="Z63" s="72">
        <f>-2*$BY$48*TANH($BY$48*(Tabella34[[#This Row],[Day]]-$BY$57)-$BY$47)*Tabella34[[#This Row],[Italy velocity]]</f>
        <v>19.090767666116069</v>
      </c>
      <c r="AA63" s="72">
        <f>Tabella34[[#This Row],[Italy acc. fit]]/Itali_acc_at_lockdown</f>
        <v>0.54544538504102014</v>
      </c>
      <c r="AB63" s="77">
        <f>Tabella34[[#This Row],[Italy acc. fit]]/y_f_peak</f>
        <v>6.0433149691137842E-3</v>
      </c>
      <c r="AC63" s="143">
        <f>Tabella34[[#This Row],[Italy (fit of selected region + fitted sum of the other regions)]]*NOT(ISBLANK(Tabella34[[#This Row],[Italy rate data]]))</f>
        <v>18.967493212967469</v>
      </c>
      <c r="AD63" s="143">
        <f>Tabella34[[#This Row],[Italy acc. fit]]*NOT(ISBLANK(Tabella34[[#This Row],[Italy rate data]]))</f>
        <v>19.090767666116069</v>
      </c>
      <c r="AE63" s="77">
        <f>Tabella34[[#This Row],[Italy acc. fit]]+CIf</f>
        <v>1674.3007365898675</v>
      </c>
      <c r="AF63" s="77">
        <f>MAX(Tabella34[[#This Row],[Italy acc. fit]]-CIf,0)</f>
        <v>0</v>
      </c>
      <c r="AG63" s="4">
        <f>Tabella8[[#This Row],[region data]]</f>
        <v>0</v>
      </c>
      <c r="AH63" s="72">
        <f>(Tabella34[[#This Row],[selected region cumul. data]]-AG62)</f>
        <v>0</v>
      </c>
      <c r="AI63" s="33"/>
      <c r="AJ63" s="77">
        <f>Tabella34[[#This Row],[selected region rate data]]*NOT(ISBLANK(Tabella34[[#This Row],[selected region rate data]]))</f>
        <v>0</v>
      </c>
      <c r="AK63" s="77">
        <f>Tabella8[[#This Row],[region fit]]</f>
        <v>0</v>
      </c>
      <c r="AL63" s="143">
        <f>(ATANH(alpha*Tabella34[[#This Row],[sel. region cumul. fit]]/Kl-(1-alpha*Tabella34[[#This Row],[sel. region cumul. fit]]/Kl)*TANH(phi_l))+phi_l)/psi_l-(Tabella34[[#This Row],[Day]]-pl)</f>
        <v>20.356483051343162</v>
      </c>
      <c r="AM63" s="77">
        <f>Tabella34[[#This Row],[sel. region cumul. fit]]/Kl</f>
        <v>0</v>
      </c>
      <c r="AN63" s="143">
        <f>Tabella3[[#This Row],[region fit]]</f>
        <v>26.200800413769461</v>
      </c>
      <c r="AO63" s="186" t="e">
        <f>Tabella34[[#This Row],[sel. region velocity]]/Tabella34[[#This Row],[sel. region cumul. fit]]</f>
        <v>#DIV/0!</v>
      </c>
      <c r="AP63" s="241" t="e">
        <f>(LN(Tabella34[[#This Row],[Day]]-pr)-phi_r)/psi_r</f>
        <v>#NUM!</v>
      </c>
      <c r="AQ63" s="244">
        <f>EXP(phi_r+psi_r*Tabella34[[#This Row],[x_r_alpha©+plus]])-(Tabella34[[#This Row],[Day]]-pr)</f>
        <v>23.619059279247807</v>
      </c>
      <c r="AR63" s="244">
        <f>EXP(phi_r+psi_r*Tabella34[[#This Row],[x_r_alpha©-minus]])-(Tabella34[[#This Row],[Day]]-pr)</f>
        <v>23.111717493619381</v>
      </c>
      <c r="AS63" s="244">
        <f>-psi_r+SQRT(psi_r^2-2*Tabella34[[#This Row],[c_r]])</f>
        <v>4.1750148687700408</v>
      </c>
      <c r="AT63" s="244">
        <f>-psi_r-SQRT(psi_r^2-2*Tabella34[[#This Row],[c_r]])</f>
        <v>-4.2153028784363782</v>
      </c>
      <c r="AU63" s="244">
        <f>phi_r-LN(alpha*Kr/(Tabella34[[#This Row],[sel. region velocity]]*psi_r*SQRTPI(2)))</f>
        <v>-8.7994760969205146</v>
      </c>
      <c r="AV63" s="244">
        <f>(ACOSH(SQRT(alpha*Kl*psi_l/(Tabella34[[#This Row],[sel. region velocity]]*(1+TANH(phi_l)))))+phi_l)/psi_l-(Tabella34[[#This Row],[Day]]-pl)</f>
        <v>168.2034720602793</v>
      </c>
      <c r="AW63" s="72">
        <f>-2*$BY$22*TANH($BY$22*(Tabella34[[#This Row],[Day]]-$BY$31)-$BY$21)*Tabella34[[#This Row],[sel. region velocity]]</f>
        <v>0.95705925651007362</v>
      </c>
      <c r="AX63" s="77">
        <f>Tabella34[[#This Row],[sel. region acc. fit]]/y_l_peak</f>
        <v>6.5002245874111499E-3</v>
      </c>
      <c r="AY63" s="143">
        <f>Tabella34[[#This Row],[sel. region acc. fit]]*NOT(ISBLANK(Tabella34[[#This Row],[selected region rate data]]))</f>
        <v>0.95705925651007362</v>
      </c>
      <c r="AZ63" s="77">
        <f>Tabella34[[#This Row],[sel. region acc. fit]]+CIl</f>
        <v>70.322045631610479</v>
      </c>
      <c r="BA63" s="77">
        <f>MAX(Tabella34[[#This Row],[sel. region acc. fit]]-CIl,0)</f>
        <v>0</v>
      </c>
      <c r="BB63" s="10">
        <f>Tabella8[[#This Row],[rest of Italy ]]</f>
        <v>11</v>
      </c>
      <c r="BC63" s="10">
        <f>(Tabella34[[#This Row],[rest of Italy cum. Data]]-BB62)</f>
        <v>3</v>
      </c>
      <c r="BD63" s="33"/>
      <c r="BE63" s="77">
        <f>Tabella34[[#This Row],[rest of Italy rate data]]*NOT(ISBLANK(Tabella34[[#This Row],[rest of Italy rate data]]))</f>
        <v>3</v>
      </c>
      <c r="BF63" s="77">
        <f>Tabella8[[#This Row],[rest of Italy fit]]</f>
        <v>0</v>
      </c>
      <c r="BG63" s="78">
        <f>(ATANH(alpha*Tabella34[[#This Row],[rest of Italy cumul. fit]]/Ka-(1-alpha*Tabella34[[#This Row],[rest of Italy cumul. fit]]/Ka)*TANH(phi_a))+phi_a)/psi_a-(Tabella34[[#This Row],[Day]]-pa)</f>
        <v>11.882529907638357</v>
      </c>
      <c r="BH63" s="77">
        <f>Tabella34[[#This Row],[rest of Italy cumul. fit]]/Ka</f>
        <v>0</v>
      </c>
      <c r="BI63" s="143">
        <f>Tabella3[[#This Row],[rest of Italy fit]]</f>
        <v>375.0551665743759</v>
      </c>
      <c r="BJ63" s="183" t="e">
        <f>Tabella34[[#This Row],[rest of Italy velocity]]/Tabella34[[#This Row],[rest of Italy cumul. fit]]</f>
        <v>#DIV/0!</v>
      </c>
      <c r="BK63" s="236" t="e">
        <f>(LN(Tabella34[[#This Row],[Day]]-po)-phi_o)/psi_o</f>
        <v>#NUM!</v>
      </c>
      <c r="BL63" s="244">
        <f>EXP(phi_o+psi_o*Tabella34[[#This Row],[x_o_alpha©+plus]])-(Tabella34[[#This Row],[Day]]-po)</f>
        <v>16.378532978744662</v>
      </c>
      <c r="BM63" s="244">
        <f>EXP(phi_o+psi_o*Tabella34[[#This Row],[x_o_alpha©-minus]])-(Tabella34[[#This Row],[Day]]-po)</f>
        <v>15.524762044865167</v>
      </c>
      <c r="BN63" s="244">
        <f>-psi_o+SQRT(psi_o^2-2*Tabella34[[#This Row],[c_o]])</f>
        <v>4.0783893267765512</v>
      </c>
      <c r="BO63" s="244">
        <f>-psi_o-SQRT(psi_o^2-2*Tabella34[[#This Row],[c_o]])</f>
        <v>-4.1297026110442046</v>
      </c>
      <c r="BP63" s="244">
        <f>phi_o-LN(alpha*Ko/(Tabella34[[#This Row],[rest of Italy velocity]]*psi_o*SQRTPI(2)))</f>
        <v>-8.4212675258219694</v>
      </c>
      <c r="BQ63" s="244">
        <f>(ACOSH(SQRT(alpha*Ka*psi_a/(Tabella34[[#This Row],[rest of Italy velocity]]*(1+TANH(phi_a)))))+phi_a)/psi_a-(Tabella34[[#This Row],[Day]]-pa)</f>
        <v>146.94496968997549</v>
      </c>
      <c r="BR63" s="72">
        <f>-2*$BY$35*TANH($BY$35*(Tabella34[[#This Row],[Day]]-$BY$44)-$BY$34)*Tabella34[[#This Row],[rest of Italy velocity]]</f>
        <v>18.010433956457394</v>
      </c>
      <c r="BS63" s="77">
        <f>Tabella34[[#This Row],[rest of Italy acc. fit]]/y_a_peak</f>
        <v>5.9648093232094095E-3</v>
      </c>
      <c r="BT63" s="77">
        <f>Tabella34[[#This Row],[rest of Italy acc. fit]]*NOT(ISBLANK(Tabella34[[#This Row],[rest of Italy rate data]]))</f>
        <v>18.010433956457394</v>
      </c>
      <c r="BU63" s="77">
        <f>Tabella34[[#This Row],[rest of Italy acc. fit]]+CIa</f>
        <v>1652.1443739102588</v>
      </c>
      <c r="BV63" s="77">
        <f>MAX(Tabella34[[#This Row],[rest of Italy acc. fit]]-CIa,0)</f>
        <v>0</v>
      </c>
    </row>
    <row r="64" spans="2:79" x14ac:dyDescent="0.3">
      <c r="B64" s="262">
        <v>43887</v>
      </c>
      <c r="C64" s="29">
        <v>57</v>
      </c>
      <c r="D64" s="10">
        <f>Tabella8[[#This Row],[Italy cumulative]]</f>
        <v>15</v>
      </c>
      <c r="E64" s="72">
        <f>(Tabella34[[#This Row],[Italy cumul. data]]-D63)</f>
        <v>4</v>
      </c>
      <c r="F64" s="72">
        <f>Tabella34[[#This Row],[Italy rate data]]-E63</f>
        <v>1</v>
      </c>
      <c r="G64" s="77">
        <f>Tabella34[[#This Row],[Italy rate data]]*NOT(ISBLANK(Tabella34[[#This Row],[Italy rate data]]))</f>
        <v>4</v>
      </c>
      <c r="H64" s="143">
        <f>Tabella8[[#This Row],[Italy fit]]</f>
        <v>0</v>
      </c>
      <c r="I64" s="143">
        <f>(ATANH(alpha*Tabella34[[#This Row],[Italy cumul. Fit]]/Kf-(1-alpha*Tabella34[[#This Row],[Italy cumul. Fit]]/Kf)*TANH(phi_f))+phi_f)/psi_f-(Tabella34[[#This Row],[Day]]-pf)</f>
        <v>11.480394693650979</v>
      </c>
      <c r="J64" s="143">
        <f>Tabella34[[#This Row],[Italy d.t.]]/Italy_dt_at_lockdown</f>
        <v>5.0579977694792326</v>
      </c>
      <c r="K64" s="77">
        <f>Tabella34[[#This Row],[Italy cumul. Fit]]/Kf</f>
        <v>0</v>
      </c>
      <c r="L64" s="146">
        <f>Tabella34[[#This Row],[sel. region acc. fit]]+Tabella34[[#This Row],[rest of Italy acc. fit]]</f>
        <v>19.817523965604966</v>
      </c>
      <c r="M64" s="77">
        <f>Tabella34[[#This Row],[Italy (fit of selected region + fitted sum of the other regions)]]/(y_l_peak+y_a_peak)</f>
        <v>6.2581327955785852E-3</v>
      </c>
      <c r="N64" s="143">
        <f>Tabella3[[#This Row],[Italy remov. rate fit]]</f>
        <v>424.22055777193958</v>
      </c>
      <c r="O64" s="143" t="e">
        <f>Kt*EXP(-0.5*Tabella34[[#This Row],[x_t]]^2)/(psi_t*SQRTPI(2)*(Tabella34[[#This Row],[Day]]-D_bk))</f>
        <v>#NUM!</v>
      </c>
      <c r="P64" s="183" t="e">
        <f>Tabella34[[#This Row],[Italy velocity]]/Tabella34[[#This Row],[Italy cumul. Fit]]</f>
        <v>#DIV/0!</v>
      </c>
      <c r="Q64" s="244" t="e">
        <f>(LN(Tabella34[[#This Row],[Day]]-D_bk)-phi_t)/psi_t</f>
        <v>#NUM!</v>
      </c>
      <c r="R64" s="244">
        <f>EXP(phi_t+psi_t*Tabella34[[#This Row],[x_t_alpha©+plus]])-(Tabella34[[#This Row],[Day]]-D_bk)</f>
        <v>15.849336423266731</v>
      </c>
      <c r="S64" s="244">
        <f>EXP(phi_t+psi_t*Tabella34[[#This Row],[x_t_alpha©-minus]])-(Tabella34[[#This Row],[Day]]-D_bk)</f>
        <v>15.032263438478093</v>
      </c>
      <c r="T64" s="244">
        <f>-psi_t+SQRT(psi_t^2-2*Tabella34[[#This Row],[c_t]])</f>
        <v>4.0731645011090167</v>
      </c>
      <c r="U64" s="244">
        <f>-psi_t-SQRT(psi_t^2-2*Tabella34[[#This Row],[c_t]])</f>
        <v>-4.1236831758063888</v>
      </c>
      <c r="V64" s="244">
        <f>phi_t-LN(alpha*Kt/(Tabella34[[#This Row],[Italy velocity]]*psi_t*SQRTPI(2)))</f>
        <v>-8.3982199627575387</v>
      </c>
      <c r="W64" s="244" t="e">
        <f>Tabella34[[#This Row],[Italy g.r.]]/Italy_gr_at_lockdown</f>
        <v>#DIV/0!</v>
      </c>
      <c r="X64" s="244">
        <f>(ACOSH(SQRT(alpha*Kf*psi_f/(Tabella34[[#This Row],[Italy velocity]]*(1+TANH(phi_f)))))+phi_f)/psi_f-(Tabella34[[#This Row],[Day]]-pf)</f>
        <v>146.00521042722931</v>
      </c>
      <c r="Y64" s="244">
        <f>Tabella34[[#This Row],[Italy h.t.]]/Italy_ht_at_lockdown</f>
        <v>1.2294384915484304</v>
      </c>
      <c r="Z64" s="72">
        <f>-2*$BY$48*TANH($BY$48*(Tabella34[[#This Row],[Day]]-$BY$57)-$BY$47)*Tabella34[[#This Row],[Italy velocity]]</f>
        <v>19.940217278143063</v>
      </c>
      <c r="AA64" s="72">
        <f>Tabella34[[#This Row],[Italy acc. fit]]/Itali_acc_at_lockdown</f>
        <v>0.56971514615321284</v>
      </c>
      <c r="AB64" s="77">
        <f>Tabella34[[#This Row],[Italy acc. fit]]/y_f_peak</f>
        <v>6.3122141378455891E-3</v>
      </c>
      <c r="AC64" s="143">
        <f>Tabella34[[#This Row],[Italy (fit of selected region + fitted sum of the other regions)]]*NOT(ISBLANK(Tabella34[[#This Row],[Italy rate data]]))</f>
        <v>19.817523965604966</v>
      </c>
      <c r="AD64" s="143">
        <f>Tabella34[[#This Row],[Italy acc. fit]]*NOT(ISBLANK(Tabella34[[#This Row],[Italy rate data]]))</f>
        <v>19.940217278143063</v>
      </c>
      <c r="AE64" s="77">
        <f>Tabella34[[#This Row],[Italy acc. fit]]+CIf</f>
        <v>1675.1501862018945</v>
      </c>
      <c r="AF64" s="77">
        <f>MAX(Tabella34[[#This Row],[Italy acc. fit]]-CIf,0)</f>
        <v>0</v>
      </c>
      <c r="AG64" s="4">
        <f>Tabella8[[#This Row],[region data]]</f>
        <v>0</v>
      </c>
      <c r="AH64" s="72">
        <f>(Tabella34[[#This Row],[selected region cumul. data]]-AG63)</f>
        <v>0</v>
      </c>
      <c r="AI64" s="72">
        <f>Tabella34[[#This Row],[selected region rate data]]-AH63</f>
        <v>0</v>
      </c>
      <c r="AJ64" s="77">
        <f>Tabella34[[#This Row],[selected region rate data]]*NOT(ISBLANK(Tabella34[[#This Row],[selected region rate data]]))</f>
        <v>0</v>
      </c>
      <c r="AK64" s="77">
        <f>Tabella8[[#This Row],[region fit]]</f>
        <v>0</v>
      </c>
      <c r="AL64" s="143">
        <f>(ATANH(alpha*Tabella34[[#This Row],[sel. region cumul. fit]]/Kl-(1-alpha*Tabella34[[#This Row],[sel. region cumul. fit]]/Kl)*TANH(phi_l))+phi_l)/psi_l-(Tabella34[[#This Row],[Day]]-pl)</f>
        <v>19.356483051343162</v>
      </c>
      <c r="AM64" s="77">
        <f>Tabella34[[#This Row],[sel. region cumul. fit]]/Kl</f>
        <v>0</v>
      </c>
      <c r="AN64" s="143">
        <f>Tabella3[[#This Row],[region fit]]</f>
        <v>27.173567768908576</v>
      </c>
      <c r="AO64" s="186" t="e">
        <f>Tabella34[[#This Row],[sel. region velocity]]/Tabella34[[#This Row],[sel. region cumul. fit]]</f>
        <v>#DIV/0!</v>
      </c>
      <c r="AP64" s="241" t="e">
        <f>(LN(Tabella34[[#This Row],[Day]]-pr)-phi_r)/psi_r</f>
        <v>#NUM!</v>
      </c>
      <c r="AQ64" s="244">
        <f>EXP(phi_r+psi_r*Tabella34[[#This Row],[x_r_alpha©+plus]])-(Tabella34[[#This Row],[Day]]-pr)</f>
        <v>22.618487636308423</v>
      </c>
      <c r="AR64" s="244">
        <f>EXP(phi_r+psi_r*Tabella34[[#This Row],[x_r_alpha©-minus]])-(Tabella34[[#This Row],[Day]]-pr)</f>
        <v>22.112200328721002</v>
      </c>
      <c r="AS64" s="244">
        <f>-psi_r+SQRT(psi_r^2-2*Tabella34[[#This Row],[c_r]])</f>
        <v>4.1663161275956089</v>
      </c>
      <c r="AT64" s="244">
        <f>-psi_r-SQRT(psi_r^2-2*Tabella34[[#This Row],[c_r]])</f>
        <v>-4.2066041372619463</v>
      </c>
      <c r="AU64" s="244">
        <f>phi_r-LN(alpha*Kr/(Tabella34[[#This Row],[sel. region velocity]]*psi_r*SQRTPI(2)))</f>
        <v>-8.7630213297424291</v>
      </c>
      <c r="AV64" s="244">
        <f>(ACOSH(SQRT(alpha*Kl*psi_l/(Tabella34[[#This Row],[sel. region velocity]]*(1+TANH(phi_l)))))+phi_l)/psi_l-(Tabella34[[#This Row],[Day]]-pl)</f>
        <v>166.25460470644731</v>
      </c>
      <c r="AW64" s="72">
        <f>-2*$BY$22*TANH($BY$22*(Tabella34[[#This Row],[Day]]-$BY$31)-$BY$21)*Tabella34[[#This Row],[sel. region velocity]]</f>
        <v>0.98859551988211758</v>
      </c>
      <c r="AX64" s="77">
        <f>Tabella34[[#This Row],[sel. region acc. fit]]/y_l_peak</f>
        <v>6.7144148720478004E-3</v>
      </c>
      <c r="AY64" s="143">
        <f>Tabella34[[#This Row],[sel. region acc. fit]]*NOT(ISBLANK(Tabella34[[#This Row],[selected region rate data]]))</f>
        <v>0.98859551988211758</v>
      </c>
      <c r="AZ64" s="77">
        <f>Tabella34[[#This Row],[sel. region acc. fit]]+CIl</f>
        <v>70.353581894982511</v>
      </c>
      <c r="BA64" s="77">
        <f>MAX(Tabella34[[#This Row],[sel. region acc. fit]]-CIl,0)</f>
        <v>0</v>
      </c>
      <c r="BB64" s="10">
        <f>Tabella8[[#This Row],[rest of Italy ]]</f>
        <v>15</v>
      </c>
      <c r="BC64" s="10">
        <f>(Tabella34[[#This Row],[rest of Italy cum. Data]]-BB63)</f>
        <v>4</v>
      </c>
      <c r="BD64" s="10">
        <f>Tabella34[[#This Row],[rest of Italy rate data]]-BC63</f>
        <v>1</v>
      </c>
      <c r="BE64" s="77">
        <f>Tabella34[[#This Row],[rest of Italy rate data]]*NOT(ISBLANK(Tabella34[[#This Row],[rest of Italy rate data]]))</f>
        <v>4</v>
      </c>
      <c r="BF64" s="77">
        <f>Tabella8[[#This Row],[rest of Italy fit]]</f>
        <v>0</v>
      </c>
      <c r="BG64" s="78">
        <f>(ATANH(alpha*Tabella34[[#This Row],[rest of Italy cumul. fit]]/Ka-(1-alpha*Tabella34[[#This Row],[rest of Italy cumul. fit]]/Ka)*TANH(phi_a))+phi_a)/psi_a-(Tabella34[[#This Row],[Day]]-pa)</f>
        <v>10.882529907638357</v>
      </c>
      <c r="BH64" s="77">
        <f>Tabella34[[#This Row],[rest of Italy cumul. fit]]/Ka</f>
        <v>0</v>
      </c>
      <c r="BI64" s="143">
        <f>Tabella3[[#This Row],[rest of Italy fit]]</f>
        <v>393.47234941385426</v>
      </c>
      <c r="BJ64" s="183" t="e">
        <f>Tabella34[[#This Row],[rest of Italy velocity]]/Tabella34[[#This Row],[rest of Italy cumul. fit]]</f>
        <v>#DIV/0!</v>
      </c>
      <c r="BK64" s="236" t="e">
        <f>(LN(Tabella34[[#This Row],[Day]]-po)-phi_o)/psi_o</f>
        <v>#NUM!</v>
      </c>
      <c r="BL64" s="244">
        <f>EXP(phi_o+psi_o*Tabella34[[#This Row],[x_o_alpha©+plus]])-(Tabella34[[#This Row],[Day]]-po)</f>
        <v>15.377183875109001</v>
      </c>
      <c r="BM64" s="244">
        <f>EXP(phi_o+psi_o*Tabella34[[#This Row],[x_o_alpha©-minus]])-(Tabella34[[#This Row],[Day]]-po)</f>
        <v>14.525855287783045</v>
      </c>
      <c r="BN64" s="244">
        <f>-psi_o+SQRT(psi_o^2-2*Tabella34[[#This Row],[c_o]])</f>
        <v>4.0666920689164829</v>
      </c>
      <c r="BO64" s="244">
        <f>-psi_o-SQRT(psi_o^2-2*Tabella34[[#This Row],[c_o]])</f>
        <v>-4.1180053531841363</v>
      </c>
      <c r="BP64" s="244">
        <f>phi_o-LN(alpha*Ko/(Tabella34[[#This Row],[rest of Italy velocity]]*psi_o*SQRTPI(2)))</f>
        <v>-8.3733298547747737</v>
      </c>
      <c r="BQ64" s="244">
        <f>(ACOSH(SQRT(alpha*Ka*psi_a/(Tabella34[[#This Row],[rest of Italy velocity]]*(1+TANH(phi_a)))))+phi_a)/psi_a-(Tabella34[[#This Row],[Day]]-pa)</f>
        <v>144.97953916079229</v>
      </c>
      <c r="BR64" s="72">
        <f>-2*$BY$35*TANH($BY$35*(Tabella34[[#This Row],[Day]]-$BY$44)-$BY$34)*Tabella34[[#This Row],[rest of Italy velocity]]</f>
        <v>18.828928445722848</v>
      </c>
      <c r="BS64" s="77">
        <f>Tabella34[[#This Row],[rest of Italy acc. fit]]/y_a_peak</f>
        <v>6.2358835001209362E-3</v>
      </c>
      <c r="BT64" s="77">
        <f>Tabella34[[#This Row],[rest of Italy acc. fit]]*NOT(ISBLANK(Tabella34[[#This Row],[rest of Italy rate data]]))</f>
        <v>18.828928445722848</v>
      </c>
      <c r="BU64" s="77">
        <f>Tabella34[[#This Row],[rest of Italy acc. fit]]+CIa</f>
        <v>1652.9628683995243</v>
      </c>
      <c r="BV64" s="77">
        <f>MAX(Tabella34[[#This Row],[rest of Italy acc. fit]]-CIa,0)</f>
        <v>0</v>
      </c>
    </row>
    <row r="65" spans="2:74" x14ac:dyDescent="0.3">
      <c r="B65" s="262">
        <v>43888</v>
      </c>
      <c r="C65" s="29">
        <v>58</v>
      </c>
      <c r="D65" s="10">
        <f>Tabella8[[#This Row],[Italy cumulative]]</f>
        <v>62</v>
      </c>
      <c r="E65" s="72">
        <f>(Tabella34[[#This Row],[Italy cumul. data]]-D64)</f>
        <v>47</v>
      </c>
      <c r="F65" s="72">
        <f>Tabella34[[#This Row],[Italy rate data]]-E64</f>
        <v>43</v>
      </c>
      <c r="G65" s="77">
        <f>Tabella34[[#This Row],[Italy rate data]]*NOT(ISBLANK(Tabella34[[#This Row],[Italy rate data]]))</f>
        <v>47</v>
      </c>
      <c r="H65" s="143">
        <f>Tabella8[[#This Row],[Italy fit]]</f>
        <v>0</v>
      </c>
      <c r="I65" s="143">
        <f>(ATANH(alpha*Tabella34[[#This Row],[Italy cumul. Fit]]/Kf-(1-alpha*Tabella34[[#This Row],[Italy cumul. Fit]]/Kf)*TANH(phi_f))+phi_f)/psi_f-(Tabella34[[#This Row],[Day]]-pf)</f>
        <v>10.480394693650979</v>
      </c>
      <c r="J65" s="143">
        <f>Tabella34[[#This Row],[Italy d.t.]]/Italy_dt_at_lockdown</f>
        <v>4.6174207767494915</v>
      </c>
      <c r="K65" s="77">
        <f>Tabella34[[#This Row],[Italy cumul. Fit]]/Kf</f>
        <v>0</v>
      </c>
      <c r="L65" s="146">
        <f>Tabella34[[#This Row],[sel. region acc. fit]]+Tabella34[[#This Row],[rest of Italy acc. fit]]</f>
        <v>20.698460257497743</v>
      </c>
      <c r="M65" s="77">
        <f>Tabella34[[#This Row],[Italy (fit of selected region + fitted sum of the other regions)]]/(y_l_peak+y_a_peak)</f>
        <v>6.5363217514076734E-3</v>
      </c>
      <c r="N65" s="143">
        <f>Tabella3[[#This Row],[Italy remov. rate fit]]</f>
        <v>444.59814451953287</v>
      </c>
      <c r="O65" s="143" t="e">
        <f>Kt*EXP(-0.5*Tabella34[[#This Row],[x_t]]^2)/(psi_t*SQRTPI(2)*(Tabella34[[#This Row],[Day]]-D_bk))</f>
        <v>#NUM!</v>
      </c>
      <c r="P65" s="183" t="e">
        <f>Tabella34[[#This Row],[Italy velocity]]/Tabella34[[#This Row],[Italy cumul. Fit]]</f>
        <v>#DIV/0!</v>
      </c>
      <c r="Q65" s="244" t="e">
        <f>(LN(Tabella34[[#This Row],[Day]]-D_bk)-phi_t)/psi_t</f>
        <v>#NUM!</v>
      </c>
      <c r="R65" s="244">
        <f>EXP(phi_t+psi_t*Tabella34[[#This Row],[x_t_alpha©+plus]])-(Tabella34[[#This Row],[Day]]-D_bk)</f>
        <v>14.848071513613498</v>
      </c>
      <c r="S65" s="244">
        <f>EXP(phi_t+psi_t*Tabella34[[#This Row],[x_t_alpha©-minus]])-(Tabella34[[#This Row],[Day]]-D_bk)</f>
        <v>14.033292084425939</v>
      </c>
      <c r="T65" s="244">
        <f>-psi_t+SQRT(psi_t^2-2*Tabella34[[#This Row],[c_t]])</f>
        <v>4.0617008178463747</v>
      </c>
      <c r="U65" s="244">
        <f>-psi_t-SQRT(psi_t^2-2*Tabella34[[#This Row],[c_t]])</f>
        <v>-4.1122194925437467</v>
      </c>
      <c r="V65" s="244">
        <f>phi_t-LN(alpha*Kt/(Tabella34[[#This Row],[Italy velocity]]*psi_t*SQRTPI(2)))</f>
        <v>-8.3513026380143689</v>
      </c>
      <c r="W65" s="244" t="e">
        <f>Tabella34[[#This Row],[Italy g.r.]]/Italy_gr_at_lockdown</f>
        <v>#DIV/0!</v>
      </c>
      <c r="X65" s="244">
        <f>(ACOSH(SQRT(alpha*Kf*psi_f/(Tabella34[[#This Row],[Italy velocity]]*(1+TANH(phi_f)))))+phi_f)/psi_f-(Tabella34[[#This Row],[Day]]-pf)</f>
        <v>144.04282917448654</v>
      </c>
      <c r="Y65" s="244">
        <f>Tabella34[[#This Row],[Italy h.t.]]/Italy_ht_at_lockdown</f>
        <v>1.2129142384744795</v>
      </c>
      <c r="Z65" s="72">
        <f>-2*$BY$48*TANH($BY$48*(Tabella34[[#This Row],[Day]]-$BY$57)-$BY$47)*Tabella34[[#This Row],[Italy velocity]]</f>
        <v>20.820048345848001</v>
      </c>
      <c r="AA65" s="72">
        <f>Tabella34[[#This Row],[Italy acc. fit]]/Itali_acc_at_lockdown</f>
        <v>0.59485294070859562</v>
      </c>
      <c r="AB65" s="77">
        <f>Tabella34[[#This Row],[Italy acc. fit]]/y_f_peak</f>
        <v>6.5907307671789319E-3</v>
      </c>
      <c r="AC65" s="143">
        <f>Tabella34[[#This Row],[Italy (fit of selected region + fitted sum of the other regions)]]*NOT(ISBLANK(Tabella34[[#This Row],[Italy rate data]]))</f>
        <v>20.698460257497743</v>
      </c>
      <c r="AD65" s="143">
        <f>Tabella34[[#This Row],[Italy acc. fit]]*NOT(ISBLANK(Tabella34[[#This Row],[Italy rate data]]))</f>
        <v>20.820048345848001</v>
      </c>
      <c r="AE65" s="77">
        <f>Tabella34[[#This Row],[Italy acc. fit]]+CIf</f>
        <v>1676.0300172695993</v>
      </c>
      <c r="AF65" s="77">
        <f>MAX(Tabella34[[#This Row],[Italy acc. fit]]-CIf,0)</f>
        <v>0</v>
      </c>
      <c r="AG65" s="4">
        <f>Tabella8[[#This Row],[region data]]</f>
        <v>0</v>
      </c>
      <c r="AH65" s="72">
        <f>(Tabella34[[#This Row],[selected region cumul. data]]-AG64)</f>
        <v>0</v>
      </c>
      <c r="AI65" s="72">
        <f>Tabella34[[#This Row],[selected region rate data]]-AH64</f>
        <v>0</v>
      </c>
      <c r="AJ65" s="77">
        <f>Tabella34[[#This Row],[selected region rate data]]*NOT(ISBLANK(Tabella34[[#This Row],[selected region rate data]]))</f>
        <v>0</v>
      </c>
      <c r="AK65" s="77">
        <f>Tabella8[[#This Row],[region fit]]</f>
        <v>0</v>
      </c>
      <c r="AL65" s="143">
        <f>(ATANH(alpha*Tabella34[[#This Row],[sel. region cumul. fit]]/Kl-(1-alpha*Tabella34[[#This Row],[sel. region cumul. fit]]/Kl)*TANH(phi_l))+phi_l)/psi_l-(Tabella34[[#This Row],[Day]]-pl)</f>
        <v>18.356483051343162</v>
      </c>
      <c r="AM65" s="77">
        <f>Tabella34[[#This Row],[sel. region cumul. fit]]/Kl</f>
        <v>0</v>
      </c>
      <c r="AN65" s="143">
        <f>Tabella3[[#This Row],[region fit]]</f>
        <v>28.178230134580993</v>
      </c>
      <c r="AO65" s="186" t="e">
        <f>Tabella34[[#This Row],[sel. region velocity]]/Tabella34[[#This Row],[sel. region cumul. fit]]</f>
        <v>#DIV/0!</v>
      </c>
      <c r="AP65" s="241" t="e">
        <f>(LN(Tabella34[[#This Row],[Day]]-pr)-phi_r)/psi_r</f>
        <v>#NUM!</v>
      </c>
      <c r="AQ65" s="244">
        <f>EXP(phi_r+psi_r*Tabella34[[#This Row],[x_r_alpha©+plus]])-(Tabella34[[#This Row],[Day]]-pr)</f>
        <v>21.617917259240961</v>
      </c>
      <c r="AR65" s="244">
        <f>EXP(phi_r+psi_r*Tabella34[[#This Row],[x_r_alpha©-minus]])-(Tabella34[[#This Row],[Day]]-pr)</f>
        <v>21.11268226330537</v>
      </c>
      <c r="AS65" s="244">
        <f>-psi_r+SQRT(psi_r^2-2*Tabella34[[#This Row],[c_r]])</f>
        <v>4.1576351298411671</v>
      </c>
      <c r="AT65" s="244">
        <f>-psi_r-SQRT(psi_r^2-2*Tabella34[[#This Row],[c_r]])</f>
        <v>-4.1979231395075045</v>
      </c>
      <c r="AU65" s="244">
        <f>phi_r-LN(alpha*Kr/(Tabella34[[#This Row],[sel. region velocity]]*psi_r*SQRTPI(2)))</f>
        <v>-8.7267163585947607</v>
      </c>
      <c r="AV65" s="244">
        <f>(ACOSH(SQRT(alpha*Kl*psi_l/(Tabella34[[#This Row],[sel. region velocity]]*(1+TANH(phi_l)))))+phi_l)/psi_l-(Tabella34[[#This Row],[Day]]-pl)</f>
        <v>164.30788710962685</v>
      </c>
      <c r="AW65" s="72">
        <f>-2*$BY$22*TANH($BY$22*(Tabella34[[#This Row],[Day]]-$BY$31)-$BY$21)*Tabella34[[#This Row],[sel. region velocity]]</f>
        <v>1.0208477393943376</v>
      </c>
      <c r="AX65" s="77">
        <f>Tabella34[[#This Row],[sel. region acc. fit]]/y_l_peak</f>
        <v>6.9334678396105335E-3</v>
      </c>
      <c r="AY65" s="143">
        <f>Tabella34[[#This Row],[sel. region acc. fit]]*NOT(ISBLANK(Tabella34[[#This Row],[selected region rate data]]))</f>
        <v>1.0208477393943376</v>
      </c>
      <c r="AZ65" s="77">
        <f>Tabella34[[#This Row],[sel. region acc. fit]]+CIl</f>
        <v>70.385834114494742</v>
      </c>
      <c r="BA65" s="77">
        <f>MAX(Tabella34[[#This Row],[sel. region acc. fit]]-CIl,0)</f>
        <v>0</v>
      </c>
      <c r="BB65" s="10">
        <f>Tabella8[[#This Row],[rest of Italy ]]</f>
        <v>62</v>
      </c>
      <c r="BC65" s="10">
        <f>(Tabella34[[#This Row],[rest of Italy cum. Data]]-BB64)</f>
        <v>47</v>
      </c>
      <c r="BD65" s="10">
        <f>Tabella34[[#This Row],[rest of Italy rate data]]-BC64</f>
        <v>43</v>
      </c>
      <c r="BE65" s="77">
        <f>Tabella34[[#This Row],[rest of Italy rate data]]*NOT(ISBLANK(Tabella34[[#This Row],[rest of Italy rate data]]))</f>
        <v>47</v>
      </c>
      <c r="BF65" s="77">
        <f>Tabella8[[#This Row],[rest of Italy fit]]</f>
        <v>0</v>
      </c>
      <c r="BG65" s="78">
        <f>(ATANH(alpha*Tabella34[[#This Row],[rest of Italy cumul. fit]]/Ka-(1-alpha*Tabella34[[#This Row],[rest of Italy cumul. fit]]/Ka)*TANH(phi_a))+phi_a)/psi_a-(Tabella34[[#This Row],[Day]]-pa)</f>
        <v>9.8825299076383573</v>
      </c>
      <c r="BH65" s="77">
        <f>Tabella34[[#This Row],[rest of Italy cumul. fit]]/Ka</f>
        <v>0</v>
      </c>
      <c r="BI65" s="143">
        <f>Tabella3[[#This Row],[rest of Italy fit]]</f>
        <v>412.72308749119776</v>
      </c>
      <c r="BJ65" s="183" t="e">
        <f>Tabella34[[#This Row],[rest of Italy velocity]]/Tabella34[[#This Row],[rest of Italy cumul. fit]]</f>
        <v>#DIV/0!</v>
      </c>
      <c r="BK65" s="236" t="e">
        <f>(LN(Tabella34[[#This Row],[Day]]-po)-phi_o)/psi_o</f>
        <v>#NUM!</v>
      </c>
      <c r="BL65" s="244">
        <f>EXP(phi_o+psi_o*Tabella34[[#This Row],[x_o_alpha©+plus]])-(Tabella34[[#This Row],[Day]]-po)</f>
        <v>14.375836158432344</v>
      </c>
      <c r="BM65" s="244">
        <f>EXP(phi_o+psi_o*Tabella34[[#This Row],[x_o_alpha©-minus]])-(Tabella34[[#This Row],[Day]]-po)</f>
        <v>13.526948062256729</v>
      </c>
      <c r="BN65" s="244">
        <f>-psi_o+SQRT(psi_o^2-2*Tabella34[[#This Row],[c_o]])</f>
        <v>4.0550033304036193</v>
      </c>
      <c r="BO65" s="244">
        <f>-psi_o-SQRT(psi_o^2-2*Tabella34[[#This Row],[c_o]])</f>
        <v>-4.1063166146712726</v>
      </c>
      <c r="BP65" s="244">
        <f>phi_o-LN(alpha*Ko/(Tabella34[[#This Row],[rest of Italy velocity]]*psi_o*SQRTPI(2)))</f>
        <v>-8.3255637740918615</v>
      </c>
      <c r="BQ65" s="244">
        <f>(ACOSH(SQRT(alpha*Ka*psi_a/(Tabella34[[#This Row],[rest of Italy velocity]]*(1+TANH(phi_a)))))+phi_a)/psi_a-(Tabella34[[#This Row],[Day]]-pa)</f>
        <v>143.01595854526556</v>
      </c>
      <c r="BR65" s="72">
        <f>-2*$BY$35*TANH($BY$35*(Tabella34[[#This Row],[Day]]-$BY$44)-$BY$34)*Tabella34[[#This Row],[rest of Italy velocity]]</f>
        <v>19.677612518103405</v>
      </c>
      <c r="BS65" s="77">
        <f>Tabella34[[#This Row],[rest of Italy acc. fit]]/y_a_peak</f>
        <v>6.5169560539324383E-3</v>
      </c>
      <c r="BT65" s="77">
        <f>Tabella34[[#This Row],[rest of Italy acc. fit]]*NOT(ISBLANK(Tabella34[[#This Row],[rest of Italy rate data]]))</f>
        <v>19.677612518103405</v>
      </c>
      <c r="BU65" s="77">
        <f>Tabella34[[#This Row],[rest of Italy acc. fit]]+CIa</f>
        <v>1653.8115524719049</v>
      </c>
      <c r="BV65" s="77">
        <f>MAX(Tabella34[[#This Row],[rest of Italy acc. fit]]-CIa,0)</f>
        <v>0</v>
      </c>
    </row>
    <row r="66" spans="2:74" x14ac:dyDescent="0.3">
      <c r="B66" s="262">
        <v>43889</v>
      </c>
      <c r="C66" s="29">
        <v>59</v>
      </c>
      <c r="D66" s="10">
        <f>Tabella8[[#This Row],[Italy cumulative]]</f>
        <v>67</v>
      </c>
      <c r="E66" s="72">
        <f>(Tabella34[[#This Row],[Italy cumul. data]]-D65)</f>
        <v>5</v>
      </c>
      <c r="F66" s="72">
        <f>Tabella34[[#This Row],[Italy rate data]]-E65</f>
        <v>-42</v>
      </c>
      <c r="G66" s="77">
        <f>Tabella34[[#This Row],[Italy rate data]]*NOT(ISBLANK(Tabella34[[#This Row],[Italy rate data]]))</f>
        <v>5</v>
      </c>
      <c r="H66" s="143">
        <f>Tabella8[[#This Row],[Italy fit]]</f>
        <v>0</v>
      </c>
      <c r="I66" s="143">
        <f>(ATANH(alpha*Tabella34[[#This Row],[Italy cumul. Fit]]/Kf-(1-alpha*Tabella34[[#This Row],[Italy cumul. Fit]]/Kf)*TANH(phi_f))+phi_f)/psi_f-(Tabella34[[#This Row],[Day]]-pf)</f>
        <v>9.4803946936509789</v>
      </c>
      <c r="J66" s="143">
        <f>Tabella34[[#This Row],[Italy d.t.]]/Italy_dt_at_lockdown</f>
        <v>4.1768437840197494</v>
      </c>
      <c r="K66" s="77">
        <f>Tabella34[[#This Row],[Italy cumul. Fit]]/Kf</f>
        <v>0</v>
      </c>
      <c r="L66" s="146">
        <f>Tabella34[[#This Row],[sel. region acc. fit]]+Tabella34[[#This Row],[rest of Italy acc. fit]]</f>
        <v>21.610660614315005</v>
      </c>
      <c r="M66" s="77">
        <f>Tabella34[[#This Row],[Italy (fit of selected region + fitted sum of the other regions)]]/(y_l_peak+y_a_peak)</f>
        <v>6.8243835183087499E-3</v>
      </c>
      <c r="N66" s="143">
        <f>Tabella3[[#This Row],[Italy remov. rate fit]]</f>
        <v>465.87088648928682</v>
      </c>
      <c r="O66" s="143" t="e">
        <f>Kt*EXP(-0.5*Tabella34[[#This Row],[x_t]]^2)/(psi_t*SQRTPI(2)*(Tabella34[[#This Row],[Day]]-D_bk))</f>
        <v>#NUM!</v>
      </c>
      <c r="P66" s="183" t="e">
        <f>Tabella34[[#This Row],[Italy velocity]]/Tabella34[[#This Row],[Italy cumul. Fit]]</f>
        <v>#DIV/0!</v>
      </c>
      <c r="Q66" s="244" t="e">
        <f>(LN(Tabella34[[#This Row],[Day]]-D_bk)-phi_t)/psi_t</f>
        <v>#NUM!</v>
      </c>
      <c r="R66" s="244">
        <f>EXP(phi_t+psi_t*Tabella34[[#This Row],[x_t_alpha©+plus]])-(Tabella34[[#This Row],[Day]]-D_bk)</f>
        <v>13.846808274823072</v>
      </c>
      <c r="S66" s="244">
        <f>EXP(phi_t+psi_t*Tabella34[[#This Row],[x_t_alpha©-minus]])-(Tabella34[[#This Row],[Day]]-D_bk)</f>
        <v>13.034319966397952</v>
      </c>
      <c r="T66" s="244">
        <f>-psi_t+SQRT(psi_t^2-2*Tabella34[[#This Row],[c_t]])</f>
        <v>4.0502489634921472</v>
      </c>
      <c r="U66" s="244">
        <f>-psi_t-SQRT(psi_t^2-2*Tabella34[[#This Row],[c_t]])</f>
        <v>-4.1007676381895193</v>
      </c>
      <c r="V66" s="244">
        <f>phi_t-LN(alpha*Kt/(Tabella34[[#This Row],[Italy velocity]]*psi_t*SQRTPI(2)))</f>
        <v>-8.3045649380496194</v>
      </c>
      <c r="W66" s="244" t="e">
        <f>Tabella34[[#This Row],[Italy g.r.]]/Italy_gr_at_lockdown</f>
        <v>#DIV/0!</v>
      </c>
      <c r="X66" s="244">
        <f>(ACOSH(SQRT(alpha*Kf*psi_f/(Tabella34[[#This Row],[Italy velocity]]*(1+TANH(phi_f)))))+phi_f)/psi_f-(Tabella34[[#This Row],[Day]]-pf)</f>
        <v>142.08243149083302</v>
      </c>
      <c r="Y66" s="244">
        <f>Tabella34[[#This Row],[Italy h.t.]]/Italy_ht_at_lockdown</f>
        <v>1.1964066880660147</v>
      </c>
      <c r="Z66" s="72">
        <f>-2*$BY$48*TANH($BY$48*(Tabella34[[#This Row],[Day]]-$BY$57)-$BY$47)*Tabella34[[#This Row],[Italy velocity]]</f>
        <v>21.730572481175344</v>
      </c>
      <c r="AA66" s="72">
        <f>Tabella34[[#This Row],[Italy acc. fit]]/Itali_acc_at_lockdown</f>
        <v>0.62086767182201474</v>
      </c>
      <c r="AB66" s="77">
        <f>Tabella34[[#This Row],[Italy acc. fit]]/y_f_peak</f>
        <v>6.8789635000370015E-3</v>
      </c>
      <c r="AC66" s="143">
        <f>Tabella34[[#This Row],[Italy (fit of selected region + fitted sum of the other regions)]]*NOT(ISBLANK(Tabella34[[#This Row],[Italy rate data]]))</f>
        <v>21.610660614315005</v>
      </c>
      <c r="AD66" s="143">
        <f>Tabella34[[#This Row],[Italy acc. fit]]*NOT(ISBLANK(Tabella34[[#This Row],[Italy rate data]]))</f>
        <v>21.730572481175344</v>
      </c>
      <c r="AE66" s="77">
        <f>Tabella34[[#This Row],[Italy acc. fit]]+CIf</f>
        <v>1676.9405414049268</v>
      </c>
      <c r="AF66" s="77">
        <f>MAX(Tabella34[[#This Row],[Italy acc. fit]]-CIf,0)</f>
        <v>0</v>
      </c>
      <c r="AG66" s="4">
        <f>Tabella8[[#This Row],[region data]]</f>
        <v>0</v>
      </c>
      <c r="AH66" s="72">
        <f>(Tabella34[[#This Row],[selected region cumul. data]]-AG65)</f>
        <v>0</v>
      </c>
      <c r="AI66" s="72">
        <f>Tabella34[[#This Row],[selected region rate data]]-AH65</f>
        <v>0</v>
      </c>
      <c r="AJ66" s="77">
        <f>Tabella34[[#This Row],[selected region rate data]]*NOT(ISBLANK(Tabella34[[#This Row],[selected region rate data]]))</f>
        <v>0</v>
      </c>
      <c r="AK66" s="77">
        <f>Tabella8[[#This Row],[region fit]]</f>
        <v>0</v>
      </c>
      <c r="AL66" s="143">
        <f>(ATANH(alpha*Tabella34[[#This Row],[sel. region cumul. fit]]/Kl-(1-alpha*Tabella34[[#This Row],[sel. region cumul. fit]]/Kl)*TANH(phi_l))+phi_l)/psi_l-(Tabella34[[#This Row],[Day]]-pl)</f>
        <v>17.356483051343162</v>
      </c>
      <c r="AM66" s="77">
        <f>Tabella34[[#This Row],[sel. region cumul. fit]]/Kl</f>
        <v>0</v>
      </c>
      <c r="AN66" s="143">
        <f>Tabella3[[#This Row],[region fit]]</f>
        <v>29.21549840719619</v>
      </c>
      <c r="AO66" s="186" t="e">
        <f>Tabella34[[#This Row],[sel. region velocity]]/Tabella34[[#This Row],[sel. region cumul. fit]]</f>
        <v>#DIV/0!</v>
      </c>
      <c r="AP66" s="241" t="e">
        <f>(LN(Tabella34[[#This Row],[Day]]-pr)-phi_r)/psi_r</f>
        <v>#NUM!</v>
      </c>
      <c r="AQ66" s="244">
        <f>EXP(phi_r+psi_r*Tabella34[[#This Row],[x_r_alpha©+plus]])-(Tabella34[[#This Row],[Day]]-pr)</f>
        <v>20.617348241952158</v>
      </c>
      <c r="AR66" s="244">
        <f>EXP(phi_r+psi_r*Tabella34[[#This Row],[x_r_alpha©-minus]])-(Tabella34[[#This Row],[Day]]-pr)</f>
        <v>20.113163216951513</v>
      </c>
      <c r="AS66" s="244">
        <f>-psi_r+SQRT(psi_r^2-2*Tabella34[[#This Row],[c_r]])</f>
        <v>4.1489733146946381</v>
      </c>
      <c r="AT66" s="244">
        <f>-psi_r-SQRT(psi_r^2-2*Tabella34[[#This Row],[c_r]])</f>
        <v>-4.1892613243609755</v>
      </c>
      <c r="AU66" s="244">
        <f>phi_r-LN(alpha*Kr/(Tabella34[[#This Row],[sel. region velocity]]*psi_r*SQRTPI(2)))</f>
        <v>-8.690566721528004</v>
      </c>
      <c r="AV66" s="244">
        <f>(ACOSH(SQRT(alpha*Kl*psi_l/(Tabella34[[#This Row],[sel. region velocity]]*(1+TANH(phi_l)))))+phi_l)/psi_l-(Tabella34[[#This Row],[Day]]-pl)</f>
        <v>162.36341137921383</v>
      </c>
      <c r="AW66" s="72">
        <f>-2*$BY$22*TANH($BY$22*(Tabella34[[#This Row],[Day]]-$BY$31)-$BY$21)*Tabella34[[#This Row],[sel. region velocity]]</f>
        <v>1.0538053435628669</v>
      </c>
      <c r="AX66" s="77">
        <f>Tabella34[[#This Row],[sel. region acc. fit]]/y_l_peak</f>
        <v>7.1573116899272182E-3</v>
      </c>
      <c r="AY66" s="143">
        <f>Tabella34[[#This Row],[sel. region acc. fit]]*NOT(ISBLANK(Tabella34[[#This Row],[selected region rate data]]))</f>
        <v>1.0538053435628669</v>
      </c>
      <c r="AZ66" s="77">
        <f>Tabella34[[#This Row],[sel. region acc. fit]]+CIl</f>
        <v>70.418791718663272</v>
      </c>
      <c r="BA66" s="77">
        <f>MAX(Tabella34[[#This Row],[sel. region acc. fit]]-CIl,0)</f>
        <v>0</v>
      </c>
      <c r="BB66" s="10">
        <f>Tabella8[[#This Row],[rest of Italy ]]</f>
        <v>67</v>
      </c>
      <c r="BC66" s="10">
        <f>(Tabella34[[#This Row],[rest of Italy cum. Data]]-BB65)</f>
        <v>5</v>
      </c>
      <c r="BD66" s="10">
        <f>Tabella34[[#This Row],[rest of Italy rate data]]-BC65</f>
        <v>-42</v>
      </c>
      <c r="BE66" s="77">
        <f>Tabella34[[#This Row],[rest of Italy rate data]]*NOT(ISBLANK(Tabella34[[#This Row],[rest of Italy rate data]]))</f>
        <v>5</v>
      </c>
      <c r="BF66" s="77">
        <f>Tabella8[[#This Row],[rest of Italy fit]]</f>
        <v>0</v>
      </c>
      <c r="BG66" s="78">
        <f>(ATANH(alpha*Tabella34[[#This Row],[rest of Italy cumul. fit]]/Ka-(1-alpha*Tabella34[[#This Row],[rest of Italy cumul. fit]]/Ka)*TANH(phi_a))+phi_a)/psi_a-(Tabella34[[#This Row],[Day]]-pa)</f>
        <v>8.8825299076383573</v>
      </c>
      <c r="BH66" s="77">
        <f>Tabella34[[#This Row],[rest of Italy cumul. fit]]/Ka</f>
        <v>0</v>
      </c>
      <c r="BI66" s="143">
        <f>Tabella3[[#This Row],[rest of Italy fit]]</f>
        <v>432.83776163217846</v>
      </c>
      <c r="BJ66" s="183" t="e">
        <f>Tabella34[[#This Row],[rest of Italy velocity]]/Tabella34[[#This Row],[rest of Italy cumul. fit]]</f>
        <v>#DIV/0!</v>
      </c>
      <c r="BK66" s="236" t="e">
        <f>(LN(Tabella34[[#This Row],[Day]]-po)-phi_o)/psi_o</f>
        <v>#NUM!</v>
      </c>
      <c r="BL66" s="244">
        <f>EXP(phi_o+psi_o*Tabella34[[#This Row],[x_o_alpha©+plus]])-(Tabella34[[#This Row],[Day]]-po)</f>
        <v>13.374490073940937</v>
      </c>
      <c r="BM66" s="244">
        <f>EXP(phi_o+psi_o*Tabella34[[#This Row],[x_o_alpha©-minus]])-(Tabella34[[#This Row],[Day]]-po)</f>
        <v>12.5280401678357</v>
      </c>
      <c r="BN66" s="244">
        <f>-psi_o+SQRT(psi_o^2-2*Tabella34[[#This Row],[c_o]])</f>
        <v>4.0433252477599941</v>
      </c>
      <c r="BO66" s="244">
        <f>-psi_o-SQRT(psi_o^2-2*Tabella34[[#This Row],[c_o]])</f>
        <v>-4.0946385320276475</v>
      </c>
      <c r="BP66" s="244">
        <f>phi_o-LN(alpha*Ko/(Tabella34[[#This Row],[rest of Italy velocity]]*psi_o*SQRTPI(2)))</f>
        <v>-8.2779776784991519</v>
      </c>
      <c r="BQ66" s="244">
        <f>(ACOSH(SQRT(alpha*Ka*psi_a/(Tabella34[[#This Row],[rest of Italy velocity]]*(1+TANH(phi_a)))))+phi_a)/psi_a-(Tabella34[[#This Row],[Day]]-pa)</f>
        <v>141.05432832006318</v>
      </c>
      <c r="BR66" s="72">
        <f>-2*$BY$35*TANH($BY$35*(Tabella34[[#This Row],[Day]]-$BY$44)-$BY$34)*Tabella34[[#This Row],[rest of Italy velocity]]</f>
        <v>20.556855270752138</v>
      </c>
      <c r="BS66" s="77">
        <f>Tabella34[[#This Row],[rest of Italy acc. fit]]/y_a_peak</f>
        <v>6.8081492245713453E-3</v>
      </c>
      <c r="BT66" s="77">
        <f>Tabella34[[#This Row],[rest of Italy acc. fit]]*NOT(ISBLANK(Tabella34[[#This Row],[rest of Italy rate data]]))</f>
        <v>20.556855270752138</v>
      </c>
      <c r="BU66" s="77">
        <f>Tabella34[[#This Row],[rest of Italy acc. fit]]+CIa</f>
        <v>1654.6907952245535</v>
      </c>
      <c r="BV66" s="77">
        <f>MAX(Tabella34[[#This Row],[rest of Italy acc. fit]]-CIa,0)</f>
        <v>0</v>
      </c>
    </row>
    <row r="67" spans="2:74" x14ac:dyDescent="0.3">
      <c r="B67" s="262">
        <v>43890</v>
      </c>
      <c r="C67" s="29">
        <v>60</v>
      </c>
      <c r="D67" s="10">
        <f>Tabella8[[#This Row],[Italy cumulative]]</f>
        <v>79</v>
      </c>
      <c r="E67" s="72">
        <f>(Tabella34[[#This Row],[Italy cumul. data]]-D66)</f>
        <v>12</v>
      </c>
      <c r="F67" s="72">
        <f>Tabella34[[#This Row],[Italy rate data]]-E66</f>
        <v>7</v>
      </c>
      <c r="G67" s="77">
        <f>Tabella34[[#This Row],[Italy rate data]]*NOT(ISBLANK(Tabella34[[#This Row],[Italy rate data]]))</f>
        <v>12</v>
      </c>
      <c r="H67" s="143">
        <f>Tabella8[[#This Row],[Italy fit]]</f>
        <v>0</v>
      </c>
      <c r="I67" s="143">
        <f>(ATANH(alpha*Tabella34[[#This Row],[Italy cumul. Fit]]/Kf-(1-alpha*Tabella34[[#This Row],[Italy cumul. Fit]]/Kf)*TANH(phi_f))+phi_f)/psi_f-(Tabella34[[#This Row],[Day]]-pf)</f>
        <v>8.4803946936509789</v>
      </c>
      <c r="J67" s="143">
        <f>Tabella34[[#This Row],[Italy d.t.]]/Italy_dt_at_lockdown</f>
        <v>3.7362667912900078</v>
      </c>
      <c r="K67" s="77">
        <f>Tabella34[[#This Row],[Italy cumul. Fit]]/Kf</f>
        <v>0</v>
      </c>
      <c r="L67" s="146">
        <f>Tabella34[[#This Row],[sel. region acc. fit]]+Tabella34[[#This Row],[rest of Italy acc. fit]]</f>
        <v>22.554394654961293</v>
      </c>
      <c r="M67" s="77">
        <f>Tabella34[[#This Row],[Italy (fit of selected region + fitted sum of the other regions)]]/(y_l_peak+y_a_peak)</f>
        <v>7.1224032386493349E-3</v>
      </c>
      <c r="N67" s="143">
        <f>Tabella3[[#This Row],[Italy remov. rate fit]]</f>
        <v>488.06959538452236</v>
      </c>
      <c r="O67" s="143" t="e">
        <f>Kt*EXP(-0.5*Tabella34[[#This Row],[x_t]]^2)/(psi_t*SQRTPI(2)*(Tabella34[[#This Row],[Day]]-D_bk))</f>
        <v>#NUM!</v>
      </c>
      <c r="P67" s="183" t="e">
        <f>Tabella34[[#This Row],[Italy velocity]]/Tabella34[[#This Row],[Italy cumul. Fit]]</f>
        <v>#DIV/0!</v>
      </c>
      <c r="Q67" s="244" t="e">
        <f>(LN(Tabella34[[#This Row],[Day]]-D_bk)-phi_t)/psi_t</f>
        <v>#NUM!</v>
      </c>
      <c r="R67" s="244">
        <f>EXP(phi_t+psi_t*Tabella34[[#This Row],[x_t_alpha©+plus]])-(Tabella34[[#This Row],[Day]]-D_bk)</f>
        <v>12.845546949847206</v>
      </c>
      <c r="S67" s="244">
        <f>EXP(phi_t+psi_t*Tabella34[[#This Row],[x_t_alpha©-minus]])-(Tabella34[[#This Row],[Day]]-D_bk)</f>
        <v>12.035346884692155</v>
      </c>
      <c r="T67" s="244">
        <f>-psi_t+SQRT(psi_t^2-2*Tabella34[[#This Row],[c_t]])</f>
        <v>4.0388111527017383</v>
      </c>
      <c r="U67" s="244">
        <f>-psi_t-SQRT(psi_t^2-2*Tabella34[[#This Row],[c_t]])</f>
        <v>-4.0893298273991103</v>
      </c>
      <c r="V67" s="244">
        <f>phi_t-LN(alpha*Kt/(Tabella34[[#This Row],[Italy velocity]]*psi_t*SQRTPI(2)))</f>
        <v>-8.2580154569877013</v>
      </c>
      <c r="W67" s="244" t="e">
        <f>Tabella34[[#This Row],[Italy g.r.]]/Italy_gr_at_lockdown</f>
        <v>#DIV/0!</v>
      </c>
      <c r="X67" s="244">
        <f>(ACOSH(SQRT(alpha*Kf*psi_f/(Tabella34[[#This Row],[Italy velocity]]*(1+TANH(phi_f)))))+phi_f)/psi_f-(Tabella34[[#This Row],[Day]]-pf)</f>
        <v>140.12412362930235</v>
      </c>
      <c r="Y67" s="244">
        <f>Tabella34[[#This Row],[Italy h.t.]]/Italy_ht_at_lockdown</f>
        <v>1.1799167350278819</v>
      </c>
      <c r="Z67" s="72">
        <f>-2*$BY$48*TANH($BY$48*(Tabella34[[#This Row],[Day]]-$BY$57)-$BY$47)*Tabella34[[#This Row],[Italy velocity]]</f>
        <v>22.672010912976045</v>
      </c>
      <c r="AA67" s="72">
        <f>Tabella34[[#This Row],[Italy acc. fit]]/Itali_acc_at_lockdown</f>
        <v>0.6477656602584545</v>
      </c>
      <c r="AB67" s="77">
        <f>Tabella34[[#This Row],[Italy acc. fit]]/y_f_peak</f>
        <v>7.1769823679476014E-3</v>
      </c>
      <c r="AC67" s="143">
        <f>Tabella34[[#This Row],[Italy (fit of selected region + fitted sum of the other regions)]]*NOT(ISBLANK(Tabella34[[#This Row],[Italy rate data]]))</f>
        <v>22.554394654961293</v>
      </c>
      <c r="AD67" s="143">
        <f>Tabella34[[#This Row],[Italy acc. fit]]*NOT(ISBLANK(Tabella34[[#This Row],[Italy rate data]]))</f>
        <v>22.672010912976045</v>
      </c>
      <c r="AE67" s="77">
        <f>Tabella34[[#This Row],[Italy acc. fit]]+CIf</f>
        <v>1677.8819798367274</v>
      </c>
      <c r="AF67" s="77">
        <f>MAX(Tabella34[[#This Row],[Italy acc. fit]]-CIf,0)</f>
        <v>0</v>
      </c>
      <c r="AG67" s="4">
        <f>Tabella8[[#This Row],[region data]]</f>
        <v>4</v>
      </c>
      <c r="AH67" s="72">
        <f>(Tabella34[[#This Row],[selected region cumul. data]]-AG66)</f>
        <v>4</v>
      </c>
      <c r="AI67" s="72">
        <f>Tabella34[[#This Row],[selected region rate data]]-AH66</f>
        <v>4</v>
      </c>
      <c r="AJ67" s="77">
        <f>Tabella34[[#This Row],[selected region rate data]]*NOT(ISBLANK(Tabella34[[#This Row],[selected region rate data]]))</f>
        <v>4</v>
      </c>
      <c r="AK67" s="77">
        <f>Tabella8[[#This Row],[region fit]]</f>
        <v>0</v>
      </c>
      <c r="AL67" s="143">
        <f>(ATANH(alpha*Tabella34[[#This Row],[sel. region cumul. fit]]/Kl-(1-alpha*Tabella34[[#This Row],[sel. region cumul. fit]]/Kl)*TANH(phi_l))+phi_l)/psi_l-(Tabella34[[#This Row],[Day]]-pl)</f>
        <v>16.356483051343162</v>
      </c>
      <c r="AM67" s="77">
        <f>Tabella34[[#This Row],[sel. region cumul. fit]]/Kl</f>
        <v>0</v>
      </c>
      <c r="AN67" s="143">
        <f>Tabella3[[#This Row],[region fit]]</f>
        <v>30.286071521037165</v>
      </c>
      <c r="AO67" s="186" t="e">
        <f>Tabella34[[#This Row],[sel. region velocity]]/Tabella34[[#This Row],[sel. region cumul. fit]]</f>
        <v>#DIV/0!</v>
      </c>
      <c r="AP67" s="241" t="e">
        <f>(LN(Tabella34[[#This Row],[Day]]-pr)-phi_r)/psi_r</f>
        <v>#NUM!</v>
      </c>
      <c r="AQ67" s="244">
        <f>EXP(phi_r+psi_r*Tabella34[[#This Row],[x_r_alpha©+plus]])-(Tabella34[[#This Row],[Day]]-pr)</f>
        <v>19.616780681891875</v>
      </c>
      <c r="AR67" s="244">
        <f>EXP(phi_r+psi_r*Tabella34[[#This Row],[x_r_alpha©-minus]])-(Tabella34[[#This Row],[Day]]-pr)</f>
        <v>19.113643106132891</v>
      </c>
      <c r="AS67" s="244">
        <f>-psi_r+SQRT(psi_r^2-2*Tabella34[[#This Row],[c_r]])</f>
        <v>4.1403321762732865</v>
      </c>
      <c r="AT67" s="244">
        <f>-psi_r-SQRT(psi_r^2-2*Tabella34[[#This Row],[c_r]])</f>
        <v>-4.1806201859396239</v>
      </c>
      <c r="AU67" s="244">
        <f>phi_r-LN(alpha*Kr/(Tabella34[[#This Row],[sel. region velocity]]*psi_r*SQRTPI(2)))</f>
        <v>-8.6545781363117165</v>
      </c>
      <c r="AV67" s="244">
        <f>(ACOSH(SQRT(alpha*Kl*psi_l/(Tabella34[[#This Row],[sel. region velocity]]*(1+TANH(phi_l)))))+phi_l)/psi_l-(Tabella34[[#This Row],[Day]]-pl)</f>
        <v>160.42127368896928</v>
      </c>
      <c r="AW67" s="72">
        <f>-2*$BY$22*TANH($BY$22*(Tabella34[[#This Row],[Day]]-$BY$31)-$BY$21)*Tabella34[[#This Row],[sel. region velocity]]</f>
        <v>1.087454944792573</v>
      </c>
      <c r="AX67" s="77">
        <f>Tabella34[[#This Row],[sel. region acc. fit]]/y_l_peak</f>
        <v>7.3858554961566429E-3</v>
      </c>
      <c r="AY67" s="143">
        <f>Tabella34[[#This Row],[sel. region acc. fit]]*NOT(ISBLANK(Tabella34[[#This Row],[selected region rate data]]))</f>
        <v>1.087454944792573</v>
      </c>
      <c r="AZ67" s="77">
        <f>Tabella34[[#This Row],[sel. region acc. fit]]+CIl</f>
        <v>70.452441319892969</v>
      </c>
      <c r="BA67" s="77">
        <f>MAX(Tabella34[[#This Row],[sel. region acc. fit]]-CIl,0)</f>
        <v>0</v>
      </c>
      <c r="BB67" s="10">
        <f>Tabella8[[#This Row],[rest of Italy ]]</f>
        <v>75</v>
      </c>
      <c r="BC67" s="10">
        <f>(Tabella34[[#This Row],[rest of Italy cum. Data]]-BB66)</f>
        <v>8</v>
      </c>
      <c r="BD67" s="10">
        <f>Tabella34[[#This Row],[rest of Italy rate data]]-BC66</f>
        <v>3</v>
      </c>
      <c r="BE67" s="77">
        <f>Tabella34[[#This Row],[rest of Italy rate data]]*NOT(ISBLANK(Tabella34[[#This Row],[rest of Italy rate data]]))</f>
        <v>8</v>
      </c>
      <c r="BF67" s="77">
        <f>Tabella8[[#This Row],[rest of Italy fit]]</f>
        <v>0</v>
      </c>
      <c r="BG67" s="78">
        <f>(ATANH(alpha*Tabella34[[#This Row],[rest of Italy cumul. fit]]/Ka-(1-alpha*Tabella34[[#This Row],[rest of Italy cumul. fit]]/Ka)*TANH(phi_a))+phi_a)/psi_a-(Tabella34[[#This Row],[Day]]-pa)</f>
        <v>7.8825299076383573</v>
      </c>
      <c r="BH67" s="77">
        <f>Tabella34[[#This Row],[rest of Italy cumul. fit]]/Ka</f>
        <v>0</v>
      </c>
      <c r="BI67" s="143">
        <f>Tabella3[[#This Row],[rest of Italy fit]]</f>
        <v>453.84707968476692</v>
      </c>
      <c r="BJ67" s="183" t="e">
        <f>Tabella34[[#This Row],[rest of Italy velocity]]/Tabella34[[#This Row],[rest of Italy cumul. fit]]</f>
        <v>#DIV/0!</v>
      </c>
      <c r="BK67" s="236" t="e">
        <f>(LN(Tabella34[[#This Row],[Day]]-po)-phi_o)/psi_o</f>
        <v>#NUM!</v>
      </c>
      <c r="BL67" s="244">
        <f>EXP(phi_o+psi_o*Tabella34[[#This Row],[x_o_alpha©+plus]])-(Tabella34[[#This Row],[Day]]-po)</f>
        <v>12.37314588009</v>
      </c>
      <c r="BM67" s="244">
        <f>EXP(phi_o+psi_o*Tabella34[[#This Row],[x_o_alpha©-minus]])-(Tabella34[[#This Row],[Day]]-po)</f>
        <v>11.529131392849228</v>
      </c>
      <c r="BN67" s="244">
        <f>-psi_o+SQRT(psi_o^2-2*Tabella34[[#This Row],[c_o]])</f>
        <v>4.0316600748767772</v>
      </c>
      <c r="BO67" s="244">
        <f>-psi_o-SQRT(psi_o^2-2*Tabella34[[#This Row],[c_o]])</f>
        <v>-4.0829733591444306</v>
      </c>
      <c r="BP67" s="244">
        <f>phi_o-LN(alpha*Ko/(Tabella34[[#This Row],[rest of Italy velocity]]*psi_o*SQRTPI(2)))</f>
        <v>-8.230580339424062</v>
      </c>
      <c r="BQ67" s="244">
        <f>(ACOSH(SQRT(alpha*Ka*psi_a/(Tabella34[[#This Row],[rest of Italy velocity]]*(1+TANH(phi_a)))))+phi_a)/psi_a-(Tabella34[[#This Row],[Day]]-pa)</f>
        <v>139.09475456051689</v>
      </c>
      <c r="BR67" s="72">
        <f>-2*$BY$35*TANH($BY$35*(Tabella34[[#This Row],[Day]]-$BY$44)-$BY$34)*Tabella34[[#This Row],[rest of Italy velocity]]</f>
        <v>21.46693971016872</v>
      </c>
      <c r="BS67" s="77">
        <f>Tabella34[[#This Row],[rest of Italy acc. fit]]/y_a_peak</f>
        <v>7.1095567399184992E-3</v>
      </c>
      <c r="BT67" s="77">
        <f>Tabella34[[#This Row],[rest of Italy acc. fit]]*NOT(ISBLANK(Tabella34[[#This Row],[rest of Italy rate data]]))</f>
        <v>21.46693971016872</v>
      </c>
      <c r="BU67" s="77">
        <f>Tabella34[[#This Row],[rest of Italy acc. fit]]+CIa</f>
        <v>1655.6008796639701</v>
      </c>
      <c r="BV67" s="77">
        <f>MAX(Tabella34[[#This Row],[rest of Italy acc. fit]]-CIa,0)</f>
        <v>0</v>
      </c>
    </row>
    <row r="68" spans="2:74" x14ac:dyDescent="0.3">
      <c r="B68" s="262">
        <v>43891</v>
      </c>
      <c r="C68" s="29">
        <v>61</v>
      </c>
      <c r="D68" s="10">
        <f>Tabella8[[#This Row],[Italy cumulative]]</f>
        <v>117</v>
      </c>
      <c r="E68" s="72">
        <f>(Tabella34[[#This Row],[Italy cumul. data]]-D67)</f>
        <v>38</v>
      </c>
      <c r="F68" s="72">
        <f>Tabella34[[#This Row],[Italy rate data]]-E67</f>
        <v>26</v>
      </c>
      <c r="G68" s="77">
        <f>Tabella34[[#This Row],[Italy rate data]]*NOT(ISBLANK(Tabella34[[#This Row],[Italy rate data]]))</f>
        <v>38</v>
      </c>
      <c r="H68" s="143">
        <f>Tabella8[[#This Row],[Italy fit]]</f>
        <v>0</v>
      </c>
      <c r="I68" s="143">
        <f>(ATANH(alpha*Tabella34[[#This Row],[Italy cumul. Fit]]/Kf-(1-alpha*Tabella34[[#This Row],[Italy cumul. Fit]]/Kf)*TANH(phi_f))+phi_f)/psi_f-(Tabella34[[#This Row],[Day]]-pf)</f>
        <v>7.4803946936509789</v>
      </c>
      <c r="J68" s="143">
        <f>Tabella34[[#This Row],[Italy d.t.]]/Italy_dt_at_lockdown</f>
        <v>3.2956897985602658</v>
      </c>
      <c r="K68" s="77">
        <f>Tabella34[[#This Row],[Italy cumul. Fit]]/Kf</f>
        <v>0</v>
      </c>
      <c r="L68" s="146">
        <f>Tabella34[[#This Row],[sel. region acc. fit]]+Tabella34[[#This Row],[rest of Italy acc. fit]]</f>
        <v>23.529830775818283</v>
      </c>
      <c r="M68" s="77">
        <f>Tabella34[[#This Row],[Italy (fit of selected region + fitted sum of the other regions)]]/(y_l_peak+y_a_peak)</f>
        <v>7.4304340899565826E-3</v>
      </c>
      <c r="N68" s="143">
        <f>Tabella3[[#This Row],[Italy remov. rate fit]]</f>
        <v>511.22525395515953</v>
      </c>
      <c r="O68" s="143" t="e">
        <f>Kt*EXP(-0.5*Tabella34[[#This Row],[x_t]]^2)/(psi_t*SQRTPI(2)*(Tabella34[[#This Row],[Day]]-D_bk))</f>
        <v>#NUM!</v>
      </c>
      <c r="P68" s="183" t="e">
        <f>Tabella34[[#This Row],[Italy velocity]]/Tabella34[[#This Row],[Italy cumul. Fit]]</f>
        <v>#DIV/0!</v>
      </c>
      <c r="Q68" s="244" t="e">
        <f>(LN(Tabella34[[#This Row],[Day]]-D_bk)-phi_t)/psi_t</f>
        <v>#NUM!</v>
      </c>
      <c r="R68" s="244">
        <f>EXP(phi_t+psi_t*Tabella34[[#This Row],[x_t_alpha©+plus]])-(Tabella34[[#This Row],[Day]]-D_bk)</f>
        <v>11.844287794272901</v>
      </c>
      <c r="S68" s="244">
        <f>EXP(phi_t+psi_t*Tabella34[[#This Row],[x_t_alpha©-minus]])-(Tabella34[[#This Row],[Day]]-D_bk)</f>
        <v>11.036372628853281</v>
      </c>
      <c r="T68" s="244">
        <f>-psi_t+SQRT(psi_t^2-2*Tabella34[[#This Row],[c_t]])</f>
        <v>4.0273897172977131</v>
      </c>
      <c r="U68" s="244">
        <f>-psi_t-SQRT(psi_t^2-2*Tabella34[[#This Row],[c_t]])</f>
        <v>-4.0779083919950851</v>
      </c>
      <c r="V68" s="244">
        <f>phi_t-LN(alpha*Kt/(Tabella34[[#This Row],[Italy velocity]]*psi_t*SQRTPI(2)))</f>
        <v>-8.2116631630015302</v>
      </c>
      <c r="W68" s="244" t="e">
        <f>Tabella34[[#This Row],[Italy g.r.]]/Italy_gr_at_lockdown</f>
        <v>#DIV/0!</v>
      </c>
      <c r="X68" s="244">
        <f>(ACOSH(SQRT(alpha*Kf*psi_f/(Tabella34[[#This Row],[Italy velocity]]*(1+TANH(phi_f)))))+phi_f)/psi_f-(Tabella34[[#This Row],[Day]]-pf)</f>
        <v>138.16801768832045</v>
      </c>
      <c r="Y68" s="244">
        <f>Tabella34[[#This Row],[Italy h.t.]]/Italy_ht_at_lockdown</f>
        <v>1.1634453232861184</v>
      </c>
      <c r="Z68" s="72">
        <f>-2*$BY$48*TANH($BY$48*(Tabella34[[#This Row],[Day]]-$BY$57)-$BY$47)*Tabella34[[#This Row],[Italy velocity]]</f>
        <v>23.644482421512127</v>
      </c>
      <c r="AA68" s="72">
        <f>Tabella34[[#This Row],[Italy acc. fit]]/Itali_acc_at_lockdown</f>
        <v>0.67555029970783276</v>
      </c>
      <c r="AB68" s="77">
        <f>Tabella34[[#This Row],[Italy acc. fit]]/y_f_peak</f>
        <v>7.4848249716268486E-3</v>
      </c>
      <c r="AC68" s="143">
        <f>Tabella34[[#This Row],[Italy (fit of selected region + fitted sum of the other regions)]]*NOT(ISBLANK(Tabella34[[#This Row],[Italy rate data]]))</f>
        <v>23.529830775818283</v>
      </c>
      <c r="AD68" s="143">
        <f>Tabella34[[#This Row],[Italy acc. fit]]*NOT(ISBLANK(Tabella34[[#This Row],[Italy rate data]]))</f>
        <v>23.644482421512127</v>
      </c>
      <c r="AE68" s="77">
        <f>Tabella34[[#This Row],[Italy acc. fit]]+CIf</f>
        <v>1678.8544513452634</v>
      </c>
      <c r="AF68" s="77">
        <f>MAX(Tabella34[[#This Row],[Italy acc. fit]]-CIf,0)</f>
        <v>0</v>
      </c>
      <c r="AG68" s="4">
        <f>Tabella8[[#This Row],[region data]]</f>
        <v>4</v>
      </c>
      <c r="AH68" s="72">
        <f>(Tabella34[[#This Row],[selected region cumul. data]]-AG67)</f>
        <v>0</v>
      </c>
      <c r="AI68" s="72">
        <f>Tabella34[[#This Row],[selected region rate data]]-AH67</f>
        <v>-4</v>
      </c>
      <c r="AJ68" s="77">
        <f>Tabella34[[#This Row],[selected region rate data]]*NOT(ISBLANK(Tabella34[[#This Row],[selected region rate data]]))</f>
        <v>0</v>
      </c>
      <c r="AK68" s="77">
        <f>Tabella8[[#This Row],[region fit]]</f>
        <v>0</v>
      </c>
      <c r="AL68" s="143">
        <f>(ATANH(alpha*Tabella34[[#This Row],[sel. region cumul. fit]]/Kl-(1-alpha*Tabella34[[#This Row],[sel. region cumul. fit]]/Kl)*TANH(phi_l))+phi_l)/psi_l-(Tabella34[[#This Row],[Day]]-pl)</f>
        <v>15.356483051343162</v>
      </c>
      <c r="AM68" s="77">
        <f>Tabella34[[#This Row],[sel. region cumul. fit]]/Kl</f>
        <v>0</v>
      </c>
      <c r="AN68" s="143">
        <f>Tabella3[[#This Row],[region fit]]</f>
        <v>31.390633526441512</v>
      </c>
      <c r="AO68" s="186" t="e">
        <f>Tabella34[[#This Row],[sel. region velocity]]/Tabella34[[#This Row],[sel. region cumul. fit]]</f>
        <v>#DIV/0!</v>
      </c>
      <c r="AP68" s="241" t="e">
        <f>(LN(Tabella34[[#This Row],[Day]]-pr)-phi_r)/psi_r</f>
        <v>#NUM!</v>
      </c>
      <c r="AQ68" s="244">
        <f>EXP(phi_r+psi_r*Tabella34[[#This Row],[x_r_alpha©+plus]])-(Tabella34[[#This Row],[Day]]-pr)</f>
        <v>18.616214680144218</v>
      </c>
      <c r="AR68" s="244">
        <f>EXP(phi_r+psi_r*Tabella34[[#This Row],[x_r_alpha©-minus]])-(Tabella34[[#This Row],[Day]]-pr)</f>
        <v>18.114121844135671</v>
      </c>
      <c r="AS68" s="244">
        <f>-psi_r+SQRT(psi_r^2-2*Tabella34[[#This Row],[c_r]])</f>
        <v>4.1317132650524675</v>
      </c>
      <c r="AT68" s="244">
        <f>-psi_r-SQRT(psi_r^2-2*Tabella34[[#This Row],[c_r]])</f>
        <v>-4.1720012747188049</v>
      </c>
      <c r="AU68" s="244">
        <f>phi_r-LN(alpha*Kr/(Tabella34[[#This Row],[sel. region velocity]]*psi_r*SQRTPI(2)))</f>
        <v>-8.618756504285745</v>
      </c>
      <c r="AV68" s="244">
        <f>(ACOSH(SQRT(alpha*Kl*psi_l/(Tabella34[[#This Row],[sel. region velocity]]*(1+TANH(phi_l)))))+phi_l)/psi_l-(Tabella34[[#This Row],[Day]]-pl)</f>
        <v>158.48157446269704</v>
      </c>
      <c r="AW68" s="72">
        <f>-2*$BY$22*TANH($BY$22*(Tabella34[[#This Row],[Day]]-$BY$31)-$BY$21)*Tabella34[[#This Row],[sel. region velocity]]</f>
        <v>1.1217801267493539</v>
      </c>
      <c r="AX68" s="77">
        <f>Tabella34[[#This Row],[sel. region acc. fit]]/y_l_peak</f>
        <v>7.6189877606482308E-3</v>
      </c>
      <c r="AY68" s="143">
        <f>Tabella34[[#This Row],[sel. region acc. fit]]*NOT(ISBLANK(Tabella34[[#This Row],[selected region rate data]]))</f>
        <v>1.1217801267493539</v>
      </c>
      <c r="AZ68" s="77">
        <f>Tabella34[[#This Row],[sel. region acc. fit]]+CIl</f>
        <v>70.486766501849758</v>
      </c>
      <c r="BA68" s="77">
        <f>MAX(Tabella34[[#This Row],[sel. region acc. fit]]-CIl,0)</f>
        <v>0</v>
      </c>
      <c r="BB68" s="10">
        <f>Tabella8[[#This Row],[rest of Italy ]]</f>
        <v>113</v>
      </c>
      <c r="BC68" s="10">
        <f>(Tabella34[[#This Row],[rest of Italy cum. Data]]-BB67)</f>
        <v>38</v>
      </c>
      <c r="BD68" s="10">
        <f>Tabella34[[#This Row],[rest of Italy rate data]]-BC67</f>
        <v>30</v>
      </c>
      <c r="BE68" s="77">
        <f>Tabella34[[#This Row],[rest of Italy rate data]]*NOT(ISBLANK(Tabella34[[#This Row],[rest of Italy rate data]]))</f>
        <v>38</v>
      </c>
      <c r="BF68" s="77">
        <f>Tabella8[[#This Row],[rest of Italy fit]]</f>
        <v>0</v>
      </c>
      <c r="BG68" s="78">
        <f>(ATANH(alpha*Tabella34[[#This Row],[rest of Italy cumul. fit]]/Ka-(1-alpha*Tabella34[[#This Row],[rest of Italy cumul. fit]]/Ka)*TANH(phi_a))+phi_a)/psi_a-(Tabella34[[#This Row],[Day]]-pa)</f>
        <v>6.8825299076383573</v>
      </c>
      <c r="BH68" s="77">
        <f>Tabella34[[#This Row],[rest of Italy cumul. fit]]/Ka</f>
        <v>0</v>
      </c>
      <c r="BI68" s="143">
        <f>Tabella3[[#This Row],[rest of Italy fit]]</f>
        <v>475.78198445362182</v>
      </c>
      <c r="BJ68" s="183" t="e">
        <f>Tabella34[[#This Row],[rest of Italy velocity]]/Tabella34[[#This Row],[rest of Italy cumul. fit]]</f>
        <v>#DIV/0!</v>
      </c>
      <c r="BK68" s="236" t="e">
        <f>(LN(Tabella34[[#This Row],[Day]]-po)-phi_o)/psi_o</f>
        <v>#NUM!</v>
      </c>
      <c r="BL68" s="244">
        <f>EXP(phi_o+psi_o*Tabella34[[#This Row],[x_o_alpha©+plus]])-(Tabella34[[#This Row],[Day]]-po)</f>
        <v>11.371803849113084</v>
      </c>
      <c r="BM68" s="244">
        <f>EXP(phi_o+psi_o*Tabella34[[#This Row],[x_o_alpha©-minus]])-(Tabella34[[#This Row],[Day]]-po)</f>
        <v>10.530221513928364</v>
      </c>
      <c r="BN68" s="244">
        <f>-psi_o+SQRT(psi_o^2-2*Tabella34[[#This Row],[c_o]])</f>
        <v>4.0200101879509358</v>
      </c>
      <c r="BO68" s="244">
        <f>-psi_o-SQRT(psi_o^2-2*Tabella34[[#This Row],[c_o]])</f>
        <v>-4.0713234722185891</v>
      </c>
      <c r="BP68" s="244">
        <f>phi_o-LN(alpha*Ko/(Tabella34[[#This Row],[rest of Italy velocity]]*psi_o*SQRTPI(2)))</f>
        <v>-8.1833809183812551</v>
      </c>
      <c r="BQ68" s="244">
        <f>(ACOSH(SQRT(alpha*Ka*psi_a/(Tabella34[[#This Row],[rest of Italy velocity]]*(1+TANH(phi_a)))))+phi_a)/psi_a-(Tabella34[[#This Row],[Day]]-pa)</f>
        <v>137.13734926463104</v>
      </c>
      <c r="BR68" s="72">
        <f>-2*$BY$35*TANH($BY$35*(Tabella34[[#This Row],[Day]]-$BY$44)-$BY$34)*Tabella34[[#This Row],[rest of Italy velocity]]</f>
        <v>22.40805064906893</v>
      </c>
      <c r="BS68" s="77">
        <f>Tabella34[[#This Row],[rest of Italy acc. fit]]/y_a_peak</f>
        <v>7.4212398074169185E-3</v>
      </c>
      <c r="BT68" s="77">
        <f>Tabella34[[#This Row],[rest of Italy acc. fit]]*NOT(ISBLANK(Tabella34[[#This Row],[rest of Italy rate data]]))</f>
        <v>22.40805064906893</v>
      </c>
      <c r="BU68" s="77">
        <f>Tabella34[[#This Row],[rest of Italy acc. fit]]+CIa</f>
        <v>1656.5419906028703</v>
      </c>
      <c r="BV68" s="77">
        <f>MAX(Tabella34[[#This Row],[rest of Italy acc. fit]]-CIa,0)</f>
        <v>0</v>
      </c>
    </row>
    <row r="69" spans="2:74" x14ac:dyDescent="0.3">
      <c r="B69" s="262">
        <v>43892</v>
      </c>
      <c r="C69" s="29">
        <v>62</v>
      </c>
      <c r="D69" s="10">
        <f>Tabella8[[#This Row],[Italy cumulative]]</f>
        <v>201</v>
      </c>
      <c r="E69" s="72">
        <f>(Tabella34[[#This Row],[Italy cumul. data]]-D68)</f>
        <v>84</v>
      </c>
      <c r="F69" s="72">
        <f>Tabella34[[#This Row],[Italy rate data]]-E68</f>
        <v>46</v>
      </c>
      <c r="G69" s="77">
        <f>Tabella34[[#This Row],[Italy rate data]]*NOT(ISBLANK(Tabella34[[#This Row],[Italy rate data]]))</f>
        <v>84</v>
      </c>
      <c r="H69" s="143">
        <f>Tabella8[[#This Row],[Italy fit]]</f>
        <v>0</v>
      </c>
      <c r="I69" s="143">
        <f>(ATANH(alpha*Tabella34[[#This Row],[Italy cumul. Fit]]/Kf-(1-alpha*Tabella34[[#This Row],[Italy cumul. Fit]]/Kf)*TANH(phi_f))+phi_f)/psi_f-(Tabella34[[#This Row],[Day]]-pf)</f>
        <v>6.4803946936509789</v>
      </c>
      <c r="J69" s="143">
        <f>Tabella34[[#This Row],[Italy d.t.]]/Italy_dt_at_lockdown</f>
        <v>2.8551128058305242</v>
      </c>
      <c r="K69" s="77">
        <f>Tabella34[[#This Row],[Italy cumul. Fit]]/Kf</f>
        <v>0</v>
      </c>
      <c r="L69" s="146">
        <f>Tabella34[[#This Row],[sel. region acc. fit]]+Tabella34[[#This Row],[rest of Italy acc. fit]]</f>
        <v>24.537022896982389</v>
      </c>
      <c r="M69" s="77">
        <f>Tabella34[[#This Row],[Italy (fit of selected region + fitted sum of the other regions)]]/(y_l_peak+y_a_peak)</f>
        <v>7.7484930995404796E-3</v>
      </c>
      <c r="N69" s="143">
        <f>Tabella3[[#This Row],[Italy remov. rate fit]]</f>
        <v>535.36890714892047</v>
      </c>
      <c r="O69" s="143" t="e">
        <f>Kt*EXP(-0.5*Tabella34[[#This Row],[x_t]]^2)/(psi_t*SQRTPI(2)*(Tabella34[[#This Row],[Day]]-D_bk))</f>
        <v>#NUM!</v>
      </c>
      <c r="P69" s="183" t="e">
        <f>Tabella34[[#This Row],[Italy velocity]]/Tabella34[[#This Row],[Italy cumul. Fit]]</f>
        <v>#DIV/0!</v>
      </c>
      <c r="Q69" s="244" t="e">
        <f>(LN(Tabella34[[#This Row],[Day]]-D_bk)-phi_t)/psi_t</f>
        <v>#NUM!</v>
      </c>
      <c r="R69" s="244">
        <f>EXP(phi_t+psi_t*Tabella34[[#This Row],[x_t_alpha©+plus]])-(Tabella34[[#This Row],[Day]]-D_bk)</f>
        <v>10.843031076819111</v>
      </c>
      <c r="S69" s="244">
        <f>EXP(phi_t+psi_t*Tabella34[[#This Row],[x_t_alpha©-minus]])-(Tabella34[[#This Row],[Day]]-D_bk)</f>
        <v>10.037396977238972</v>
      </c>
      <c r="T69" s="244">
        <f>-psi_t+SQRT(psi_t^2-2*Tabella34[[#This Row],[c_t]])</f>
        <v>4.0159871109357885</v>
      </c>
      <c r="U69" s="244">
        <f>-psi_t-SQRT(psi_t^2-2*Tabella34[[#This Row],[c_t]])</f>
        <v>-4.0665057856331606</v>
      </c>
      <c r="V69" s="244">
        <f>phi_t-LN(alpha*Kt/(Tabella34[[#This Row],[Italy velocity]]*psi_t*SQRTPI(2)))</f>
        <v>-8.1655174108242932</v>
      </c>
      <c r="W69" s="244" t="e">
        <f>Tabella34[[#This Row],[Italy g.r.]]/Italy_gr_at_lockdown</f>
        <v>#DIV/0!</v>
      </c>
      <c r="X69" s="244">
        <f>(ACOSH(SQRT(alpha*Kf*psi_f/(Tabella34[[#This Row],[Italy velocity]]*(1+TANH(phi_f)))))+phi_f)/psi_f-(Tabella34[[#This Row],[Day]]-pf)</f>
        <v>136.21423194576238</v>
      </c>
      <c r="Y69" s="244">
        <f>Tabella34[[#This Row],[Italy h.t.]]/Italy_ht_at_lockdown</f>
        <v>1.1469934488008813</v>
      </c>
      <c r="Z69" s="72">
        <f>-2*$BY$48*TANH($BY$48*(Tabella34[[#This Row],[Day]]-$BY$57)-$BY$47)*Tabella34[[#This Row],[Italy velocity]]</f>
        <v>24.647990389750962</v>
      </c>
      <c r="AA69" s="72">
        <f>Tabella34[[#This Row],[Italy acc. fit]]/Itali_acc_at_lockdown</f>
        <v>0.70422168682545316</v>
      </c>
      <c r="AB69" s="77">
        <f>Tabella34[[#This Row],[Italy acc. fit]]/y_f_peak</f>
        <v>7.8024923819765401E-3</v>
      </c>
      <c r="AC69" s="143">
        <f>Tabella34[[#This Row],[Italy (fit of selected region + fitted sum of the other regions)]]*NOT(ISBLANK(Tabella34[[#This Row],[Italy rate data]]))</f>
        <v>24.537022896982389</v>
      </c>
      <c r="AD69" s="143">
        <f>Tabella34[[#This Row],[Italy acc. fit]]*NOT(ISBLANK(Tabella34[[#This Row],[Italy rate data]]))</f>
        <v>24.647990389750962</v>
      </c>
      <c r="AE69" s="77">
        <f>Tabella34[[#This Row],[Italy acc. fit]]+CIf</f>
        <v>1679.8579593135023</v>
      </c>
      <c r="AF69" s="77">
        <f>MAX(Tabella34[[#This Row],[Italy acc. fit]]-CIf,0)</f>
        <v>0</v>
      </c>
      <c r="AG69" s="4">
        <f>Tabella8[[#This Row],[region data]]</f>
        <v>4</v>
      </c>
      <c r="AH69" s="72">
        <f>(Tabella34[[#This Row],[selected region cumul. data]]-AG68)</f>
        <v>0</v>
      </c>
      <c r="AI69" s="72">
        <f>Tabella34[[#This Row],[selected region rate data]]-AH68</f>
        <v>0</v>
      </c>
      <c r="AJ69" s="77">
        <f>Tabella34[[#This Row],[selected region rate data]]*NOT(ISBLANK(Tabella34[[#This Row],[selected region rate data]]))</f>
        <v>0</v>
      </c>
      <c r="AK69" s="77">
        <f>Tabella8[[#This Row],[region fit]]</f>
        <v>0</v>
      </c>
      <c r="AL69" s="143">
        <f>(ATANH(alpha*Tabella34[[#This Row],[sel. region cumul. fit]]/Kl-(1-alpha*Tabella34[[#This Row],[sel. region cumul. fit]]/Kl)*TANH(phi_l))+phi_l)/psi_l-(Tabella34[[#This Row],[Day]]-pl)</f>
        <v>14.356483051343162</v>
      </c>
      <c r="AM69" s="77">
        <f>Tabella34[[#This Row],[sel. region cumul. fit]]/Kl</f>
        <v>0</v>
      </c>
      <c r="AN69" s="143">
        <f>Tabella3[[#This Row],[region fit]]</f>
        <v>32.529850451809544</v>
      </c>
      <c r="AO69" s="186" t="e">
        <f>Tabella34[[#This Row],[sel. region velocity]]/Tabella34[[#This Row],[sel. region cumul. fit]]</f>
        <v>#DIV/0!</v>
      </c>
      <c r="AP69" s="241" t="e">
        <f>(LN(Tabella34[[#This Row],[Day]]-pr)-phi_r)/psi_r</f>
        <v>#NUM!</v>
      </c>
      <c r="AQ69" s="244">
        <f>EXP(phi_r+psi_r*Tabella34[[#This Row],[x_r_alpha©+plus]])-(Tabella34[[#This Row],[Day]]-pr)</f>
        <v>17.61565034151781</v>
      </c>
      <c r="AR69" s="244">
        <f>EXP(phi_r+psi_r*Tabella34[[#This Row],[x_r_alpha©-minus]])-(Tabella34[[#This Row],[Day]]-pr)</f>
        <v>17.114599340977623</v>
      </c>
      <c r="AS69" s="244">
        <f>-psi_r+SQRT(psi_r^2-2*Tabella34[[#This Row],[c_r]])</f>
        <v>4.1231181892826321</v>
      </c>
      <c r="AT69" s="244">
        <f>-psi_r-SQRT(psi_r^2-2*Tabella34[[#This Row],[c_r]])</f>
        <v>-4.1634061989489695</v>
      </c>
      <c r="AU69" s="244">
        <f>phi_r-LN(alpha*Kr/(Tabella34[[#This Row],[sel. region velocity]]*psi_r*SQRTPI(2)))</f>
        <v>-8.583107914129279</v>
      </c>
      <c r="AV69" s="244">
        <f>(ACOSH(SQRT(alpha*Kl*psi_l/(Tabella34[[#This Row],[sel. region velocity]]*(1+TANH(phi_l)))))+phi_l)/psi_l-(Tabella34[[#This Row],[Day]]-pl)</f>
        <v>156.54441856848425</v>
      </c>
      <c r="AW69" s="72">
        <f>-2*$BY$22*TANH($BY$22*(Tabella34[[#This Row],[Day]]-$BY$31)-$BY$21)*Tabella34[[#This Row],[sel. region velocity]]</f>
        <v>1.156761224738363</v>
      </c>
      <c r="AX69" s="77">
        <f>Tabella34[[#This Row],[sel. region acc. fit]]/y_l_peak</f>
        <v>7.8565749232989077E-3</v>
      </c>
      <c r="AY69" s="143">
        <f>Tabella34[[#This Row],[sel. region acc. fit]]*NOT(ISBLANK(Tabella34[[#This Row],[selected region rate data]]))</f>
        <v>1.156761224738363</v>
      </c>
      <c r="AZ69" s="77">
        <f>Tabella34[[#This Row],[sel. region acc. fit]]+CIl</f>
        <v>70.521747599838761</v>
      </c>
      <c r="BA69" s="77">
        <f>MAX(Tabella34[[#This Row],[sel. region acc. fit]]-CIl,0)</f>
        <v>0</v>
      </c>
      <c r="BB69" s="10">
        <f>Tabella8[[#This Row],[rest of Italy ]]</f>
        <v>197</v>
      </c>
      <c r="BC69" s="10">
        <f>(Tabella34[[#This Row],[rest of Italy cum. Data]]-BB68)</f>
        <v>84</v>
      </c>
      <c r="BD69" s="10">
        <f>Tabella34[[#This Row],[rest of Italy rate data]]-BC68</f>
        <v>46</v>
      </c>
      <c r="BE69" s="77">
        <f>Tabella34[[#This Row],[rest of Italy rate data]]*NOT(ISBLANK(Tabella34[[#This Row],[rest of Italy rate data]]))</f>
        <v>84</v>
      </c>
      <c r="BF69" s="77">
        <f>Tabella8[[#This Row],[rest of Italy fit]]</f>
        <v>0</v>
      </c>
      <c r="BG69" s="78">
        <f>(ATANH(alpha*Tabella34[[#This Row],[rest of Italy cumul. fit]]/Ka-(1-alpha*Tabella34[[#This Row],[rest of Italy cumul. fit]]/Ka)*TANH(phi_a))+phi_a)/psi_a-(Tabella34[[#This Row],[Day]]-pa)</f>
        <v>5.8825299076383573</v>
      </c>
      <c r="BH69" s="77">
        <f>Tabella34[[#This Row],[rest of Italy cumul. fit]]/Ka</f>
        <v>0</v>
      </c>
      <c r="BI69" s="143">
        <f>Tabella3[[#This Row],[rest of Italy fit]]</f>
        <v>498.67354906761113</v>
      </c>
      <c r="BJ69" s="183" t="e">
        <f>Tabella34[[#This Row],[rest of Italy velocity]]/Tabella34[[#This Row],[rest of Italy cumul. fit]]</f>
        <v>#DIV/0!</v>
      </c>
      <c r="BK69" s="236" t="e">
        <f>(LN(Tabella34[[#This Row],[Day]]-po)-phi_o)/psi_o</f>
        <v>#NUM!</v>
      </c>
      <c r="BL69" s="244">
        <f>EXP(phi_o+psi_o*Tabella34[[#This Row],[x_o_alpha©+plus]])-(Tabella34[[#This Row],[Day]]-po)</f>
        <v>10.370464267581223</v>
      </c>
      <c r="BM69" s="244">
        <f>EXP(phi_o+psi_o*Tabella34[[#This Row],[x_o_alpha©-minus]])-(Tabella34[[#This Row],[Day]]-po)</f>
        <v>9.5313102955186935</v>
      </c>
      <c r="BN69" s="244">
        <f>-psi_o+SQRT(psi_o^2-2*Tabella34[[#This Row],[c_o]])</f>
        <v>4.0083780905136726</v>
      </c>
      <c r="BO69" s="244">
        <f>-psi_o-SQRT(psi_o^2-2*Tabella34[[#This Row],[c_o]])</f>
        <v>-4.0596913747813259</v>
      </c>
      <c r="BP69" s="244">
        <f>phi_o-LN(alpha*Ko/(Tabella34[[#This Row],[rest of Italy velocity]]*psi_o*SQRTPI(2)))</f>
        <v>-8.1363889804603975</v>
      </c>
      <c r="BQ69" s="244">
        <f>(ACOSH(SQRT(alpha*Ka*psi_a/(Tabella34[[#This Row],[rest of Italy velocity]]*(1+TANH(phi_a)))))+phi_a)/psi_a-(Tabella34[[#This Row],[Day]]-pa)</f>
        <v>135.18223069660303</v>
      </c>
      <c r="BR69" s="72">
        <f>-2*$BY$35*TANH($BY$35*(Tabella34[[#This Row],[Day]]-$BY$44)-$BY$34)*Tabella34[[#This Row],[rest of Italy velocity]]</f>
        <v>23.380261672244025</v>
      </c>
      <c r="BS69" s="77">
        <f>Tabella34[[#This Row],[rest of Italy acc. fit]]/y_a_peak</f>
        <v>7.743222797342744E-3</v>
      </c>
      <c r="BT69" s="77">
        <f>Tabella34[[#This Row],[rest of Italy acc. fit]]*NOT(ISBLANK(Tabella34[[#This Row],[rest of Italy rate data]]))</f>
        <v>23.380261672244025</v>
      </c>
      <c r="BU69" s="77">
        <f>Tabella34[[#This Row],[rest of Italy acc. fit]]+CIa</f>
        <v>1657.5142016260454</v>
      </c>
      <c r="BV69" s="77">
        <f>MAX(Tabella34[[#This Row],[rest of Italy acc. fit]]-CIa,0)</f>
        <v>0</v>
      </c>
    </row>
    <row r="70" spans="2:74" x14ac:dyDescent="0.3">
      <c r="B70" s="262">
        <v>43893</v>
      </c>
      <c r="C70" s="29">
        <v>63</v>
      </c>
      <c r="D70" s="10">
        <f>Tabella8[[#This Row],[Italy cumulative]]</f>
        <v>239</v>
      </c>
      <c r="E70" s="72">
        <f>(Tabella34[[#This Row],[Italy cumul. data]]-D69)</f>
        <v>38</v>
      </c>
      <c r="F70" s="72">
        <f>Tabella34[[#This Row],[Italy rate data]]-E69</f>
        <v>-46</v>
      </c>
      <c r="G70" s="77">
        <f>Tabella34[[#This Row],[Italy rate data]]*NOT(ISBLANK(Tabella34[[#This Row],[Italy rate data]]))</f>
        <v>38</v>
      </c>
      <c r="H70" s="143">
        <f>Tabella8[[#This Row],[Italy fit]]</f>
        <v>0</v>
      </c>
      <c r="I70" s="143">
        <f>(ATANH(alpha*Tabella34[[#This Row],[Italy cumul. Fit]]/Kf-(1-alpha*Tabella34[[#This Row],[Italy cumul. Fit]]/Kf)*TANH(phi_f))+phi_f)/psi_f-(Tabella34[[#This Row],[Day]]-pf)</f>
        <v>5.4803946936509789</v>
      </c>
      <c r="J70" s="143">
        <f>Tabella34[[#This Row],[Italy d.t.]]/Italy_dt_at_lockdown</f>
        <v>2.4145358131007826</v>
      </c>
      <c r="K70" s="77">
        <f>Tabella34[[#This Row],[Italy cumul. Fit]]/Kf</f>
        <v>0</v>
      </c>
      <c r="L70" s="146">
        <f>Tabella34[[#This Row],[sel. region acc. fit]]+Tabella34[[#This Row],[rest of Italy acc. fit]]</f>
        <v>25.575896255161346</v>
      </c>
      <c r="M70" s="77">
        <f>Tabella34[[#This Row],[Italy (fit of selected region + fitted sum of the other regions)]]/(y_l_peak+y_a_peak)</f>
        <v>8.0765566580635502E-3</v>
      </c>
      <c r="N70" s="143">
        <f>Tabella3[[#This Row],[Italy remov. rate fit]]</f>
        <v>560.53153986771986</v>
      </c>
      <c r="O70" s="143" t="e">
        <f>Kt*EXP(-0.5*Tabella34[[#This Row],[x_t]]^2)/(psi_t*SQRTPI(2)*(Tabella34[[#This Row],[Day]]-D_bk))</f>
        <v>#NUM!</v>
      </c>
      <c r="P70" s="183" t="e">
        <f>Tabella34[[#This Row],[Italy velocity]]/Tabella34[[#This Row],[Italy cumul. Fit]]</f>
        <v>#DIV/0!</v>
      </c>
      <c r="Q70" s="244" t="e">
        <f>(LN(Tabella34[[#This Row],[Day]]-D_bk)-phi_t)/psi_t</f>
        <v>#NUM!</v>
      </c>
      <c r="R70" s="244">
        <f>EXP(phi_t+psi_t*Tabella34[[#This Row],[x_t_alpha©+plus]])-(Tabella34[[#This Row],[Day]]-D_bk)</f>
        <v>9.841777079839872</v>
      </c>
      <c r="S70" s="244">
        <f>EXP(phi_t+psi_t*Tabella34[[#This Row],[x_t_alpha©-minus]])-(Tabella34[[#This Row],[Day]]-D_bk)</f>
        <v>9.038419696579723</v>
      </c>
      <c r="T70" s="244">
        <f>-psi_t+SQRT(psi_t^2-2*Tabella34[[#This Row],[c_t]])</f>
        <v>4.0046059138346664</v>
      </c>
      <c r="U70" s="244">
        <f>-psi_t-SQRT(psi_t^2-2*Tabella34[[#This Row],[c_t]])</f>
        <v>-4.0551245885320384</v>
      </c>
      <c r="V70" s="244">
        <f>phi_t-LN(alpha*Kt/(Tabella34[[#This Row],[Italy velocity]]*psi_t*SQRTPI(2)))</f>
        <v>-8.1195879542858833</v>
      </c>
      <c r="W70" s="244" t="e">
        <f>Tabella34[[#This Row],[Italy g.r.]]/Italy_gr_at_lockdown</f>
        <v>#DIV/0!</v>
      </c>
      <c r="X70" s="244">
        <f>(ACOSH(SQRT(alpha*Kf*psi_f/(Tabella34[[#This Row],[Italy velocity]]*(1+TANH(phi_f)))))+phi_f)/psi_f-(Tabella34[[#This Row],[Day]]-pf)</f>
        <v>134.26289121279268</v>
      </c>
      <c r="Y70" s="244">
        <f>Tabella34[[#This Row],[Italy h.t.]]/Italy_ht_at_lockdown</f>
        <v>1.1305621625459636</v>
      </c>
      <c r="Z70" s="72">
        <f>-2*$BY$48*TANH($BY$48*(Tabella34[[#This Row],[Day]]-$BY$57)-$BY$47)*Tabella34[[#This Row],[Italy velocity]]</f>
        <v>25.682408961522171</v>
      </c>
      <c r="AA70" s="72">
        <f>Tabella34[[#This Row],[Italy acc. fit]]/Itali_acc_at_lockdown</f>
        <v>0.73377622575448498</v>
      </c>
      <c r="AB70" s="77">
        <f>Tabella34[[#This Row],[Italy acc. fit]]/y_f_peak</f>
        <v>8.1299447583526672E-3</v>
      </c>
      <c r="AC70" s="143">
        <f>Tabella34[[#This Row],[Italy (fit of selected region + fitted sum of the other regions)]]*NOT(ISBLANK(Tabella34[[#This Row],[Italy rate data]]))</f>
        <v>25.575896255161346</v>
      </c>
      <c r="AD70" s="143">
        <f>Tabella34[[#This Row],[Italy acc. fit]]*NOT(ISBLANK(Tabella34[[#This Row],[Italy rate data]]))</f>
        <v>25.682408961522171</v>
      </c>
      <c r="AE70" s="77">
        <f>Tabella34[[#This Row],[Italy acc. fit]]+CIf</f>
        <v>1680.8923778852736</v>
      </c>
      <c r="AF70" s="77">
        <f>MAX(Tabella34[[#This Row],[Italy acc. fit]]-CIf,0)</f>
        <v>0</v>
      </c>
      <c r="AG70" s="4">
        <f>Tabella8[[#This Row],[region data]]</f>
        <v>5</v>
      </c>
      <c r="AH70" s="72">
        <f>(Tabella34[[#This Row],[selected region cumul. data]]-AG69)</f>
        <v>1</v>
      </c>
      <c r="AI70" s="72">
        <f>Tabella34[[#This Row],[selected region rate data]]-AH69</f>
        <v>1</v>
      </c>
      <c r="AJ70" s="77">
        <f>Tabella34[[#This Row],[selected region rate data]]*NOT(ISBLANK(Tabella34[[#This Row],[selected region rate data]]))</f>
        <v>1</v>
      </c>
      <c r="AK70" s="77">
        <f>Tabella8[[#This Row],[region fit]]</f>
        <v>0</v>
      </c>
      <c r="AL70" s="143">
        <f>(ATANH(alpha*Tabella34[[#This Row],[sel. region cumul. fit]]/Kl-(1-alpha*Tabella34[[#This Row],[sel. region cumul. fit]]/Kl)*TANH(phi_l))+phi_l)/psi_l-(Tabella34[[#This Row],[Day]]-pl)</f>
        <v>13.356483051343162</v>
      </c>
      <c r="AM70" s="77">
        <f>Tabella34[[#This Row],[sel. region cumul. fit]]/Kl</f>
        <v>0</v>
      </c>
      <c r="AN70" s="143">
        <f>Tabella3[[#This Row],[region fit]]</f>
        <v>33.704366942757886</v>
      </c>
      <c r="AO70" s="186" t="e">
        <f>Tabella34[[#This Row],[sel. region velocity]]/Tabella34[[#This Row],[sel. region cumul. fit]]</f>
        <v>#DIV/0!</v>
      </c>
      <c r="AP70" s="241" t="e">
        <f>(LN(Tabella34[[#This Row],[Day]]-pr)-phi_r)/psi_r</f>
        <v>#NUM!</v>
      </c>
      <c r="AQ70" s="244">
        <f>EXP(phi_r+psi_r*Tabella34[[#This Row],[x_r_alpha©+plus]])-(Tabella34[[#This Row],[Day]]-pr)</f>
        <v>16.615087774634905</v>
      </c>
      <c r="AR70" s="244">
        <f>EXP(phi_r+psi_r*Tabella34[[#This Row],[x_r_alpha©-minus]])-(Tabella34[[#This Row],[Day]]-pr)</f>
        <v>16.115075503327926</v>
      </c>
      <c r="AS70" s="244">
        <f>-psi_r+SQRT(psi_r^2-2*Tabella34[[#This Row],[c_r]])</f>
        <v>4.114548616389313</v>
      </c>
      <c r="AT70" s="244">
        <f>-psi_r-SQRT(psi_r^2-2*Tabella34[[#This Row],[c_r]])</f>
        <v>-4.1548366260556504</v>
      </c>
      <c r="AU70" s="244">
        <f>phi_r-LN(alpha*Kr/(Tabella34[[#This Row],[sel. region velocity]]*psi_r*SQRTPI(2)))</f>
        <v>-8.5476386455304585</v>
      </c>
      <c r="AV70" s="244">
        <f>(ACOSH(SQRT(alpha*Kl*psi_l/(Tabella34[[#This Row],[sel. region velocity]]*(1+TANH(phi_l)))))+phi_l)/psi_l-(Tabella34[[#This Row],[Day]]-pl)</f>
        <v>154.60991552185109</v>
      </c>
      <c r="AW70" s="72">
        <f>-2*$BY$22*TANH($BY$22*(Tabella34[[#This Row],[Day]]-$BY$31)-$BY$21)*Tabella34[[#This Row],[sel. region velocity]]</f>
        <v>1.1923750997363616</v>
      </c>
      <c r="AX70" s="77">
        <f>Tabella34[[#This Row],[sel. region acc. fit]]/y_l_peak</f>
        <v>8.0984598268096248E-3</v>
      </c>
      <c r="AY70" s="143">
        <f>Tabella34[[#This Row],[sel. region acc. fit]]*NOT(ISBLANK(Tabella34[[#This Row],[selected region rate data]]))</f>
        <v>1.1923750997363616</v>
      </c>
      <c r="AZ70" s="77">
        <f>Tabella34[[#This Row],[sel. region acc. fit]]+CIl</f>
        <v>70.557361474836767</v>
      </c>
      <c r="BA70" s="77">
        <f>MAX(Tabella34[[#This Row],[sel. region acc. fit]]-CIl,0)</f>
        <v>0</v>
      </c>
      <c r="BB70" s="10">
        <f>Tabella8[[#This Row],[rest of Italy ]]</f>
        <v>234</v>
      </c>
      <c r="BC70" s="10">
        <f>(Tabella34[[#This Row],[rest of Italy cum. Data]]-BB69)</f>
        <v>37</v>
      </c>
      <c r="BD70" s="10">
        <f>Tabella34[[#This Row],[rest of Italy rate data]]-BC69</f>
        <v>-47</v>
      </c>
      <c r="BE70" s="77">
        <f>Tabella34[[#This Row],[rest of Italy rate data]]*NOT(ISBLANK(Tabella34[[#This Row],[rest of Italy rate data]]))</f>
        <v>37</v>
      </c>
      <c r="BF70" s="77">
        <f>Tabella8[[#This Row],[rest of Italy fit]]</f>
        <v>0</v>
      </c>
      <c r="BG70" s="78">
        <f>(ATANH(alpha*Tabella34[[#This Row],[rest of Italy cumul. fit]]/Ka-(1-alpha*Tabella34[[#This Row],[rest of Italy cumul. fit]]/Ka)*TANH(phi_a))+phi_a)/psi_a-(Tabella34[[#This Row],[Day]]-pa)</f>
        <v>4.8825299076383573</v>
      </c>
      <c r="BH70" s="77">
        <f>Tabella34[[#This Row],[rest of Italy cumul. fit]]/Ka</f>
        <v>0</v>
      </c>
      <c r="BI70" s="143">
        <f>Tabella3[[#This Row],[rest of Italy fit]]</f>
        <v>522.55285884067473</v>
      </c>
      <c r="BJ70" s="183" t="e">
        <f>Tabella34[[#This Row],[rest of Italy velocity]]/Tabella34[[#This Row],[rest of Italy cumul. fit]]</f>
        <v>#DIV/0!</v>
      </c>
      <c r="BK70" s="236" t="e">
        <f>(LN(Tabella34[[#This Row],[Day]]-po)-phi_o)/psi_o</f>
        <v>#NUM!</v>
      </c>
      <c r="BL70" s="244">
        <f>EXP(phi_o+psi_o*Tabella34[[#This Row],[x_o_alpha©+plus]])-(Tabella34[[#This Row],[Day]]-po)</f>
        <v>9.3691274369704463</v>
      </c>
      <c r="BM70" s="244">
        <f>EXP(phi_o+psi_o*Tabella34[[#This Row],[x_o_alpha©-minus]])-(Tabella34[[#This Row],[Day]]-po)</f>
        <v>8.5323974893850085</v>
      </c>
      <c r="BN70" s="244">
        <f>-psi_o+SQRT(psi_o^2-2*Tabella34[[#This Row],[c_o]])</f>
        <v>3.996766418538189</v>
      </c>
      <c r="BO70" s="244">
        <f>-psi_o-SQRT(psi_o^2-2*Tabella34[[#This Row],[c_o]])</f>
        <v>-4.0480797028058424</v>
      </c>
      <c r="BP70" s="244">
        <f>phi_o-LN(alpha*Ko/(Tabella34[[#This Row],[rest of Italy velocity]]*psi_o*SQRTPI(2)))</f>
        <v>-8.0896145078702233</v>
      </c>
      <c r="BQ70" s="244">
        <f>(ACOSH(SQRT(alpha*Ka*psi_a/(Tabella34[[#This Row],[rest of Italy velocity]]*(1+TANH(phi_a)))))+phi_a)/psi_a-(Tabella34[[#This Row],[Day]]-pa)</f>
        <v>133.22952375102574</v>
      </c>
      <c r="BR70" s="72">
        <f>-2*$BY$35*TANH($BY$35*(Tabella34[[#This Row],[Day]]-$BY$44)-$BY$34)*Tabella34[[#This Row],[rest of Italy velocity]]</f>
        <v>24.383521155424987</v>
      </c>
      <c r="BS70" s="77">
        <f>Tabella34[[#This Row],[rest of Italy acc. fit]]/y_a_peak</f>
        <v>8.0754886124443561E-3</v>
      </c>
      <c r="BT70" s="77">
        <f>Tabella34[[#This Row],[rest of Italy acc. fit]]*NOT(ISBLANK(Tabella34[[#This Row],[rest of Italy rate data]]))</f>
        <v>24.383521155424987</v>
      </c>
      <c r="BU70" s="77">
        <f>Tabella34[[#This Row],[rest of Italy acc. fit]]+CIa</f>
        <v>1658.5174611092264</v>
      </c>
      <c r="BV70" s="77">
        <f>MAX(Tabella34[[#This Row],[rest of Italy acc. fit]]-CIa,0)</f>
        <v>0</v>
      </c>
    </row>
    <row r="71" spans="2:74" x14ac:dyDescent="0.3">
      <c r="B71" s="262">
        <v>43894</v>
      </c>
      <c r="C71" s="29">
        <v>64</v>
      </c>
      <c r="D71" s="10">
        <f>Tabella8[[#This Row],[Italy cumulative]]</f>
        <v>383</v>
      </c>
      <c r="E71" s="72">
        <f>(Tabella34[[#This Row],[Italy cumul. data]]-D70)</f>
        <v>144</v>
      </c>
      <c r="F71" s="72">
        <f>Tabella34[[#This Row],[Italy rate data]]-E70</f>
        <v>106</v>
      </c>
      <c r="G71" s="77">
        <f>Tabella34[[#This Row],[Italy rate data]]*NOT(ISBLANK(Tabella34[[#This Row],[Italy rate data]]))</f>
        <v>144</v>
      </c>
      <c r="H71" s="143">
        <f>Tabella8[[#This Row],[Italy fit]]</f>
        <v>0</v>
      </c>
      <c r="I71" s="143">
        <f>(ATANH(alpha*Tabella34[[#This Row],[Italy cumul. Fit]]/Kf-(1-alpha*Tabella34[[#This Row],[Italy cumul. Fit]]/Kf)*TANH(phi_f))+phi_f)/psi_f-(Tabella34[[#This Row],[Day]]-pf)</f>
        <v>4.4803946936509789</v>
      </c>
      <c r="J71" s="143">
        <f>Tabella34[[#This Row],[Italy d.t.]]/Italy_dt_at_lockdown</f>
        <v>1.9739588203710408</v>
      </c>
      <c r="K71" s="77">
        <f>Tabella34[[#This Row],[Italy cumul. Fit]]/Kf</f>
        <v>0</v>
      </c>
      <c r="L71" s="146">
        <f>Tabella34[[#This Row],[sel. region acc. fit]]+Tabella34[[#This Row],[rest of Italy acc. fit]]</f>
        <v>26.646232237307863</v>
      </c>
      <c r="M71" s="77">
        <f>Tabella34[[#This Row],[Italy (fit of selected region + fitted sum of the other regions)]]/(y_l_peak+y_a_peak)</f>
        <v>8.4145557301870105E-3</v>
      </c>
      <c r="N71" s="143">
        <f>Tabella3[[#This Row],[Italy remov. rate fit]]</f>
        <v>586.74394043499558</v>
      </c>
      <c r="O71" s="143" t="e">
        <f>Kt*EXP(-0.5*Tabella34[[#This Row],[x_t]]^2)/(psi_t*SQRTPI(2)*(Tabella34[[#This Row],[Day]]-D_bk))</f>
        <v>#NUM!</v>
      </c>
      <c r="P71" s="183" t="e">
        <f>Tabella34[[#This Row],[Italy velocity]]/Tabella34[[#This Row],[Italy cumul. Fit]]</f>
        <v>#DIV/0!</v>
      </c>
      <c r="Q71" s="244" t="e">
        <f>(LN(Tabella34[[#This Row],[Day]]-D_bk)-phi_t)/psi_t</f>
        <v>#NUM!</v>
      </c>
      <c r="R71" s="244">
        <f>EXP(phi_t+psi_t*Tabella34[[#This Row],[x_t_alpha©+plus]])-(Tabella34[[#This Row],[Day]]-D_bk)</f>
        <v>8.8405260998322799</v>
      </c>
      <c r="S71" s="244">
        <f>EXP(phi_t+psi_t*Tabella34[[#This Row],[x_t_alpha©-minus]])-(Tabella34[[#This Row],[Day]]-D_bk)</f>
        <v>8.0394405415338142</v>
      </c>
      <c r="T71" s="244">
        <f>-psi_t+SQRT(psi_t^2-2*Tabella34[[#This Row],[c_t]])</f>
        <v>3.9932488375555932</v>
      </c>
      <c r="U71" s="244">
        <f>-psi_t-SQRT(psi_t^2-2*Tabella34[[#This Row],[c_t]])</f>
        <v>-4.0437675122529653</v>
      </c>
      <c r="V71" s="244">
        <f>phi_t-LN(alpha*Kt/(Tabella34[[#This Row],[Italy velocity]]*psi_t*SQRTPI(2)))</f>
        <v>-8.0738849588246122</v>
      </c>
      <c r="W71" s="244" t="e">
        <f>Tabella34[[#This Row],[Italy g.r.]]/Italy_gr_at_lockdown</f>
        <v>#DIV/0!</v>
      </c>
      <c r="X71" s="244">
        <f>(ACOSH(SQRT(alpha*Kf*psi_f/(Tabella34[[#This Row],[Italy velocity]]*(1+TANH(phi_f)))))+phi_f)/psi_f-(Tabella34[[#This Row],[Day]]-pf)</f>
        <v>132.31412720863275</v>
      </c>
      <c r="Y71" s="244">
        <f>Tabella34[[#This Row],[Italy h.t.]]/Italy_ht_at_lockdown</f>
        <v>1.1141525736645286</v>
      </c>
      <c r="Z71" s="72">
        <f>-2*$BY$48*TANH($BY$48*(Tabella34[[#This Row],[Day]]-$BY$57)-$BY$47)*Tabella34[[#This Row],[Italy velocity]]</f>
        <v>26.747468306038183</v>
      </c>
      <c r="AA71" s="72">
        <f>Tabella34[[#This Row],[Italy acc. fit]]/Itali_acc_at_lockdown</f>
        <v>0.76420620711621723</v>
      </c>
      <c r="AB71" s="77">
        <f>Tabella34[[#This Row],[Italy acc. fit]]/y_f_peak</f>
        <v>8.4670966839471614E-3</v>
      </c>
      <c r="AC71" s="143">
        <f>Tabella34[[#This Row],[Italy (fit of selected region + fitted sum of the other regions)]]*NOT(ISBLANK(Tabella34[[#This Row],[Italy rate data]]))</f>
        <v>26.646232237307863</v>
      </c>
      <c r="AD71" s="143">
        <f>Tabella34[[#This Row],[Italy acc. fit]]*NOT(ISBLANK(Tabella34[[#This Row],[Italy rate data]]))</f>
        <v>26.747468306038183</v>
      </c>
      <c r="AE71" s="77">
        <f>Tabella34[[#This Row],[Italy acc. fit]]+CIf</f>
        <v>1681.9574372297895</v>
      </c>
      <c r="AF71" s="77">
        <f>MAX(Tabella34[[#This Row],[Italy acc. fit]]-CIf,0)</f>
        <v>0</v>
      </c>
      <c r="AG71" s="4">
        <f>Tabella8[[#This Row],[region data]]</f>
        <v>5</v>
      </c>
      <c r="AH71" s="72">
        <f>(Tabella34[[#This Row],[selected region cumul. data]]-AG70)</f>
        <v>0</v>
      </c>
      <c r="AI71" s="72">
        <f>Tabella34[[#This Row],[selected region rate data]]-AH70</f>
        <v>-1</v>
      </c>
      <c r="AJ71" s="77">
        <f>Tabella34[[#This Row],[selected region rate data]]*NOT(ISBLANK(Tabella34[[#This Row],[selected region rate data]]))</f>
        <v>0</v>
      </c>
      <c r="AK71" s="77">
        <f>Tabella8[[#This Row],[region fit]]</f>
        <v>0</v>
      </c>
      <c r="AL71" s="143">
        <f>(ATANH(alpha*Tabella34[[#This Row],[sel. region cumul. fit]]/Kl-(1-alpha*Tabella34[[#This Row],[sel. region cumul. fit]]/Kl)*TANH(phi_l))+phi_l)/psi_l-(Tabella34[[#This Row],[Day]]-pl)</f>
        <v>12.356483051343162</v>
      </c>
      <c r="AM71" s="77">
        <f>Tabella34[[#This Row],[sel. region cumul. fit]]/Kl</f>
        <v>0</v>
      </c>
      <c r="AN71" s="143">
        <f>Tabella3[[#This Row],[region fit]]</f>
        <v>34.914802672455735</v>
      </c>
      <c r="AO71" s="186" t="e">
        <f>Tabella34[[#This Row],[sel. region velocity]]/Tabella34[[#This Row],[sel. region cumul. fit]]</f>
        <v>#DIV/0!</v>
      </c>
      <c r="AP71" s="241" t="e">
        <f>(LN(Tabella34[[#This Row],[Day]]-pr)-phi_r)/psi_r</f>
        <v>#NUM!</v>
      </c>
      <c r="AQ71" s="244">
        <f>EXP(phi_r+psi_r*Tabella34[[#This Row],[x_r_alpha©+plus]])-(Tabella34[[#This Row],[Day]]-pr)</f>
        <v>15.614527092018999</v>
      </c>
      <c r="AR71" s="244">
        <f>EXP(phi_r+psi_r*Tabella34[[#This Row],[x_r_alpha©-minus]])-(Tabella34[[#This Row],[Day]]-pr)</f>
        <v>15.115550234428209</v>
      </c>
      <c r="AS71" s="244">
        <f>-psi_r+SQRT(psi_r^2-2*Tabella34[[#This Row],[c_r]])</f>
        <v>4.1060062743504222</v>
      </c>
      <c r="AT71" s="244">
        <f>-psi_r-SQRT(psi_r^2-2*Tabella34[[#This Row],[c_r]])</f>
        <v>-4.1462942840167596</v>
      </c>
      <c r="AU71" s="244">
        <f>phi_r-LN(alpha*Kr/(Tabella34[[#This Row],[sel. region velocity]]*psi_r*SQRTPI(2)))</f>
        <v>-8.5123551727380509</v>
      </c>
      <c r="AV71" s="244">
        <f>(ACOSH(SQRT(alpha*Kl*psi_l/(Tabella34[[#This Row],[sel. region velocity]]*(1+TANH(phi_l)))))+phi_l)/psi_l-(Tabella34[[#This Row],[Day]]-pl)</f>
        <v>152.67817969815789</v>
      </c>
      <c r="AW71" s="72">
        <f>-2*$BY$22*TANH($BY$22*(Tabella34[[#This Row],[Day]]-$BY$31)-$BY$21)*Tabella34[[#This Row],[sel. region velocity]]</f>
        <v>1.2285949068694011</v>
      </c>
      <c r="AX71" s="77">
        <f>Tabella34[[#This Row],[sel. region acc. fit]]/y_l_peak</f>
        <v>8.344460144215254E-3</v>
      </c>
      <c r="AY71" s="143">
        <f>Tabella34[[#This Row],[sel. region acc. fit]]*NOT(ISBLANK(Tabella34[[#This Row],[selected region rate data]]))</f>
        <v>1.2285949068694011</v>
      </c>
      <c r="AZ71" s="77">
        <f>Tabella34[[#This Row],[sel. region acc. fit]]+CIl</f>
        <v>70.593581281969804</v>
      </c>
      <c r="BA71" s="77">
        <f>MAX(Tabella34[[#This Row],[sel. region acc. fit]]-CIl,0)</f>
        <v>0</v>
      </c>
      <c r="BB71" s="10">
        <f>Tabella8[[#This Row],[rest of Italy ]]</f>
        <v>378</v>
      </c>
      <c r="BC71" s="10">
        <f>(Tabella34[[#This Row],[rest of Italy cum. Data]]-BB70)</f>
        <v>144</v>
      </c>
      <c r="BD71" s="10">
        <f>Tabella34[[#This Row],[rest of Italy rate data]]-BC70</f>
        <v>107</v>
      </c>
      <c r="BE71" s="77">
        <f>Tabella34[[#This Row],[rest of Italy rate data]]*NOT(ISBLANK(Tabella34[[#This Row],[rest of Italy rate data]]))</f>
        <v>144</v>
      </c>
      <c r="BF71" s="77">
        <f>Tabella8[[#This Row],[rest of Italy fit]]</f>
        <v>0</v>
      </c>
      <c r="BG71" s="78">
        <f>(ATANH(alpha*Tabella34[[#This Row],[rest of Italy cumul. fit]]/Ka-(1-alpha*Tabella34[[#This Row],[rest of Italy cumul. fit]]/Ka)*TANH(phi_a))+phi_a)/psi_a-(Tabella34[[#This Row],[Day]]-pa)</f>
        <v>3.8825299076383573</v>
      </c>
      <c r="BH71" s="77">
        <f>Tabella34[[#This Row],[rest of Italy cumul. fit]]/Ka</f>
        <v>0</v>
      </c>
      <c r="BI71" s="143">
        <f>Tabella3[[#This Row],[rest of Italy fit]]</f>
        <v>547.45087867481413</v>
      </c>
      <c r="BJ71" s="183" t="e">
        <f>Tabella34[[#This Row],[rest of Italy velocity]]/Tabella34[[#This Row],[rest of Italy cumul. fit]]</f>
        <v>#DIV/0!</v>
      </c>
      <c r="BK71" s="236" t="e">
        <f>(LN(Tabella34[[#This Row],[Day]]-po)-phi_o)/psi_o</f>
        <v>#NUM!</v>
      </c>
      <c r="BL71" s="244">
        <f>EXP(phi_o+psi_o*Tabella34[[#This Row],[x_o_alpha©+plus]])-(Tabella34[[#This Row],[Day]]-po)</f>
        <v>8.3677936742360277</v>
      </c>
      <c r="BM71" s="244">
        <f>EXP(phi_o+psi_o*Tabella34[[#This Row],[x_o_alpha©-minus]])-(Tabella34[[#This Row],[Day]]-po)</f>
        <v>7.533482834109293</v>
      </c>
      <c r="BN71" s="244">
        <f>-psi_o+SQRT(psi_o^2-2*Tabella34[[#This Row],[c_o]])</f>
        <v>3.9851779456122705</v>
      </c>
      <c r="BO71" s="244">
        <f>-psi_o-SQRT(psi_o^2-2*Tabella34[[#This Row],[c_o]])</f>
        <v>-4.0364912298799238</v>
      </c>
      <c r="BP71" s="244">
        <f>phi_o-LN(alpha*Ko/(Tabella34[[#This Row],[rest of Italy velocity]]*psi_o*SQRTPI(2)))</f>
        <v>-8.0430679134874108</v>
      </c>
      <c r="BQ71" s="244">
        <f>(ACOSH(SQRT(alpha*Ka*psi_a/(Tabella34[[#This Row],[rest of Italy velocity]]*(1+TANH(phi_a)))))+phi_a)/psi_a-(Tabella34[[#This Row],[Day]]-pa)</f>
        <v>131.27936033899721</v>
      </c>
      <c r="BR71" s="72">
        <f>-2*$BY$35*TANH($BY$35*(Tabella34[[#This Row],[Day]]-$BY$44)-$BY$34)*Tabella34[[#This Row],[rest of Italy velocity]]</f>
        <v>25.417637330438463</v>
      </c>
      <c r="BS71" s="77">
        <f>Tabella34[[#This Row],[rest of Italy acc. fit]]/y_a_peak</f>
        <v>8.417973741726344E-3</v>
      </c>
      <c r="BT71" s="77">
        <f>Tabella34[[#This Row],[rest of Italy acc. fit]]*NOT(ISBLANK(Tabella34[[#This Row],[rest of Italy rate data]]))</f>
        <v>25.417637330438463</v>
      </c>
      <c r="BU71" s="77">
        <f>Tabella34[[#This Row],[rest of Italy acc. fit]]+CIa</f>
        <v>1659.55157728424</v>
      </c>
      <c r="BV71" s="77">
        <f>MAX(Tabella34[[#This Row],[rest of Italy acc. fit]]-CIa,0)</f>
        <v>0</v>
      </c>
    </row>
    <row r="72" spans="2:74" x14ac:dyDescent="0.3">
      <c r="B72" s="262">
        <v>43895</v>
      </c>
      <c r="C72" s="29">
        <v>65</v>
      </c>
      <c r="D72" s="10">
        <f>Tabella8[[#This Row],[Italy cumulative]]</f>
        <v>562</v>
      </c>
      <c r="E72" s="72">
        <f>(Tabella34[[#This Row],[Italy cumul. data]]-D71)</f>
        <v>179</v>
      </c>
      <c r="F72" s="72">
        <f>Tabella34[[#This Row],[Italy rate data]]-E71</f>
        <v>35</v>
      </c>
      <c r="G72" s="77">
        <f>Tabella34[[#This Row],[Italy rate data]]*NOT(ISBLANK(Tabella34[[#This Row],[Italy rate data]]))</f>
        <v>179</v>
      </c>
      <c r="H72" s="143">
        <f>Tabella8[[#This Row],[Italy fit]]</f>
        <v>0</v>
      </c>
      <c r="I72" s="143">
        <f>(ATANH(alpha*Tabella34[[#This Row],[Italy cumul. Fit]]/Kf-(1-alpha*Tabella34[[#This Row],[Italy cumul. Fit]]/Kf)*TANH(phi_f))+phi_f)/psi_f-(Tabella34[[#This Row],[Day]]-pf)</f>
        <v>3.4803946936509789</v>
      </c>
      <c r="J72" s="143">
        <f>Tabella34[[#This Row],[Italy d.t.]]/Italy_dt_at_lockdown</f>
        <v>1.5333818276412989</v>
      </c>
      <c r="K72" s="77">
        <f>Tabella34[[#This Row],[Italy cumul. Fit]]/Kf</f>
        <v>0</v>
      </c>
      <c r="L72" s="146">
        <f>Tabella34[[#This Row],[sel. region acc. fit]]+Tabella34[[#This Row],[rest of Italy acc. fit]]</f>
        <v>27.747652260428296</v>
      </c>
      <c r="M72" s="77">
        <f>Tabella34[[#This Row],[Italy (fit of selected region + fitted sum of the other regions)]]/(y_l_peak+y_a_peak)</f>
        <v>8.7623707640106119E-3</v>
      </c>
      <c r="N72" s="143">
        <f>Tabella3[[#This Row],[Italy remov. rate fit]]</f>
        <v>614.03654888470521</v>
      </c>
      <c r="O72" s="143" t="e">
        <f>Kt*EXP(-0.5*Tabella34[[#This Row],[x_t]]^2)/(psi_t*SQRTPI(2)*(Tabella34[[#This Row],[Day]]-D_bk))</f>
        <v>#NUM!</v>
      </c>
      <c r="P72" s="183" t="e">
        <f>Tabella34[[#This Row],[Italy velocity]]/Tabella34[[#This Row],[Italy cumul. Fit]]</f>
        <v>#DIV/0!</v>
      </c>
      <c r="Q72" s="244" t="e">
        <f>(LN(Tabella34[[#This Row],[Day]]-D_bk)-phi_t)/psi_t</f>
        <v>#NUM!</v>
      </c>
      <c r="R72" s="244">
        <f>EXP(phi_t+psi_t*Tabella34[[#This Row],[x_t_alpha©+plus]])-(Tabella34[[#This Row],[Day]]-D_bk)</f>
        <v>7.8392784479475868</v>
      </c>
      <c r="S72" s="244">
        <f>EXP(phi_t+psi_t*Tabella34[[#This Row],[x_t_alpha©-minus]])-(Tabella34[[#This Row],[Day]]-D_bk)</f>
        <v>7.0404592542387459</v>
      </c>
      <c r="T72" s="244">
        <f>-psi_t+SQRT(psi_t^2-2*Tabella34[[#This Row],[c_t]])</f>
        <v>3.9819187298154448</v>
      </c>
      <c r="U72" s="244">
        <f>-psi_t-SQRT(psi_t^2-2*Tabella34[[#This Row],[c_t]])</f>
        <v>-4.0324374045128168</v>
      </c>
      <c r="V72" s="244">
        <f>phi_t-LN(alpha*Kt/(Tabella34[[#This Row],[Italy velocity]]*psi_t*SQRTPI(2)))</f>
        <v>-8.0284190139189811</v>
      </c>
      <c r="W72" s="244" t="e">
        <f>Tabella34[[#This Row],[Italy g.r.]]/Italy_gr_at_lockdown</f>
        <v>#DIV/0!</v>
      </c>
      <c r="X72" s="244">
        <f>(ACOSH(SQRT(alpha*Kf*psi_f/(Tabella34[[#This Row],[Italy velocity]]*(1+TANH(phi_f)))))+phi_f)/psi_f-(Tabella34[[#This Row],[Day]]-pf)</f>
        <v>130.36807895744857</v>
      </c>
      <c r="Y72" s="244">
        <f>Tabella34[[#This Row],[Italy h.t.]]/Italy_ht_at_lockdown</f>
        <v>1.0977658528111052</v>
      </c>
      <c r="Z72" s="72">
        <f>-2*$BY$48*TANH($BY$48*(Tabella34[[#This Row],[Day]]-$BY$57)-$BY$47)*Tabella34[[#This Row],[Italy velocity]]</f>
        <v>27.842738999537421</v>
      </c>
      <c r="AA72" s="72">
        <f>Tabella34[[#This Row],[Italy acc. fit]]/Itali_acc_at_lockdown</f>
        <v>0.79549936177548075</v>
      </c>
      <c r="AB72" s="77">
        <f>Tabella34[[#This Row],[Italy acc. fit]]/y_f_peak</f>
        <v>8.8138122216886664E-3</v>
      </c>
      <c r="AC72" s="143">
        <f>Tabella34[[#This Row],[Italy (fit of selected region + fitted sum of the other regions)]]*NOT(ISBLANK(Tabella34[[#This Row],[Italy rate data]]))</f>
        <v>27.747652260428296</v>
      </c>
      <c r="AD72" s="143">
        <f>Tabella34[[#This Row],[Italy acc. fit]]*NOT(ISBLANK(Tabella34[[#This Row],[Italy rate data]]))</f>
        <v>27.842738999537421</v>
      </c>
      <c r="AE72" s="77">
        <f>Tabella34[[#This Row],[Italy acc. fit]]+CIf</f>
        <v>1683.0527079232888</v>
      </c>
      <c r="AF72" s="77">
        <f>MAX(Tabella34[[#This Row],[Italy acc. fit]]-CIf,0)</f>
        <v>0</v>
      </c>
      <c r="AG72" s="4">
        <f>Tabella8[[#This Row],[region data]]</f>
        <v>7</v>
      </c>
      <c r="AH72" s="72">
        <f>(Tabella34[[#This Row],[selected region cumul. data]]-AG71)</f>
        <v>2</v>
      </c>
      <c r="AI72" s="72">
        <f>Tabella34[[#This Row],[selected region rate data]]-AH71</f>
        <v>2</v>
      </c>
      <c r="AJ72" s="77">
        <f>Tabella34[[#This Row],[selected region rate data]]*NOT(ISBLANK(Tabella34[[#This Row],[selected region rate data]]))</f>
        <v>2</v>
      </c>
      <c r="AK72" s="77">
        <f>Tabella8[[#This Row],[region fit]]</f>
        <v>0</v>
      </c>
      <c r="AL72" s="143">
        <f>(ATANH(alpha*Tabella34[[#This Row],[sel. region cumul. fit]]/Kl-(1-alpha*Tabella34[[#This Row],[sel. region cumul. fit]]/Kl)*TANH(phi_l))+phi_l)/psi_l-(Tabella34[[#This Row],[Day]]-pl)</f>
        <v>11.356483051343162</v>
      </c>
      <c r="AM72" s="77">
        <f>Tabella34[[#This Row],[sel. region cumul. fit]]/Kl</f>
        <v>0</v>
      </c>
      <c r="AN72" s="143">
        <f>Tabella3[[#This Row],[region fit]]</f>
        <v>36.161748518049563</v>
      </c>
      <c r="AO72" s="186" t="e">
        <f>Tabella34[[#This Row],[sel. region velocity]]/Tabella34[[#This Row],[sel. region cumul. fit]]</f>
        <v>#DIV/0!</v>
      </c>
      <c r="AP72" s="241" t="e">
        <f>(LN(Tabella34[[#This Row],[Day]]-pr)-phi_r)/psi_r</f>
        <v>#NUM!</v>
      </c>
      <c r="AQ72" s="244">
        <f>EXP(phi_r+psi_r*Tabella34[[#This Row],[x_r_alpha©+plus]])-(Tabella34[[#This Row],[Day]]-pr)</f>
        <v>14.613968410180512</v>
      </c>
      <c r="AR72" s="244">
        <f>EXP(phi_r+psi_r*Tabella34[[#This Row],[x_r_alpha©-minus]])-(Tabella34[[#This Row],[Day]]-pr)</f>
        <v>14.116023434015176</v>
      </c>
      <c r="AS72" s="244">
        <f>-psi_r+SQRT(psi_r^2-2*Tabella34[[#This Row],[c_r]])</f>
        <v>4.0974929530446591</v>
      </c>
      <c r="AT72" s="244">
        <f>-psi_r-SQRT(psi_r^2-2*Tabella34[[#This Row],[c_r]])</f>
        <v>-4.1377809627109965</v>
      </c>
      <c r="AU72" s="244">
        <f>phi_r-LN(alpha*Kr/(Tabella34[[#This Row],[sel. region velocity]]*psi_r*SQRTPI(2)))</f>
        <v>-8.4772641679753278</v>
      </c>
      <c r="AV72" s="244">
        <f>(ACOSH(SQRT(alpha*Kl*psi_l/(Tabella34[[#This Row],[sel. region velocity]]*(1+TANH(phi_l)))))+phi_l)/psi_l-(Tabella34[[#This Row],[Day]]-pl)</f>
        <v>150.74933055461719</v>
      </c>
      <c r="AW72" s="72">
        <f>-2*$BY$22*TANH($BY$22*(Tabella34[[#This Row],[Day]]-$BY$31)-$BY$21)*Tabella34[[#This Row],[sel. region velocity]]</f>
        <v>1.2653898592831299</v>
      </c>
      <c r="AX72" s="77">
        <f>Tabella34[[#This Row],[sel. region acc. fit]]/y_l_peak</f>
        <v>8.5943667751217871E-3</v>
      </c>
      <c r="AY72" s="143">
        <f>Tabella34[[#This Row],[sel. region acc. fit]]*NOT(ISBLANK(Tabella34[[#This Row],[selected region rate data]]))</f>
        <v>1.2653898592831299</v>
      </c>
      <c r="AZ72" s="77">
        <f>Tabella34[[#This Row],[sel. region acc. fit]]+CIl</f>
        <v>70.630376234383533</v>
      </c>
      <c r="BA72" s="77">
        <f>MAX(Tabella34[[#This Row],[sel. region acc. fit]]-CIl,0)</f>
        <v>0</v>
      </c>
      <c r="BB72" s="10">
        <f>Tabella8[[#This Row],[rest of Italy ]]</f>
        <v>555</v>
      </c>
      <c r="BC72" s="10">
        <f>(Tabella34[[#This Row],[rest of Italy cum. Data]]-BB71)</f>
        <v>177</v>
      </c>
      <c r="BD72" s="10">
        <f>Tabella34[[#This Row],[rest of Italy rate data]]-BC71</f>
        <v>33</v>
      </c>
      <c r="BE72" s="77">
        <f>Tabella34[[#This Row],[rest of Italy rate data]]*NOT(ISBLANK(Tabella34[[#This Row],[rest of Italy rate data]]))</f>
        <v>177</v>
      </c>
      <c r="BF72" s="77">
        <f>Tabella8[[#This Row],[rest of Italy fit]]</f>
        <v>0</v>
      </c>
      <c r="BG72" s="78">
        <f>(ATANH(alpha*Tabella34[[#This Row],[rest of Italy cumul. fit]]/Ka-(1-alpha*Tabella34[[#This Row],[rest of Italy cumul. fit]]/Ka)*TANH(phi_a))+phi_a)/psi_a-(Tabella34[[#This Row],[Day]]-pa)</f>
        <v>2.8825299076383573</v>
      </c>
      <c r="BH72" s="77">
        <f>Tabella34[[#This Row],[rest of Italy cumul. fit]]/Ka</f>
        <v>0</v>
      </c>
      <c r="BI72" s="143">
        <f>Tabella3[[#This Row],[rest of Italy fit]]</f>
        <v>573.39830505274062</v>
      </c>
      <c r="BJ72" s="183" t="e">
        <f>Tabella34[[#This Row],[rest of Italy velocity]]/Tabella34[[#This Row],[rest of Italy cumul. fit]]</f>
        <v>#DIV/0!</v>
      </c>
      <c r="BK72" s="236" t="e">
        <f>(LN(Tabella34[[#This Row],[Day]]-po)-phi_o)/psi_o</f>
        <v>#NUM!</v>
      </c>
      <c r="BL72" s="244">
        <f>EXP(phi_o+psi_o*Tabella34[[#This Row],[x_o_alpha©+plus]])-(Tabella34[[#This Row],[Day]]-po)</f>
        <v>7.3664633123915397</v>
      </c>
      <c r="BM72" s="244">
        <f>EXP(phi_o+psi_o*Tabella34[[#This Row],[x_o_alpha©-minus]])-(Tabella34[[#This Row],[Day]]-po)</f>
        <v>6.5345660545835873</v>
      </c>
      <c r="BN72" s="244">
        <f>-psi_o+SQRT(psi_o^2-2*Tabella34[[#This Row],[c_o]])</f>
        <v>3.9736155881588737</v>
      </c>
      <c r="BO72" s="244">
        <f>-psi_o-SQRT(psi_o^2-2*Tabella34[[#This Row],[c_o]])</f>
        <v>-4.0249288724265266</v>
      </c>
      <c r="BP72" s="244">
        <f>phi_o-LN(alpha*Ko/(Tabella34[[#This Row],[rest of Italy velocity]]*psi_o*SQRTPI(2)))</f>
        <v>-7.996760054352384</v>
      </c>
      <c r="BQ72" s="244">
        <f>(ACOSH(SQRT(alpha*Ka*psi_a/(Tabella34[[#This Row],[rest of Italy velocity]]*(1+TANH(phi_a)))))+phi_a)/psi_a-(Tabella34[[#This Row],[Day]]-pa)</f>
        <v>129.33187979741732</v>
      </c>
      <c r="BR72" s="72">
        <f>-2*$BY$35*TANH($BY$35*(Tabella34[[#This Row],[Day]]-$BY$44)-$BY$34)*Tabella34[[#This Row],[rest of Italy velocity]]</f>
        <v>26.482262401145167</v>
      </c>
      <c r="BS72" s="77">
        <f>Tabella34[[#This Row],[rest of Italy acc. fit]]/y_a_peak</f>
        <v>8.7705629998656252E-3</v>
      </c>
      <c r="BT72" s="77">
        <f>Tabella34[[#This Row],[rest of Italy acc. fit]]*NOT(ISBLANK(Tabella34[[#This Row],[rest of Italy rate data]]))</f>
        <v>26.482262401145167</v>
      </c>
      <c r="BU72" s="77">
        <f>Tabella34[[#This Row],[rest of Italy acc. fit]]+CIa</f>
        <v>1660.6162023549466</v>
      </c>
      <c r="BV72" s="77">
        <f>MAX(Tabella34[[#This Row],[rest of Italy acc. fit]]-CIa,0)</f>
        <v>0</v>
      </c>
    </row>
    <row r="73" spans="2:74" x14ac:dyDescent="0.3">
      <c r="B73" s="262">
        <v>43896</v>
      </c>
      <c r="C73" s="29">
        <v>66</v>
      </c>
      <c r="D73" s="10">
        <f>Tabella8[[#This Row],[Italy cumulative]]</f>
        <v>720</v>
      </c>
      <c r="E73" s="72">
        <f>(Tabella34[[#This Row],[Italy cumul. data]]-D72)</f>
        <v>158</v>
      </c>
      <c r="F73" s="72">
        <f>Tabella34[[#This Row],[Italy rate data]]-E72</f>
        <v>-21</v>
      </c>
      <c r="G73" s="77">
        <f>Tabella34[[#This Row],[Italy rate data]]*NOT(ISBLANK(Tabella34[[#This Row],[Italy rate data]]))</f>
        <v>158</v>
      </c>
      <c r="H73" s="143">
        <f>Tabella8[[#This Row],[Italy fit]]</f>
        <v>0</v>
      </c>
      <c r="I73" s="143">
        <f>(ATANH(alpha*Tabella34[[#This Row],[Italy cumul. Fit]]/Kf-(1-alpha*Tabella34[[#This Row],[Italy cumul. Fit]]/Kf)*TANH(phi_f))+phi_f)/psi_f-(Tabella34[[#This Row],[Day]]-pf)</f>
        <v>2.4803946936509789</v>
      </c>
      <c r="J73" s="143">
        <f>Tabella34[[#This Row],[Italy d.t.]]/Italy_dt_at_lockdown</f>
        <v>1.0928048349115573</v>
      </c>
      <c r="K73" s="77">
        <f>Tabella34[[#This Row],[Italy cumul. Fit]]/Kf</f>
        <v>0</v>
      </c>
      <c r="L73" s="146">
        <f>Tabella34[[#This Row],[sel. region acc. fit]]+Tabella34[[#This Row],[rest of Italy acc. fit]]</f>
        <v>28.879600716503873</v>
      </c>
      <c r="M73" s="77">
        <f>Tabella34[[#This Row],[Italy (fit of selected region + fitted sum of the other regions)]]/(y_l_peak+y_a_peak)</f>
        <v>9.1198263052863944E-3</v>
      </c>
      <c r="N73" s="143">
        <f>Tabella3[[#This Row],[Italy remov. rate fit]]</f>
        <v>642.43928919992322</v>
      </c>
      <c r="O73" s="143" t="e">
        <f>Kt*EXP(-0.5*Tabella34[[#This Row],[x_t]]^2)/(psi_t*SQRTPI(2)*(Tabella34[[#This Row],[Day]]-D_bk))</f>
        <v>#NUM!</v>
      </c>
      <c r="P73" s="183" t="e">
        <f>Tabella34[[#This Row],[Italy velocity]]/Tabella34[[#This Row],[Italy cumul. Fit]]</f>
        <v>#DIV/0!</v>
      </c>
      <c r="Q73" s="244" t="e">
        <f>(LN(Tabella34[[#This Row],[Day]]-D_bk)-phi_t)/psi_t</f>
        <v>#NUM!</v>
      </c>
      <c r="R73" s="244">
        <f>EXP(phi_t+psi_t*Tabella34[[#This Row],[x_t_alpha©+plus]])-(Tabella34[[#This Row],[Day]]-D_bk)</f>
        <v>6.838034450503411</v>
      </c>
      <c r="S73" s="244">
        <f>EXP(phi_t+psi_t*Tabella34[[#This Row],[x_t_alpha©-minus]])-(Tabella34[[#This Row],[Day]]-D_bk)</f>
        <v>6.041475563860832</v>
      </c>
      <c r="T73" s="244">
        <f>-psi_t+SQRT(psi_t^2-2*Tabella34[[#This Row],[c_t]])</f>
        <v>3.9706185793149076</v>
      </c>
      <c r="U73" s="244">
        <f>-psi_t-SQRT(psi_t^2-2*Tabella34[[#This Row],[c_t]])</f>
        <v>-4.0211372540122792</v>
      </c>
      <c r="V73" s="244">
        <f>phi_t-LN(alpha*Kt/(Tabella34[[#This Row],[Italy velocity]]*psi_t*SQRTPI(2)))</f>
        <v>-7.9832011453782439</v>
      </c>
      <c r="W73" s="244" t="e">
        <f>Tabella34[[#This Row],[Italy g.r.]]/Italy_gr_at_lockdown</f>
        <v>#DIV/0!</v>
      </c>
      <c r="X73" s="244">
        <f>(ACOSH(SQRT(alpha*Kf*psi_f/(Tabella34[[#This Row],[Italy velocity]]*(1+TANH(phi_f)))))+phi_f)/psi_f-(Tabella34[[#This Row],[Day]]-pf)</f>
        <v>128.42489320859428</v>
      </c>
      <c r="Y73" s="244">
        <f>Tabella34[[#This Row],[Italy h.t.]]/Italy_ht_at_lockdown</f>
        <v>1.0814032356902556</v>
      </c>
      <c r="Z73" s="72">
        <f>-2*$BY$48*TANH($BY$48*(Tabella34[[#This Row],[Day]]-$BY$57)-$BY$47)*Tabella34[[#This Row],[Italy velocity]]</f>
        <v>28.967615548071834</v>
      </c>
      <c r="AA73" s="72">
        <f>Tabella34[[#This Row],[Italy acc. fit]]/Itali_acc_at_lockdown</f>
        <v>0.8276383900675679</v>
      </c>
      <c r="AB73" s="77">
        <f>Tabella34[[#This Row],[Italy acc. fit]]/y_f_peak</f>
        <v>9.1698996982666099E-3</v>
      </c>
      <c r="AC73" s="143">
        <f>Tabella34[[#This Row],[Italy (fit of selected region + fitted sum of the other regions)]]*NOT(ISBLANK(Tabella34[[#This Row],[Italy rate data]]))</f>
        <v>28.879600716503873</v>
      </c>
      <c r="AD73" s="143">
        <f>Tabella34[[#This Row],[Italy acc. fit]]*NOT(ISBLANK(Tabella34[[#This Row],[Italy rate data]]))</f>
        <v>28.967615548071834</v>
      </c>
      <c r="AE73" s="77">
        <f>Tabella34[[#This Row],[Italy acc. fit]]+CIf</f>
        <v>1684.1775844718231</v>
      </c>
      <c r="AF73" s="77">
        <f>MAX(Tabella34[[#This Row],[Italy acc. fit]]-CIf,0)</f>
        <v>0</v>
      </c>
      <c r="AG73" s="4">
        <f>Tabella8[[#This Row],[region data]]</f>
        <v>8</v>
      </c>
      <c r="AH73" s="72">
        <f>(Tabella34[[#This Row],[selected region cumul. data]]-AG72)</f>
        <v>1</v>
      </c>
      <c r="AI73" s="72">
        <f>Tabella34[[#This Row],[selected region rate data]]-AH72</f>
        <v>-1</v>
      </c>
      <c r="AJ73" s="77">
        <f>Tabella34[[#This Row],[selected region rate data]]*NOT(ISBLANK(Tabella34[[#This Row],[selected region rate data]]))</f>
        <v>1</v>
      </c>
      <c r="AK73" s="77">
        <f>Tabella8[[#This Row],[region fit]]</f>
        <v>0</v>
      </c>
      <c r="AL73" s="143">
        <f>(ATANH(alpha*Tabella34[[#This Row],[sel. region cumul. fit]]/Kl-(1-alpha*Tabella34[[#This Row],[sel. region cumul. fit]]/Kl)*TANH(phi_l))+phi_l)/psi_l-(Tabella34[[#This Row],[Day]]-pl)</f>
        <v>10.356483051343162</v>
      </c>
      <c r="AM73" s="77">
        <f>Tabella34[[#This Row],[sel. region cumul. fit]]/Kl</f>
        <v>0</v>
      </c>
      <c r="AN73" s="143">
        <f>Tabella3[[#This Row],[region fit]]</f>
        <v>37.445762499111865</v>
      </c>
      <c r="AO73" s="186" t="e">
        <f>Tabella34[[#This Row],[sel. region velocity]]/Tabella34[[#This Row],[sel. region cumul. fit]]</f>
        <v>#DIV/0!</v>
      </c>
      <c r="AP73" s="241" t="e">
        <f>(LN(Tabella34[[#This Row],[Day]]-pr)-phi_r)/psi_r</f>
        <v>#NUM!</v>
      </c>
      <c r="AQ73" s="244">
        <f>EXP(phi_r+psi_r*Tabella34[[#This Row],[x_r_alpha©+plus]])-(Tabella34[[#This Row],[Day]]-pr)</f>
        <v>13.613411849700134</v>
      </c>
      <c r="AR73" s="244">
        <f>EXP(phi_r+psi_r*Tabella34[[#This Row],[x_r_alpha©-minus]])-(Tabella34[[#This Row],[Day]]-pr)</f>
        <v>13.116494998245189</v>
      </c>
      <c r="AS73" s="244">
        <f>-psi_r+SQRT(psi_r^2-2*Tabella34[[#This Row],[c_r]])</f>
        <v>4.0890105055644401</v>
      </c>
      <c r="AT73" s="244">
        <f>-psi_r-SQRT(psi_r^2-2*Tabella34[[#This Row],[c_r]])</f>
        <v>-4.1292985152307775</v>
      </c>
      <c r="AU73" s="244">
        <f>phi_r-LN(alpha*Kr/(Tabella34[[#This Row],[sel. region velocity]]*psi_r*SQRTPI(2)))</f>
        <v>-8.4423725046951468</v>
      </c>
      <c r="AV73" s="244">
        <f>(ACOSH(SQRT(alpha*Kl*psi_l/(Tabella34[[#This Row],[sel. region velocity]]*(1+TANH(phi_l)))))+phi_l)/psi_l-(Tabella34[[#This Row],[Day]]-pl)</f>
        <v>148.82349286225707</v>
      </c>
      <c r="AW73" s="72">
        <f>-2*$BY$22*TANH($BY$22*(Tabella34[[#This Row],[Day]]-$BY$31)-$BY$21)*Tabella34[[#This Row],[sel. region velocity]]</f>
        <v>1.3027249885222378</v>
      </c>
      <c r="AX73" s="77">
        <f>Tabella34[[#This Row],[sel. region acc. fit]]/y_l_peak</f>
        <v>8.847942218234036E-3</v>
      </c>
      <c r="AY73" s="143">
        <f>Tabella34[[#This Row],[sel. region acc. fit]]*NOT(ISBLANK(Tabella34[[#This Row],[selected region rate data]]))</f>
        <v>1.3027249885222378</v>
      </c>
      <c r="AZ73" s="77">
        <f>Tabella34[[#This Row],[sel. region acc. fit]]+CIl</f>
        <v>70.667711363622644</v>
      </c>
      <c r="BA73" s="77">
        <f>MAX(Tabella34[[#This Row],[sel. region acc. fit]]-CIl,0)</f>
        <v>0</v>
      </c>
      <c r="BB73" s="10">
        <f>Tabella8[[#This Row],[rest of Italy ]]</f>
        <v>712</v>
      </c>
      <c r="BC73" s="10">
        <f>(Tabella34[[#This Row],[rest of Italy cum. Data]]-BB72)</f>
        <v>157</v>
      </c>
      <c r="BD73" s="10">
        <f>Tabella34[[#This Row],[rest of Italy rate data]]-BC72</f>
        <v>-20</v>
      </c>
      <c r="BE73" s="77">
        <f>Tabella34[[#This Row],[rest of Italy rate data]]*NOT(ISBLANK(Tabella34[[#This Row],[rest of Italy rate data]]))</f>
        <v>157</v>
      </c>
      <c r="BF73" s="77">
        <f>Tabella8[[#This Row],[rest of Italy fit]]</f>
        <v>0</v>
      </c>
      <c r="BG73" s="78">
        <f>(ATANH(alpha*Tabella34[[#This Row],[rest of Italy cumul. fit]]/Ka-(1-alpha*Tabella34[[#This Row],[rest of Italy cumul. fit]]/Ka)*TANH(phi_a))+phi_a)/psi_a-(Tabella34[[#This Row],[Day]]-pa)</f>
        <v>1.8825299076383573</v>
      </c>
      <c r="BH73" s="77">
        <f>Tabella34[[#This Row],[rest of Italy cumul. fit]]/Ka</f>
        <v>0</v>
      </c>
      <c r="BI73" s="143">
        <f>Tabella3[[#This Row],[rest of Italy fit]]</f>
        <v>600.42540167865525</v>
      </c>
      <c r="BJ73" s="183" t="e">
        <f>Tabella34[[#This Row],[rest of Italy velocity]]/Tabella34[[#This Row],[rest of Italy cumul. fit]]</f>
        <v>#DIV/0!</v>
      </c>
      <c r="BK73" s="236" t="e">
        <f>(LN(Tabella34[[#This Row],[Day]]-po)-phi_o)/psi_o</f>
        <v>#NUM!</v>
      </c>
      <c r="BL73" s="244">
        <f>EXP(phi_o+psi_o*Tabella34[[#This Row],[x_o_alpha©+plus]])-(Tabella34[[#This Row],[Day]]-po)</f>
        <v>6.3651367010905622</v>
      </c>
      <c r="BM73" s="244">
        <f>EXP(phi_o+psi_o*Tabella34[[#This Row],[x_o_alpha©-minus]])-(Tabella34[[#This Row],[Day]]-po)</f>
        <v>5.5356468614995959</v>
      </c>
      <c r="BN73" s="244">
        <f>-psi_o+SQRT(psi_o^2-2*Tabella34[[#This Row],[c_o]])</f>
        <v>3.9620824106855204</v>
      </c>
      <c r="BO73" s="244">
        <f>-psi_o-SQRT(psi_o^2-2*Tabella34[[#This Row],[c_o]])</f>
        <v>-4.0133956949531733</v>
      </c>
      <c r="BP73" s="244">
        <f>phi_o-LN(alpha*Ko/(Tabella34[[#This Row],[rest of Italy velocity]]*psi_o*SQRTPI(2)))</f>
        <v>-7.9507022450474807</v>
      </c>
      <c r="BQ73" s="244">
        <f>(ACOSH(SQRT(alpha*Ka*psi_a/(Tabella34[[#This Row],[rest of Italy velocity]]*(1+TANH(phi_a)))))+phi_a)/psi_a-(Tabella34[[#This Row],[Day]]-pa)</f>
        <v>127.38722932280349</v>
      </c>
      <c r="BR73" s="72">
        <f>-2*$BY$35*TANH($BY$35*(Tabella34[[#This Row],[Day]]-$BY$44)-$BY$34)*Tabella34[[#This Row],[rest of Italy velocity]]</f>
        <v>27.576875727981637</v>
      </c>
      <c r="BS73" s="77">
        <f>Tabella34[[#This Row],[rest of Italy acc. fit]]/y_a_peak</f>
        <v>9.1330839581617185E-3</v>
      </c>
      <c r="BT73" s="77">
        <f>Tabella34[[#This Row],[rest of Italy acc. fit]]*NOT(ISBLANK(Tabella34[[#This Row],[rest of Italy rate data]]))</f>
        <v>27.576875727981637</v>
      </c>
      <c r="BU73" s="77">
        <f>Tabella34[[#This Row],[rest of Italy acc. fit]]+CIa</f>
        <v>1661.7108156817831</v>
      </c>
      <c r="BV73" s="77">
        <f>MAX(Tabella34[[#This Row],[rest of Italy acc. fit]]-CIa,0)</f>
        <v>0</v>
      </c>
    </row>
    <row r="74" spans="2:74" x14ac:dyDescent="0.3">
      <c r="B74" s="262">
        <v>43897</v>
      </c>
      <c r="C74" s="29">
        <v>67</v>
      </c>
      <c r="D74" s="10">
        <f>Tabella8[[#This Row],[Italy cumulative]]</f>
        <v>822</v>
      </c>
      <c r="E74" s="72">
        <f>(Tabella34[[#This Row],[Italy cumul. data]]-D73)</f>
        <v>102</v>
      </c>
      <c r="F74" s="72">
        <f>Tabella34[[#This Row],[Italy rate data]]-E73</f>
        <v>-56</v>
      </c>
      <c r="G74" s="77">
        <f>Tabella34[[#This Row],[Italy rate data]]*NOT(ISBLANK(Tabella34[[#This Row],[Italy rate data]]))</f>
        <v>102</v>
      </c>
      <c r="H74" s="143">
        <f>Tabella8[[#This Row],[Italy fit]]</f>
        <v>0</v>
      </c>
      <c r="I74" s="143">
        <f>(ATANH(alpha*Tabella34[[#This Row],[Italy cumul. Fit]]/Kf-(1-alpha*Tabella34[[#This Row],[Italy cumul. Fit]]/Kf)*TANH(phi_f))+phi_f)/psi_f-(Tabella34[[#This Row],[Day]]-pf)</f>
        <v>1.4803946936509789</v>
      </c>
      <c r="J74" s="143">
        <f>Tabella34[[#This Row],[Italy d.t.]]/Italy_dt_at_lockdown</f>
        <v>0.65222784218181551</v>
      </c>
      <c r="K74" s="77">
        <f>Tabella34[[#This Row],[Italy cumul. Fit]]/Kf</f>
        <v>0</v>
      </c>
      <c r="L74" s="146">
        <f>Tabella34[[#This Row],[sel. region acc. fit]]+Tabella34[[#This Row],[rest of Italy acc. fit]]</f>
        <v>30.041327017304905</v>
      </c>
      <c r="M74" s="77">
        <f>Tabella34[[#This Row],[Italy (fit of selected region + fitted sum of the other regions)]]/(y_l_peak+y_a_peak)</f>
        <v>9.4866853273896223E-3</v>
      </c>
      <c r="N74" s="143">
        <f>Tabella3[[#This Row],[Italy remov. rate fit]]</f>
        <v>671.98138466054297</v>
      </c>
      <c r="O74" s="143" t="e">
        <f>Kt*EXP(-0.5*Tabella34[[#This Row],[x_t]]^2)/(psi_t*SQRTPI(2)*(Tabella34[[#This Row],[Day]]-D_bk))</f>
        <v>#NUM!</v>
      </c>
      <c r="P74" s="183" t="e">
        <f>Tabella34[[#This Row],[Italy velocity]]/Tabella34[[#This Row],[Italy cumul. Fit]]</f>
        <v>#DIV/0!</v>
      </c>
      <c r="Q74" s="244" t="e">
        <f>(LN(Tabella34[[#This Row],[Day]]-D_bk)-phi_t)/psi_t</f>
        <v>#NUM!</v>
      </c>
      <c r="R74" s="244">
        <f>EXP(phi_t+psi_t*Tabella34[[#This Row],[x_t_alpha©+plus]])-(Tabella34[[#This Row],[Day]]-D_bk)</f>
        <v>5.8367944494948141</v>
      </c>
      <c r="S74" s="244">
        <f>EXP(phi_t+psi_t*Tabella34[[#This Row],[x_t_alpha©-minus]])-(Tabella34[[#This Row],[Day]]-D_bk)</f>
        <v>5.0424891861448824</v>
      </c>
      <c r="T74" s="244">
        <f>-psi_t+SQRT(psi_t^2-2*Tabella34[[#This Row],[c_t]])</f>
        <v>3.9593515205609231</v>
      </c>
      <c r="U74" s="244">
        <f>-psi_t-SQRT(psi_t^2-2*Tabella34[[#This Row],[c_t]])</f>
        <v>-4.0098701952582951</v>
      </c>
      <c r="V74" s="244">
        <f>phi_t-LN(alpha*Kt/(Tabella34[[#This Row],[Italy velocity]]*psi_t*SQRTPI(2)))</f>
        <v>-7.9382428274239274</v>
      </c>
      <c r="W74" s="244" t="e">
        <f>Tabella34[[#This Row],[Italy g.r.]]/Italy_gr_at_lockdown</f>
        <v>#DIV/0!</v>
      </c>
      <c r="X74" s="244">
        <f>(ACOSH(SQRT(alpha*Kf*psi_f/(Tabella34[[#This Row],[Italy velocity]]*(1+TANH(phi_f)))))+phi_f)/psi_f-(Tabella34[[#This Row],[Day]]-pf)</f>
        <v>126.48472488148872</v>
      </c>
      <c r="Y74" s="244">
        <f>Tabella34[[#This Row],[Italy h.t.]]/Italy_ht_at_lockdown</f>
        <v>1.0650660268026619</v>
      </c>
      <c r="Z74" s="72">
        <f>-2*$BY$48*TANH($BY$48*(Tabella34[[#This Row],[Day]]-$BY$57)-$BY$47)*Tabella34[[#This Row],[Italy velocity]]</f>
        <v>30.121299090901331</v>
      </c>
      <c r="AA74" s="72">
        <f>Tabella34[[#This Row],[Italy acc. fit]]/Itali_acc_at_lockdown</f>
        <v>0.86060046761414066</v>
      </c>
      <c r="AB74" s="77">
        <f>Tabella34[[#This Row],[Italy acc. fit]]/y_f_peak</f>
        <v>9.5351062287706914E-3</v>
      </c>
      <c r="AC74" s="143">
        <f>Tabella34[[#This Row],[Italy (fit of selected region + fitted sum of the other regions)]]*NOT(ISBLANK(Tabella34[[#This Row],[Italy rate data]]))</f>
        <v>30.041327017304905</v>
      </c>
      <c r="AD74" s="143">
        <f>Tabella34[[#This Row],[Italy acc. fit]]*NOT(ISBLANK(Tabella34[[#This Row],[Italy rate data]]))</f>
        <v>30.121299090901331</v>
      </c>
      <c r="AE74" s="77">
        <f>Tabella34[[#This Row],[Italy acc. fit]]+CIf</f>
        <v>1685.3312680146528</v>
      </c>
      <c r="AF74" s="77">
        <f>MAX(Tabella34[[#This Row],[Italy acc. fit]]-CIf,0)</f>
        <v>0</v>
      </c>
      <c r="AG74" s="4">
        <f>Tabella8[[#This Row],[region data]]</f>
        <v>9</v>
      </c>
      <c r="AH74" s="72">
        <f>(Tabella34[[#This Row],[selected region cumul. data]]-AG73)</f>
        <v>1</v>
      </c>
      <c r="AI74" s="72">
        <f>Tabella34[[#This Row],[selected region rate data]]-AH73</f>
        <v>0</v>
      </c>
      <c r="AJ74" s="77">
        <f>Tabella34[[#This Row],[selected region rate data]]*NOT(ISBLANK(Tabella34[[#This Row],[selected region rate data]]))</f>
        <v>1</v>
      </c>
      <c r="AK74" s="77">
        <f>Tabella8[[#This Row],[region fit]]</f>
        <v>0</v>
      </c>
      <c r="AL74" s="143">
        <f>(ATANH(alpha*Tabella34[[#This Row],[sel. region cumul. fit]]/Kl-(1-alpha*Tabella34[[#This Row],[sel. region cumul. fit]]/Kl)*TANH(phi_l))+phi_l)/psi_l-(Tabella34[[#This Row],[Day]]-pl)</f>
        <v>9.3564830513431616</v>
      </c>
      <c r="AM74" s="77">
        <f>Tabella34[[#This Row],[sel. region cumul. fit]]/Kl</f>
        <v>0</v>
      </c>
      <c r="AN74" s="143">
        <f>Tabella3[[#This Row],[region fit]]</f>
        <v>38.767365475257805</v>
      </c>
      <c r="AO74" s="186" t="e">
        <f>Tabella34[[#This Row],[sel. region velocity]]/Tabella34[[#This Row],[sel. region cumul. fit]]</f>
        <v>#DIV/0!</v>
      </c>
      <c r="AP74" s="241" t="e">
        <f>(LN(Tabella34[[#This Row],[Day]]-pr)-phi_r)/psi_r</f>
        <v>#NUM!</v>
      </c>
      <c r="AQ74" s="244">
        <f>EXP(phi_r+psi_r*Tabella34[[#This Row],[x_r_alpha©+plus]])-(Tabella34[[#This Row],[Day]]-pr)</f>
        <v>12.612857535309352</v>
      </c>
      <c r="AR74" s="244">
        <f>EXP(phi_r+psi_r*Tabella34[[#This Row],[x_r_alpha©-minus]])-(Tabella34[[#This Row],[Day]]-pr)</f>
        <v>12.116964819621209</v>
      </c>
      <c r="AS74" s="244">
        <f>-psi_r+SQRT(psi_r^2-2*Tabella34[[#This Row],[c_r]])</f>
        <v>4.0805608494861811</v>
      </c>
      <c r="AT74" s="244">
        <f>-psi_r-SQRT(psi_r^2-2*Tabella34[[#This Row],[c_r]])</f>
        <v>-4.1208488591525185</v>
      </c>
      <c r="AU74" s="244">
        <f>phi_r-LN(alpha*Kr/(Tabella34[[#This Row],[sel. region velocity]]*psi_r*SQRTPI(2)))</f>
        <v>-8.4076872606537805</v>
      </c>
      <c r="AV74" s="244">
        <f>(ACOSH(SQRT(alpha*Kl*psi_l/(Tabella34[[#This Row],[sel. region velocity]]*(1+TANH(phi_l)))))+phi_l)/psi_l-(Tabella34[[#This Row],[Day]]-pl)</f>
        <v>146.9007969481747</v>
      </c>
      <c r="AW74" s="72">
        <f>-2*$BY$22*TANH($BY$22*(Tabella34[[#This Row],[Day]]-$BY$31)-$BY$21)*Tabella34[[#This Row],[sel. region velocity]]</f>
        <v>1.340560902718019</v>
      </c>
      <c r="AX74" s="77">
        <f>Tabella34[[#This Row],[sel. region acc. fit]]/y_l_peak</f>
        <v>9.1049189289963625E-3</v>
      </c>
      <c r="AY74" s="143">
        <f>Tabella34[[#This Row],[sel. region acc. fit]]*NOT(ISBLANK(Tabella34[[#This Row],[selected region rate data]]))</f>
        <v>1.340560902718019</v>
      </c>
      <c r="AZ74" s="77">
        <f>Tabella34[[#This Row],[sel. region acc. fit]]+CIl</f>
        <v>70.705547277818425</v>
      </c>
      <c r="BA74" s="77">
        <f>MAX(Tabella34[[#This Row],[sel. region acc. fit]]-CIl,0)</f>
        <v>0</v>
      </c>
      <c r="BB74" s="10">
        <f>Tabella8[[#This Row],[rest of Italy ]]</f>
        <v>813</v>
      </c>
      <c r="BC74" s="10">
        <f>(Tabella34[[#This Row],[rest of Italy cum. Data]]-BB73)</f>
        <v>101</v>
      </c>
      <c r="BD74" s="10">
        <f>Tabella34[[#This Row],[rest of Italy rate data]]-BC73</f>
        <v>-56</v>
      </c>
      <c r="BE74" s="77">
        <f>Tabella34[[#This Row],[rest of Italy rate data]]*NOT(ISBLANK(Tabella34[[#This Row],[rest of Italy rate data]]))</f>
        <v>101</v>
      </c>
      <c r="BF74" s="77">
        <f>Tabella8[[#This Row],[rest of Italy fit]]</f>
        <v>0</v>
      </c>
      <c r="BG74" s="78">
        <f>(ATANH(alpha*Tabella34[[#This Row],[rest of Italy cumul. fit]]/Ka-(1-alpha*Tabella34[[#This Row],[rest of Italy cumul. fit]]/Ka)*TANH(phi_a))+phi_a)/psi_a-(Tabella34[[#This Row],[Day]]-pa)</f>
        <v>0.88252990763835726</v>
      </c>
      <c r="BH74" s="77">
        <f>Tabella34[[#This Row],[rest of Italy cumul. fit]]/Ka</f>
        <v>0</v>
      </c>
      <c r="BI74" s="143">
        <f>Tabella3[[#This Row],[rest of Italy fit]]</f>
        <v>628.56181785111414</v>
      </c>
      <c r="BJ74" s="183" t="e">
        <f>Tabella34[[#This Row],[rest of Italy velocity]]/Tabella34[[#This Row],[rest of Italy cumul. fit]]</f>
        <v>#DIV/0!</v>
      </c>
      <c r="BK74" s="236" t="e">
        <f>(LN(Tabella34[[#This Row],[Day]]-po)-phi_o)/psi_o</f>
        <v>#NUM!</v>
      </c>
      <c r="BL74" s="244">
        <f>EXP(phi_o+psi_o*Tabella34[[#This Row],[x_o_alpha©+plus]])-(Tabella34[[#This Row],[Day]]-po)</f>
        <v>5.3638142072085584</v>
      </c>
      <c r="BM74" s="244">
        <f>EXP(phi_o+psi_o*Tabella34[[#This Row],[x_o_alpha©-minus]])-(Tabella34[[#This Row],[Day]]-po)</f>
        <v>4.5367249508371081</v>
      </c>
      <c r="BN74" s="244">
        <f>-psi_o+SQRT(psi_o^2-2*Tabella34[[#This Row],[c_o]])</f>
        <v>3.950581631040607</v>
      </c>
      <c r="BO74" s="244">
        <f>-psi_o-SQRT(psi_o^2-2*Tabella34[[#This Row],[c_o]])</f>
        <v>-4.0018949153082604</v>
      </c>
      <c r="BP74" s="244">
        <f>phi_o-LN(alpha*Ko/(Tabella34[[#This Row],[rest of Italy velocity]]*psi_o*SQRTPI(2)))</f>
        <v>-7.9049062708858102</v>
      </c>
      <c r="BQ74" s="244">
        <f>(ACOSH(SQRT(alpha*Ka*psi_a/(Tabella34[[#This Row],[rest of Italy velocity]]*(1+TANH(phi_a)))))+phi_a)/psi_a-(Tabella34[[#This Row],[Day]]-pa)</f>
        <v>125.44556443100319</v>
      </c>
      <c r="BR74" s="72">
        <f>-2*$BY$35*TANH($BY$35*(Tabella34[[#This Row],[Day]]-$BY$44)-$BY$34)*Tabella34[[#This Row],[rest of Italy velocity]]</f>
        <v>28.700766114586887</v>
      </c>
      <c r="BS74" s="77">
        <f>Tabella34[[#This Row],[rest of Italy acc. fit]]/y_a_peak</f>
        <v>9.5053010781098405E-3</v>
      </c>
      <c r="BT74" s="77">
        <f>Tabella34[[#This Row],[rest of Italy acc. fit]]*NOT(ISBLANK(Tabella34[[#This Row],[rest of Italy rate data]]))</f>
        <v>28.700766114586887</v>
      </c>
      <c r="BU74" s="77">
        <f>Tabella34[[#This Row],[rest of Italy acc. fit]]+CIa</f>
        <v>1662.8347060683884</v>
      </c>
      <c r="BV74" s="77">
        <f>MAX(Tabella34[[#This Row],[rest of Italy acc. fit]]-CIa,0)</f>
        <v>0</v>
      </c>
    </row>
    <row r="75" spans="2:74" x14ac:dyDescent="0.3">
      <c r="B75" s="262">
        <v>43898</v>
      </c>
      <c r="C75" s="190">
        <v>68</v>
      </c>
      <c r="D75" s="168">
        <f>Tabella8[[#This Row],[Italy cumulative]]</f>
        <v>988</v>
      </c>
      <c r="E75" s="166">
        <f>(Tabella34[[#This Row],[Italy cumul. data]]-D74)</f>
        <v>166</v>
      </c>
      <c r="F75" s="166">
        <f>Tabella34[[#This Row],[Italy rate data]]-E74</f>
        <v>64</v>
      </c>
      <c r="G75" s="167">
        <f>Tabella34[[#This Row],[Italy rate data]]*NOT(ISBLANK(Tabella34[[#This Row],[Italy rate data]]))</f>
        <v>166</v>
      </c>
      <c r="H75" s="191">
        <f>Tabella8[[#This Row],[Italy fit]]</f>
        <v>0</v>
      </c>
      <c r="I75" s="143">
        <f>(ATANH(alpha*Tabella34[[#This Row],[Italy cumul. Fit]]/Kf-(1-alpha*Tabella34[[#This Row],[Italy cumul. Fit]]/Kf)*TANH(phi_f))+phi_f)/psi_f-(Tabella34[[#This Row],[Day]]-pf)</f>
        <v>0.48039469365097887</v>
      </c>
      <c r="J75" s="191">
        <f>Tabella34[[#This Row],[Italy d.t.]]/Italy_dt_at_lockdown</f>
        <v>0.21165084945207382</v>
      </c>
      <c r="K75" s="167">
        <f>Tabella34[[#This Row],[Italy cumul. Fit]]/Kf</f>
        <v>0</v>
      </c>
      <c r="L75" s="166">
        <f>Tabella34[[#This Row],[sel. region acc. fit]]+Tabella34[[#This Row],[rest of Italy acc. fit]]</f>
        <v>31.231866792246841</v>
      </c>
      <c r="M75" s="167">
        <f>Tabella34[[#This Row],[Italy (fit of selected region + fitted sum of the other regions)]]/(y_l_peak+y_a_peak)</f>
        <v>9.8626432938306342E-3</v>
      </c>
      <c r="N75" s="143">
        <f>Tabella3[[#This Row],[Italy remov. rate fit]]</f>
        <v>702.69115550771505</v>
      </c>
      <c r="O75" s="191" t="e">
        <f>Kt*EXP(-0.5*Tabella34[[#This Row],[x_t]]^2)/(psi_t*SQRTPI(2)*(Tabella34[[#This Row],[Day]]-D_bk))</f>
        <v>#NUM!</v>
      </c>
      <c r="P75" s="192" t="e">
        <f>Tabella34[[#This Row],[Italy velocity]]/Tabella34[[#This Row],[Italy cumul. Fit]]</f>
        <v>#DIV/0!</v>
      </c>
      <c r="Q75" s="244" t="e">
        <f>(LN(Tabella34[[#This Row],[Day]]-D_bk)-phi_t)/psi_t</f>
        <v>#NUM!</v>
      </c>
      <c r="R75" s="244">
        <f>EXP(phi_t+psi_t*Tabella34[[#This Row],[x_t_alpha©+plus]])-(Tabella34[[#This Row],[Day]]-D_bk)</f>
        <v>4.8355588031017156</v>
      </c>
      <c r="S75" s="244">
        <f>EXP(phi_t+psi_t*Tabella34[[#This Row],[x_t_alpha©-minus]])-(Tabella34[[#This Row],[Day]]-D_bk)</f>
        <v>4.0434998229661154</v>
      </c>
      <c r="T75" s="244">
        <f>-psi_t+SQRT(psi_t^2-2*Tabella34[[#This Row],[c_t]])</f>
        <v>3.9481208386599898</v>
      </c>
      <c r="U75" s="244">
        <f>-psi_t-SQRT(psi_t^2-2*Tabella34[[#This Row],[c_t]])</f>
        <v>-3.9986395133573618</v>
      </c>
      <c r="V75" s="244">
        <f>phi_t-LN(alpha*Kt/(Tabella34[[#This Row],[Italy velocity]]*psi_t*SQRTPI(2)))</f>
        <v>-7.8935559944877198</v>
      </c>
      <c r="W75" s="244" t="e">
        <f>Tabella34[[#This Row],[Italy g.r.]]/Italy_gr_at_lockdown</f>
        <v>#DIV/0!</v>
      </c>
      <c r="X75" s="244">
        <f>(ACOSH(SQRT(alpha*Kf*psi_f/(Tabella34[[#This Row],[Italy velocity]]*(1+TANH(phi_f)))))+phi_f)/psi_f-(Tabella34[[#This Row],[Day]]-pf)</f>
        <v>124.54773753643535</v>
      </c>
      <c r="Y75" s="244">
        <f>Tabella34[[#This Row],[Italy h.t.]]/Italy_ht_at_lockdown</f>
        <v>1.0487556034096712</v>
      </c>
      <c r="Z75" s="72">
        <f>-2*$BY$48*TANH($BY$48*(Tabella34[[#This Row],[Day]]-$BY$57)-$BY$47)*Tabella34[[#This Row],[Italy velocity]]</f>
        <v>31.302779341733014</v>
      </c>
      <c r="AA75" s="166">
        <f>Tabella34[[#This Row],[Italy acc. fit]]/Itali_acc_at_lockdown</f>
        <v>0.89435672936348054</v>
      </c>
      <c r="AB75" s="167">
        <f>Tabella34[[#This Row],[Italy acc. fit]]/y_f_peak</f>
        <v>9.9091120000648538E-3</v>
      </c>
      <c r="AC75" s="191">
        <f>Tabella34[[#This Row],[Italy (fit of selected region + fitted sum of the other regions)]]*NOT(ISBLANK(Tabella34[[#This Row],[Italy rate data]]))</f>
        <v>31.231866792246841</v>
      </c>
      <c r="AD75" s="191">
        <f>Tabella34[[#This Row],[Italy acc. fit]]*NOT(ISBLANK(Tabella34[[#This Row],[Italy rate data]]))</f>
        <v>31.302779341733014</v>
      </c>
      <c r="AE75" s="167">
        <f>Tabella34[[#This Row],[Italy acc. fit]]+CIf</f>
        <v>1686.5127482654843</v>
      </c>
      <c r="AF75" s="167">
        <f>MAX(Tabella34[[#This Row],[Italy acc. fit]]-CIf,0)</f>
        <v>0</v>
      </c>
      <c r="AG75" s="165">
        <f>Tabella8[[#This Row],[region data]]</f>
        <v>11</v>
      </c>
      <c r="AH75" s="166">
        <f>(Tabella34[[#This Row],[selected region cumul. data]]-AG74)</f>
        <v>2</v>
      </c>
      <c r="AI75" s="166">
        <f>Tabella34[[#This Row],[selected region rate data]]-AH74</f>
        <v>1</v>
      </c>
      <c r="AJ75" s="167">
        <f>Tabella34[[#This Row],[selected region rate data]]*NOT(ISBLANK(Tabella34[[#This Row],[selected region rate data]]))</f>
        <v>2</v>
      </c>
      <c r="AK75" s="167">
        <f>Tabella8[[#This Row],[region fit]]</f>
        <v>0</v>
      </c>
      <c r="AL75" s="143">
        <f>(ATANH(alpha*Tabella34[[#This Row],[sel. region cumul. fit]]/Kl-(1-alpha*Tabella34[[#This Row],[sel. region cumul. fit]]/Kl)*TANH(phi_l))+phi_l)/psi_l-(Tabella34[[#This Row],[Day]]-pl)</f>
        <v>8.3564830513431616</v>
      </c>
      <c r="AM75" s="167">
        <f>Tabella34[[#This Row],[sel. region cumul. fit]]/Kl</f>
        <v>0</v>
      </c>
      <c r="AN75" s="143">
        <f>Tabella3[[#This Row],[region fit]]</f>
        <v>40.12703660146687</v>
      </c>
      <c r="AO75" s="193" t="e">
        <f>Tabella34[[#This Row],[sel. region velocity]]/Tabella34[[#This Row],[sel. region cumul. fit]]</f>
        <v>#DIV/0!</v>
      </c>
      <c r="AP75" s="242" t="e">
        <f>(LN(Tabella34[[#This Row],[Day]]-pr)-phi_r)/psi_r</f>
        <v>#NUM!</v>
      </c>
      <c r="AQ75" s="244">
        <f>EXP(phi_r+psi_r*Tabella34[[#This Row],[x_r_alpha©+plus]])-(Tabella34[[#This Row],[Day]]-pr)</f>
        <v>11.612305595967703</v>
      </c>
      <c r="AR75" s="244">
        <f>EXP(phi_r+psi_r*Tabella34[[#This Row],[x_r_alpha©-minus]])-(Tabella34[[#This Row],[Day]]-pr)</f>
        <v>11.11743278692254</v>
      </c>
      <c r="AS75" s="244">
        <f>-psi_r+SQRT(psi_r^2-2*Tabella34[[#This Row],[c_r]])</f>
        <v>4.07214596809035</v>
      </c>
      <c r="AT75" s="244">
        <f>-psi_r-SQRT(psi_r^2-2*Tabella34[[#This Row],[c_r]])</f>
        <v>-4.1124339777566874</v>
      </c>
      <c r="AU75" s="244">
        <f>phi_r-LN(alpha*Kr/(Tabella34[[#This Row],[sel. region velocity]]*psi_r*SQRTPI(2)))</f>
        <v>-8.3732157207798252</v>
      </c>
      <c r="AV75" s="244">
        <f>(ACOSH(SQRT(alpha*Kl*psi_l/(Tabella34[[#This Row],[sel. region velocity]]*(1+TANH(phi_l)))))+phi_l)/psi_l-(Tabella34[[#This Row],[Day]]-pl)</f>
        <v>144.98137894840923</v>
      </c>
      <c r="AW75" s="72">
        <f>-2*$BY$22*TANH($BY$22*(Tabella34[[#This Row],[Day]]-$BY$31)-$BY$21)*Tabella34[[#This Row],[sel. region velocity]]</f>
        <v>1.3788535440782046</v>
      </c>
      <c r="AX75" s="167">
        <f>Tabella34[[#This Row],[sel. region acc. fit]]/y_l_peak</f>
        <v>9.3649976724944923E-3</v>
      </c>
      <c r="AY75" s="191">
        <f>Tabella34[[#This Row],[sel. region acc. fit]]*NOT(ISBLANK(Tabella34[[#This Row],[selected region rate data]]))</f>
        <v>1.3788535440782046</v>
      </c>
      <c r="AZ75" s="167">
        <f>Tabella34[[#This Row],[sel. region acc. fit]]+CIl</f>
        <v>70.743839919178612</v>
      </c>
      <c r="BA75" s="167">
        <f>MAX(Tabella34[[#This Row],[sel. region acc. fit]]-CIl,0)</f>
        <v>0</v>
      </c>
      <c r="BB75" s="168">
        <f>Tabella8[[#This Row],[rest of Italy ]]</f>
        <v>977</v>
      </c>
      <c r="BC75" s="168">
        <f>(Tabella34[[#This Row],[rest of Italy cum. Data]]-BB74)</f>
        <v>164</v>
      </c>
      <c r="BD75" s="168">
        <f>Tabella34[[#This Row],[rest of Italy rate data]]-BC74</f>
        <v>63</v>
      </c>
      <c r="BE75" s="167">
        <f>Tabella34[[#This Row],[rest of Italy rate data]]*NOT(ISBLANK(Tabella34[[#This Row],[rest of Italy rate data]]))</f>
        <v>164</v>
      </c>
      <c r="BF75" s="167">
        <f>Tabella8[[#This Row],[rest of Italy fit]]</f>
        <v>77.070441965511719</v>
      </c>
      <c r="BG75" s="78">
        <f>(ATANH(alpha*Tabella34[[#This Row],[rest of Italy cumul. fit]]/Ka-(1-alpha*Tabella34[[#This Row],[rest of Italy cumul. fit]]/Ka)*TANH(phi_a))+phi_a)/psi_a-(Tabella34[[#This Row],[Day]]-pa)</f>
        <v>0.11684719400344393</v>
      </c>
      <c r="BH75" s="167">
        <f>Tabella34[[#This Row],[rest of Italy cumul. fit]]/Ka</f>
        <v>3.4740809525196626E-4</v>
      </c>
      <c r="BI75" s="143">
        <f>Tabella3[[#This Row],[rest of Italy fit]]</f>
        <v>657.83638869425113</v>
      </c>
      <c r="BJ75" s="192">
        <f>Tabella34[[#This Row],[rest of Italy velocity]]/Tabella34[[#This Row],[rest of Italy cumul. fit]]</f>
        <v>8.5355211663198531</v>
      </c>
      <c r="BK75" s="238">
        <f>(LN(Tabella34[[#This Row],[Day]]-po)-phi_o)/psi_o</f>
        <v>-137.9807424779423</v>
      </c>
      <c r="BL75" s="244">
        <f>EXP(phi_o+psi_o*Tabella34[[#This Row],[x_o_alpha©+plus]])-(Tabella34[[#This Row],[Day]]-po)</f>
        <v>4.3624962154221416</v>
      </c>
      <c r="BM75" s="244">
        <f>EXP(phi_o+psi_o*Tabella34[[#This Row],[x_o_alpha©-minus]])-(Tabella34[[#This Row],[Day]]-po)</f>
        <v>3.5378000033535826</v>
      </c>
      <c r="BN75" s="244">
        <f>-psi_o+SQRT(psi_o^2-2*Tabella34[[#This Row],[c_o]])</f>
        <v>3.9391166256519461</v>
      </c>
      <c r="BO75" s="244">
        <f>-psi_o-SQRT(psi_o^2-2*Tabella34[[#This Row],[c_o]])</f>
        <v>-3.9904299099195994</v>
      </c>
      <c r="BP75" s="244">
        <f>phi_o-LN(alpha*Ko/(Tabella34[[#This Row],[rest of Italy velocity]]*psi_o*SQRTPI(2)))</f>
        <v>-7.8593844008315461</v>
      </c>
      <c r="BQ75" s="244">
        <f>(ACOSH(SQRT(alpha*Ka*psi_a/(Tabella34[[#This Row],[rest of Italy velocity]]*(1+TANH(phi_a)))))+phi_a)/psi_a-(Tabella34[[#This Row],[Day]]-pa)</f>
        <v>123.50704944422513</v>
      </c>
      <c r="BR75" s="72">
        <f>-2*$BY$35*TANH($BY$35*(Tabella34[[#This Row],[Day]]-$BY$44)-$BY$34)*Tabella34[[#This Row],[rest of Italy velocity]]</f>
        <v>29.853013248168637</v>
      </c>
      <c r="BS75" s="167">
        <f>Tabella34[[#This Row],[rest of Italy acc. fit]]/y_a_peak</f>
        <v>9.8869095647041091E-3</v>
      </c>
      <c r="BT75" s="167">
        <f>Tabella34[[#This Row],[rest of Italy acc. fit]]*NOT(ISBLANK(Tabella34[[#This Row],[rest of Italy rate data]]))</f>
        <v>29.853013248168637</v>
      </c>
      <c r="BU75" s="167">
        <f>Tabella34[[#This Row],[rest of Italy acc. fit]]+CIa</f>
        <v>1663.9869532019702</v>
      </c>
      <c r="BV75" s="167">
        <f>MAX(Tabella34[[#This Row],[rest of Italy acc. fit]]-CIa,0)</f>
        <v>0</v>
      </c>
    </row>
    <row r="76" spans="2:74" x14ac:dyDescent="0.3">
      <c r="B76" s="262">
        <v>43899</v>
      </c>
      <c r="C76" s="29">
        <v>69</v>
      </c>
      <c r="D76" s="10">
        <f>Tabella8[[#This Row],[Italy cumulative]]</f>
        <v>1187</v>
      </c>
      <c r="E76" s="72">
        <f>(Tabella34[[#This Row],[Italy cumul. data]]-D75)</f>
        <v>199</v>
      </c>
      <c r="F76" s="72">
        <f>Tabella34[[#This Row],[Italy rate data]]-E75</f>
        <v>33</v>
      </c>
      <c r="G76" s="77">
        <f>Tabella34[[#This Row],[Italy rate data]]*NOT(ISBLANK(Tabella34[[#This Row],[Italy rate data]]))</f>
        <v>199</v>
      </c>
      <c r="H76" s="143">
        <f>Tabella8[[#This Row],[Italy fit]]</f>
        <v>377.33955064412049</v>
      </c>
      <c r="I76" s="143">
        <f>(ATANH(alpha*Tabella34[[#This Row],[Italy cumul. Fit]]/Kf-(1-alpha*Tabella34[[#This Row],[Italy cumul. Fit]]/Kf)*TANH(phi_f))+phi_f)/psi_f-(Tabella34[[#This Row],[Day]]-pf)</f>
        <v>0.50792440218786372</v>
      </c>
      <c r="J76" s="143">
        <f>Tabella34[[#This Row],[Italy d.t.]]/Italy_dt_at_lockdown</f>
        <v>0.22377980564998085</v>
      </c>
      <c r="K76" s="77">
        <f>Tabella34[[#This Row],[Italy cumul. Fit]]/Kf</f>
        <v>1.6057002050906479E-3</v>
      </c>
      <c r="L76" s="146">
        <f>Tabella34[[#This Row],[sel. region acc. fit]]+Tabella34[[#This Row],[rest of Italy acc. fit]]</f>
        <v>32.450022313512768</v>
      </c>
      <c r="M76" s="77">
        <f>Tabella34[[#This Row],[Italy (fit of selected region + fitted sum of the other regions)]]/(y_l_peak+y_a_peak)</f>
        <v>1.0247321976746849E-2</v>
      </c>
      <c r="N76" s="143">
        <f>Tabella3[[#This Row],[Italy remov. rate fit]]</f>
        <v>734.59579819982787</v>
      </c>
      <c r="O76" s="143">
        <f>Kt*EXP(-0.5*Tabella34[[#This Row],[x_t]]^2)/(psi_t*SQRTPI(2)*(Tabella34[[#This Row],[Day]]-D_bk))</f>
        <v>0</v>
      </c>
      <c r="P76" s="183">
        <f>Tabella34[[#This Row],[Italy velocity]]/Tabella34[[#This Row],[Italy cumul. Fit]]</f>
        <v>1.9467765754898185</v>
      </c>
      <c r="Q76" s="244">
        <f>(LN(Tabella34[[#This Row],[Day]]-D_bk)-phi_t)/psi_t</f>
        <v>-80.220677618225096</v>
      </c>
      <c r="R76" s="244">
        <f>EXP(phi_t+psi_t*Tabella34[[#This Row],[x_t_alpha©+plus]])-(Tabella34[[#This Row],[Day]]-D_bk)</f>
        <v>3.8343278861898513</v>
      </c>
      <c r="S76" s="244">
        <f>EXP(phi_t+psi_t*Tabella34[[#This Row],[x_t_alpha©-minus]])-(Tabella34[[#This Row],[Day]]-D_bk)</f>
        <v>3.0445071618866897</v>
      </c>
      <c r="T76" s="244">
        <f>-psi_t+SQRT(psi_t^2-2*Tabella34[[#This Row],[c_t]])</f>
        <v>3.9369299740562083</v>
      </c>
      <c r="U76" s="244">
        <f>-psi_t-SQRT(psi_t^2-2*Tabella34[[#This Row],[c_t]])</f>
        <v>-3.9874486487535803</v>
      </c>
      <c r="V76" s="244">
        <f>phi_t-LN(alpha*Kt/(Tabella34[[#This Row],[Italy velocity]]*psi_t*SQRTPI(2)))</f>
        <v>-7.8491530526439472</v>
      </c>
      <c r="W76" s="244">
        <f>Tabella34[[#This Row],[Italy g.r.]]/Italy_gr_at_lockdown</f>
        <v>4.6435689821707173</v>
      </c>
      <c r="X76" s="244">
        <f>(ACOSH(SQRT(alpha*Kf*psi_f/(Tabella34[[#This Row],[Italy velocity]]*(1+TANH(phi_f)))))+phi_f)/psi_f-(Tabella34[[#This Row],[Day]]-pf)</f>
        <v>122.61410387272171</v>
      </c>
      <c r="Y76" s="244">
        <f>Tabella34[[#This Row],[Italy h.t.]]/Italy_ht_at_lockdown</f>
        <v>1.0324734197275469</v>
      </c>
      <c r="Z76" s="72">
        <f>-2*$BY$48*TANH($BY$48*(Tabella34[[#This Row],[Day]]-$BY$57)-$BY$47)*Tabella34[[#This Row],[Italy velocity]]</f>
        <v>32.510815845301664</v>
      </c>
      <c r="AA76" s="72">
        <f>Tabella34[[#This Row],[Italy acc. fit]]/Itali_acc_at_lockdown</f>
        <v>0.92887173406924284</v>
      </c>
      <c r="AB76" s="77">
        <f>Tabella34[[#This Row],[Italy acc. fit]]/y_f_peak</f>
        <v>1.0291524337427796E-2</v>
      </c>
      <c r="AC76" s="143">
        <f>Tabella34[[#This Row],[Italy (fit of selected region + fitted sum of the other regions)]]*NOT(ISBLANK(Tabella34[[#This Row],[Italy rate data]]))</f>
        <v>32.450022313512768</v>
      </c>
      <c r="AD76" s="143">
        <f>Tabella34[[#This Row],[Italy acc. fit]]*NOT(ISBLANK(Tabella34[[#This Row],[Italy rate data]]))</f>
        <v>32.510815845301664</v>
      </c>
      <c r="AE76" s="77">
        <f>Tabella34[[#This Row],[Italy acc. fit]]+CIf</f>
        <v>1687.7207847690531</v>
      </c>
      <c r="AF76" s="77">
        <f>MAX(Tabella34[[#This Row],[Italy acc. fit]]-CIf,0)</f>
        <v>0</v>
      </c>
      <c r="AG76" s="4">
        <f>Tabella8[[#This Row],[region data]]</f>
        <v>12</v>
      </c>
      <c r="AH76" s="72">
        <f>(Tabella34[[#This Row],[selected region cumul. data]]-AG75)</f>
        <v>1</v>
      </c>
      <c r="AI76" s="72">
        <f>Tabella34[[#This Row],[selected region rate data]]-AH75</f>
        <v>-1</v>
      </c>
      <c r="AJ76" s="77">
        <f>Tabella34[[#This Row],[selected region rate data]]*NOT(ISBLANK(Tabella34[[#This Row],[selected region rate data]]))</f>
        <v>1</v>
      </c>
      <c r="AK76" s="77">
        <f>Tabella8[[#This Row],[region fit]]</f>
        <v>0</v>
      </c>
      <c r="AL76" s="143">
        <f>(ATANH(alpha*Tabella34[[#This Row],[sel. region cumul. fit]]/Kl-(1-alpha*Tabella34[[#This Row],[sel. region cumul. fit]]/Kl)*TANH(phi_l))+phi_l)/psi_l-(Tabella34[[#This Row],[Day]]-pl)</f>
        <v>7.3564830513431616</v>
      </c>
      <c r="AM76" s="77">
        <f>Tabella34[[#This Row],[sel. region cumul. fit]]/Kl</f>
        <v>0</v>
      </c>
      <c r="AN76" s="143">
        <f>Tabella3[[#This Row],[region fit]]</f>
        <v>41.525208541246265</v>
      </c>
      <c r="AO76" s="186" t="e">
        <f>Tabella34[[#This Row],[sel. region velocity]]/Tabella34[[#This Row],[sel. region cumul. fit]]</f>
        <v>#DIV/0!</v>
      </c>
      <c r="AP76" s="241" t="e">
        <f>(LN(Tabella34[[#This Row],[Day]]-pr)-phi_r)/psi_r</f>
        <v>#NUM!</v>
      </c>
      <c r="AQ76" s="244">
        <f>EXP(phi_r+psi_r*Tabella34[[#This Row],[x_r_alpha©+plus]])-(Tabella34[[#This Row],[Day]]-pr)</f>
        <v>10.611756164936192</v>
      </c>
      <c r="AR76" s="244">
        <f>EXP(phi_r+psi_r*Tabella34[[#This Row],[x_r_alpha©-minus]])-(Tabella34[[#This Row],[Day]]-pr)</f>
        <v>10.117898785137816</v>
      </c>
      <c r="AS76" s="244">
        <f>-psi_r+SQRT(psi_r^2-2*Tabella34[[#This Row],[c_r]])</f>
        <v>4.0637679115231267</v>
      </c>
      <c r="AT76" s="244">
        <f>-psi_r-SQRT(psi_r^2-2*Tabella34[[#This Row],[c_r]])</f>
        <v>-4.1040559211894641</v>
      </c>
      <c r="AU76" s="244">
        <f>phi_r-LN(alpha*Kr/(Tabella34[[#This Row],[sel. region velocity]]*psi_r*SQRTPI(2)))</f>
        <v>-8.3389653798131143</v>
      </c>
      <c r="AV76" s="244">
        <f>(ACOSH(SQRT(alpha*Kl*psi_l/(Tabella34[[#This Row],[sel. region velocity]]*(1+TANH(phi_l)))))+phi_l)/psi_l-(Tabella34[[#This Row],[Day]]-pl)</f>
        <v>143.06538107174785</v>
      </c>
      <c r="AW76" s="72">
        <f>-2*$BY$22*TANH($BY$22*(Tabella34[[#This Row],[Day]]-$BY$31)-$BY$21)*Tabella34[[#This Row],[sel. region velocity]]</f>
        <v>1.4175539473809544</v>
      </c>
      <c r="AX76" s="77">
        <f>Tabella34[[#This Row],[sel. region acc. fit]]/y_l_peak</f>
        <v>9.6278458831774803E-3</v>
      </c>
      <c r="AY76" s="143">
        <f>Tabella34[[#This Row],[sel. region acc. fit]]*NOT(ISBLANK(Tabella34[[#This Row],[selected region rate data]]))</f>
        <v>1.4175539473809544</v>
      </c>
      <c r="AZ76" s="77">
        <f>Tabella34[[#This Row],[sel. region acc. fit]]+CIl</f>
        <v>70.782540322481353</v>
      </c>
      <c r="BA76" s="77">
        <f>MAX(Tabella34[[#This Row],[sel. region acc. fit]]-CIl,0)</f>
        <v>0</v>
      </c>
      <c r="BB76" s="10">
        <f>Tabella8[[#This Row],[rest of Italy ]]</f>
        <v>1175</v>
      </c>
      <c r="BC76" s="10">
        <f>(Tabella34[[#This Row],[rest of Italy cum. Data]]-BB75)</f>
        <v>198</v>
      </c>
      <c r="BD76" s="10">
        <f>Tabella34[[#This Row],[rest of Italy rate data]]-BC75</f>
        <v>34</v>
      </c>
      <c r="BE76" s="77">
        <f>Tabella34[[#This Row],[rest of Italy rate data]]*NOT(ISBLANK(Tabella34[[#This Row],[rest of Italy rate data]]))</f>
        <v>198</v>
      </c>
      <c r="BF76" s="77">
        <f>Tabella8[[#This Row],[rest of Italy fit]]</f>
        <v>750.02880466726651</v>
      </c>
      <c r="BG76" s="78">
        <f>(ATANH(alpha*Tabella34[[#This Row],[rest of Italy cumul. fit]]/Ka-(1-alpha*Tabella34[[#This Row],[rest of Italy cumul. fit]]/Ka)*TANH(phi_a))+phi_a)/psi_a-(Tabella34[[#This Row],[Day]]-pa)</f>
        <v>1.063855271434591</v>
      </c>
      <c r="BH76" s="77">
        <f>Tabella34[[#This Row],[rest of Italy cumul. fit]]/Ka</f>
        <v>3.3808821095143702E-3</v>
      </c>
      <c r="BI76" s="143">
        <f>Tabella3[[#This Row],[rest of Italy fit]]</f>
        <v>688.27691643551327</v>
      </c>
      <c r="BJ76" s="183">
        <f>Tabella34[[#This Row],[rest of Italy velocity]]/Tabella34[[#This Row],[rest of Italy cumul. fit]]</f>
        <v>0.91766731111194044</v>
      </c>
      <c r="BK76" s="236">
        <f>(LN(Tabella34[[#This Row],[Day]]-po)-phi_o)/psi_o</f>
        <v>-50.181303124203822</v>
      </c>
      <c r="BL76" s="244">
        <f>EXP(phi_o+psi_o*Tabella34[[#This Row],[x_o_alpha©+plus]])-(Tabella34[[#This Row],[Day]]-po)</f>
        <v>3.361183128782617</v>
      </c>
      <c r="BM76" s="244">
        <f>EXP(phi_o+psi_o*Tabella34[[#This Row],[x_o_alpha©-minus]])-(Tabella34[[#This Row],[Day]]-po)</f>
        <v>2.5388716840775722</v>
      </c>
      <c r="BN76" s="244">
        <f>-psi_o+SQRT(psi_o^2-2*Tabella34[[#This Row],[c_o]])</f>
        <v>3.9276909347198301</v>
      </c>
      <c r="BO76" s="244">
        <f>-psi_o-SQRT(psi_o^2-2*Tabella34[[#This Row],[c_o]])</f>
        <v>-3.9790042189874835</v>
      </c>
      <c r="BP76" s="244">
        <f>phi_o-LN(alpha*Ko/(Tabella34[[#This Row],[rest of Italy velocity]]*psi_o*SQRTPI(2)))</f>
        <v>-7.8141494000645491</v>
      </c>
      <c r="BQ76" s="244">
        <f>(ACOSH(SQRT(alpha*Ka*psi_a/(Tabella34[[#This Row],[rest of Italy velocity]]*(1+TANH(phi_a)))))+phi_a)/psi_a-(Tabella34[[#This Row],[Day]]-pa)</f>
        <v>121.57185800684258</v>
      </c>
      <c r="BR76" s="72">
        <f>-2*$BY$35*TANH($BY$35*(Tabella34[[#This Row],[Day]]-$BY$44)-$BY$34)*Tabella34[[#This Row],[rest of Italy velocity]]</f>
        <v>31.032468366131816</v>
      </c>
      <c r="BS76" s="77">
        <f>Tabella34[[#This Row],[rest of Italy acc. fit]]/y_a_peak</f>
        <v>1.0277528963489414E-2</v>
      </c>
      <c r="BT76" s="77">
        <f>Tabella34[[#This Row],[rest of Italy acc. fit]]*NOT(ISBLANK(Tabella34[[#This Row],[rest of Italy rate data]]))</f>
        <v>31.032468366131816</v>
      </c>
      <c r="BU76" s="77">
        <f>Tabella34[[#This Row],[rest of Italy acc. fit]]+CIa</f>
        <v>1665.1664083199332</v>
      </c>
      <c r="BV76" s="77">
        <f>MAX(Tabella34[[#This Row],[rest of Italy acc. fit]]-CIa,0)</f>
        <v>0</v>
      </c>
    </row>
    <row r="77" spans="2:74" x14ac:dyDescent="0.3">
      <c r="B77" s="262">
        <v>43900</v>
      </c>
      <c r="C77" s="29">
        <v>70</v>
      </c>
      <c r="D77" s="10">
        <f>Tabella8[[#This Row],[Italy cumulative]]</f>
        <v>1635</v>
      </c>
      <c r="E77" s="72">
        <f>(Tabella34[[#This Row],[Italy cumul. data]]-D76)</f>
        <v>448</v>
      </c>
      <c r="F77" s="72">
        <f>Tabella34[[#This Row],[Italy rate data]]-E76</f>
        <v>249</v>
      </c>
      <c r="G77" s="77">
        <f>Tabella34[[#This Row],[Italy rate data]]*NOT(ISBLANK(Tabella34[[#This Row],[Italy rate data]]))</f>
        <v>448</v>
      </c>
      <c r="H77" s="143">
        <f>Tabella8[[#This Row],[Italy fit]]</f>
        <v>1128.395261548379</v>
      </c>
      <c r="I77" s="143">
        <f>(ATANH(alpha*Tabella34[[#This Row],[Italy cumul. Fit]]/Kf-(1-alpha*Tabella34[[#This Row],[Italy cumul. Fit]]/Kf)*TANH(phi_f))+phi_f)/psi_f-(Tabella34[[#This Row],[Day]]-pf)</f>
        <v>1.42442187260463</v>
      </c>
      <c r="J77" s="143">
        <f>Tabella34[[#This Row],[Italy d.t.]]/Italy_dt_at_lockdown</f>
        <v>0.6275675050106152</v>
      </c>
      <c r="K77" s="77">
        <f>Tabella34[[#This Row],[Italy cumul. Fit]]/Kf</f>
        <v>4.8016819328869339E-3</v>
      </c>
      <c r="L77" s="146">
        <f>Tabella34[[#This Row],[sel. region acc. fit]]+Tabella34[[#This Row],[rest of Italy acc. fit]]</f>
        <v>33.694342246590509</v>
      </c>
      <c r="M77" s="77">
        <f>Tabella34[[#This Row],[Italy (fit of selected region + fitted sum of the other regions)]]/(y_l_peak+y_a_peak)</f>
        <v>1.0640263062368907E-2</v>
      </c>
      <c r="N77" s="143">
        <f>Tabella3[[#This Row],[Italy remov. rate fit]]</f>
        <v>767.72114562353147</v>
      </c>
      <c r="O77" s="143">
        <f>Kt*EXP(-0.5*Tabella34[[#This Row],[x_t]]^2)/(psi_t*SQRTPI(2)*(Tabella34[[#This Row],[Day]]-D_bk))</f>
        <v>1.478982671097035E-303</v>
      </c>
      <c r="P77" s="183">
        <f>Tabella34[[#This Row],[Italy velocity]]/Tabella34[[#This Row],[Italy cumul. Fit]]</f>
        <v>0.68036544620904194</v>
      </c>
      <c r="Q77" s="244">
        <f>(LN(Tabella34[[#This Row],[Day]]-D_bk)-phi_t)/psi_t</f>
        <v>-37.735936181256903</v>
      </c>
      <c r="R77" s="244">
        <f>EXP(phi_t+psi_t*Tabella34[[#This Row],[x_t_alpha©+plus]])-(Tabella34[[#This Row],[Day]]-D_bk)</f>
        <v>2.8331020908021225</v>
      </c>
      <c r="S77" s="244">
        <f>EXP(phi_t+psi_t*Tabella34[[#This Row],[x_t_alpha©-minus]])-(Tabella34[[#This Row],[Day]]-D_bk)</f>
        <v>2.045510875719549</v>
      </c>
      <c r="T77" s="244">
        <f>-psi_t+SQRT(psi_t^2-2*Tabella34[[#This Row],[c_t]])</f>
        <v>3.9257825271850511</v>
      </c>
      <c r="U77" s="244">
        <f>-psi_t-SQRT(psi_t^2-2*Tabella34[[#This Row],[c_t]])</f>
        <v>-3.9763012018824231</v>
      </c>
      <c r="V77" s="244">
        <f>phi_t-LN(alpha*Kt/(Tabella34[[#This Row],[Italy velocity]]*psi_t*SQRTPI(2)))</f>
        <v>-7.8050468905874677</v>
      </c>
      <c r="W77" s="244">
        <f>Tabella34[[#This Row],[Italy g.r.]]/Italy_gr_at_lockdown</f>
        <v>1.62284872457033</v>
      </c>
      <c r="X77" s="244">
        <f>(ACOSH(SQRT(alpha*Kf*psi_f/(Tabella34[[#This Row],[Italy velocity]]*(1+TANH(phi_f)))))+phi_f)/psi_f-(Tabella34[[#This Row],[Day]]-pf)</f>
        <v>120.68400625534917</v>
      </c>
      <c r="Y77" s="244">
        <f>Tabella34[[#This Row],[Italy h.t.]]/Italy_ht_at_lockdown</f>
        <v>1.016221011362803</v>
      </c>
      <c r="Z77" s="72">
        <f>-2*$BY$48*TANH($BY$48*(Tabella34[[#This Row],[Day]]-$BY$57)-$BY$47)*Tabella34[[#This Row],[Italy velocity]]</f>
        <v>33.743918649641408</v>
      </c>
      <c r="AA77" s="72">
        <f>Tabella34[[#This Row],[Italy acc. fit]]/Itali_acc_at_lockdown</f>
        <v>0.96410291207483056</v>
      </c>
      <c r="AB77" s="77">
        <f>Tabella34[[#This Row],[Italy acc. fit]]/y_f_peak</f>
        <v>1.0681871586226441E-2</v>
      </c>
      <c r="AC77" s="143">
        <f>Tabella34[[#This Row],[Italy (fit of selected region + fitted sum of the other regions)]]*NOT(ISBLANK(Tabella34[[#This Row],[Italy rate data]]))</f>
        <v>33.694342246590509</v>
      </c>
      <c r="AD77" s="143">
        <f>Tabella34[[#This Row],[Italy acc. fit]]*NOT(ISBLANK(Tabella34[[#This Row],[Italy rate data]]))</f>
        <v>33.743918649641408</v>
      </c>
      <c r="AE77" s="77">
        <f>Tabella34[[#This Row],[Italy acc. fit]]+CIf</f>
        <v>1688.9538875733929</v>
      </c>
      <c r="AF77" s="77">
        <f>MAX(Tabella34[[#This Row],[Italy acc. fit]]-CIf,0)</f>
        <v>0</v>
      </c>
      <c r="AG77" s="4">
        <f>Tabella8[[#This Row],[region data]]</f>
        <v>13</v>
      </c>
      <c r="AH77" s="72">
        <f>(Tabella34[[#This Row],[selected region cumul. data]]-AG76)</f>
        <v>1</v>
      </c>
      <c r="AI77" s="72">
        <f>Tabella34[[#This Row],[selected region rate data]]-AH76</f>
        <v>0</v>
      </c>
      <c r="AJ77" s="77">
        <f>Tabella34[[#This Row],[selected region rate data]]*NOT(ISBLANK(Tabella34[[#This Row],[selected region rate data]]))</f>
        <v>1</v>
      </c>
      <c r="AK77" s="77">
        <f>Tabella8[[#This Row],[region fit]]</f>
        <v>0</v>
      </c>
      <c r="AL77" s="143">
        <f>(ATANH(alpha*Tabella34[[#This Row],[sel. region cumul. fit]]/Kl-(1-alpha*Tabella34[[#This Row],[sel. region cumul. fit]]/Kl)*TANH(phi_l))+phi_l)/psi_l-(Tabella34[[#This Row],[Day]]-pl)</f>
        <v>6.3564830513431616</v>
      </c>
      <c r="AM77" s="77">
        <f>Tabella34[[#This Row],[sel. region cumul. fit]]/Kl</f>
        <v>0</v>
      </c>
      <c r="AN77" s="143">
        <f>Tabella3[[#This Row],[region fit]]</f>
        <v>42.962262439581075</v>
      </c>
      <c r="AO77" s="186" t="e">
        <f>Tabella34[[#This Row],[sel. region velocity]]/Tabella34[[#This Row],[sel. region cumul. fit]]</f>
        <v>#DIV/0!</v>
      </c>
      <c r="AP77" s="241" t="e">
        <f>(LN(Tabella34[[#This Row],[Day]]-pr)-phi_r)/psi_r</f>
        <v>#NUM!</v>
      </c>
      <c r="AQ77" s="244">
        <f>EXP(phi_r+psi_r*Tabella34[[#This Row],[x_r_alpha©+plus]])-(Tabella34[[#This Row],[Day]]-pr)</f>
        <v>9.6112093798463576</v>
      </c>
      <c r="AR77" s="244">
        <f>EXP(phi_r+psi_r*Tabella34[[#This Row],[x_r_alpha©-minus]])-(Tabella34[[#This Row],[Day]]-pr)</f>
        <v>9.1183626954017463</v>
      </c>
      <c r="AS77" s="244">
        <f>-psi_r+SQRT(psi_r^2-2*Tabella34[[#This Row],[c_r]])</f>
        <v>4.0554287978910359</v>
      </c>
      <c r="AT77" s="244">
        <f>-psi_r-SQRT(psi_r^2-2*Tabella34[[#This Row],[c_r]])</f>
        <v>-4.0957168075573733</v>
      </c>
      <c r="AU77" s="244">
        <f>phi_r-LN(alpha*Kr/(Tabella34[[#This Row],[sel. region velocity]]*psi_r*SQRTPI(2)))</f>
        <v>-8.3049439446872562</v>
      </c>
      <c r="AV77" s="244">
        <f>(ACOSH(SQRT(alpha*Kl*psi_l/(Tabella34[[#This Row],[sel. region velocity]]*(1+TANH(phi_l)))))+phi_l)/psi_l-(Tabella34[[#This Row],[Day]]-pl)</f>
        <v>141.15295187475914</v>
      </c>
      <c r="AW77" s="72">
        <f>-2*$BY$22*TANH($BY$22*(Tabella34[[#This Row],[Day]]-$BY$31)-$BY$21)*Tabella34[[#This Row],[sel. region velocity]]</f>
        <v>1.4566080013939351</v>
      </c>
      <c r="AX77" s="77">
        <f>Tabella34[[#This Row],[sel. region acc. fit]]/y_l_peak</f>
        <v>9.8930960444464523E-3</v>
      </c>
      <c r="AY77" s="143">
        <f>Tabella34[[#This Row],[sel. region acc. fit]]*NOT(ISBLANK(Tabella34[[#This Row],[selected region rate data]]))</f>
        <v>1.4566080013939351</v>
      </c>
      <c r="AZ77" s="77">
        <f>Tabella34[[#This Row],[sel. region acc. fit]]+CIl</f>
        <v>70.821594376494332</v>
      </c>
      <c r="BA77" s="77">
        <f>MAX(Tabella34[[#This Row],[sel. region acc. fit]]-CIl,0)</f>
        <v>0</v>
      </c>
      <c r="BB77" s="10">
        <f>Tabella8[[#This Row],[rest of Italy ]]</f>
        <v>1622</v>
      </c>
      <c r="BC77" s="10">
        <f>(Tabella34[[#This Row],[rest of Italy cum. Data]]-BB76)</f>
        <v>447</v>
      </c>
      <c r="BD77" s="10">
        <f>Tabella34[[#This Row],[rest of Italy rate data]]-BC76</f>
        <v>249</v>
      </c>
      <c r="BE77" s="77">
        <f>Tabella34[[#This Row],[rest of Italy rate data]]*NOT(ISBLANK(Tabella34[[#This Row],[rest of Italy rate data]]))</f>
        <v>447</v>
      </c>
      <c r="BF77" s="77">
        <f>Tabella8[[#This Row],[rest of Italy fit]]</f>
        <v>1454.0217877526813</v>
      </c>
      <c r="BG77" s="78">
        <f>(ATANH(alpha*Tabella34[[#This Row],[rest of Italy cumul. fit]]/Ka-(1-alpha*Tabella34[[#This Row],[rest of Italy cumul. fit]]/Ka)*TANH(phi_a))+phi_a)/psi_a-(Tabella34[[#This Row],[Day]]-pa)</f>
        <v>1.9339285991683326</v>
      </c>
      <c r="BH77" s="77">
        <f>Tabella34[[#This Row],[rest of Italy cumul. fit]]/Ka</f>
        <v>6.5542499414245293E-3</v>
      </c>
      <c r="BI77" s="143">
        <f>Tabella3[[#This Row],[rest of Italy fit]]</f>
        <v>719.90993200219009</v>
      </c>
      <c r="BJ77" s="183">
        <f>Tabella34[[#This Row],[rest of Italy velocity]]/Tabella34[[#This Row],[rest of Italy cumul. fit]]</f>
        <v>0.49511633048833076</v>
      </c>
      <c r="BK77" s="236">
        <f>(LN(Tabella34[[#This Row],[Day]]-po)-phi_o)/psi_o</f>
        <v>-25.269440694269758</v>
      </c>
      <c r="BL77" s="244">
        <f>EXP(phi_o+psi_o*Tabella34[[#This Row],[x_o_alpha©+plus]])-(Tabella34[[#This Row],[Day]]-po)</f>
        <v>2.3598753692803287</v>
      </c>
      <c r="BM77" s="244">
        <f>EXP(phi_o+psi_o*Tabella34[[#This Row],[x_o_alpha©-minus]])-(Tabella34[[#This Row],[Day]]-po)</f>
        <v>1.5399396418089366</v>
      </c>
      <c r="BN77" s="244">
        <f>-psi_o+SQRT(psi_o^2-2*Tabella34[[#This Row],[c_o]])</f>
        <v>3.9163082673337084</v>
      </c>
      <c r="BO77" s="244">
        <f>-psi_o-SQRT(psi_o^2-2*Tabella34[[#This Row],[c_o]])</f>
        <v>-3.9676215516013618</v>
      </c>
      <c r="BP77" s="244">
        <f>phi_o-LN(alpha*Ko/(Tabella34[[#This Row],[rest of Italy velocity]]*psi_o*SQRTPI(2)))</f>
        <v>-7.7692145420939038</v>
      </c>
      <c r="BQ77" s="244">
        <f>(ACOSH(SQRT(alpha*Ka*psi_a/(Tabella34[[#This Row],[rest of Italy velocity]]*(1+TANH(phi_a)))))+phi_a)/psi_a-(Tabella34[[#This Row],[Day]]-pa)</f>
        <v>119.64017363144639</v>
      </c>
      <c r="BR77" s="72">
        <f>-2*$BY$35*TANH($BY$35*(Tabella34[[#This Row],[Day]]-$BY$44)-$BY$34)*Tabella34[[#This Row],[rest of Italy velocity]]</f>
        <v>32.23773424519657</v>
      </c>
      <c r="BS77" s="77">
        <f>Tabella34[[#This Row],[rest of Italy acc. fit]]/y_a_peak</f>
        <v>1.0676696533231066E-2</v>
      </c>
      <c r="BT77" s="77">
        <f>Tabella34[[#This Row],[rest of Italy acc. fit]]*NOT(ISBLANK(Tabella34[[#This Row],[rest of Italy rate data]]))</f>
        <v>32.23773424519657</v>
      </c>
      <c r="BU77" s="77">
        <f>Tabella34[[#This Row],[rest of Italy acc. fit]]+CIa</f>
        <v>1666.3716741989981</v>
      </c>
      <c r="BV77" s="77">
        <f>MAX(Tabella34[[#This Row],[rest of Italy acc. fit]]-CIa,0)</f>
        <v>0</v>
      </c>
    </row>
    <row r="78" spans="2:74" x14ac:dyDescent="0.3">
      <c r="B78" s="262">
        <v>43901</v>
      </c>
      <c r="C78" s="246">
        <v>71</v>
      </c>
      <c r="D78" s="247">
        <f>Tabella8[[#This Row],[Italy cumulative]]</f>
        <v>1872</v>
      </c>
      <c r="E78" s="248">
        <f>(Tabella34[[#This Row],[Italy cumul. data]]-D77)</f>
        <v>237</v>
      </c>
      <c r="F78" s="248">
        <f>Tabella34[[#This Row],[Italy rate data]]-E77</f>
        <v>-211</v>
      </c>
      <c r="G78" s="249">
        <f>Tabella34[[#This Row],[Italy rate data]]*NOT(ISBLANK(Tabella34[[#This Row],[Italy rate data]]))</f>
        <v>237</v>
      </c>
      <c r="H78" s="250">
        <f>Tabella8[[#This Row],[Italy fit]]</f>
        <v>1913.1968345634587</v>
      </c>
      <c r="I78" s="143">
        <f>(ATANH(alpha*Tabella34[[#This Row],[Italy cumul. Fit]]/Kf-(1-alpha*Tabella34[[#This Row],[Italy cumul. Fit]]/Kf)*TANH(phi_f))+phi_f)/psi_f-(Tabella34[[#This Row],[Day]]-pf)</f>
        <v>2.269750841513912</v>
      </c>
      <c r="J78" s="250">
        <f>Tabella34[[#This Row],[Italy d.t.]]/Italy_dt_at_lockdown</f>
        <v>1</v>
      </c>
      <c r="K78" s="249">
        <f>Tabella34[[#This Row],[Italy cumul. Fit]]/Kf</f>
        <v>8.1412630729892198E-3</v>
      </c>
      <c r="L78" s="248">
        <f>Tabella34[[#This Row],[sel. region acc. fit]]+Tabella34[[#This Row],[rest of Italy acc. fit]]</f>
        <v>34.963100851260421</v>
      </c>
      <c r="M78" s="249">
        <f>Tabella34[[#This Row],[Italy (fit of selected region + fitted sum of the other regions)]]/(y_l_peak+y_a_peak)</f>
        <v>1.1040921582945845E-2</v>
      </c>
      <c r="N78" s="143">
        <f>Tabella3[[#This Row],[Italy remov. rate fit]]</f>
        <v>802.09140773618856</v>
      </c>
      <c r="O78" s="250">
        <f>Kt*EXP(-0.5*Tabella34[[#This Row],[x_t]]^2)/(psi_t*SQRTPI(2)*(Tabella34[[#This Row],[Day]]-D_bk))</f>
        <v>1.0076988633690734E-62</v>
      </c>
      <c r="P78" s="251">
        <f>Tabella34[[#This Row],[Italy velocity]]/Tabella34[[#This Row],[Italy cumul. Fit]]</f>
        <v>0.41924144617310366</v>
      </c>
      <c r="Q78" s="252">
        <f>(LN(Tabella34[[#This Row],[Day]]-D_bk)-phi_t)/psi_t</f>
        <v>-17.717531757246594</v>
      </c>
      <c r="R78" s="252">
        <f>EXP(phi_t+psi_t*Tabella34[[#This Row],[x_t_alpha©+plus]])-(Tabella34[[#This Row],[Day]]-D_bk)</f>
        <v>1.8318818266369377</v>
      </c>
      <c r="S78" s="252">
        <f>EXP(phi_t+psi_t*Tabella34[[#This Row],[x_t_alpha©-minus]])-(Tabella34[[#This Row],[Day]]-D_bk)</f>
        <v>1.0465106221025091</v>
      </c>
      <c r="T78" s="252">
        <f>-psi_t+SQRT(psi_t^2-2*Tabella34[[#This Row],[c_t]])</f>
        <v>3.9146822630108278</v>
      </c>
      <c r="U78" s="252">
        <f>-psi_t-SQRT(psi_t^2-2*Tabella34[[#This Row],[c_t]])</f>
        <v>-3.9652009377081998</v>
      </c>
      <c r="V78" s="252">
        <f>phi_t-LN(alpha*Kt/(Tabella34[[#This Row],[Italy velocity]]*psi_t*SQRTPI(2)))</f>
        <v>-7.7612508900600954</v>
      </c>
      <c r="W78" s="252">
        <f>Tabella34[[#This Row],[Italy g.r.]]/Italy_gr_at_lockdown</f>
        <v>1</v>
      </c>
      <c r="X78" s="244">
        <f>(ACOSH(SQRT(alpha*Kf*psi_f/(Tabella34[[#This Row],[Italy velocity]]*(1+TANH(phi_f)))))+phi_f)/psi_f-(Tabella34[[#This Row],[Day]]-pf)</f>
        <v>118.75763727174457</v>
      </c>
      <c r="Y78" s="252">
        <f>Tabella34[[#This Row],[Italy h.t.]]/Italy_ht_at_lockdown</f>
        <v>1</v>
      </c>
      <c r="Z78" s="72">
        <f>-2*$BY$48*TANH($BY$48*(Tabella34[[#This Row],[Day]]-$BY$57)-$BY$47)*Tabella34[[#This Row],[Italy velocity]]</f>
        <v>35.000328519931195</v>
      </c>
      <c r="AA78" s="253">
        <f>Tabella34[[#This Row],[Italy acc. fit]]/Itali_acc_at_lockdown</f>
        <v>1</v>
      </c>
      <c r="AB78" s="249">
        <f>Tabella34[[#This Row],[Italy acc. fit]]/y_f_peak</f>
        <v>1.1079596848471452E-2</v>
      </c>
      <c r="AC78" s="250">
        <f>Tabella34[[#This Row],[Italy (fit of selected region + fitted sum of the other regions)]]*NOT(ISBLANK(Tabella34[[#This Row],[Italy rate data]]))</f>
        <v>34.963100851260421</v>
      </c>
      <c r="AD78" s="250">
        <f>Tabella34[[#This Row],[Italy acc. fit]]*NOT(ISBLANK(Tabella34[[#This Row],[Italy rate data]]))</f>
        <v>35.000328519931195</v>
      </c>
      <c r="AE78" s="249">
        <f>Tabella34[[#This Row],[Italy acc. fit]]+CIf</f>
        <v>1690.2102974436825</v>
      </c>
      <c r="AF78" s="249">
        <f>MAX(Tabella34[[#This Row],[Italy acc. fit]]-CIf,0)</f>
        <v>0</v>
      </c>
      <c r="AG78" s="254">
        <f>Tabella8[[#This Row],[region data]]</f>
        <v>13</v>
      </c>
      <c r="AH78" s="248">
        <f>(Tabella34[[#This Row],[selected region cumul. data]]-AG77)</f>
        <v>0</v>
      </c>
      <c r="AI78" s="248">
        <f>Tabella34[[#This Row],[selected region rate data]]-AH77</f>
        <v>-1</v>
      </c>
      <c r="AJ78" s="249">
        <f>Tabella34[[#This Row],[selected region rate data]]*NOT(ISBLANK(Tabella34[[#This Row],[selected region rate data]]))</f>
        <v>0</v>
      </c>
      <c r="AK78" s="249">
        <f>Tabella8[[#This Row],[region fit]]</f>
        <v>0</v>
      </c>
      <c r="AL78" s="143">
        <f>(ATANH(alpha*Tabella34[[#This Row],[sel. region cumul. fit]]/Kl-(1-alpha*Tabella34[[#This Row],[sel. region cumul. fit]]/Kl)*TANH(phi_l))+phi_l)/psi_l-(Tabella34[[#This Row],[Day]]-pl)</f>
        <v>5.3564830513431616</v>
      </c>
      <c r="AM78" s="249">
        <f>Tabella34[[#This Row],[sel. region cumul. fit]]/Kl</f>
        <v>0</v>
      </c>
      <c r="AN78" s="143">
        <f>Tabella3[[#This Row],[region fit]]</f>
        <v>44.438522659652108</v>
      </c>
      <c r="AO78" s="255" t="e">
        <f>Tabella34[[#This Row],[sel. region velocity]]/Tabella34[[#This Row],[sel. region cumul. fit]]</f>
        <v>#DIV/0!</v>
      </c>
      <c r="AP78" s="256" t="e">
        <f>(LN(Tabella34[[#This Row],[Day]]-pr)-phi_r)/psi_r</f>
        <v>#NUM!</v>
      </c>
      <c r="AQ78" s="252">
        <f>EXP(phi_r+psi_r*Tabella34[[#This Row],[x_r_alpha©+plus]])-(Tabella34[[#This Row],[Day]]-pr)</f>
        <v>8.6106653827643509</v>
      </c>
      <c r="AR78" s="252">
        <f>EXP(phi_r+psi_r*Tabella34[[#This Row],[x_r_alpha©-minus]])-(Tabella34[[#This Row],[Day]]-pr)</f>
        <v>8.1188243949361301</v>
      </c>
      <c r="AS78" s="252">
        <f>-psi_r+SQRT(psi_r^2-2*Tabella34[[#This Row],[c_r]])</f>
        <v>4.047130814279372</v>
      </c>
      <c r="AT78" s="252">
        <f>-psi_r-SQRT(psi_r^2-2*Tabella34[[#This Row],[c_r]])</f>
        <v>-4.0874188239457094</v>
      </c>
      <c r="AU78" s="252">
        <f>phi_r-LN(alpha*Kr/(Tabella34[[#This Row],[sel. region velocity]]*psi_r*SQRTPI(2)))</f>
        <v>-8.2711593366281164</v>
      </c>
      <c r="AV78" s="244">
        <f>(ACOSH(SQRT(alpha*Kl*psi_l/(Tabella34[[#This Row],[sel. region velocity]]*(1+TANH(phi_l)))))+phi_l)/psi_l-(Tabella34[[#This Row],[Day]]-pl)</f>
        <v>139.24424654831978</v>
      </c>
      <c r="AW78" s="72">
        <f>-2*$BY$22*TANH($BY$22*(Tabella34[[#This Row],[Day]]-$BY$31)-$BY$21)*Tabella34[[#This Row],[sel. region velocity]]</f>
        <v>1.4959562153690062</v>
      </c>
      <c r="AX78" s="249">
        <f>Tabella34[[#This Row],[sel. region acc. fit]]/y_l_peak</f>
        <v>1.0160344102716269E-2</v>
      </c>
      <c r="AY78" s="250">
        <f>Tabella34[[#This Row],[sel. region acc. fit]]*NOT(ISBLANK(Tabella34[[#This Row],[selected region rate data]]))</f>
        <v>1.4959562153690062</v>
      </c>
      <c r="AZ78" s="249">
        <f>Tabella34[[#This Row],[sel. region acc. fit]]+CIl</f>
        <v>70.860942590469406</v>
      </c>
      <c r="BA78" s="249">
        <f>MAX(Tabella34[[#This Row],[sel. region acc. fit]]-CIl,0)</f>
        <v>0</v>
      </c>
      <c r="BB78" s="247">
        <f>Tabella8[[#This Row],[rest of Italy ]]</f>
        <v>1859</v>
      </c>
      <c r="BC78" s="247">
        <f>(Tabella34[[#This Row],[rest of Italy cum. Data]]-BB77)</f>
        <v>237</v>
      </c>
      <c r="BD78" s="247">
        <f>Tabella34[[#This Row],[rest of Italy rate data]]-BC77</f>
        <v>-210</v>
      </c>
      <c r="BE78" s="249">
        <f>Tabella34[[#This Row],[rest of Italy rate data]]*NOT(ISBLANK(Tabella34[[#This Row],[rest of Italy rate data]]))</f>
        <v>237</v>
      </c>
      <c r="BF78" s="249">
        <f>Tabella8[[#This Row],[rest of Italy fit]]</f>
        <v>2190.2545183341754</v>
      </c>
      <c r="BG78" s="78">
        <f>(ATANH(alpha*Tabella34[[#This Row],[rest of Italy cumul. fit]]/Ka-(1-alpha*Tabella34[[#This Row],[rest of Italy cumul. fit]]/Ka)*TANH(phi_a))+phi_a)/psi_a-(Tabella34[[#This Row],[Day]]-pa)</f>
        <v>2.737360208371971</v>
      </c>
      <c r="BH78" s="249">
        <f>Tabella34[[#This Row],[rest of Italy cumul. fit]]/Ka</f>
        <v>9.8729439059398339E-3</v>
      </c>
      <c r="BI78" s="143">
        <f>Tabella3[[#This Row],[rest of Italy fit]]</f>
        <v>752.76043631830873</v>
      </c>
      <c r="BJ78" s="251">
        <f>Tabella34[[#This Row],[rest of Italy velocity]]/Tabella34[[#This Row],[rest of Italy cumul. fit]]</f>
        <v>0.34368628395335071</v>
      </c>
      <c r="BK78" s="257">
        <f>(LN(Tabella34[[#This Row],[Day]]-po)-phi_o)/psi_o</f>
        <v>-10.193431151484624</v>
      </c>
      <c r="BL78" s="252">
        <f>EXP(phi_o+psi_o*Tabella34[[#This Row],[x_o_alpha©+plus]])-(Tabella34[[#This Row],[Day]]-po)</f>
        <v>1.3585733783959508</v>
      </c>
      <c r="BM78" s="252">
        <f>EXP(phi_o+psi_o*Tabella34[[#This Row],[x_o_alpha©-minus]])-(Tabella34[[#This Row],[Day]]-po)</f>
        <v>0.5410035086291396</v>
      </c>
      <c r="BN78" s="252">
        <f>-psi_o+SQRT(psi_o^2-2*Tabella34[[#This Row],[c_o]])</f>
        <v>3.9049725064781922</v>
      </c>
      <c r="BO78" s="252">
        <f>-psi_o-SQRT(psi_o^2-2*Tabella34[[#This Row],[c_o]])</f>
        <v>-3.9562857907458455</v>
      </c>
      <c r="BP78" s="252">
        <f>phi_o-LN(alpha*Ko/(Tabella34[[#This Row],[rest of Italy velocity]]*psi_o*SQRTPI(2)))</f>
        <v>-7.7245936203164298</v>
      </c>
      <c r="BQ78" s="252">
        <f>(ACOSH(SQRT(alpha*Ka*psi_a/(Tabella34[[#This Row],[rest of Italy velocity]]*(1+TANH(phi_a)))))+phi_a)/psi_a-(Tabella34[[#This Row],[Day]]-pa)</f>
        <v>117.71219027663329</v>
      </c>
      <c r="BR78" s="72">
        <f>-2*$BY$35*TANH($BY$35*(Tabella34[[#This Row],[Day]]-$BY$44)-$BY$34)*Tabella34[[#This Row],[rest of Italy velocity]]</f>
        <v>33.467144635891415</v>
      </c>
      <c r="BS78" s="249">
        <f>Tabella34[[#This Row],[rest of Italy acc. fit]]/y_a_peak</f>
        <v>1.1083860434900294E-2</v>
      </c>
      <c r="BT78" s="249">
        <f>Tabella34[[#This Row],[rest of Italy acc. fit]]*NOT(ISBLANK(Tabella34[[#This Row],[rest of Italy rate data]]))</f>
        <v>33.467144635891415</v>
      </c>
      <c r="BU78" s="249">
        <f>Tabella34[[#This Row],[rest of Italy acc. fit]]+CIa</f>
        <v>1667.6010845896928</v>
      </c>
      <c r="BV78" s="258">
        <f>MAX(Tabella34[[#This Row],[rest of Italy acc. fit]]-CIa,0)</f>
        <v>0</v>
      </c>
    </row>
    <row r="79" spans="2:74" x14ac:dyDescent="0.3">
      <c r="B79" s="262">
        <v>43902</v>
      </c>
      <c r="C79" s="29">
        <v>72</v>
      </c>
      <c r="D79" s="10">
        <f>Tabella8[[#This Row],[Italy cumulative]]</f>
        <v>2274</v>
      </c>
      <c r="E79" s="72">
        <f>(Tabella34[[#This Row],[Italy cumul. data]]-D78)</f>
        <v>402</v>
      </c>
      <c r="F79" s="72">
        <f>Tabella34[[#This Row],[Italy rate data]]-E78</f>
        <v>165</v>
      </c>
      <c r="G79" s="77">
        <f>Tabella34[[#This Row],[Italy rate data]]*NOT(ISBLANK(Tabella34[[#This Row],[Italy rate data]]))</f>
        <v>402</v>
      </c>
      <c r="H79" s="143">
        <f>Tabella8[[#This Row],[Italy fit]]</f>
        <v>2733.0005089265746</v>
      </c>
      <c r="I79" s="143">
        <f>(ATANH(alpha*Tabella34[[#This Row],[Italy cumul. Fit]]/Kf-(1-alpha*Tabella34[[#This Row],[Italy cumul. Fit]]/Kf)*TANH(phi_f))+phi_f)/psi_f-(Tabella34[[#This Row],[Day]]-pf)</f>
        <v>3.0531833639574542</v>
      </c>
      <c r="J79" s="143">
        <f>Tabella34[[#This Row],[Italy d.t.]]/Italy_dt_at_lockdown</f>
        <v>1.3451623447448517</v>
      </c>
      <c r="K79" s="77">
        <f>Tabella34[[#This Row],[Italy cumul. Fit]]/Kf</f>
        <v>1.1629789324244598E-2</v>
      </c>
      <c r="L79" s="146">
        <f>Tabella34[[#This Row],[sel. region acc. fit]]+Tabella34[[#This Row],[rest of Italy acc. fit]]</f>
        <v>36.254276787988076</v>
      </c>
      <c r="M79" s="77">
        <f>Tabella34[[#This Row],[Italy (fit of selected region + fitted sum of the other regions)]]/(y_l_peak+y_a_peak)</f>
        <v>1.1448659224061929E-2</v>
      </c>
      <c r="N79" s="143">
        <f>Tabella3[[#This Row],[Italy remov. rate fit]]</f>
        <v>837.72889225593622</v>
      </c>
      <c r="O79" s="143">
        <f>Kt*EXP(-0.5*Tabella34[[#This Row],[x_t]]^2)/(psi_t*SQRTPI(2)*(Tabella34[[#This Row],[Day]]-D_bk))</f>
        <v>45.208515602823176</v>
      </c>
      <c r="P79" s="183">
        <f>Tabella34[[#This Row],[Italy velocity]]/Tabella34[[#This Row],[Italy cumul. Fit]]</f>
        <v>0.3065235039363261</v>
      </c>
      <c r="Q79" s="244">
        <f>(LN(Tabella34[[#This Row],[Day]]-D_bk)-phi_t)/psi_t</f>
        <v>-4.4849364187708565</v>
      </c>
      <c r="R79" s="244">
        <f>EXP(phi_t+psi_t*Tabella34[[#This Row],[x_t_alpha©+plus]])-(Tabella34[[#This Row],[Day]]-D_bk)</f>
        <v>0.83066752150973144</v>
      </c>
      <c r="S79" s="244">
        <f>EXP(phi_t+psi_t*Tabella34[[#This Row],[x_t_alpha©-minus]])-(Tabella34[[#This Row],[Day]]-D_bk)</f>
        <v>4.750604308585471E-2</v>
      </c>
      <c r="T79" s="244">
        <f>-psi_t+SQRT(psi_t^2-2*Tabella34[[#This Row],[c_t]])</f>
        <v>3.9036331154126271</v>
      </c>
      <c r="U79" s="244">
        <f>-psi_t-SQRT(psi_t^2-2*Tabella34[[#This Row],[c_t]])</f>
        <v>-3.9541517901099992</v>
      </c>
      <c r="V79" s="244">
        <f>phi_t-LN(alpha*Kt/(Tabella34[[#This Row],[Italy velocity]]*psi_t*SQRTPI(2)))</f>
        <v>-7.7177789356207569</v>
      </c>
      <c r="W79" s="244">
        <f>Tabella34[[#This Row],[Italy g.r.]]/Italy_gr_at_lockdown</f>
        <v>0.73113836128158805</v>
      </c>
      <c r="X79" s="244">
        <f>(ACOSH(SQRT(alpha*Kf*psi_f/(Tabella34[[#This Row],[Italy velocity]]*(1+TANH(phi_f)))))+phi_f)/psi_f-(Tabella34[[#This Row],[Day]]-pf)</f>
        <v>116.83520031978843</v>
      </c>
      <c r="Y79" s="244">
        <f>Tabella34[[#This Row],[Italy h.t.]]/Italy_ht_at_lockdown</f>
        <v>0.9838120983532439</v>
      </c>
      <c r="Z79" s="72">
        <f>-2*$BY$48*TANH($BY$48*(Tabella34[[#This Row],[Day]]-$BY$57)-$BY$47)*Tabella34[[#This Row],[Italy velocity]]</f>
        <v>36.27799684804264</v>
      </c>
      <c r="AA79" s="72">
        <f>Tabella34[[#This Row],[Italy acc. fit]]/Itali_acc_at_lockdown</f>
        <v>1.0365044667333299</v>
      </c>
      <c r="AB79" s="77">
        <f>Tabella34[[#This Row],[Italy acc. fit]]/y_f_peak</f>
        <v>1.1484051623045183E-2</v>
      </c>
      <c r="AC79" s="143">
        <f>Tabella34[[#This Row],[Italy (fit of selected region + fitted sum of the other regions)]]*NOT(ISBLANK(Tabella34[[#This Row],[Italy rate data]]))</f>
        <v>36.254276787988076</v>
      </c>
      <c r="AD79" s="143">
        <f>Tabella34[[#This Row],[Italy acc. fit]]*NOT(ISBLANK(Tabella34[[#This Row],[Italy rate data]]))</f>
        <v>36.27799684804264</v>
      </c>
      <c r="AE79" s="77">
        <f>Tabella34[[#This Row],[Italy acc. fit]]+CIf</f>
        <v>1691.4879657717941</v>
      </c>
      <c r="AF79" s="77">
        <f>MAX(Tabella34[[#This Row],[Italy acc. fit]]-CIf,0)</f>
        <v>0</v>
      </c>
      <c r="AG79" s="4">
        <f>Tabella8[[#This Row],[region data]]</f>
        <v>31</v>
      </c>
      <c r="AH79" s="72">
        <f>(Tabella34[[#This Row],[selected region cumul. data]]-AG78)</f>
        <v>18</v>
      </c>
      <c r="AI79" s="72">
        <f>Tabella34[[#This Row],[selected region rate data]]-AH78</f>
        <v>18</v>
      </c>
      <c r="AJ79" s="77">
        <f>Tabella34[[#This Row],[selected region rate data]]*NOT(ISBLANK(Tabella34[[#This Row],[selected region rate data]]))</f>
        <v>18</v>
      </c>
      <c r="AK79" s="77">
        <f>Tabella8[[#This Row],[region fit]]</f>
        <v>0</v>
      </c>
      <c r="AL79" s="143">
        <f>(ATANH(alpha*Tabella34[[#This Row],[sel. region cumul. fit]]/Kl-(1-alpha*Tabella34[[#This Row],[sel. region cumul. fit]]/Kl)*TANH(phi_l))+phi_l)/psi_l-(Tabella34[[#This Row],[Day]]-pl)</f>
        <v>4.3564830513431616</v>
      </c>
      <c r="AM79" s="77">
        <f>Tabella34[[#This Row],[sel. region cumul. fit]]/Kl</f>
        <v>0</v>
      </c>
      <c r="AN79" s="143">
        <f>Tabella3[[#This Row],[region fit]]</f>
        <v>45.954251289571992</v>
      </c>
      <c r="AO79" s="186" t="e">
        <f>Tabella34[[#This Row],[sel. region velocity]]/Tabella34[[#This Row],[sel. region cumul. fit]]</f>
        <v>#DIV/0!</v>
      </c>
      <c r="AP79" s="241" t="e">
        <f>(LN(Tabella34[[#This Row],[Day]]-pr)-phi_r)/psi_r</f>
        <v>#NUM!</v>
      </c>
      <c r="AQ79" s="244">
        <f>EXP(phi_r+psi_r*Tabella34[[#This Row],[x_r_alpha©+plus]])-(Tabella34[[#This Row],[Day]]-pr)</f>
        <v>7.6101243202494659</v>
      </c>
      <c r="AR79" s="244">
        <f>EXP(phi_r+psi_r*Tabella34[[#This Row],[x_r_alpha©-minus]])-(Tabella34[[#This Row],[Day]]-pr)</f>
        <v>7.1192837569956851</v>
      </c>
      <c r="AS79" s="244">
        <f>-psi_r+SQRT(psi_r^2-2*Tabella34[[#This Row],[c_r]])</f>
        <v>4.0388762176847051</v>
      </c>
      <c r="AT79" s="244">
        <f>-psi_r-SQRT(psi_r^2-2*Tabella34[[#This Row],[c_r]])</f>
        <v>-4.0791642273510424</v>
      </c>
      <c r="AU79" s="244">
        <f>phi_r-LN(alpha*Kr/(Tabella34[[#This Row],[sel. region velocity]]*psi_r*SQRTPI(2)))</f>
        <v>-8.2376196929391661</v>
      </c>
      <c r="AV79" s="244">
        <f>(ACOSH(SQRT(alpha*Kl*psi_l/(Tabella34[[#This Row],[sel. region velocity]]*(1+TANH(phi_l)))))+phi_l)/psi_l-(Tabella34[[#This Row],[Day]]-pl)</f>
        <v>137.33942721586544</v>
      </c>
      <c r="AW79" s="72">
        <f>-2*$BY$22*TANH($BY$22*(Tabella34[[#This Row],[Day]]-$BY$31)-$BY$21)*Tabella34[[#This Row],[sel. region velocity]]</f>
        <v>1.5355334930014384</v>
      </c>
      <c r="AX79" s="77">
        <f>Tabella34[[#This Row],[sel. region acc. fit]]/y_l_peak</f>
        <v>1.0429147932175312E-2</v>
      </c>
      <c r="AY79" s="143">
        <f>Tabella34[[#This Row],[sel. region acc. fit]]*NOT(ISBLANK(Tabella34[[#This Row],[selected region rate data]]))</f>
        <v>1.5355334930014384</v>
      </c>
      <c r="AZ79" s="77">
        <f>Tabella34[[#This Row],[sel. region acc. fit]]+CIl</f>
        <v>70.900519868101838</v>
      </c>
      <c r="BA79" s="77">
        <f>MAX(Tabella34[[#This Row],[sel. region acc. fit]]-CIl,0)</f>
        <v>0</v>
      </c>
      <c r="BB79" s="10">
        <f>Tabella8[[#This Row],[rest of Italy ]]</f>
        <v>2243</v>
      </c>
      <c r="BC79" s="10">
        <f>(Tabella34[[#This Row],[rest of Italy cum. Data]]-BB78)</f>
        <v>384</v>
      </c>
      <c r="BD79" s="10">
        <f>Tabella34[[#This Row],[rest of Italy rate data]]-BC78</f>
        <v>147</v>
      </c>
      <c r="BE79" s="77">
        <f>Tabella34[[#This Row],[rest of Italy rate data]]*NOT(ISBLANK(Tabella34[[#This Row],[rest of Italy rate data]]))</f>
        <v>384</v>
      </c>
      <c r="BF79" s="77">
        <f>Tabella8[[#This Row],[rest of Italy fit]]</f>
        <v>2959.9562438705416</v>
      </c>
      <c r="BG79" s="78">
        <f>(ATANH(alpha*Tabella34[[#This Row],[rest of Italy cumul. fit]]/Ka-(1-alpha*Tabella34[[#This Row],[rest of Italy cumul. fit]]/Ka)*TANH(phi_a))+phi_a)/psi_a-(Tabella34[[#This Row],[Day]]-pa)</f>
        <v>3.4827404545299654</v>
      </c>
      <c r="BH79" s="77">
        <f>Tabella34[[#This Row],[rest of Italy cumul. fit]]/Ka</f>
        <v>1.3342505044571943E-2</v>
      </c>
      <c r="BI79" s="143">
        <f>Tabella3[[#This Row],[rest of Italy fit]]</f>
        <v>786.85162082097179</v>
      </c>
      <c r="BJ79" s="183">
        <f>Tabella34[[#This Row],[rest of Italy velocity]]/Tabella34[[#This Row],[rest of Italy cumul. fit]]</f>
        <v>0.26583217993522001</v>
      </c>
      <c r="BK79" s="236">
        <f>(LN(Tabella34[[#This Row],[Day]]-po)-phi_o)/psi_o</f>
        <v>0.65043193050523451</v>
      </c>
      <c r="BL79" s="244">
        <f>EXP(phi_o+psi_o*Tabella34[[#This Row],[x_o_alpha©+plus]])-(Tabella34[[#This Row],[Day]]-po)</f>
        <v>0.35727761763450072</v>
      </c>
      <c r="BM79" s="244">
        <f>EXP(phi_o+psi_o*Tabella34[[#This Row],[x_o_alpha©-minus]])-(Tabella34[[#This Row],[Day]]-po)</f>
        <v>-0.4579371005747328</v>
      </c>
      <c r="BN79" s="244">
        <f>-psi_o+SQRT(psi_o^2-2*Tabella34[[#This Row],[c_o]])</f>
        <v>3.8936877138905572</v>
      </c>
      <c r="BO79" s="244">
        <f>-psi_o-SQRT(psi_o^2-2*Tabella34[[#This Row],[c_o]])</f>
        <v>-3.9450009981582106</v>
      </c>
      <c r="BP79" s="244">
        <f>phi_o-LN(alpha*Ko/(Tabella34[[#This Row],[rest of Italy velocity]]*psi_o*SQRTPI(2)))</f>
        <v>-7.6803009589073046</v>
      </c>
      <c r="BQ79" s="244">
        <f>(ACOSH(SQRT(alpha*Ka*psi_a/(Tabella34[[#This Row],[rest of Italy velocity]]*(1+TANH(phi_a)))))+phi_a)/psi_a-(Tabella34[[#This Row],[Day]]-pa)</f>
        <v>115.78811295800639</v>
      </c>
      <c r="BR79" s="72">
        <f>-2*$BY$35*TANH($BY$35*(Tabella34[[#This Row],[Day]]-$BY$44)-$BY$34)*Tabella34[[#This Row],[rest of Italy velocity]]</f>
        <v>34.718743294986638</v>
      </c>
      <c r="BS79" s="77">
        <f>Tabella34[[#This Row],[rest of Italy acc. fit]]/y_a_peak</f>
        <v>1.1498372787503043E-2</v>
      </c>
      <c r="BT79" s="77">
        <f>Tabella34[[#This Row],[rest of Italy acc. fit]]*NOT(ISBLANK(Tabella34[[#This Row],[rest of Italy rate data]]))</f>
        <v>34.718743294986638</v>
      </c>
      <c r="BU79" s="77">
        <f>Tabella34[[#This Row],[rest of Italy acc. fit]]+CIa</f>
        <v>1668.852683248788</v>
      </c>
      <c r="BV79" s="77">
        <f>MAX(Tabella34[[#This Row],[rest of Italy acc. fit]]-CIa,0)</f>
        <v>0</v>
      </c>
    </row>
    <row r="80" spans="2:74" x14ac:dyDescent="0.3">
      <c r="B80" s="262">
        <v>43903</v>
      </c>
      <c r="C80" s="173">
        <v>73</v>
      </c>
      <c r="D80" s="129">
        <f>Tabella8[[#This Row],[Italy cumulative]]</f>
        <v>2705</v>
      </c>
      <c r="E80" s="127">
        <f>(Tabella34[[#This Row],[Italy cumul. data]]-D79)</f>
        <v>431</v>
      </c>
      <c r="F80" s="127">
        <f>Tabella34[[#This Row],[Italy rate data]]-E79</f>
        <v>29</v>
      </c>
      <c r="G80" s="128">
        <f>Tabella34[[#This Row],[Italy rate data]]*NOT(ISBLANK(Tabella34[[#This Row],[Italy rate data]]))</f>
        <v>431</v>
      </c>
      <c r="H80" s="194">
        <f>Tabella8[[#This Row],[Italy fit]]</f>
        <v>3589.083756533872</v>
      </c>
      <c r="I80" s="143">
        <f>(ATANH(alpha*Tabella34[[#This Row],[Italy cumul. Fit]]/Kf-(1-alpha*Tabella34[[#This Row],[Italy cumul. Fit]]/Kf)*TANH(phi_f))+phi_f)/psi_f-(Tabella34[[#This Row],[Day]]-pf)</f>
        <v>3.7825196744855258</v>
      </c>
      <c r="J80" s="194">
        <f>Tabella34[[#This Row],[Italy d.t.]]/Italy_dt_at_lockdown</f>
        <v>1.6664911431259146</v>
      </c>
      <c r="K80" s="128">
        <f>Tabella34[[#This Row],[Italy cumul. Fit]]/Kf</f>
        <v>1.5272696737239695E-2</v>
      </c>
      <c r="L80" s="127">
        <f>Tabella34[[#This Row],[sel. region acc. fit]]+Tabella34[[#This Row],[rest of Italy acc. fit]]</f>
        <v>37.565531717621006</v>
      </c>
      <c r="M80" s="128">
        <f>Tabella34[[#This Row],[Italy (fit of selected region + fitted sum of the other regions)]]/(y_l_peak+y_a_peak)</f>
        <v>1.1862737566681429E-2</v>
      </c>
      <c r="N80" s="143">
        <f>Tabella3[[#This Row],[Italy remov. rate fit]]</f>
        <v>874.65370518489215</v>
      </c>
      <c r="O80" s="194">
        <f>Kt*EXP(-0.5*Tabella34[[#This Row],[x_t]]^2)/(psi_t*SQRTPI(2)*(Tabella34[[#This Row],[Day]]-D_bk))</f>
        <v>0.35179202635910023</v>
      </c>
      <c r="P80" s="195">
        <f>Tabella34[[#This Row],[Italy velocity]]/Tabella34[[#This Row],[Italy cumul. Fit]]</f>
        <v>0.24369832651372331</v>
      </c>
      <c r="Q80" s="244">
        <f>(LN(Tabella34[[#This Row],[Day]]-D_bk)-phi_t)/psi_t</f>
        <v>5.4153951113127139</v>
      </c>
      <c r="R80" s="244">
        <f>EXP(phi_t+psi_t*Tabella34[[#This Row],[x_t_alpha©+plus]])-(Tabella34[[#This Row],[Day]]-D_bk)</f>
        <v>-0.17054037820642876</v>
      </c>
      <c r="S80" s="244">
        <f>EXP(phi_t+psi_t*Tabella34[[#This Row],[x_t_alpha©-minus]])-(Tabella34[[#This Row],[Day]]-D_bk)</f>
        <v>-0.95150323526301239</v>
      </c>
      <c r="T80" s="244">
        <f>-psi_t+SQRT(psi_t^2-2*Tabella34[[#This Row],[c_t]])</f>
        <v>3.8926391913802636</v>
      </c>
      <c r="U80" s="244">
        <f>-psi_t-SQRT(psi_t^2-2*Tabella34[[#This Row],[c_t]])</f>
        <v>-3.9431578660776356</v>
      </c>
      <c r="V80" s="244">
        <f>phi_t-LN(alpha*Kt/(Tabella34[[#This Row],[Italy velocity]]*psi_t*SQRTPI(2)))</f>
        <v>-7.6746454236465862</v>
      </c>
      <c r="W80" s="244">
        <f>Tabella34[[#This Row],[Italy g.r.]]/Italy_gr_at_lockdown</f>
        <v>0.58128395638894181</v>
      </c>
      <c r="X80" s="244">
        <f>(ACOSH(SQRT(alpha*Kf*psi_f/(Tabella34[[#This Row],[Italy velocity]]*(1+TANH(phi_f)))))+phi_f)/psi_f-(Tabella34[[#This Row],[Day]]-pf)</f>
        <v>114.91691022845548</v>
      </c>
      <c r="Y80" s="244">
        <f>Tabella34[[#This Row],[Italy h.t.]]/Italy_ht_at_lockdown</f>
        <v>0.96765911539229577</v>
      </c>
      <c r="Z80" s="72">
        <f>-2*$BY$48*TANH($BY$48*(Tabella34[[#This Row],[Day]]-$BY$57)-$BY$47)*Tabella34[[#This Row],[Italy velocity]]</f>
        <v>37.574565442849909</v>
      </c>
      <c r="AA80" s="127">
        <f>Tabella34[[#This Row],[Italy acc. fit]]/Itali_acc_at_lockdown</f>
        <v>1.0735489360179233</v>
      </c>
      <c r="AB80" s="128">
        <f>Tabella34[[#This Row],[Italy acc. fit]]/y_f_peak</f>
        <v>1.1894489408184062E-2</v>
      </c>
      <c r="AC80" s="194">
        <f>Tabella34[[#This Row],[Italy (fit of selected region + fitted sum of the other regions)]]*NOT(ISBLANK(Tabella34[[#This Row],[Italy rate data]]))</f>
        <v>37.565531717621006</v>
      </c>
      <c r="AD80" s="194">
        <f>Tabella34[[#This Row],[Italy acc. fit]]*NOT(ISBLANK(Tabella34[[#This Row],[Italy rate data]]))</f>
        <v>37.574565442849909</v>
      </c>
      <c r="AE80" s="128">
        <f>Tabella34[[#This Row],[Italy acc. fit]]+CIf</f>
        <v>1692.7845343666013</v>
      </c>
      <c r="AF80" s="128">
        <f>MAX(Tabella34[[#This Row],[Italy acc. fit]]-CIf,0)</f>
        <v>0</v>
      </c>
      <c r="AG80" s="126">
        <f>Tabella8[[#This Row],[region data]]</f>
        <v>41</v>
      </c>
      <c r="AH80" s="127">
        <f>(Tabella34[[#This Row],[selected region cumul. data]]-AG79)</f>
        <v>10</v>
      </c>
      <c r="AI80" s="127">
        <f>Tabella34[[#This Row],[selected region rate data]]-AH79</f>
        <v>-8</v>
      </c>
      <c r="AJ80" s="128">
        <f>Tabella34[[#This Row],[selected region rate data]]*NOT(ISBLANK(Tabella34[[#This Row],[selected region rate data]]))</f>
        <v>10</v>
      </c>
      <c r="AK80" s="128">
        <f>Tabella8[[#This Row],[region fit]]</f>
        <v>0</v>
      </c>
      <c r="AL80" s="143">
        <f>(ATANH(alpha*Tabella34[[#This Row],[sel. region cumul. fit]]/Kl-(1-alpha*Tabella34[[#This Row],[sel. region cumul. fit]]/Kl)*TANH(phi_l))+phi_l)/psi_l-(Tabella34[[#This Row],[Day]]-pl)</f>
        <v>3.3564830513431616</v>
      </c>
      <c r="AM80" s="128">
        <f>Tabella34[[#This Row],[sel. region cumul. fit]]/Kl</f>
        <v>0</v>
      </c>
      <c r="AN80" s="143">
        <f>Tabella3[[#This Row],[region fit]]</f>
        <v>47.50964242789933</v>
      </c>
      <c r="AO80" s="187" t="e">
        <f>Tabella34[[#This Row],[sel. region velocity]]/Tabella34[[#This Row],[sel. region cumul. fit]]</f>
        <v>#DIV/0!</v>
      </c>
      <c r="AP80" s="243" t="e">
        <f>(LN(Tabella34[[#This Row],[Day]]-pr)-phi_r)/psi_r</f>
        <v>#NUM!</v>
      </c>
      <c r="AQ80" s="244">
        <f>EXP(phi_r+psi_r*Tabella34[[#This Row],[x_r_alpha©+plus]])-(Tabella34[[#This Row],[Day]]-pr)</f>
        <v>6.6095863434064022</v>
      </c>
      <c r="AR80" s="244">
        <f>EXP(phi_r+psi_r*Tabella34[[#This Row],[x_r_alpha©-minus]])-(Tabella34[[#This Row],[Day]]-pr)</f>
        <v>6.1197406508192742</v>
      </c>
      <c r="AS80" s="244">
        <f>-psi_r+SQRT(psi_r^2-2*Tabella34[[#This Row],[c_r]])</f>
        <v>4.0306673358512803</v>
      </c>
      <c r="AT80" s="244">
        <f>-psi_r-SQRT(psi_r^2-2*Tabella34[[#This Row],[c_r]])</f>
        <v>-4.0709553455176177</v>
      </c>
      <c r="AU80" s="244">
        <f>phi_r-LN(alpha*Kr/(Tabella34[[#This Row],[sel. region velocity]]*psi_r*SQRTPI(2)))</f>
        <v>-8.2043333684435105</v>
      </c>
      <c r="AV80" s="244">
        <f>(ACOSH(SQRT(alpha*Kl*psi_l/(Tabella34[[#This Row],[sel. region velocity]]*(1+TANH(phi_l)))))+phi_l)/psi_l-(Tabella34[[#This Row],[Day]]-pl)</f>
        <v>135.43866324355474</v>
      </c>
      <c r="AW80" s="72">
        <f>-2*$BY$22*TANH($BY$22*(Tabella34[[#This Row],[Day]]-$BY$31)-$BY$21)*Tabella34[[#This Row],[sel. region velocity]]</f>
        <v>1.5752689164878297</v>
      </c>
      <c r="AX80" s="128">
        <f>Tabella34[[#This Row],[sel. region acc. fit]]/y_l_peak</f>
        <v>1.0699025868134357E-2</v>
      </c>
      <c r="AY80" s="194">
        <f>Tabella34[[#This Row],[sel. region acc. fit]]*NOT(ISBLANK(Tabella34[[#This Row],[selected region rate data]]))</f>
        <v>1.5752689164878297</v>
      </c>
      <c r="AZ80" s="128">
        <f>Tabella34[[#This Row],[sel. region acc. fit]]+CIl</f>
        <v>70.94025529158823</v>
      </c>
      <c r="BA80" s="128">
        <f>MAX(Tabella34[[#This Row],[sel. region acc. fit]]-CIl,0)</f>
        <v>0</v>
      </c>
      <c r="BB80" s="129">
        <f>Tabella8[[#This Row],[rest of Italy ]]</f>
        <v>2664</v>
      </c>
      <c r="BC80" s="129">
        <f>(Tabella34[[#This Row],[rest of Italy cum. Data]]-BB79)</f>
        <v>421</v>
      </c>
      <c r="BD80" s="129">
        <f>Tabella34[[#This Row],[rest of Italy rate data]]-BC79</f>
        <v>37</v>
      </c>
      <c r="BE80" s="128">
        <f>Tabella34[[#This Row],[rest of Italy rate data]]*NOT(ISBLANK(Tabella34[[#This Row],[rest of Italy rate data]]))</f>
        <v>421</v>
      </c>
      <c r="BF80" s="128">
        <f>Tabella8[[#This Row],[rest of Italy fit]]</f>
        <v>3764.3783741574816</v>
      </c>
      <c r="BG80" s="78">
        <f>(ATANH(alpha*Tabella34[[#This Row],[rest of Italy cumul. fit]]/Ka-(1-alpha*Tabella34[[#This Row],[rest of Italy cumul. fit]]/Ka)*TANH(phi_a))+phi_a)/psi_a-(Tabella34[[#This Row],[Day]]-pa)</f>
        <v>4.177325153557792</v>
      </c>
      <c r="BH80" s="128">
        <f>Tabella34[[#This Row],[rest of Italy cumul. fit]]/Ka</f>
        <v>1.6968574299326855E-2</v>
      </c>
      <c r="BI80" s="143">
        <f>Tabella3[[#This Row],[rest of Italy fit]]</f>
        <v>822.20456688384309</v>
      </c>
      <c r="BJ80" s="195">
        <f>Tabella34[[#This Row],[rest of Italy velocity]]/Tabella34[[#This Row],[rest of Italy cumul. fit]]</f>
        <v>0.2184170891343683</v>
      </c>
      <c r="BK80" s="239">
        <f>(LN(Tabella34[[#This Row],[Day]]-po)-phi_o)/psi_o</f>
        <v>9.1247004537460281</v>
      </c>
      <c r="BL80" s="244">
        <f>EXP(phi_o+psi_o*Tabella34[[#This Row],[x_o_alpha©+plus]])-(Tabella34[[#This Row],[Day]]-po)</f>
        <v>-0.64401143096257751</v>
      </c>
      <c r="BM80" s="244">
        <f>EXP(phi_o+psi_o*Tabella34[[#This Row],[x_o_alpha©-minus]])-(Tabella34[[#This Row],[Day]]-po)</f>
        <v>-1.4568825885682326</v>
      </c>
      <c r="BN80" s="244">
        <f>-psi_o+SQRT(psi_o^2-2*Tabella34[[#This Row],[c_o]])</f>
        <v>3.8824581347282279</v>
      </c>
      <c r="BO80" s="244">
        <f>-psi_o-SQRT(psi_o^2-2*Tabella34[[#This Row],[c_o]])</f>
        <v>-3.9337714189958812</v>
      </c>
      <c r="BP80" s="244">
        <f>phi_o-LN(alpha*Ko/(Tabella34[[#This Row],[rest of Italy velocity]]*psi_o*SQRTPI(2)))</f>
        <v>-7.6363514229209812</v>
      </c>
      <c r="BQ80" s="244">
        <f>(ACOSH(SQRT(alpha*Ka*psi_a/(Tabella34[[#This Row],[rest of Italy velocity]]*(1+TANH(phi_a)))))+phi_a)/psi_a-(Tabella34[[#This Row],[Day]]-pa)</f>
        <v>113.86815839383245</v>
      </c>
      <c r="BR80" s="72">
        <f>-2*$BY$35*TANH($BY$35*(Tabella34[[#This Row],[Day]]-$BY$44)-$BY$34)*Tabella34[[#This Row],[rest of Italy velocity]]</f>
        <v>35.990262801133177</v>
      </c>
      <c r="BS80" s="128">
        <f>Tabella34[[#This Row],[rest of Italy acc. fit]]/y_a_peak</f>
        <v>1.19194826521094E-2</v>
      </c>
      <c r="BT80" s="128">
        <f>Tabella34[[#This Row],[rest of Italy acc. fit]]*NOT(ISBLANK(Tabella34[[#This Row],[rest of Italy rate data]]))</f>
        <v>35.990262801133177</v>
      </c>
      <c r="BU80" s="128">
        <f>Tabella34[[#This Row],[rest of Italy acc. fit]]+CIa</f>
        <v>1670.1242027549347</v>
      </c>
      <c r="BV80" s="128">
        <f>MAX(Tabella34[[#This Row],[rest of Italy acc. fit]]-CIa,0)</f>
        <v>0</v>
      </c>
    </row>
    <row r="81" spans="2:74" x14ac:dyDescent="0.3">
      <c r="B81" s="262">
        <v>43904</v>
      </c>
      <c r="C81" s="29">
        <v>74</v>
      </c>
      <c r="D81" s="10">
        <f>Tabella8[[#This Row],[Italy cumulative]]</f>
        <v>3407</v>
      </c>
      <c r="E81" s="72">
        <f>(Tabella34[[#This Row],[Italy cumul. data]]-D80)</f>
        <v>702</v>
      </c>
      <c r="F81" s="72">
        <f>Tabella34[[#This Row],[Italy rate data]]-E80</f>
        <v>271</v>
      </c>
      <c r="G81" s="77">
        <f>Tabella34[[#This Row],[Italy rate data]]*NOT(ISBLANK(Tabella34[[#This Row],[Italy rate data]]))</f>
        <v>702</v>
      </c>
      <c r="H81" s="143">
        <f>Tabella8[[#This Row],[Italy fit]]</f>
        <v>4482.7429220722188</v>
      </c>
      <c r="I81" s="143">
        <f>(ATANH(alpha*Tabella34[[#This Row],[Italy cumul. Fit]]/Kf-(1-alpha*Tabella34[[#This Row],[Italy cumul. Fit]]/Kf)*TANH(phi_f))+phi_f)/psi_f-(Tabella34[[#This Row],[Day]]-pf)</f>
        <v>4.4643963246832321</v>
      </c>
      <c r="J81" s="143">
        <f>Tabella34[[#This Row],[Italy d.t.]]/Italy_dt_at_lockdown</f>
        <v>1.9669103070826501</v>
      </c>
      <c r="K81" s="77">
        <f>Tabella34[[#This Row],[Italy cumul. Fit]]/Kf</f>
        <v>1.9075501672308377E-2</v>
      </c>
      <c r="L81" s="146">
        <f>Tabella34[[#This Row],[sel. region acc. fit]]+Tabella34[[#This Row],[rest of Italy acc. fit]]</f>
        <v>38.894188918191603</v>
      </c>
      <c r="M81" s="77">
        <f>Tabella34[[#This Row],[Italy (fit of selected region + fitted sum of the other regions)]]/(y_l_peak+y_a_peak)</f>
        <v>1.2282311334595309E-2</v>
      </c>
      <c r="N81" s="143">
        <f>Tabella3[[#This Row],[Italy remov. rate fit]]</f>
        <v>912.88343115266719</v>
      </c>
      <c r="O81" s="143">
        <f>Kt*EXP(-0.5*Tabella34[[#This Row],[x_t]]^2)/(psi_t*SQRTPI(2)*(Tabella34[[#This Row],[Day]]-D_bk))</f>
        <v>1.7833688147787648E-33</v>
      </c>
      <c r="P81" s="183">
        <f>Tabella34[[#This Row],[Italy velocity]]/Tabella34[[#This Row],[Italy cumul. Fit]]</f>
        <v>0.20364394011037162</v>
      </c>
      <c r="Q81" s="244">
        <f>(LN(Tabella34[[#This Row],[Day]]-D_bk)-phi_t)/psi_t</f>
        <v>13.328575258249021</v>
      </c>
      <c r="R81" s="244">
        <f>EXP(phi_t+psi_t*Tabella34[[#This Row],[x_t_alpha©+plus]])-(Tabella34[[#This Row],[Day]]-D_bk)</f>
        <v>-1.1717414071656602</v>
      </c>
      <c r="S81" s="244">
        <f>EXP(phi_t+psi_t*Tabella34[[#This Row],[x_t_alpha©-minus]])-(Tabella34[[#This Row],[Day]]-D_bk)</f>
        <v>-1.950517603233989</v>
      </c>
      <c r="T81" s="244">
        <f>-psi_t+SQRT(psi_t^2-2*Tabella34[[#This Row],[c_t]])</f>
        <v>3.8817047749783242</v>
      </c>
      <c r="U81" s="244">
        <f>-psi_t-SQRT(psi_t^2-2*Tabella34[[#This Row],[c_t]])</f>
        <v>-3.9322234496756963</v>
      </c>
      <c r="V81" s="244">
        <f>phi_t-LN(alpha*Kt/(Tabella34[[#This Row],[Italy velocity]]*psi_t*SQRTPI(2)))</f>
        <v>-7.631865270443944</v>
      </c>
      <c r="W81" s="244">
        <f>Tabella34[[#This Row],[Italy g.r.]]/Italy_gr_at_lockdown</f>
        <v>0.48574381652687931</v>
      </c>
      <c r="X81" s="244">
        <f>(ACOSH(SQRT(alpha*Kf*psi_f/(Tabella34[[#This Row],[Italy velocity]]*(1+TANH(phi_f)))))+phi_f)/psi_f-(Tabella34[[#This Row],[Day]]-pf)</f>
        <v>113.00299391229642</v>
      </c>
      <c r="Y81" s="244">
        <f>Tabella34[[#This Row],[Italy h.t.]]/Italy_ht_at_lockdown</f>
        <v>0.95154296185364307</v>
      </c>
      <c r="Z81" s="72">
        <f>-2*$BY$48*TANH($BY$48*(Tabella34[[#This Row],[Day]]-$BY$57)-$BY$47)*Tabella34[[#This Row],[Italy velocity]]</f>
        <v>38.887346419881197</v>
      </c>
      <c r="AA81" s="72">
        <f>Tabella34[[#This Row],[Italy acc. fit]]/Itali_acc_at_lockdown</f>
        <v>1.1110566118754146</v>
      </c>
      <c r="AB81" s="77">
        <f>Tabella34[[#This Row],[Italy acc. fit]]/y_f_peak</f>
        <v>1.2310059335408212E-2</v>
      </c>
      <c r="AC81" s="143">
        <f>Tabella34[[#This Row],[Italy (fit of selected region + fitted sum of the other regions)]]*NOT(ISBLANK(Tabella34[[#This Row],[Italy rate data]]))</f>
        <v>38.894188918191603</v>
      </c>
      <c r="AD81" s="143">
        <f>Tabella34[[#This Row],[Italy acc. fit]]*NOT(ISBLANK(Tabella34[[#This Row],[Italy rate data]]))</f>
        <v>38.887346419881197</v>
      </c>
      <c r="AE81" s="77">
        <f>Tabella34[[#This Row],[Italy acc. fit]]+CIf</f>
        <v>1694.0973153436325</v>
      </c>
      <c r="AF81" s="77">
        <f>MAX(Tabella34[[#This Row],[Italy acc. fit]]-CIf,0)</f>
        <v>0</v>
      </c>
      <c r="AG81" s="4">
        <f>Tabella8[[#This Row],[region data]]</f>
        <v>79</v>
      </c>
      <c r="AH81" s="72">
        <f>(Tabella34[[#This Row],[selected region cumul. data]]-AG80)</f>
        <v>38</v>
      </c>
      <c r="AI81" s="72">
        <f>Tabella34[[#This Row],[selected region rate data]]-AH80</f>
        <v>28</v>
      </c>
      <c r="AJ81" s="77">
        <f>Tabella34[[#This Row],[selected region rate data]]*NOT(ISBLANK(Tabella34[[#This Row],[selected region rate data]]))</f>
        <v>38</v>
      </c>
      <c r="AK81" s="77">
        <f>Tabella8[[#This Row],[region fit]]</f>
        <v>0</v>
      </c>
      <c r="AL81" s="143">
        <f>(ATANH(alpha*Tabella34[[#This Row],[sel. region cumul. fit]]/Kl-(1-alpha*Tabella34[[#This Row],[sel. region cumul. fit]]/Kl)*TANH(phi_l))+phi_l)/psi_l-(Tabella34[[#This Row],[Day]]-pl)</f>
        <v>2.3564830513431616</v>
      </c>
      <c r="AM81" s="77">
        <f>Tabella34[[#This Row],[sel. region cumul. fit]]/Kl</f>
        <v>0</v>
      </c>
      <c r="AN81" s="143">
        <f>Tabella3[[#This Row],[region fit]]</f>
        <v>49.104816259452008</v>
      </c>
      <c r="AO81" s="186" t="e">
        <f>Tabella34[[#This Row],[sel. region velocity]]/Tabella34[[#This Row],[sel. region cumul. fit]]</f>
        <v>#DIV/0!</v>
      </c>
      <c r="AP81" s="241" t="e">
        <f>(LN(Tabella34[[#This Row],[Day]]-pr)-phi_r)/psi_r</f>
        <v>#NUM!</v>
      </c>
      <c r="AQ81" s="244">
        <f>EXP(phi_r+psi_r*Tabella34[[#This Row],[x_r_alpha©+plus]])-(Tabella34[[#This Row],[Day]]-pr)</f>
        <v>5.6090516079306152</v>
      </c>
      <c r="AR81" s="244">
        <f>EXP(phi_r+psi_r*Tabella34[[#This Row],[x_r_alpha©-minus]])-(Tabella34[[#This Row],[Day]]-pr)</f>
        <v>5.1201949415871608</v>
      </c>
      <c r="AS81" s="244">
        <f>-psi_r+SQRT(psi_r^2-2*Tabella34[[#This Row],[c_r]])</f>
        <v>4.0225065680005505</v>
      </c>
      <c r="AT81" s="244">
        <f>-psi_r-SQRT(psi_r^2-2*Tabella34[[#This Row],[c_r]])</f>
        <v>-4.0627945776668879</v>
      </c>
      <c r="AU81" s="244">
        <f>phi_r-LN(alpha*Kr/(Tabella34[[#This Row],[sel. region velocity]]*psi_r*SQRTPI(2)))</f>
        <v>-8.1713089365510392</v>
      </c>
      <c r="AV81" s="244">
        <f>(ACOSH(SQRT(alpha*Kl*psi_l/(Tabella34[[#This Row],[sel. region velocity]]*(1+TANH(phi_l)))))+phi_l)/psi_l-(Tabella34[[#This Row],[Day]]-pl)</f>
        <v>133.54213156247897</v>
      </c>
      <c r="AW81" s="72">
        <f>-2*$BY$22*TANH($BY$22*(Tabella34[[#This Row],[Day]]-$BY$31)-$BY$21)*Tabella34[[#This Row],[sel. region velocity]]</f>
        <v>1.6150855435668041</v>
      </c>
      <c r="AX81" s="77">
        <f>Tabella34[[#This Row],[sel. region acc. fit]]/y_l_peak</f>
        <v>1.0969455328552835E-2</v>
      </c>
      <c r="AY81" s="143">
        <f>Tabella34[[#This Row],[sel. region acc. fit]]*NOT(ISBLANK(Tabella34[[#This Row],[selected region rate data]]))</f>
        <v>1.6150855435668041</v>
      </c>
      <c r="AZ81" s="77">
        <f>Tabella34[[#This Row],[sel. region acc. fit]]+CIl</f>
        <v>70.980071918667207</v>
      </c>
      <c r="BA81" s="77">
        <f>MAX(Tabella34[[#This Row],[sel. region acc. fit]]-CIl,0)</f>
        <v>0</v>
      </c>
      <c r="BB81" s="10">
        <f>Tabella8[[#This Row],[rest of Italy ]]</f>
        <v>3328</v>
      </c>
      <c r="BC81" s="10">
        <f>(Tabella34[[#This Row],[rest of Italy cum. Data]]-BB80)</f>
        <v>664</v>
      </c>
      <c r="BD81" s="10">
        <f>Tabella34[[#This Row],[rest of Italy rate data]]-BC80</f>
        <v>243</v>
      </c>
      <c r="BE81" s="77">
        <f>Tabella34[[#This Row],[rest of Italy rate data]]*NOT(ISBLANK(Tabella34[[#This Row],[rest of Italy rate data]]))</f>
        <v>664</v>
      </c>
      <c r="BF81" s="77">
        <f>Tabella8[[#This Row],[rest of Italy fit]]</f>
        <v>4604.7922121401743</v>
      </c>
      <c r="BG81" s="78">
        <f>(ATANH(alpha*Tabella34[[#This Row],[rest of Italy cumul. fit]]/Ka-(1-alpha*Tabella34[[#This Row],[rest of Italy cumul. fit]]/Ka)*TANH(phi_a))+phi_a)/psi_a-(Tabella34[[#This Row],[Day]]-pa)</f>
        <v>4.8273105619364376</v>
      </c>
      <c r="BH81" s="77">
        <f>Tabella34[[#This Row],[rest of Italy cumul. fit]]/Ka</f>
        <v>2.0756882283957515E-2</v>
      </c>
      <c r="BI81" s="143">
        <f>Tabella3[[#This Row],[rest of Italy fit]]</f>
        <v>858.83792403836912</v>
      </c>
      <c r="BJ81" s="183">
        <f>Tabella34[[#This Row],[rest of Italy velocity]]/Tabella34[[#This Row],[rest of Italy cumul. fit]]</f>
        <v>0.18650959358689631</v>
      </c>
      <c r="BK81" s="236">
        <f>(LN(Tabella34[[#This Row],[Day]]-po)-phi_o)/psi_o</f>
        <v>16.081512345911367</v>
      </c>
      <c r="BL81" s="244">
        <f>EXP(phi_o+psi_o*Tabella34[[#This Row],[x_o_alpha©+plus]])-(Tabella34[[#This Row],[Day]]-po)</f>
        <v>-1.6452932643323441</v>
      </c>
      <c r="BM81" s="244">
        <f>EXP(phi_o+psi_o*Tabella34[[#This Row],[x_o_alpha©-minus]])-(Tabella34[[#This Row],[Day]]-po)</f>
        <v>-2.4558333762057196</v>
      </c>
      <c r="BN81" s="244">
        <f>-psi_o+SQRT(psi_o^2-2*Tabella34[[#This Row],[c_o]])</f>
        <v>3.8712882020008932</v>
      </c>
      <c r="BO81" s="244">
        <f>-psi_o-SQRT(psi_o^2-2*Tabella34[[#This Row],[c_o]])</f>
        <v>-3.9226014862685465</v>
      </c>
      <c r="BP81" s="244">
        <f>phi_o-LN(alpha*Ko/(Tabella34[[#This Row],[rest of Italy velocity]]*psi_o*SQRTPI(2)))</f>
        <v>-7.5927604274712959</v>
      </c>
      <c r="BQ81" s="244">
        <f>(ACOSH(SQRT(alpha*Ka*psi_a/(Tabella34[[#This Row],[rest of Italy velocity]]*(1+TANH(phi_a)))))+phi_a)/psi_a-(Tabella34[[#This Row],[Day]]-pa)</f>
        <v>111.95255568674102</v>
      </c>
      <c r="BR81" s="72">
        <f>-2*$BY$35*TANH($BY$35*(Tabella34[[#This Row],[Day]]-$BY$44)-$BY$34)*Tabella34[[#This Row],[rest of Italy velocity]]</f>
        <v>37.279103374624796</v>
      </c>
      <c r="BS81" s="77">
        <f>Tabella34[[#This Row],[rest of Italy acc. fit]]/y_a_peak</f>
        <v>1.2346329017248595E-2</v>
      </c>
      <c r="BT81" s="77">
        <f>Tabella34[[#This Row],[rest of Italy acc. fit]]*NOT(ISBLANK(Tabella34[[#This Row],[rest of Italy rate data]]))</f>
        <v>37.279103374624796</v>
      </c>
      <c r="BU81" s="77">
        <f>Tabella34[[#This Row],[rest of Italy acc. fit]]+CIa</f>
        <v>1671.4130433284263</v>
      </c>
      <c r="BV81" s="77">
        <f>MAX(Tabella34[[#This Row],[rest of Italy acc. fit]]-CIa,0)</f>
        <v>0</v>
      </c>
    </row>
    <row r="82" spans="2:74" x14ac:dyDescent="0.3">
      <c r="B82" s="262">
        <v>43905</v>
      </c>
      <c r="C82" s="29">
        <v>75</v>
      </c>
      <c r="D82" s="10">
        <f>Tabella8[[#This Row],[Italy cumulative]]</f>
        <v>4144</v>
      </c>
      <c r="E82" s="72">
        <f>(Tabella34[[#This Row],[Italy cumul. data]]-D81)</f>
        <v>737</v>
      </c>
      <c r="F82" s="72">
        <f>Tabella34[[#This Row],[Italy rate data]]-E81</f>
        <v>35</v>
      </c>
      <c r="G82" s="77">
        <f>Tabella34[[#This Row],[Italy rate data]]*NOT(ISBLANK(Tabella34[[#This Row],[Italy rate data]]))</f>
        <v>737</v>
      </c>
      <c r="H82" s="143">
        <f>Tabella8[[#This Row],[Italy fit]]</f>
        <v>5415.2905334872894</v>
      </c>
      <c r="I82" s="143">
        <f>(ATANH(alpha*Tabella34[[#This Row],[Italy cumul. Fit]]/Kf-(1-alpha*Tabella34[[#This Row],[Italy cumul. Fit]]/Kf)*TANH(phi_f))+phi_f)/psi_f-(Tabella34[[#This Row],[Day]]-pf)</f>
        <v>5.1045189491994449</v>
      </c>
      <c r="J82" s="143">
        <f>Tabella34[[#This Row],[Italy d.t.]]/Italy_dt_at_lockdown</f>
        <v>2.2489336079702729</v>
      </c>
      <c r="K82" s="77">
        <f>Tabella34[[#This Row],[Italy cumul. Fit]]/Kf</f>
        <v>2.3043789354715159E-2</v>
      </c>
      <c r="L82" s="146">
        <f>Tabella34[[#This Row],[sel. region acc. fit]]+Tabella34[[#This Row],[rest of Italy acc. fit]]</f>
        <v>40.23721218131093</v>
      </c>
      <c r="M82" s="77">
        <f>Tabella34[[#This Row],[Italy (fit of selected region + fitted sum of the other regions)]]/(y_l_peak+y_a_peak)</f>
        <v>1.2706421730159323E-2</v>
      </c>
      <c r="N82" s="143">
        <f>Tabella3[[#This Row],[Italy remov. rate fit]]</f>
        <v>952.43279380368335</v>
      </c>
      <c r="O82" s="143">
        <f>Kt*EXP(-0.5*Tabella34[[#This Row],[x_t]]^2)/(psi_t*SQRTPI(2)*(Tabella34[[#This Row],[Day]]-D_bk))</f>
        <v>3.8516921817289887E-81</v>
      </c>
      <c r="P82" s="183">
        <f>Tabella34[[#This Row],[Italy velocity]]/Tabella34[[#This Row],[Italy cumul. Fit]]</f>
        <v>0.17587842940540152</v>
      </c>
      <c r="Q82" s="244">
        <f>(LN(Tabella34[[#This Row],[Day]]-D_bk)-phi_t)/psi_t</f>
        <v>19.920493356181197</v>
      </c>
      <c r="R82" s="244">
        <f>EXP(phi_t+psi_t*Tabella34[[#This Row],[x_t_alpha©+plus]])-(Tabella34[[#This Row],[Day]]-D_bk)</f>
        <v>-2.1729350806643284</v>
      </c>
      <c r="S82" s="244">
        <f>EXP(phi_t+psi_t*Tabella34[[#This Row],[x_t_alpha©-minus]])-(Tabella34[[#This Row],[Day]]-D_bk)</f>
        <v>-2.9495374678235642</v>
      </c>
      <c r="T82" s="244">
        <f>-psi_t+SQRT(psi_t^2-2*Tabella34[[#This Row],[c_t]])</f>
        <v>3.8708343310329942</v>
      </c>
      <c r="U82" s="244">
        <f>-psi_t-SQRT(psi_t^2-2*Tabella34[[#This Row],[c_t]])</f>
        <v>-3.9213530057303663</v>
      </c>
      <c r="V82" s="244">
        <f>phi_t-LN(alpha*Kt/(Tabella34[[#This Row],[Italy velocity]]*psi_t*SQRTPI(2)))</f>
        <v>-7.5894539193402615</v>
      </c>
      <c r="W82" s="244">
        <f>Tabella34[[#This Row],[Italy g.r.]]/Italy_gr_at_lockdown</f>
        <v>0.41951584465430403</v>
      </c>
      <c r="X82" s="244">
        <f>(ACOSH(SQRT(alpha*Kf*psi_f/(Tabella34[[#This Row],[Italy velocity]]*(1+TANH(phi_f)))))+phi_f)/psi_f-(Tabella34[[#This Row],[Day]]-pf)</f>
        <v>111.09369106089002</v>
      </c>
      <c r="Y82" s="244">
        <f>Tabella34[[#This Row],[Italy h.t.]]/Italy_ht_at_lockdown</f>
        <v>0.9354656560460386</v>
      </c>
      <c r="Z82" s="72">
        <f>-2*$BY$48*TANH($BY$48*(Tabella34[[#This Row],[Day]]-$BY$57)-$BY$47)*Tabella34[[#This Row],[Italy velocity]]</f>
        <v>40.213302444807226</v>
      </c>
      <c r="AA82" s="72">
        <f>Tabella34[[#This Row],[Italy acc. fit]]/Itali_acc_at_lockdown</f>
        <v>1.1489407141395105</v>
      </c>
      <c r="AB82" s="77">
        <f>Tabella34[[#This Row],[Italy acc. fit]]/y_f_peak</f>
        <v>1.272979991546066E-2</v>
      </c>
      <c r="AC82" s="143">
        <f>Tabella34[[#This Row],[Italy (fit of selected region + fitted sum of the other regions)]]*NOT(ISBLANK(Tabella34[[#This Row],[Italy rate data]]))</f>
        <v>40.23721218131093</v>
      </c>
      <c r="AD82" s="143">
        <f>Tabella34[[#This Row],[Italy acc. fit]]*NOT(ISBLANK(Tabella34[[#This Row],[Italy rate data]]))</f>
        <v>40.213302444807226</v>
      </c>
      <c r="AE82" s="77">
        <f>Tabella34[[#This Row],[Italy acc. fit]]+CIf</f>
        <v>1695.4232713685585</v>
      </c>
      <c r="AF82" s="77">
        <f>MAX(Tabella34[[#This Row],[Italy acc. fit]]-CIf,0)</f>
        <v>0</v>
      </c>
      <c r="AG82" s="4">
        <f>Tabella8[[#This Row],[region data]]</f>
        <v>66</v>
      </c>
      <c r="AH82" s="72">
        <f>(Tabella34[[#This Row],[selected region cumul. data]]-AG81)</f>
        <v>-13</v>
      </c>
      <c r="AI82" s="72">
        <f>Tabella34[[#This Row],[selected region rate data]]-AH81</f>
        <v>-51</v>
      </c>
      <c r="AJ82" s="77">
        <f>Tabella34[[#This Row],[selected region rate data]]*NOT(ISBLANK(Tabella34[[#This Row],[selected region rate data]]))</f>
        <v>-13</v>
      </c>
      <c r="AK82" s="77">
        <f>Tabella8[[#This Row],[region fit]]</f>
        <v>0</v>
      </c>
      <c r="AL82" s="143">
        <f>(ATANH(alpha*Tabella34[[#This Row],[sel. region cumul. fit]]/Kl-(1-alpha*Tabella34[[#This Row],[sel. region cumul. fit]]/Kl)*TANH(phi_l))+phi_l)/psi_l-(Tabella34[[#This Row],[Day]]-pl)</f>
        <v>1.3564830513431616</v>
      </c>
      <c r="AM82" s="77">
        <f>Tabella34[[#This Row],[sel. region cumul. fit]]/Kl</f>
        <v>0</v>
      </c>
      <c r="AN82" s="143">
        <f>Tabella3[[#This Row],[region fit]]</f>
        <v>50.73981293594796</v>
      </c>
      <c r="AO82" s="186" t="e">
        <f>Tabella34[[#This Row],[sel. region velocity]]/Tabella34[[#This Row],[sel. region cumul. fit]]</f>
        <v>#DIV/0!</v>
      </c>
      <c r="AP82" s="241" t="e">
        <f>(LN(Tabella34[[#This Row],[Day]]-pr)-phi_r)/psi_r</f>
        <v>#NUM!</v>
      </c>
      <c r="AQ82" s="244">
        <f>EXP(phi_r+psi_r*Tabella34[[#This Row],[x_r_alpha©+plus]])-(Tabella34[[#This Row],[Day]]-pr)</f>
        <v>4.6085202741460289</v>
      </c>
      <c r="AR82" s="244">
        <f>EXP(phi_r+psi_r*Tabella34[[#This Row],[x_r_alpha©-minus]])-(Tabella34[[#This Row],[Day]]-pr)</f>
        <v>4.1206464903848978</v>
      </c>
      <c r="AS82" s="244">
        <f>-psi_r+SQRT(psi_r^2-2*Tabella34[[#This Row],[c_r]])</f>
        <v>4.0143963854426392</v>
      </c>
      <c r="AT82" s="244">
        <f>-psi_r-SQRT(psi_r^2-2*Tabella34[[#This Row],[c_r]])</f>
        <v>-4.0546843951089766</v>
      </c>
      <c r="AU82" s="244">
        <f>phi_r-LN(alpha*Kr/(Tabella34[[#This Row],[sel. region velocity]]*psi_r*SQRTPI(2)))</f>
        <v>-8.1385551899180726</v>
      </c>
      <c r="AV82" s="244">
        <f>(ACOSH(SQRT(alpha*Kl*psi_l/(Tabella34[[#This Row],[sel. region velocity]]*(1+TANH(phi_l)))))+phi_l)/psi_l-(Tabella34[[#This Row],[Day]]-pl)</f>
        <v>131.65001700298694</v>
      </c>
      <c r="AW82" s="72">
        <f>-2*$BY$22*TANH($BY$22*(Tabella34[[#This Row],[Day]]-$BY$31)-$BY$21)*Tabella34[[#This Row],[sel. region velocity]]</f>
        <v>1.6549002206779155</v>
      </c>
      <c r="AX82" s="77">
        <f>Tabella34[[#This Row],[sel. region acc. fit]]/y_l_peak</f>
        <v>1.1239871545037921E-2</v>
      </c>
      <c r="AY82" s="143">
        <f>Tabella34[[#This Row],[sel. region acc. fit]]*NOT(ISBLANK(Tabella34[[#This Row],[selected region rate data]]))</f>
        <v>1.6549002206779155</v>
      </c>
      <c r="AZ82" s="77">
        <f>Tabella34[[#This Row],[sel. region acc. fit]]+CIl</f>
        <v>71.019886595778317</v>
      </c>
      <c r="BA82" s="77">
        <f>MAX(Tabella34[[#This Row],[sel. region acc. fit]]-CIl,0)</f>
        <v>0</v>
      </c>
      <c r="BB82" s="10">
        <f>Tabella8[[#This Row],[rest of Italy ]]</f>
        <v>4078</v>
      </c>
      <c r="BC82" s="10">
        <f>(Tabella34[[#This Row],[rest of Italy cum. Data]]-BB81)</f>
        <v>750</v>
      </c>
      <c r="BD82" s="10">
        <f>Tabella34[[#This Row],[rest of Italy rate data]]-BC81</f>
        <v>86</v>
      </c>
      <c r="BE82" s="77">
        <f>Tabella34[[#This Row],[rest of Italy rate data]]*NOT(ISBLANK(Tabella34[[#This Row],[rest of Italy rate data]]))</f>
        <v>750</v>
      </c>
      <c r="BF82" s="77">
        <f>Tabella8[[#This Row],[rest of Italy fit]]</f>
        <v>5482.4863523891363</v>
      </c>
      <c r="BG82" s="78">
        <f>(ATANH(alpha*Tabella34[[#This Row],[rest of Italy cumul. fit]]/Ka-(1-alpha*Tabella34[[#This Row],[rest of Italy cumul. fit]]/Ka)*TANH(phi_a))+phi_a)/psi_a-(Tabella34[[#This Row],[Day]]-pa)</f>
        <v>5.4380422725338278</v>
      </c>
      <c r="BH82" s="77">
        <f>Tabella34[[#This Row],[rest of Italy cumul. fit]]/Ka</f>
        <v>2.4713237557152289E-2</v>
      </c>
      <c r="BI82" s="143">
        <f>Tabella3[[#This Row],[rest of Italy fit]]</f>
        <v>896.7675671232131</v>
      </c>
      <c r="BJ82" s="183">
        <f>Tabella34[[#This Row],[rest of Italy velocity]]/Tabella34[[#This Row],[rest of Italy cumul. fit]]</f>
        <v>0.16356950286477653</v>
      </c>
      <c r="BK82" s="236">
        <f>(LN(Tabella34[[#This Row],[Day]]-po)-phi_o)/psi_o</f>
        <v>21.982663008123275</v>
      </c>
      <c r="BL82" s="244">
        <f>EXP(phi_o+psi_o*Tabella34[[#This Row],[x_o_alpha©+plus]])-(Tabella34[[#This Row],[Day]]-po)</f>
        <v>-2.646567357937772</v>
      </c>
      <c r="BM82" s="244">
        <f>EXP(phi_o+psi_o*Tabella34[[#This Row],[x_o_alpha©-minus]])-(Tabella34[[#This Row],[Day]]-po)</f>
        <v>-3.4547899028396958</v>
      </c>
      <c r="BN82" s="244">
        <f>-psi_o+SQRT(psi_o^2-2*Tabella34[[#This Row],[c_o]])</f>
        <v>3.8601825407180064</v>
      </c>
      <c r="BO82" s="244">
        <f>-psi_o-SQRT(psi_o^2-2*Tabella34[[#This Row],[c_o]])</f>
        <v>-3.9114958249856597</v>
      </c>
      <c r="BP82" s="244">
        <f>phi_o-LN(alpha*Ko/(Tabella34[[#This Row],[rest of Italy velocity]]*psi_o*SQRTPI(2)))</f>
        <v>-7.5495439458505089</v>
      </c>
      <c r="BQ82" s="244">
        <f>(ACOSH(SQRT(alpha*Ka*psi_a/(Tabella34[[#This Row],[rest of Italy velocity]]*(1+TANH(phi_a)))))+phi_a)/psi_a-(Tabella34[[#This Row],[Day]]-pa)</f>
        <v>110.04154704275463</v>
      </c>
      <c r="BR82" s="72">
        <f>-2*$BY$35*TANH($BY$35*(Tabella34[[#This Row],[Day]]-$BY$44)-$BY$34)*Tabella34[[#This Row],[rest of Italy velocity]]</f>
        <v>38.582311960633014</v>
      </c>
      <c r="BS82" s="77">
        <f>Tabella34[[#This Row],[rest of Italy acc. fit]]/y_a_peak</f>
        <v>1.2777933871562576E-2</v>
      </c>
      <c r="BT82" s="77">
        <f>Tabella34[[#This Row],[rest of Italy acc. fit]]*NOT(ISBLANK(Tabella34[[#This Row],[rest of Italy rate data]]))</f>
        <v>38.582311960633014</v>
      </c>
      <c r="BU82" s="77">
        <f>Tabella34[[#This Row],[rest of Italy acc. fit]]+CIa</f>
        <v>1672.7162519144345</v>
      </c>
      <c r="BV82" s="77">
        <f>MAX(Tabella34[[#This Row],[rest of Italy acc. fit]]-CIa,0)</f>
        <v>0</v>
      </c>
    </row>
    <row r="83" spans="2:74" x14ac:dyDescent="0.3">
      <c r="B83" s="262">
        <v>43906</v>
      </c>
      <c r="C83" s="29">
        <v>76</v>
      </c>
      <c r="D83" s="10">
        <f>Tabella8[[#This Row],[Italy cumulative]]</f>
        <v>4907</v>
      </c>
      <c r="E83" s="72">
        <f>(Tabella34[[#This Row],[Italy cumul. data]]-D82)</f>
        <v>763</v>
      </c>
      <c r="F83" s="72">
        <f>Tabella34[[#This Row],[Italy rate data]]-E82</f>
        <v>26</v>
      </c>
      <c r="G83" s="77">
        <f>Tabella34[[#This Row],[Italy rate data]]*NOT(ISBLANK(Tabella34[[#This Row],[Italy rate data]]))</f>
        <v>763</v>
      </c>
      <c r="H83" s="143">
        <f>Tabella8[[#This Row],[Italy fit]]</f>
        <v>6388.0522630551823</v>
      </c>
      <c r="I83" s="143">
        <f>(ATANH(alpha*Tabella34[[#This Row],[Italy cumul. Fit]]/Kf-(1-alpha*Tabella34[[#This Row],[Italy cumul. Fit]]/Kf)*TANH(phi_f))+phi_f)/psi_f-(Tabella34[[#This Row],[Day]]-pf)</f>
        <v>5.7078408994836405</v>
      </c>
      <c r="J83" s="143">
        <f>Tabella34[[#This Row],[Italy d.t.]]/Italy_dt_at_lockdown</f>
        <v>2.5147433784743263</v>
      </c>
      <c r="K83" s="77">
        <f>Tabella34[[#This Row],[Italy cumul. Fit]]/Kf</f>
        <v>2.7183200943045136E-2</v>
      </c>
      <c r="L83" s="146">
        <f>Tabella34[[#This Row],[sel. region acc. fit]]+Tabella34[[#This Row],[rest of Italy acc. fit]]</f>
        <v>41.591185291819336</v>
      </c>
      <c r="M83" s="77">
        <f>Tabella34[[#This Row],[Italy (fit of selected region + fitted sum of the other regions)]]/(y_l_peak+y_a_peak)</f>
        <v>1.3133989954217506E-2</v>
      </c>
      <c r="N83" s="143">
        <f>Tabella3[[#This Row],[Italy remov. rate fit]]</f>
        <v>993.31329672515051</v>
      </c>
      <c r="O83" s="143">
        <f>Kt*EXP(-0.5*Tabella34[[#This Row],[x_t]]^2)/(psi_t*SQRTPI(2)*(Tabella34[[#This Row],[Day]]-D_bk))</f>
        <v>5.2287598622869515E-137</v>
      </c>
      <c r="P83" s="183">
        <f>Tabella34[[#This Row],[Italy velocity]]/Tabella34[[#This Row],[Italy cumul. Fit]]</f>
        <v>0.15549548685910147</v>
      </c>
      <c r="Q83" s="244">
        <f>(LN(Tabella34[[#This Row],[Day]]-D_bk)-phi_t)/psi_t</f>
        <v>25.569881955987185</v>
      </c>
      <c r="R83" s="244">
        <f>EXP(phi_t+psi_t*Tabella34[[#This Row],[x_t_alpha©+plus]])-(Tabella34[[#This Row],[Day]]-D_bk)</f>
        <v>-3.1741208942915931</v>
      </c>
      <c r="S83" s="244">
        <f>EXP(phi_t+psi_t*Tabella34[[#This Row],[x_t_alpha©-minus]])-(Tabella34[[#This Row],[Day]]-D_bk)</f>
        <v>-3.9485632530544503</v>
      </c>
      <c r="T83" s="244">
        <f>-psi_t+SQRT(psi_t^2-2*Tabella34[[#This Row],[c_t]])</f>
        <v>3.860032508492806</v>
      </c>
      <c r="U83" s="244">
        <f>-psi_t-SQRT(psi_t^2-2*Tabella34[[#This Row],[c_t]])</f>
        <v>-3.910551183190178</v>
      </c>
      <c r="V83" s="244">
        <f>phi_t-LN(alpha*Kt/(Tabella34[[#This Row],[Italy velocity]]*psi_t*SQRTPI(2)))</f>
        <v>-7.5474273466195463</v>
      </c>
      <c r="W83" s="244">
        <f>Tabella34[[#This Row],[Italy g.r.]]/Italy_gr_at_lockdown</f>
        <v>0.37089721991584251</v>
      </c>
      <c r="X83" s="244">
        <f>(ACOSH(SQRT(alpha*Kf*psi_f/(Tabella34[[#This Row],[Italy velocity]]*(1+TANH(phi_f)))))+phi_f)/psi_f-(Tabella34[[#This Row],[Day]]-pf)</f>
        <v>109.18925486425437</v>
      </c>
      <c r="Y83" s="244">
        <f>Tabella34[[#This Row],[Italy h.t.]]/Italy_ht_at_lockdown</f>
        <v>0.91942932995883409</v>
      </c>
      <c r="Z83" s="72">
        <f>-2*$BY$48*TANH($BY$48*(Tabella34[[#This Row],[Day]]-$BY$57)-$BY$47)*Tabella34[[#This Row],[Italy velocity]]</f>
        <v>41.549027623281759</v>
      </c>
      <c r="AA83" s="72">
        <f>Tabella34[[#This Row],[Italy acc. fit]]/Itali_acc_at_lockdown</f>
        <v>1.1871039324565584</v>
      </c>
      <c r="AB83" s="77">
        <f>Tabella34[[#This Row],[Italy acc. fit]]/y_f_peak</f>
        <v>1.3152632988853752E-2</v>
      </c>
      <c r="AC83" s="143">
        <f>Tabella34[[#This Row],[Italy (fit of selected region + fitted sum of the other regions)]]*NOT(ISBLANK(Tabella34[[#This Row],[Italy rate data]]))</f>
        <v>41.591185291819336</v>
      </c>
      <c r="AD83" s="143">
        <f>Tabella34[[#This Row],[Italy acc. fit]]*NOT(ISBLANK(Tabella34[[#This Row],[Italy rate data]]))</f>
        <v>41.549027623281759</v>
      </c>
      <c r="AE83" s="77">
        <f>Tabella34[[#This Row],[Italy acc. fit]]+CIf</f>
        <v>1696.7589965470331</v>
      </c>
      <c r="AF83" s="77">
        <f>MAX(Tabella34[[#This Row],[Italy acc. fit]]-CIf,0)</f>
        <v>0</v>
      </c>
      <c r="AG83" s="4">
        <f>Tabella8[[#This Row],[region data]]</f>
        <v>92</v>
      </c>
      <c r="AH83" s="72">
        <f>(Tabella34[[#This Row],[selected region cumul. data]]-AG82)</f>
        <v>26</v>
      </c>
      <c r="AI83" s="72">
        <f>Tabella34[[#This Row],[selected region rate data]]-AH82</f>
        <v>39</v>
      </c>
      <c r="AJ83" s="77">
        <f>Tabella34[[#This Row],[selected region rate data]]*NOT(ISBLANK(Tabella34[[#This Row],[selected region rate data]]))</f>
        <v>26</v>
      </c>
      <c r="AK83" s="77">
        <f>Tabella8[[#This Row],[region fit]]</f>
        <v>0</v>
      </c>
      <c r="AL83" s="143">
        <f>(ATANH(alpha*Tabella34[[#This Row],[sel. region cumul. fit]]/Kl-(1-alpha*Tabella34[[#This Row],[sel. region cumul. fit]]/Kl)*TANH(phi_l))+phi_l)/psi_l-(Tabella34[[#This Row],[Day]]-pl)</f>
        <v>0.35648305134316161</v>
      </c>
      <c r="AM83" s="77">
        <f>Tabella34[[#This Row],[sel. region cumul. fit]]/Kl</f>
        <v>0</v>
      </c>
      <c r="AN83" s="143">
        <f>Tabella3[[#This Row],[region fit]]</f>
        <v>52.414586279264491</v>
      </c>
      <c r="AO83" s="186" t="e">
        <f>Tabella34[[#This Row],[sel. region velocity]]/Tabella34[[#This Row],[sel. region cumul. fit]]</f>
        <v>#DIV/0!</v>
      </c>
      <c r="AP83" s="241" t="e">
        <f>(LN(Tabella34[[#This Row],[Day]]-pr)-phi_r)/psi_r</f>
        <v>#NUM!</v>
      </c>
      <c r="AQ83" s="244">
        <f>EXP(phi_r+psi_r*Tabella34[[#This Row],[x_r_alpha©+plus]])-(Tabella34[[#This Row],[Day]]-pr)</f>
        <v>3.6079925070343397</v>
      </c>
      <c r="AR83" s="244">
        <f>EXP(phi_r+psi_r*Tabella34[[#This Row],[x_r_alpha©-minus]])-(Tabella34[[#This Row],[Day]]-pr)</f>
        <v>3.1210951541745438</v>
      </c>
      <c r="AS83" s="244">
        <f>-psi_r+SQRT(psi_r^2-2*Tabella34[[#This Row],[c_r]])</f>
        <v>4.0063393320580092</v>
      </c>
      <c r="AT83" s="244">
        <f>-psi_r-SQRT(psi_r^2-2*Tabella34[[#This Row],[c_r]])</f>
        <v>-4.0466273417243466</v>
      </c>
      <c r="AU83" s="244">
        <f>phi_r-LN(alpha*Kr/(Tabella34[[#This Row],[sel. region velocity]]*psi_r*SQRTPI(2)))</f>
        <v>-8.1060811406657969</v>
      </c>
      <c r="AV83" s="244">
        <f>(ACOSH(SQRT(alpha*Kl*psi_l/(Tabella34[[#This Row],[sel. region velocity]]*(1+TANH(phi_l)))))+phi_l)/psi_l-(Tabella34[[#This Row],[Day]]-pl)</f>
        <v>129.76251264111244</v>
      </c>
      <c r="AW83" s="72">
        <f>-2*$BY$22*TANH($BY$22*(Tabella34[[#This Row],[Day]]-$BY$31)-$BY$21)*Tabella34[[#This Row],[sel. region velocity]]</f>
        <v>1.694623415623886</v>
      </c>
      <c r="AX83" s="77">
        <f>Tabella34[[#This Row],[sel. region acc. fit]]/y_l_peak</f>
        <v>1.1509666426307746E-2</v>
      </c>
      <c r="AY83" s="143">
        <f>Tabella34[[#This Row],[sel. region acc. fit]]*NOT(ISBLANK(Tabella34[[#This Row],[selected region rate data]]))</f>
        <v>1.694623415623886</v>
      </c>
      <c r="AZ83" s="77">
        <f>Tabella34[[#This Row],[sel. region acc. fit]]+CIl</f>
        <v>71.059609790724281</v>
      </c>
      <c r="BA83" s="77">
        <f>MAX(Tabella34[[#This Row],[sel. region acc. fit]]-CIl,0)</f>
        <v>0</v>
      </c>
      <c r="BB83" s="10">
        <f>Tabella8[[#This Row],[rest of Italy ]]</f>
        <v>4815</v>
      </c>
      <c r="BC83" s="10">
        <f>(Tabella34[[#This Row],[rest of Italy cum. Data]]-BB82)</f>
        <v>737</v>
      </c>
      <c r="BD83" s="10">
        <f>Tabella34[[#This Row],[rest of Italy rate data]]-BC82</f>
        <v>-13</v>
      </c>
      <c r="BE83" s="77">
        <f>Tabella34[[#This Row],[rest of Italy rate data]]*NOT(ISBLANK(Tabella34[[#This Row],[rest of Italy rate data]]))</f>
        <v>737</v>
      </c>
      <c r="BF83" s="77">
        <f>Tabella8[[#This Row],[rest of Italy fit]]</f>
        <v>6398.7637263480547</v>
      </c>
      <c r="BG83" s="78">
        <f>(ATANH(alpha*Tabella34[[#This Row],[rest of Italy cumul. fit]]/Ka-(1-alpha*Tabella34[[#This Row],[rest of Italy cumul. fit]]/Ka)*TANH(phi_a))+phi_a)/psi_a-(Tabella34[[#This Row],[Day]]-pa)</f>
        <v>6.0141763599260933</v>
      </c>
      <c r="BH83" s="77">
        <f>Tabella34[[#This Row],[rest of Italy cumul. fit]]/Ka</f>
        <v>2.8843513303488184E-2</v>
      </c>
      <c r="BI83" s="143">
        <f>Tabella3[[#This Row],[rest of Italy fit]]</f>
        <v>936.0062327720135</v>
      </c>
      <c r="BJ83" s="183">
        <f>Tabella34[[#This Row],[rest of Italy velocity]]/Tabella34[[#This Row],[rest of Italy cumul. fit]]</f>
        <v>0.14627923030160347</v>
      </c>
      <c r="BK83" s="236">
        <f>(LN(Tabella34[[#This Row],[Day]]-po)-phi_o)/psi_o</f>
        <v>27.10672412985932</v>
      </c>
      <c r="BL83" s="244">
        <f>EXP(phi_o+psi_o*Tabella34[[#This Row],[x_o_alpha©+plus]])-(Tabella34[[#This Row],[Day]]-po)</f>
        <v>-3.6478331653536245</v>
      </c>
      <c r="BM83" s="244">
        <f>EXP(phi_o+psi_o*Tabella34[[#This Row],[x_o_alpha©-minus]])-(Tabella34[[#This Row],[Day]]-po)</f>
        <v>-4.453752626698142</v>
      </c>
      <c r="BN83" s="244">
        <f>-psi_o+SQRT(psi_o^2-2*Tabella34[[#This Row],[c_o]])</f>
        <v>3.8491459716984062</v>
      </c>
      <c r="BO83" s="244">
        <f>-psi_o-SQRT(psi_o^2-2*Tabella34[[#This Row],[c_o]])</f>
        <v>-3.9004592559660596</v>
      </c>
      <c r="BP83" s="244">
        <f>phi_o-LN(alpha*Ko/(Tabella34[[#This Row],[rest of Italy velocity]]*psi_o*SQRTPI(2)))</f>
        <v>-7.5067185164377612</v>
      </c>
      <c r="BQ83" s="244">
        <f>(ACOSH(SQRT(alpha*Ka*psi_a/(Tabella34[[#This Row],[rest of Italy velocity]]*(1+TANH(phi_a)))))+phi_a)/psi_a-(Tabella34[[#This Row],[Day]]-pa)</f>
        <v>108.13538852880245</v>
      </c>
      <c r="BR83" s="72">
        <f>-2*$BY$35*TANH($BY$35*(Tabella34[[#This Row],[Day]]-$BY$44)-$BY$34)*Tabella34[[#This Row],[rest of Italy velocity]]</f>
        <v>39.896561876195449</v>
      </c>
      <c r="BS83" s="77">
        <f>Tabella34[[#This Row],[rest of Italy acc. fit]]/y_a_peak</f>
        <v>1.3213195463166998E-2</v>
      </c>
      <c r="BT83" s="77">
        <f>Tabella34[[#This Row],[rest of Italy acc. fit]]*NOT(ISBLANK(Tabella34[[#This Row],[rest of Italy rate data]]))</f>
        <v>39.896561876195449</v>
      </c>
      <c r="BU83" s="77">
        <f>Tabella34[[#This Row],[rest of Italy acc. fit]]+CIa</f>
        <v>1674.0305018299969</v>
      </c>
      <c r="BV83" s="77">
        <f>MAX(Tabella34[[#This Row],[rest of Italy acc. fit]]-CIa,0)</f>
        <v>0</v>
      </c>
    </row>
    <row r="84" spans="2:74" x14ac:dyDescent="0.3">
      <c r="B84" s="262">
        <v>43907</v>
      </c>
      <c r="C84" s="29">
        <v>77</v>
      </c>
      <c r="D84" s="10">
        <f>Tabella8[[#This Row],[Italy cumulative]]</f>
        <v>5444</v>
      </c>
      <c r="E84" s="72">
        <f>(Tabella34[[#This Row],[Italy cumul. data]]-D83)</f>
        <v>537</v>
      </c>
      <c r="F84" s="72">
        <f>Tabella34[[#This Row],[Italy rate data]]-E83</f>
        <v>-226</v>
      </c>
      <c r="G84" s="77">
        <f>Tabella34[[#This Row],[Italy rate data]]*NOT(ISBLANK(Tabella34[[#This Row],[Italy rate data]]))</f>
        <v>537</v>
      </c>
      <c r="H84" s="143">
        <f>Tabella8[[#This Row],[Italy fit]]</f>
        <v>7402.3635199757218</v>
      </c>
      <c r="I84" s="143">
        <f>(ATANH(alpha*Tabella34[[#This Row],[Italy cumul. Fit]]/Kf-(1-alpha*Tabella34[[#This Row],[Italy cumul. Fit]]/Kf)*TANH(phi_f))+phi_f)/psi_f-(Tabella34[[#This Row],[Day]]-pf)</f>
        <v>6.2787023325932267</v>
      </c>
      <c r="J84" s="143">
        <f>Tabella34[[#This Row],[Italy d.t.]]/Italy_dt_at_lockdown</f>
        <v>2.7662517919391383</v>
      </c>
      <c r="K84" s="77">
        <f>Tabella34[[#This Row],[Italy cumul. Fit]]/Kf</f>
        <v>3.1499419029601128E-2</v>
      </c>
      <c r="L84" s="146">
        <f>Tabella34[[#This Row],[sel. region acc. fit]]+Tabella34[[#This Row],[rest of Italy acc. fit]]</f>
        <v>42.952292437616741</v>
      </c>
      <c r="M84" s="77">
        <f>Tabella34[[#This Row],[Italy (fit of selected region + fitted sum of the other regions)]]/(y_l_peak+y_a_peak)</f>
        <v>1.3563811019765089E-2</v>
      </c>
      <c r="N84" s="143">
        <f>Tabella3[[#This Row],[Italy remov. rate fit]]</f>
        <v>1035.5328457247904</v>
      </c>
      <c r="O84" s="143">
        <f>Kt*EXP(-0.5*Tabella34[[#This Row],[x_t]]^2)/(psi_t*SQRTPI(2)*(Tabella34[[#This Row],[Day]]-D_bk))</f>
        <v>2.9344671294891667E-197</v>
      </c>
      <c r="P84" s="183">
        <f>Tabella34[[#This Row],[Italy velocity]]/Tabella34[[#This Row],[Italy cumul. Fit]]</f>
        <v>0.13989219023496252</v>
      </c>
      <c r="Q84" s="244">
        <f>(LN(Tabella34[[#This Row],[Day]]-D_bk)-phi_t)/psi_t</f>
        <v>30.512860537422302</v>
      </c>
      <c r="R84" s="244">
        <f>EXP(phi_t+psi_t*Tabella34[[#This Row],[x_t_alpha©+plus]])-(Tabella34[[#This Row],[Day]]-D_bk)</f>
        <v>-4.1752983236210035</v>
      </c>
      <c r="S84" s="244">
        <f>EXP(phi_t+psi_t*Tabella34[[#This Row],[x_t_alpha©-minus]])-(Tabella34[[#This Row],[Day]]-D_bk)</f>
        <v>-4.9475954002607079</v>
      </c>
      <c r="T84" s="244">
        <f>-psi_t+SQRT(psi_t^2-2*Tabella34[[#This Row],[c_t]])</f>
        <v>3.8493041434109645</v>
      </c>
      <c r="U84" s="244">
        <f>-psi_t-SQRT(psi_t^2-2*Tabella34[[#This Row],[c_t]])</f>
        <v>-3.8998228181083365</v>
      </c>
      <c r="V84" s="244">
        <f>phi_t-LN(alpha*Kt/(Tabella34[[#This Row],[Italy velocity]]*psi_t*SQRTPI(2)))</f>
        <v>-7.5058020661565212</v>
      </c>
      <c r="W84" s="244">
        <f>Tabella34[[#This Row],[Italy g.r.]]/Italy_gr_at_lockdown</f>
        <v>0.3336792950981316</v>
      </c>
      <c r="X84" s="244">
        <f>(ACOSH(SQRT(alpha*Kf*psi_f/(Tabella34[[#This Row],[Italy velocity]]*(1+TANH(phi_f)))))+phi_f)/psi_f-(Tabella34[[#This Row],[Day]]-pf)</f>
        <v>107.28995277501502</v>
      </c>
      <c r="Y84" s="244">
        <f>Tabella34[[#This Row],[Italy h.t.]]/Italy_ht_at_lockdown</f>
        <v>0.90343623567982523</v>
      </c>
      <c r="Z84" s="72">
        <f>-2*$BY$48*TANH($BY$48*(Tabella34[[#This Row],[Day]]-$BY$57)-$BY$47)*Tabella34[[#This Row],[Italy velocity]]</f>
        <v>42.890729369351298</v>
      </c>
      <c r="AA84" s="72">
        <f>Tabella34[[#This Row],[Italy acc. fit]]/Itali_acc_at_lockdown</f>
        <v>1.2254379082449713</v>
      </c>
      <c r="AB84" s="77">
        <f>Tabella34[[#This Row],[Italy acc. fit]]/y_f_peak</f>
        <v>1.3577357986188433E-2</v>
      </c>
      <c r="AC84" s="143">
        <f>Tabella34[[#This Row],[Italy (fit of selected region + fitted sum of the other regions)]]*NOT(ISBLANK(Tabella34[[#This Row],[Italy rate data]]))</f>
        <v>42.952292437616741</v>
      </c>
      <c r="AD84" s="143">
        <f>Tabella34[[#This Row],[Italy acc. fit]]*NOT(ISBLANK(Tabella34[[#This Row],[Italy rate data]]))</f>
        <v>42.890729369351298</v>
      </c>
      <c r="AE84" s="77">
        <f>Tabella34[[#This Row],[Italy acc. fit]]+CIf</f>
        <v>1698.1006982931026</v>
      </c>
      <c r="AF84" s="77">
        <f>MAX(Tabella34[[#This Row],[Italy acc. fit]]-CIf,0)</f>
        <v>0</v>
      </c>
      <c r="AG84" s="4">
        <f>Tabella8[[#This Row],[region data]]</f>
        <v>117</v>
      </c>
      <c r="AH84" s="72">
        <f>(Tabella34[[#This Row],[selected region cumul. data]]-AG83)</f>
        <v>25</v>
      </c>
      <c r="AI84" s="72">
        <f>Tabella34[[#This Row],[selected region rate data]]-AH83</f>
        <v>-1</v>
      </c>
      <c r="AJ84" s="77">
        <f>Tabella34[[#This Row],[selected region rate data]]*NOT(ISBLANK(Tabella34[[#This Row],[selected region rate data]]))</f>
        <v>25</v>
      </c>
      <c r="AK84" s="77">
        <f>Tabella8[[#This Row],[region fit]]</f>
        <v>34.475609649753139</v>
      </c>
      <c r="AL84" s="143">
        <f>(ATANH(alpha*Tabella34[[#This Row],[sel. region cumul. fit]]/Kl-(1-alpha*Tabella34[[#This Row],[sel. region cumul. fit]]/Kl)*TANH(phi_l))+phi_l)/psi_l-(Tabella34[[#This Row],[Day]]-pl)</f>
        <v>0.63051706047913036</v>
      </c>
      <c r="AM84" s="77">
        <f>Tabella34[[#This Row],[sel. region cumul. fit]]/Kl</f>
        <v>2.6205465961816788E-3</v>
      </c>
      <c r="AN84" s="143">
        <f>Tabella3[[#This Row],[region fit]]</f>
        <v>54.128997328613558</v>
      </c>
      <c r="AO84" s="186">
        <f>Tabella34[[#This Row],[sel. region velocity]]/Tabella34[[#This Row],[sel. region cumul. fit]]</f>
        <v>1.5700664289485928</v>
      </c>
      <c r="AP84" s="241">
        <f>(LN(Tabella34[[#This Row],[Day]]-pr)-phi_r)/psi_r</f>
        <v>-76.410949280306383</v>
      </c>
      <c r="AQ84" s="244">
        <f>EXP(phi_r+psi_r*Tabella34[[#This Row],[x_r_alpha©+plus]])-(Tabella34[[#This Row],[Day]]-pr)</f>
        <v>2.6074684762551632</v>
      </c>
      <c r="AR84" s="244">
        <f>EXP(phi_r+psi_r*Tabella34[[#This Row],[x_r_alpha©-minus]])-(Tabella34[[#This Row],[Day]]-pr)</f>
        <v>2.121540785773893</v>
      </c>
      <c r="AS84" s="244">
        <f>-psi_r+SQRT(psi_r^2-2*Tabella34[[#This Row],[c_r]])</f>
        <v>3.9983380246371891</v>
      </c>
      <c r="AT84" s="244">
        <f>-psi_r-SQRT(psi_r^2-2*Tabella34[[#This Row],[c_r]])</f>
        <v>-4.038626034303527</v>
      </c>
      <c r="AU84" s="244">
        <f>phi_r-LN(alpha*Kr/(Tabella34[[#This Row],[sel. region velocity]]*psi_r*SQRTPI(2)))</f>
        <v>-8.0738960201227457</v>
      </c>
      <c r="AV84" s="244">
        <f>(ACOSH(SQRT(alpha*Kl*psi_l/(Tabella34[[#This Row],[sel. region velocity]]*(1+TANH(phi_l)))))+phi_l)/psi_l-(Tabella34[[#This Row],[Day]]-pl)</f>
        <v>127.87982015700001</v>
      </c>
      <c r="AW84" s="72">
        <f>-2*$BY$22*TANH($BY$22*(Tabella34[[#This Row],[Day]]-$BY$31)-$BY$21)*Tabella34[[#This Row],[sel. region velocity]]</f>
        <v>1.7341590733650307</v>
      </c>
      <c r="AX84" s="77">
        <f>Tabella34[[#This Row],[sel. region acc. fit]]/y_l_peak</f>
        <v>1.1778187578765517E-2</v>
      </c>
      <c r="AY84" s="143">
        <f>Tabella34[[#This Row],[sel. region acc. fit]]*NOT(ISBLANK(Tabella34[[#This Row],[selected region rate data]]))</f>
        <v>1.7341590733650307</v>
      </c>
      <c r="AZ84" s="77">
        <f>Tabella34[[#This Row],[sel. region acc. fit]]+CIl</f>
        <v>71.099145448465435</v>
      </c>
      <c r="BA84" s="77">
        <f>MAX(Tabella34[[#This Row],[sel. region acc. fit]]-CIl,0)</f>
        <v>0</v>
      </c>
      <c r="BB84" s="10">
        <f>Tabella8[[#This Row],[rest of Italy ]]</f>
        <v>5327</v>
      </c>
      <c r="BC84" s="10">
        <f>(Tabella34[[#This Row],[rest of Italy cum. Data]]-BB83)</f>
        <v>512</v>
      </c>
      <c r="BD84" s="10">
        <f>Tabella34[[#This Row],[rest of Italy rate data]]-BC83</f>
        <v>-225</v>
      </c>
      <c r="BE84" s="77">
        <f>Tabella34[[#This Row],[rest of Italy rate data]]*NOT(ISBLANK(Tabella34[[#This Row],[rest of Italy rate data]]))</f>
        <v>512</v>
      </c>
      <c r="BF84" s="77">
        <f>Tabella8[[#This Row],[rest of Italy fit]]</f>
        <v>7354.9382740285901</v>
      </c>
      <c r="BG84" s="78">
        <f>(ATANH(alpha*Tabella34[[#This Row],[rest of Italy cumul. fit]]/Ka-(1-alpha*Tabella34[[#This Row],[rest of Italy cumul. fit]]/Ka)*TANH(phi_a))+phi_a)/psi_a-(Tabella34[[#This Row],[Day]]-pa)</f>
        <v>6.5598054555096645</v>
      </c>
      <c r="BH84" s="77">
        <f>Tabella34[[#This Row],[rest of Italy cumul. fit]]/Ka</f>
        <v>3.3153632330530404E-2</v>
      </c>
      <c r="BI84" s="143">
        <f>Tabella3[[#This Row],[rest of Italy fit]]</f>
        <v>976.56313597121368</v>
      </c>
      <c r="BJ84" s="183">
        <f>Tabella34[[#This Row],[rest of Italy velocity]]/Tabella34[[#This Row],[rest of Italy cumul. fit]]</f>
        <v>0.1327765236887993</v>
      </c>
      <c r="BK84" s="236">
        <f>(LN(Tabella34[[#This Row],[Day]]-po)-phi_o)/psi_o</f>
        <v>31.634745458480829</v>
      </c>
      <c r="BL84" s="244">
        <f>EXP(phi_o+psi_o*Tabella34[[#This Row],[x_o_alpha©+plus]])-(Tabella34[[#This Row],[Day]]-po)</f>
        <v>-4.6490901178971349</v>
      </c>
      <c r="BM84" s="244">
        <f>EXP(phi_o+psi_o*Tabella34[[#This Row],[x_o_alpha©-minus]])-(Tabella34[[#This Row],[Day]]-po)</f>
        <v>-5.4527220252243449</v>
      </c>
      <c r="BN84" s="244">
        <f>-psi_o+SQRT(psi_o^2-2*Tabella34[[#This Row],[c_o]])</f>
        <v>3.8381835149848142</v>
      </c>
      <c r="BO84" s="244">
        <f>-psi_o-SQRT(psi_o^2-2*Tabella34[[#This Row],[c_o]])</f>
        <v>-3.8894967992524676</v>
      </c>
      <c r="BP84" s="244">
        <f>phi_o-LN(alpha*Ko/(Tabella34[[#This Row],[rest of Italy velocity]]*psi_o*SQRTPI(2)))</f>
        <v>-7.4643012482385096</v>
      </c>
      <c r="BQ84" s="244">
        <f>(ACOSH(SQRT(alpha*Ka*psi_a/(Tabella34[[#This Row],[rest of Italy velocity]]*(1+TANH(phi_a)))))+phi_a)/psi_a-(Tabella34[[#This Row],[Day]]-pa)</f>
        <v>106.23435086967935</v>
      </c>
      <c r="BR84" s="72">
        <f>-2*$BY$35*TANH($BY$35*(Tabella34[[#This Row],[Day]]-$BY$44)-$BY$34)*Tabella34[[#This Row],[rest of Italy velocity]]</f>
        <v>41.218133364251713</v>
      </c>
      <c r="BS84" s="77">
        <f>Tabella34[[#This Row],[rest of Italy acc. fit]]/y_a_peak</f>
        <v>1.365088185941396E-2</v>
      </c>
      <c r="BT84" s="77">
        <f>Tabella34[[#This Row],[rest of Italy acc. fit]]*NOT(ISBLANK(Tabella34[[#This Row],[rest of Italy rate data]]))</f>
        <v>41.218133364251713</v>
      </c>
      <c r="BU84" s="77">
        <f>Tabella34[[#This Row],[rest of Italy acc. fit]]+CIa</f>
        <v>1675.3520733180533</v>
      </c>
      <c r="BV84" s="77">
        <f>MAX(Tabella34[[#This Row],[rest of Italy acc. fit]]-CIa,0)</f>
        <v>0</v>
      </c>
    </row>
    <row r="85" spans="2:74" x14ac:dyDescent="0.3">
      <c r="B85" s="262">
        <v>43908</v>
      </c>
      <c r="C85" s="29">
        <v>78</v>
      </c>
      <c r="D85" s="10">
        <f>Tabella8[[#This Row],[Italy cumulative]]</f>
        <v>7003</v>
      </c>
      <c r="E85" s="72">
        <f>(Tabella34[[#This Row],[Italy cumul. data]]-D84)</f>
        <v>1559</v>
      </c>
      <c r="F85" s="72">
        <f>Tabella34[[#This Row],[Italy rate data]]-E84</f>
        <v>1022</v>
      </c>
      <c r="G85" s="77">
        <f>Tabella34[[#This Row],[Italy rate data]]*NOT(ISBLANK(Tabella34[[#This Row],[Italy rate data]]))</f>
        <v>1559</v>
      </c>
      <c r="H85" s="143">
        <f>Tabella8[[#This Row],[Italy fit]]</f>
        <v>8459.5656563862358</v>
      </c>
      <c r="I85" s="143">
        <f>(ATANH(alpha*Tabella34[[#This Row],[Italy cumul. Fit]]/Kf-(1-alpha*Tabella34[[#This Row],[Italy cumul. Fit]]/Kf)*TANH(phi_f))+phi_f)/psi_f-(Tabella34[[#This Row],[Day]]-pf)</f>
        <v>6.8209399726883042</v>
      </c>
      <c r="J85" s="143">
        <f>Tabella34[[#This Row],[Italy d.t.]]/Italy_dt_at_lockdown</f>
        <v>3.0051492207570996</v>
      </c>
      <c r="K85" s="77">
        <f>Tabella34[[#This Row],[Italy cumul. Fit]]/Kf</f>
        <v>3.599815149578154E-2</v>
      </c>
      <c r="L85" s="146">
        <f>Tabella34[[#This Row],[sel. region acc. fit]]+Tabella34[[#This Row],[rest of Italy acc. fit]]</f>
        <v>44.316299941352916</v>
      </c>
      <c r="M85" s="77">
        <f>Tabella34[[#This Row],[Italy (fit of selected region + fitted sum of the other regions)]]/(y_l_peak+y_a_peak)</f>
        <v>1.3994547983038697E-2</v>
      </c>
      <c r="N85" s="143">
        <f>Tabella3[[#This Row],[Italy remov. rate fit]]</f>
        <v>1079.0953536199775</v>
      </c>
      <c r="O85" s="143">
        <f>Kt*EXP(-0.5*Tabella34[[#This Row],[x_t]]^2)/(psi_t*SQRTPI(2)*(Tabella34[[#This Row],[Day]]-D_bk))</f>
        <v>1.0072214493793332E-259</v>
      </c>
      <c r="P85" s="183">
        <f>Tabella34[[#This Row],[Italy velocity]]/Tabella34[[#This Row],[Italy cumul. Fit]]</f>
        <v>0.12755919126951326</v>
      </c>
      <c r="Q85" s="244">
        <f>(LN(Tabella34[[#This Row],[Day]]-D_bk)-phi_t)/psi_t</f>
        <v>34.906616904518309</v>
      </c>
      <c r="R85" s="244">
        <f>EXP(phi_t+psi_t*Tabella34[[#This Row],[x_t_alpha©+plus]])-(Tabella34[[#This Row],[Day]]-D_bk)</f>
        <v>-5.1764668239491147</v>
      </c>
      <c r="S85" s="244">
        <f>EXP(phi_t+psi_t*Tabella34[[#This Row],[x_t_alpha©-minus]])-(Tabella34[[#This Row],[Day]]-D_bk)</f>
        <v>-5.9466343683331759</v>
      </c>
      <c r="T85" s="244">
        <f>-psi_t+SQRT(psi_t^2-2*Tabella34[[#This Row],[c_t]])</f>
        <v>3.8386542614934256</v>
      </c>
      <c r="U85" s="244">
        <f>-psi_t-SQRT(psi_t^2-2*Tabella34[[#This Row],[c_t]])</f>
        <v>-3.8891729361907976</v>
      </c>
      <c r="V85" s="244">
        <f>phi_t-LN(alpha*Kt/(Tabella34[[#This Row],[Italy velocity]]*psi_t*SQRTPI(2)))</f>
        <v>-7.4645951325968518</v>
      </c>
      <c r="W85" s="244">
        <f>Tabella34[[#This Row],[Italy g.r.]]/Italy_gr_at_lockdown</f>
        <v>0.30426188162905154</v>
      </c>
      <c r="X85" s="244">
        <f>(ACOSH(SQRT(alpha*Kf*psi_f/(Tabella34[[#This Row],[Italy velocity]]*(1+TANH(phi_f)))))+phi_f)/psi_f-(Tabella34[[#This Row],[Day]]-pf)</f>
        <v>105.39606730787931</v>
      </c>
      <c r="Y85" s="244">
        <f>Tabella34[[#This Row],[Italy h.t.]]/Italy_ht_at_lockdown</f>
        <v>0.88748875212723422</v>
      </c>
      <c r="Z85" s="72">
        <f>-2*$BY$48*TANH($BY$48*(Tabella34[[#This Row],[Day]]-$BY$57)-$BY$47)*Tabella34[[#This Row],[Italy velocity]]</f>
        <v>44.234211625481585</v>
      </c>
      <c r="AA85" s="72">
        <f>Tabella34[[#This Row],[Italy acc. fit]]/Itali_acc_at_lockdown</f>
        <v>1.2638227552719137</v>
      </c>
      <c r="AB85" s="77">
        <f>Tabella34[[#This Row],[Italy acc. fit]]/y_f_peak</f>
        <v>1.4002646616337202E-2</v>
      </c>
      <c r="AC85" s="143">
        <f>Tabella34[[#This Row],[Italy (fit of selected region + fitted sum of the other regions)]]*NOT(ISBLANK(Tabella34[[#This Row],[Italy rate data]]))</f>
        <v>44.316299941352916</v>
      </c>
      <c r="AD85" s="143">
        <f>Tabella34[[#This Row],[Italy acc. fit]]*NOT(ISBLANK(Tabella34[[#This Row],[Italy rate data]]))</f>
        <v>44.234211625481585</v>
      </c>
      <c r="AE85" s="77">
        <f>Tabella34[[#This Row],[Italy acc. fit]]+CIf</f>
        <v>1699.4441805492329</v>
      </c>
      <c r="AF85" s="77">
        <f>MAX(Tabella34[[#This Row],[Italy acc. fit]]-CIf,0)</f>
        <v>0</v>
      </c>
      <c r="AG85" s="4">
        <f>Tabella8[[#This Row],[region data]]</f>
        <v>143</v>
      </c>
      <c r="AH85" s="72">
        <f>(Tabella34[[#This Row],[selected region cumul. data]]-AG84)</f>
        <v>26</v>
      </c>
      <c r="AI85" s="72">
        <f>Tabella34[[#This Row],[selected region rate data]]-AH84</f>
        <v>1</v>
      </c>
      <c r="AJ85" s="77">
        <f>Tabella34[[#This Row],[selected region rate data]]*NOT(ISBLANK(Tabella34[[#This Row],[selected region rate data]]))</f>
        <v>26</v>
      </c>
      <c r="AK85" s="77">
        <f>Tabella8[[#This Row],[region fit]]</f>
        <v>89.478241588311164</v>
      </c>
      <c r="AL85" s="143">
        <f>(ATANH(alpha*Tabella34[[#This Row],[sel. region cumul. fit]]/Kl-(1-alpha*Tabella34[[#This Row],[sel. region cumul. fit]]/Kl)*TANH(phi_l))+phi_l)/psi_l-(Tabella34[[#This Row],[Day]]-pl)</f>
        <v>1.562020032859619</v>
      </c>
      <c r="AM85" s="77">
        <f>Tabella34[[#This Row],[sel. region cumul. fit]]/Kl</f>
        <v>6.8013852056202796E-3</v>
      </c>
      <c r="AN85" s="143">
        <f>Tabella3[[#This Row],[region fit]]</f>
        <v>55.88280775667738</v>
      </c>
      <c r="AO85" s="186">
        <f>Tabella34[[#This Row],[sel. region velocity]]/Tabella34[[#This Row],[sel. region cumul. fit]]</f>
        <v>0.62454074604856269</v>
      </c>
      <c r="AP85" s="241">
        <f>(LN(Tabella34[[#This Row],[Day]]-pr)-phi_r)/psi_r</f>
        <v>-29.863832734883207</v>
      </c>
      <c r="AQ85" s="244">
        <f>EXP(phi_r+psi_r*Tabella34[[#This Row],[x_r_alpha©+plus]])-(Tabella34[[#This Row],[Day]]-pr)</f>
        <v>1.6069483561562041</v>
      </c>
      <c r="AR85" s="244">
        <f>EXP(phi_r+psi_r*Tabella34[[#This Row],[x_r_alpha©-minus]])-(Tabella34[[#This Row],[Day]]-pr)</f>
        <v>1.1219832338444298</v>
      </c>
      <c r="AS85" s="244">
        <f>-psi_r+SQRT(psi_r^2-2*Tabella34[[#This Row],[c_r]])</f>
        <v>3.9903951530659785</v>
      </c>
      <c r="AT85" s="244">
        <f>-psi_r-SQRT(psi_r^2-2*Tabella34[[#This Row],[c_r]])</f>
        <v>-4.0306831627323163</v>
      </c>
      <c r="AU85" s="244">
        <f>phi_r-LN(alpha*Kr/(Tabella34[[#This Row],[sel. region velocity]]*psi_r*SQRTPI(2)))</f>
        <v>-8.0420092780558434</v>
      </c>
      <c r="AV85" s="244">
        <f>(ACOSH(SQRT(alpha*Kl*psi_l/(Tabella34[[#This Row],[sel. region velocity]]*(1+TANH(phi_l)))))+phi_l)/psi_l-(Tabella34[[#This Row],[Day]]-pl)</f>
        <v>126.00215020511077</v>
      </c>
      <c r="AW85" s="72">
        <f>-2*$BY$22*TANH($BY$22*(Tabella34[[#This Row],[Day]]-$BY$31)-$BY$21)*Tabella34[[#This Row],[sel. region velocity]]</f>
        <v>1.773404498808131</v>
      </c>
      <c r="AX85" s="77">
        <f>Tabella34[[#This Row],[sel. region acc. fit]]/y_l_peak</f>
        <v>1.2044737510416448E-2</v>
      </c>
      <c r="AY85" s="143">
        <f>Tabella34[[#This Row],[sel. region acc. fit]]*NOT(ISBLANK(Tabella34[[#This Row],[selected region rate data]]))</f>
        <v>1.773404498808131</v>
      </c>
      <c r="AZ85" s="77">
        <f>Tabella34[[#This Row],[sel. region acc. fit]]+CIl</f>
        <v>71.138390873908534</v>
      </c>
      <c r="BA85" s="77">
        <f>MAX(Tabella34[[#This Row],[sel. region acc. fit]]-CIl,0)</f>
        <v>0</v>
      </c>
      <c r="BB85" s="10">
        <f>Tabella8[[#This Row],[rest of Italy ]]</f>
        <v>6860</v>
      </c>
      <c r="BC85" s="10">
        <f>(Tabella34[[#This Row],[rest of Italy cum. Data]]-BB84)</f>
        <v>1533</v>
      </c>
      <c r="BD85" s="10">
        <f>Tabella34[[#This Row],[rest of Italy rate data]]-BC84</f>
        <v>1021</v>
      </c>
      <c r="BE85" s="77">
        <f>Tabella34[[#This Row],[rest of Italy rate data]]*NOT(ISBLANK(Tabella34[[#This Row],[rest of Italy rate data]]))</f>
        <v>1533</v>
      </c>
      <c r="BF85" s="77">
        <f>Tabella8[[#This Row],[rest of Italy fit]]</f>
        <v>8352.3312227389069</v>
      </c>
      <c r="BG85" s="78">
        <f>(ATANH(alpha*Tabella34[[#This Row],[rest of Italy cumul. fit]]/Ka-(1-alpha*Tabella34[[#This Row],[rest of Italy cumul. fit]]/Ka)*TANH(phi_a))+phi_a)/psi_a-(Tabella34[[#This Row],[Day]]-pa)</f>
        <v>7.0785586907617279</v>
      </c>
      <c r="BH85" s="77">
        <f>Tabella34[[#This Row],[rest of Italy cumul. fit]]/Ka</f>
        <v>3.7649550294569713E-2</v>
      </c>
      <c r="BI85" s="143">
        <f>Tabella3[[#This Row],[rest of Italy fit]]</f>
        <v>1018.4435677851533</v>
      </c>
      <c r="BJ85" s="183">
        <f>Tabella34[[#This Row],[rest of Italy velocity]]/Tabella34[[#This Row],[rest of Italy cumul. fit]]</f>
        <v>0.12193524665454826</v>
      </c>
      <c r="BK85" s="236">
        <f>(LN(Tabella34[[#This Row],[Day]]-po)-phi_o)/psi_o</f>
        <v>35.691054843800146</v>
      </c>
      <c r="BL85" s="244">
        <f>EXP(phi_o+psi_o*Tabella34[[#This Row],[x_o_alpha©+plus]])-(Tabella34[[#This Row],[Day]]-po)</f>
        <v>-5.6503376243103363</v>
      </c>
      <c r="BM85" s="244">
        <f>EXP(phi_o+psi_o*Tabella34[[#This Row],[x_o_alpha©-minus]])-(Tabella34[[#This Row],[Day]]-po)</f>
        <v>-6.4516985953732675</v>
      </c>
      <c r="BN85" s="244">
        <f>-psi_o+SQRT(psi_o^2-2*Tabella34[[#This Row],[c_o]])</f>
        <v>3.8273003928019609</v>
      </c>
      <c r="BO85" s="244">
        <f>-psi_o-SQRT(psi_o^2-2*Tabella34[[#This Row],[c_o]])</f>
        <v>-3.8786136770696142</v>
      </c>
      <c r="BP85" s="244">
        <f>phi_o-LN(alpha*Ko/(Tabella34[[#This Row],[rest of Italy velocity]]*psi_o*SQRTPI(2)))</f>
        <v>-7.4223098248877957</v>
      </c>
      <c r="BQ85" s="244">
        <f>(ACOSH(SQRT(alpha*Ka*psi_a/(Tabella34[[#This Row],[rest of Italy velocity]]*(1+TANH(phi_a)))))+phi_a)/psi_a-(Tabella34[[#This Row],[Day]]-pa)</f>
        <v>104.33872028516048</v>
      </c>
      <c r="BR85" s="72">
        <f>-2*$BY$35*TANH($BY$35*(Tabella34[[#This Row],[Day]]-$BY$44)-$BY$34)*Tabella34[[#This Row],[rest of Italy velocity]]</f>
        <v>42.542895442544783</v>
      </c>
      <c r="BS85" s="77">
        <f>Tabella34[[#This Row],[rest of Italy acc. fit]]/y_a_peak</f>
        <v>1.4089624935496457E-2</v>
      </c>
      <c r="BT85" s="77">
        <f>Tabella34[[#This Row],[rest of Italy acc. fit]]*NOT(ISBLANK(Tabella34[[#This Row],[rest of Italy rate data]]))</f>
        <v>42.542895442544783</v>
      </c>
      <c r="BU85" s="77">
        <f>Tabella34[[#This Row],[rest of Italy acc. fit]]+CIa</f>
        <v>1676.6768353963462</v>
      </c>
      <c r="BV85" s="77">
        <f>MAX(Tabella34[[#This Row],[rest of Italy acc. fit]]-CIa,0)</f>
        <v>0</v>
      </c>
    </row>
    <row r="86" spans="2:74" x14ac:dyDescent="0.3">
      <c r="B86" s="262">
        <v>43909</v>
      </c>
      <c r="C86" s="29">
        <v>79</v>
      </c>
      <c r="D86" s="10">
        <f>Tabella8[[#This Row],[Italy cumulative]]</f>
        <v>7845</v>
      </c>
      <c r="E86" s="72">
        <f>(Tabella34[[#This Row],[Italy cumul. data]]-D85)</f>
        <v>842</v>
      </c>
      <c r="F86" s="72">
        <f>Tabella34[[#This Row],[Italy rate data]]-E85</f>
        <v>-717</v>
      </c>
      <c r="G86" s="77">
        <f>Tabella34[[#This Row],[Italy rate data]]*NOT(ISBLANK(Tabella34[[#This Row],[Italy rate data]]))</f>
        <v>842</v>
      </c>
      <c r="H86" s="143">
        <f>Tabella8[[#This Row],[Italy fit]]</f>
        <v>9561.0017700512126</v>
      </c>
      <c r="I86" s="143">
        <f>(ATANH(alpha*Tabella34[[#This Row],[Italy cumul. Fit]]/Kf-(1-alpha*Tabella34[[#This Row],[Italy cumul. Fit]]/Kf)*TANH(phi_f))+phi_f)/psi_f-(Tabella34[[#This Row],[Day]]-pf)</f>
        <v>7.3379748309951154</v>
      </c>
      <c r="J86" s="143">
        <f>Tabella34[[#This Row],[Italy d.t.]]/Italy_dt_at_lockdown</f>
        <v>3.2329428837663627</v>
      </c>
      <c r="K86" s="77">
        <f>Tabella34[[#This Row],[Italy cumul. Fit]]/Kf</f>
        <v>4.0685113651185427E-2</v>
      </c>
      <c r="L86" s="146">
        <f>Tabella34[[#This Row],[sel. region acc. fit]]+Tabella34[[#This Row],[rest of Italy acc. fit]]</f>
        <v>45.678539751171449</v>
      </c>
      <c r="M86" s="77">
        <f>Tabella34[[#This Row],[Italy (fit of selected region + fitted sum of the other regions)]]/(y_l_peak+y_a_peak)</f>
        <v>1.4424726730094289E-2</v>
      </c>
      <c r="N86" s="143">
        <f>Tabella3[[#This Row],[Italy remov. rate fit]]</f>
        <v>1124.0003290936158</v>
      </c>
      <c r="O86" s="143">
        <f>Kt*EXP(-0.5*Tabella34[[#This Row],[x_t]]^2)/(psi_t*SQRTPI(2)*(Tabella34[[#This Row],[Day]]-D_bk))</f>
        <v>0</v>
      </c>
      <c r="P86" s="183">
        <f>Tabella34[[#This Row],[Italy velocity]]/Tabella34[[#This Row],[Italy cumul. Fit]]</f>
        <v>0.11756093724555343</v>
      </c>
      <c r="Q86" s="244">
        <f>(LN(Tabella34[[#This Row],[Day]]-D_bk)-phi_t)/psi_t</f>
        <v>38.861087217507354</v>
      </c>
      <c r="R86" s="244">
        <f>EXP(phi_t+psi_t*Tabella34[[#This Row],[x_t_alpha©+plus]])-(Tabella34[[#This Row],[Day]]-D_bk)</f>
        <v>-6.177625830087405</v>
      </c>
      <c r="S86" s="244">
        <f>EXP(phi_t+psi_t*Tabella34[[#This Row],[x_t_alpha©-minus]])-(Tabella34[[#This Row],[Day]]-D_bk)</f>
        <v>-6.9456806339197055</v>
      </c>
      <c r="T86" s="244">
        <f>-psi_t+SQRT(psi_t^2-2*Tabella34[[#This Row],[c_t]])</f>
        <v>3.8280880801535369</v>
      </c>
      <c r="U86" s="244">
        <f>-psi_t-SQRT(psi_t^2-2*Tabella34[[#This Row],[c_t]])</f>
        <v>-3.8786067548509089</v>
      </c>
      <c r="V86" s="244">
        <f>phi_t-LN(alpha*Kt/(Tabella34[[#This Row],[Italy velocity]]*psi_t*SQRTPI(2)))</f>
        <v>-7.4238241429238769</v>
      </c>
      <c r="W86" s="244">
        <f>Tabella34[[#This Row],[Italy g.r.]]/Italy_gr_at_lockdown</f>
        <v>0.28041344270388008</v>
      </c>
      <c r="X86" s="244">
        <f>(ACOSH(SQRT(alpha*Kf*psi_f/(Tabella34[[#This Row],[Italy velocity]]*(1+TANH(phi_f)))))+phi_f)/psi_f-(Tabella34[[#This Row],[Day]]-pf)</f>
        <v>103.50789687664557</v>
      </c>
      <c r="Y86" s="244">
        <f>Tabella34[[#This Row],[Italy h.t.]]/Italy_ht_at_lockdown</f>
        <v>0.87158939209775532</v>
      </c>
      <c r="Z86" s="72">
        <f>-2*$BY$48*TANH($BY$48*(Tabella34[[#This Row],[Day]]-$BY$57)-$BY$47)*Tabella34[[#This Row],[Italy velocity]]</f>
        <v>45.574859848487201</v>
      </c>
      <c r="AA86" s="72">
        <f>Tabella34[[#This Row],[Italy acc. fit]]/Itali_acc_at_lockdown</f>
        <v>1.3021266306838881</v>
      </c>
      <c r="AB86" s="77">
        <f>Tabella34[[#This Row],[Italy acc. fit]]/y_f_peak</f>
        <v>1.4427038113635956E-2</v>
      </c>
      <c r="AC86" s="143">
        <f>Tabella34[[#This Row],[Italy (fit of selected region + fitted sum of the other regions)]]*NOT(ISBLANK(Tabella34[[#This Row],[Italy rate data]]))</f>
        <v>45.678539751171449</v>
      </c>
      <c r="AD86" s="143">
        <f>Tabella34[[#This Row],[Italy acc. fit]]*NOT(ISBLANK(Tabella34[[#This Row],[Italy rate data]]))</f>
        <v>45.574859848487201</v>
      </c>
      <c r="AE86" s="77">
        <f>Tabella34[[#This Row],[Italy acc. fit]]+CIf</f>
        <v>1700.7848287722386</v>
      </c>
      <c r="AF86" s="77">
        <f>MAX(Tabella34[[#This Row],[Italy acc. fit]]-CIf,0)</f>
        <v>0</v>
      </c>
      <c r="AG86" s="4">
        <f>Tabella8[[#This Row],[region data]]</f>
        <v>176</v>
      </c>
      <c r="AH86" s="72">
        <f>(Tabella34[[#This Row],[selected region cumul. data]]-AG85)</f>
        <v>33</v>
      </c>
      <c r="AI86" s="72">
        <f>Tabella34[[#This Row],[selected region rate data]]-AH85</f>
        <v>7</v>
      </c>
      <c r="AJ86" s="77">
        <f>Tabella34[[#This Row],[selected region rate data]]*NOT(ISBLANK(Tabella34[[#This Row],[selected region rate data]]))</f>
        <v>33</v>
      </c>
      <c r="AK86" s="77">
        <f>Tabella8[[#This Row],[region fit]]</f>
        <v>146.25424474947047</v>
      </c>
      <c r="AL86" s="143">
        <f>(ATANH(alpha*Tabella34[[#This Row],[sel. region cumul. fit]]/Kl-(1-alpha*Tabella34[[#This Row],[sel. region cumul. fit]]/Kl)*TANH(phi_l))+phi_l)/psi_l-(Tabella34[[#This Row],[Day]]-pl)</f>
        <v>2.4406151629877639</v>
      </c>
      <c r="AM86" s="77">
        <f>Tabella34[[#This Row],[sel. region cumul. fit]]/Kl</f>
        <v>1.1117020616866492E-2</v>
      </c>
      <c r="AN86" s="143">
        <f>Tabella3[[#This Row],[region fit]]</f>
        <v>57.675673183721671</v>
      </c>
      <c r="AO86" s="186">
        <f>Tabella34[[#This Row],[sel. region velocity]]/Tabella34[[#This Row],[sel. region cumul. fit]]</f>
        <v>0.3943521316767149</v>
      </c>
      <c r="AP86" s="241">
        <f>(LN(Tabella34[[#This Row],[Day]]-pr)-phi_r)/psi_r</f>
        <v>-6.270124063376425</v>
      </c>
      <c r="AQ86" s="244">
        <f>EXP(phi_r+psi_r*Tabella34[[#This Row],[x_r_alpha©+plus]])-(Tabella34[[#This Row],[Day]]-pr)</f>
        <v>0.60643232577261363</v>
      </c>
      <c r="AR86" s="244">
        <f>EXP(phi_r+psi_r*Tabella34[[#This Row],[x_r_alpha©-minus]])-(Tabella34[[#This Row],[Day]]-pr)</f>
        <v>0.12242234288875364</v>
      </c>
      <c r="AS86" s="244">
        <f>-psi_r+SQRT(psi_r^2-2*Tabella34[[#This Row],[c_r]])</f>
        <v>3.9825134803431497</v>
      </c>
      <c r="AT86" s="244">
        <f>-psi_r-SQRT(psi_r^2-2*Tabella34[[#This Row],[c_r]])</f>
        <v>-4.0228014900094875</v>
      </c>
      <c r="AU86" s="244">
        <f>phi_r-LN(alpha*Kr/(Tabella34[[#This Row],[sel. region velocity]]*psi_r*SQRTPI(2)))</f>
        <v>-8.0104305813536456</v>
      </c>
      <c r="AV86" s="244">
        <f>(ACOSH(SQRT(alpha*Kl*psi_l/(Tabella34[[#This Row],[sel. region velocity]]*(1+TANH(phi_l)))))+phi_l)/psi_l-(Tabella34[[#This Row],[Day]]-pl)</f>
        <v>124.12972279585892</v>
      </c>
      <c r="AW86" s="72">
        <f>-2*$BY$22*TANH($BY$22*(Tabella34[[#This Row],[Day]]-$BY$31)-$BY$21)*Tabella34[[#This Row],[sel. region velocity]]</f>
        <v>1.8122502706697594</v>
      </c>
      <c r="AX86" s="77">
        <f>Tabella34[[#This Row],[sel. region acc. fit]]/y_l_peak</f>
        <v>1.2308573045838453E-2</v>
      </c>
      <c r="AY86" s="143">
        <f>Tabella34[[#This Row],[sel. region acc. fit]]*NOT(ISBLANK(Tabella34[[#This Row],[selected region rate data]]))</f>
        <v>1.8122502706697594</v>
      </c>
      <c r="AZ86" s="77">
        <f>Tabella34[[#This Row],[sel. region acc. fit]]+CIl</f>
        <v>71.177236645770165</v>
      </c>
      <c r="BA86" s="77">
        <f>MAX(Tabella34[[#This Row],[sel. region acc. fit]]-CIl,0)</f>
        <v>0</v>
      </c>
      <c r="BB86" s="10">
        <f>Tabella8[[#This Row],[rest of Italy ]]</f>
        <v>7669</v>
      </c>
      <c r="BC86" s="10">
        <f>(Tabella34[[#This Row],[rest of Italy cum. Data]]-BB85)</f>
        <v>809</v>
      </c>
      <c r="BD86" s="10">
        <f>Tabella34[[#This Row],[rest of Italy rate data]]-BC85</f>
        <v>-724</v>
      </c>
      <c r="BE86" s="77">
        <f>Tabella34[[#This Row],[rest of Italy rate data]]*NOT(ISBLANK(Tabella34[[#This Row],[rest of Italy rate data]]))</f>
        <v>809</v>
      </c>
      <c r="BF86" s="77">
        <f>Tabella8[[#This Row],[rest of Italy fit]]</f>
        <v>9392.2669547310088</v>
      </c>
      <c r="BG86" s="78">
        <f>(ATANH(alpha*Tabella34[[#This Row],[rest of Italy cumul. fit]]/Ka-(1-alpha*Tabella34[[#This Row],[rest of Italy cumul. fit]]/Ka)*TANH(phi_a))+phi_a)/psi_a-(Tabella34[[#This Row],[Day]]-pa)</f>
        <v>7.5736819194365239</v>
      </c>
      <c r="BH86" s="77">
        <f>Tabella34[[#This Row],[rest of Italy cumul. fit]]/Ka</f>
        <v>4.2337237073341603E-2</v>
      </c>
      <c r="BI86" s="143">
        <f>Tabella3[[#This Row],[rest of Italy fit]]</f>
        <v>1061.6484757560715</v>
      </c>
      <c r="BJ86" s="183">
        <f>Tabella34[[#This Row],[rest of Italy velocity]]/Tabella34[[#This Row],[rest of Italy cumul. fit]]</f>
        <v>0.11303431651517371</v>
      </c>
      <c r="BK86" s="236">
        <f>(LN(Tabella34[[#This Row],[Day]]-po)-phi_o)/psi_o</f>
        <v>39.364727767708231</v>
      </c>
      <c r="BL86" s="244">
        <f>EXP(phi_o+psi_o*Tabella34[[#This Row],[x_o_alpha©+plus]])-(Tabella34[[#This Row],[Day]]-po)</f>
        <v>-6.6515750705012744</v>
      </c>
      <c r="BM86" s="244">
        <f>EXP(phi_o+psi_o*Tabella34[[#This Row],[x_o_alpha©-minus]])-(Tabella34[[#This Row],[Day]]-po)</f>
        <v>-7.4506828538581633</v>
      </c>
      <c r="BN86" s="244">
        <f>-psi_o+SQRT(psi_o^2-2*Tabella34[[#This Row],[c_o]])</f>
        <v>3.8165020319931973</v>
      </c>
      <c r="BO86" s="244">
        <f>-psi_o-SQRT(psi_o^2-2*Tabella34[[#This Row],[c_o]])</f>
        <v>-3.8678153162608506</v>
      </c>
      <c r="BP86" s="244">
        <f>phi_o-LN(alpha*Ko/(Tabella34[[#This Row],[rest of Italy velocity]]*psi_o*SQRTPI(2)))</f>
        <v>-7.3807625069419736</v>
      </c>
      <c r="BQ86" s="244">
        <f>(ACOSH(SQRT(alpha*Ka*psi_a/(Tabella34[[#This Row],[rest of Italy velocity]]*(1+TANH(phi_a)))))+phi_a)/psi_a-(Tabella34[[#This Row],[Day]]-pa)</f>
        <v>102.44879936765385</v>
      </c>
      <c r="BR86" s="72">
        <f>-2*$BY$35*TANH($BY$35*(Tabella34[[#This Row],[Day]]-$BY$44)-$BY$34)*Tabella34[[#This Row],[rest of Italy velocity]]</f>
        <v>43.866289480501692</v>
      </c>
      <c r="BS86" s="77">
        <f>Tabella34[[#This Row],[rest of Italy acc. fit]]/y_a_peak</f>
        <v>1.4527914935335961E-2</v>
      </c>
      <c r="BT86" s="77">
        <f>Tabella34[[#This Row],[rest of Italy acc. fit]]*NOT(ISBLANK(Tabella34[[#This Row],[rest of Italy rate data]]))</f>
        <v>43.866289480501692</v>
      </c>
      <c r="BU86" s="77">
        <f>Tabella34[[#This Row],[rest of Italy acc. fit]]+CIa</f>
        <v>1678.0002294343033</v>
      </c>
      <c r="BV86" s="77">
        <f>MAX(Tabella34[[#This Row],[rest of Italy acc. fit]]-CIa,0)</f>
        <v>0</v>
      </c>
    </row>
    <row r="87" spans="2:74" x14ac:dyDescent="0.3">
      <c r="B87" s="262">
        <v>43910</v>
      </c>
      <c r="C87" s="29">
        <v>80</v>
      </c>
      <c r="D87" s="10">
        <f>Tabella8[[#This Row],[Italy cumulative]]</f>
        <v>9161</v>
      </c>
      <c r="E87" s="72">
        <f>(Tabella34[[#This Row],[Italy cumul. data]]-D86)</f>
        <v>1316</v>
      </c>
      <c r="F87" s="72">
        <f>Tabella34[[#This Row],[Italy rate data]]-E86</f>
        <v>474</v>
      </c>
      <c r="G87" s="77">
        <f>Tabella34[[#This Row],[Italy rate data]]*NOT(ISBLANK(Tabella34[[#This Row],[Italy rate data]]))</f>
        <v>1316</v>
      </c>
      <c r="H87" s="143">
        <f>Tabella8[[#This Row],[Italy fit]]</f>
        <v>10708.01208875074</v>
      </c>
      <c r="I87" s="143">
        <f>(ATANH(alpha*Tabella34[[#This Row],[Italy cumul. Fit]]/Kf-(1-alpha*Tabella34[[#This Row],[Italy cumul. Fit]]/Kf)*TANH(phi_f))+phi_f)/psi_f-(Tabella34[[#This Row],[Day]]-pf)</f>
        <v>7.8328831653144171</v>
      </c>
      <c r="J87" s="143">
        <f>Tabella34[[#This Row],[Italy d.t.]]/Italy_dt_at_lockdown</f>
        <v>3.4509881093776462</v>
      </c>
      <c r="K87" s="77">
        <f>Tabella34[[#This Row],[Italy cumul. Fit]]/Kf</f>
        <v>4.5566008592712322E-2</v>
      </c>
      <c r="L87" s="146">
        <f>Tabella34[[#This Row],[sel. region acc. fit]]+Tabella34[[#This Row],[rest of Italy acc. fit]]</f>
        <v>47.033895173025471</v>
      </c>
      <c r="M87" s="77">
        <f>Tabella34[[#This Row],[Italy (fit of selected region + fitted sum of the other regions)]]/(y_l_peak+y_a_peak)</f>
        <v>1.4852731471246168E-2</v>
      </c>
      <c r="N87" s="143">
        <f>Tabella3[[#This Row],[Italy remov. rate fit]]</f>
        <v>1170.2424516068429</v>
      </c>
      <c r="O87" s="143">
        <f>Kt*EXP(-0.5*Tabella34[[#This Row],[x_t]]^2)/(psi_t*SQRTPI(2)*(Tabella34[[#This Row],[Day]]-D_bk))</f>
        <v>0</v>
      </c>
      <c r="P87" s="183">
        <f>Tabella34[[#This Row],[Italy velocity]]/Tabella34[[#This Row],[Italy cumul. Fit]]</f>
        <v>0.10928662032761773</v>
      </c>
      <c r="Q87" s="244">
        <f>(LN(Tabella34[[#This Row],[Day]]-D_bk)-phi_t)/psi_t</f>
        <v>42.456181721680345</v>
      </c>
      <c r="R87" s="244">
        <f>EXP(phi_t+psi_t*Tabella34[[#This Row],[x_t_alpha©+plus]])-(Tabella34[[#This Row],[Day]]-D_bk)</f>
        <v>-7.1787747562141577</v>
      </c>
      <c r="S87" s="244">
        <f>EXP(phi_t+psi_t*Tabella34[[#This Row],[x_t_alpha©-minus]])-(Tabella34[[#This Row],[Day]]-D_bk)</f>
        <v>-7.9447346915743928</v>
      </c>
      <c r="T87" s="244">
        <f>-psi_t+SQRT(psi_t^2-2*Tabella34[[#This Row],[c_t]])</f>
        <v>3.8176110100108192</v>
      </c>
      <c r="U87" s="244">
        <f>-psi_t-SQRT(psi_t^2-2*Tabella34[[#This Row],[c_t]])</f>
        <v>-3.8681296847081912</v>
      </c>
      <c r="V87" s="244">
        <f>phi_t-LN(alpha*Kt/(Tabella34[[#This Row],[Italy velocity]]*psi_t*SQRTPI(2)))</f>
        <v>-7.3835072362458352</v>
      </c>
      <c r="W87" s="244">
        <f>Tabella34[[#This Row],[Italy g.r.]]/Italy_gr_at_lockdown</f>
        <v>0.26067704260922137</v>
      </c>
      <c r="X87" s="244">
        <f>(ACOSH(SQRT(alpha*Kf*psi_f/(Tabella34[[#This Row],[Italy velocity]]*(1+TANH(phi_f)))))+phi_f)/psi_f-(Tabella34[[#This Row],[Day]]-pf)</f>
        <v>101.62575666857299</v>
      </c>
      <c r="Y87" s="244">
        <f>Tabella34[[#This Row],[Italy h.t.]]/Italy_ht_at_lockdown</f>
        <v>0.85574080962919519</v>
      </c>
      <c r="Z87" s="72">
        <f>-2*$BY$48*TANH($BY$48*(Tabella34[[#This Row],[Day]]-$BY$57)-$BY$47)*Tabella34[[#This Row],[Italy velocity]]</f>
        <v>46.907628216418452</v>
      </c>
      <c r="AA87" s="72">
        <f>Tabella34[[#This Row],[Italy acc. fit]]/Itali_acc_at_lockdown</f>
        <v>1.3402053694926479</v>
      </c>
      <c r="AB87" s="77">
        <f>Tabella34[[#This Row],[Italy acc. fit]]/y_f_peak</f>
        <v>1.484893518813526E-2</v>
      </c>
      <c r="AC87" s="143">
        <f>Tabella34[[#This Row],[Italy (fit of selected region + fitted sum of the other regions)]]*NOT(ISBLANK(Tabella34[[#This Row],[Italy rate data]]))</f>
        <v>47.033895173025471</v>
      </c>
      <c r="AD87" s="143">
        <f>Tabella34[[#This Row],[Italy acc. fit]]*NOT(ISBLANK(Tabella34[[#This Row],[Italy rate data]]))</f>
        <v>46.907628216418452</v>
      </c>
      <c r="AE87" s="77">
        <f>Tabella34[[#This Row],[Italy acc. fit]]+CIf</f>
        <v>1702.1175971401699</v>
      </c>
      <c r="AF87" s="77">
        <f>MAX(Tabella34[[#This Row],[Italy acc. fit]]-CIf,0)</f>
        <v>0</v>
      </c>
      <c r="AG87" s="4">
        <f>Tabella8[[#This Row],[region data]]</f>
        <v>220</v>
      </c>
      <c r="AH87" s="72">
        <f>(Tabella34[[#This Row],[selected region cumul. data]]-AG86)</f>
        <v>44</v>
      </c>
      <c r="AI87" s="72">
        <f>Tabella34[[#This Row],[selected region rate data]]-AH86</f>
        <v>11</v>
      </c>
      <c r="AJ87" s="77">
        <f>Tabella34[[#This Row],[selected region rate data]]*NOT(ISBLANK(Tabella34[[#This Row],[selected region rate data]]))</f>
        <v>44</v>
      </c>
      <c r="AK87" s="77">
        <f>Tabella8[[#This Row],[region fit]]</f>
        <v>204.84245522195209</v>
      </c>
      <c r="AL87" s="143">
        <f>(ATANH(alpha*Tabella34[[#This Row],[sel. region cumul. fit]]/Kl-(1-alpha*Tabella34[[#This Row],[sel. region cumul. fit]]/Kl)*TANH(phi_l))+phi_l)/psi_l-(Tabella34[[#This Row],[Day]]-pl)</f>
        <v>3.2721578085132608</v>
      </c>
      <c r="AM87" s="77">
        <f>Tabella34[[#This Row],[sel. region cumul. fit]]/Kl</f>
        <v>1.5570404823551197E-2</v>
      </c>
      <c r="AN87" s="143">
        <f>Tabella3[[#This Row],[region fit]]</f>
        <v>59.507136422883782</v>
      </c>
      <c r="AO87" s="186">
        <f>Tabella34[[#This Row],[sel. region velocity]]/Tabella34[[#This Row],[sel. region cumul. fit]]</f>
        <v>0.2905019682487513</v>
      </c>
      <c r="AP87" s="241">
        <f>(LN(Tabella34[[#This Row],[Day]]-pr)-phi_r)/psi_r</f>
        <v>9.6571557604494913</v>
      </c>
      <c r="AQ87" s="244">
        <f>EXP(phi_r+psi_r*Tabella34[[#This Row],[x_r_alpha©+plus]])-(Tabella34[[#This Row],[Day]]-pr)</f>
        <v>-0.39407943118529465</v>
      </c>
      <c r="AR87" s="244">
        <f>EXP(phi_r+psi_r*Tabella34[[#This Row],[x_r_alpha©-minus]])-(Tabella34[[#This Row],[Day]]-pr)</f>
        <v>-0.87714204674176299</v>
      </c>
      <c r="AS87" s="244">
        <f>-psi_r+SQRT(psi_r^2-2*Tabella34[[#This Row],[c_r]])</f>
        <v>3.9746958424173764</v>
      </c>
      <c r="AT87" s="244">
        <f>-psi_r-SQRT(psi_r^2-2*Tabella34[[#This Row],[c_r]])</f>
        <v>-4.0149838520837147</v>
      </c>
      <c r="AU87" s="244">
        <f>phi_r-LN(alpha*Kr/(Tabella34[[#This Row],[sel. region velocity]]*psi_r*SQRTPI(2)))</f>
        <v>-7.9791698121250212</v>
      </c>
      <c r="AV87" s="244">
        <f>(ACOSH(SQRT(alpha*Kl*psi_l/(Tabella34[[#This Row],[sel. region velocity]]*(1+TANH(phi_l)))))+phi_l)/psi_l-(Tabella34[[#This Row],[Day]]-pl)</f>
        <v>122.26276768817529</v>
      </c>
      <c r="AW87" s="72">
        <f>-2*$BY$22*TANH($BY$22*(Tabella34[[#This Row],[Day]]-$BY$31)-$BY$21)*Tabella34[[#This Row],[sel. region velocity]]</f>
        <v>1.8505801906904304</v>
      </c>
      <c r="AX87" s="77">
        <f>Tabella34[[#This Row],[sel. region acc. fit]]/y_l_peak</f>
        <v>1.2568904981251112E-2</v>
      </c>
      <c r="AY87" s="143">
        <f>Tabella34[[#This Row],[sel. region acc. fit]]*NOT(ISBLANK(Tabella34[[#This Row],[selected region rate data]]))</f>
        <v>1.8505801906904304</v>
      </c>
      <c r="AZ87" s="77">
        <f>Tabella34[[#This Row],[sel. region acc. fit]]+CIl</f>
        <v>71.215566565790837</v>
      </c>
      <c r="BA87" s="77">
        <f>MAX(Tabella34[[#This Row],[sel. region acc. fit]]-CIl,0)</f>
        <v>0</v>
      </c>
      <c r="BB87" s="10">
        <f>Tabella8[[#This Row],[rest of Italy ]]</f>
        <v>8941</v>
      </c>
      <c r="BC87" s="10">
        <f>(Tabella34[[#This Row],[rest of Italy cum. Data]]-BB86)</f>
        <v>1272</v>
      </c>
      <c r="BD87" s="10">
        <f>Tabella34[[#This Row],[rest of Italy rate data]]-BC86</f>
        <v>463</v>
      </c>
      <c r="BE87" s="77">
        <f>Tabella34[[#This Row],[rest of Italy rate data]]*NOT(ISBLANK(Tabella34[[#This Row],[rest of Italy rate data]]))</f>
        <v>1272</v>
      </c>
      <c r="BF87" s="77">
        <f>Tabella8[[#This Row],[rest of Italy fit]]</f>
        <v>10476.068447382966</v>
      </c>
      <c r="BG87" s="78">
        <f>(ATANH(alpha*Tabella34[[#This Row],[rest of Italy cumul. fit]]/Ka-(1-alpha*Tabella34[[#This Row],[rest of Italy cumul. fit]]/Ka)*TANH(phi_a))+phi_a)/psi_a-(Tabella34[[#This Row],[Day]]-pa)</f>
        <v>8.048102890757157</v>
      </c>
      <c r="BH87" s="77">
        <f>Tabella34[[#This Row],[rest of Italy cumul. fit]]/Ka</f>
        <v>4.7222656211873909E-2</v>
      </c>
      <c r="BI87" s="143">
        <f>Tabella3[[#This Row],[rest of Italy fit]]</f>
        <v>1106.1740289423929</v>
      </c>
      <c r="BJ87" s="183">
        <f>Tabella34[[#This Row],[rest of Italy velocity]]/Tabella34[[#This Row],[rest of Italy cumul. fit]]</f>
        <v>0.10559056906684558</v>
      </c>
      <c r="BK87" s="236">
        <f>(LN(Tabella34[[#This Row],[Day]]-po)-phi_o)/psi_o</f>
        <v>42.721771409295485</v>
      </c>
      <c r="BL87" s="244">
        <f>EXP(phi_o+psi_o*Tabella34[[#This Row],[x_o_alpha©+plus]])-(Tabella34[[#This Row],[Day]]-po)</f>
        <v>-7.6528018193517644</v>
      </c>
      <c r="BM87" s="244">
        <f>EXP(phi_o+psi_o*Tabella34[[#This Row],[x_o_alpha©-minus]])-(Tabella34[[#This Row],[Day]]-po)</f>
        <v>-8.44967533734075</v>
      </c>
      <c r="BN87" s="244">
        <f>-psi_o+SQRT(psi_o^2-2*Tabella34[[#This Row],[c_o]])</f>
        <v>3.8057940658666936</v>
      </c>
      <c r="BO87" s="244">
        <f>-psi_o-SQRT(psi_o^2-2*Tabella34[[#This Row],[c_o]])</f>
        <v>-3.8571073501343469</v>
      </c>
      <c r="BP87" s="244">
        <f>phi_o-LN(alpha*Ko/(Tabella34[[#This Row],[rest of Italy velocity]]*psi_o*SQRTPI(2)))</f>
        <v>-7.3396781322760525</v>
      </c>
      <c r="BQ87" s="244">
        <f>(ACOSH(SQRT(alpha*Ka*psi_a/(Tabella34[[#This Row],[rest of Italy velocity]]*(1+TANH(phi_a)))))+phi_a)/psi_a-(Tabella34[[#This Row],[Day]]-pa)</f>
        <v>100.56490800035691</v>
      </c>
      <c r="BR87" s="72">
        <f>-2*$BY$35*TANH($BY$35*(Tabella34[[#This Row],[Day]]-$BY$44)-$BY$34)*Tabella34[[#This Row],[rest of Italy velocity]]</f>
        <v>45.183314982335041</v>
      </c>
      <c r="BS87" s="77">
        <f>Tabella34[[#This Row],[rest of Italy acc. fit]]/y_a_peak</f>
        <v>1.4964095763140142E-2</v>
      </c>
      <c r="BT87" s="77">
        <f>Tabella34[[#This Row],[rest of Italy acc. fit]]*NOT(ISBLANK(Tabella34[[#This Row],[rest of Italy rate data]]))</f>
        <v>45.183314982335041</v>
      </c>
      <c r="BU87" s="77">
        <f>Tabella34[[#This Row],[rest of Italy acc. fit]]+CIa</f>
        <v>1679.3172549361366</v>
      </c>
      <c r="BV87" s="77">
        <f>MAX(Tabella34[[#This Row],[rest of Italy acc. fit]]-CIa,0)</f>
        <v>0</v>
      </c>
    </row>
    <row r="88" spans="2:74" x14ac:dyDescent="0.3">
      <c r="B88" s="262">
        <v>43911</v>
      </c>
      <c r="C88" s="29">
        <v>81</v>
      </c>
      <c r="D88" s="10">
        <f>Tabella8[[#This Row],[Italy cumulative]]</f>
        <v>10897</v>
      </c>
      <c r="E88" s="72">
        <f>(Tabella34[[#This Row],[Italy cumul. data]]-D87)</f>
        <v>1736</v>
      </c>
      <c r="F88" s="72">
        <f>Tabella34[[#This Row],[Italy rate data]]-E87</f>
        <v>420</v>
      </c>
      <c r="G88" s="77">
        <f>Tabella34[[#This Row],[Italy rate data]]*NOT(ISBLANK(Tabella34[[#This Row],[Italy rate data]]))</f>
        <v>1736</v>
      </c>
      <c r="H88" s="143">
        <f>Tabella8[[#This Row],[Italy fit]]</f>
        <v>11901.928923616581</v>
      </c>
      <c r="I88" s="143">
        <f>(ATANH(alpha*Tabella34[[#This Row],[Italy cumul. Fit]]/Kf-(1-alpha*Tabella34[[#This Row],[Italy cumul. Fit]]/Kf)*TANH(phi_f))+phi_f)/psi_f-(Tabella34[[#This Row],[Day]]-pf)</f>
        <v>8.3084545658968771</v>
      </c>
      <c r="J88" s="143">
        <f>Tabella34[[#This Row],[Italy d.t.]]/Italy_dt_at_lockdown</f>
        <v>3.6605139268745379</v>
      </c>
      <c r="K88" s="77">
        <f>Tabella34[[#This Row],[Italy cumul. Fit]]/Kf</f>
        <v>5.0646505729396787E-2</v>
      </c>
      <c r="L88" s="146">
        <f>Tabella34[[#This Row],[sel. region acc. fit]]+Tabella34[[#This Row],[rest of Italy acc. fit]]</f>
        <v>48.376789371072491</v>
      </c>
      <c r="M88" s="77">
        <f>Tabella34[[#This Row],[Italy (fit of selected region + fitted sum of the other regions)]]/(y_l_peak+y_a_peak)</f>
        <v>1.5276801109631677E-2</v>
      </c>
      <c r="N88" s="143">
        <f>Tabella3[[#This Row],[Italy remov. rate fit]]</f>
        <v>1217.8111348334685</v>
      </c>
      <c r="O88" s="143">
        <f>Kt*EXP(-0.5*Tabella34[[#This Row],[x_t]]^2)/(psi_t*SQRTPI(2)*(Tabella34[[#This Row],[Day]]-D_bk))</f>
        <v>0</v>
      </c>
      <c r="P88" s="183">
        <f>Tabella34[[#This Row],[Italy velocity]]/Tabella34[[#This Row],[Italy cumul. Fit]]</f>
        <v>0.10232048457431203</v>
      </c>
      <c r="Q88" s="244">
        <f>(LN(Tabella34[[#This Row],[Day]]-D_bk)-phi_t)/psi_t</f>
        <v>45.751812398555849</v>
      </c>
      <c r="R88" s="244">
        <f>EXP(phi_t+psi_t*Tabella34[[#This Row],[x_t_alpha©+plus]])-(Tabella34[[#This Row],[Day]]-D_bk)</f>
        <v>-8.179912995793245</v>
      </c>
      <c r="S88" s="244">
        <f>EXP(phi_t+psi_t*Tabella34[[#This Row],[x_t_alpha©-minus]])-(Tabella34[[#This Row],[Day]]-D_bk)</f>
        <v>-8.9437970538497193</v>
      </c>
      <c r="T88" s="244">
        <f>-psi_t+SQRT(psi_t^2-2*Tabella34[[#This Row],[c_t]])</f>
        <v>3.8072286557684696</v>
      </c>
      <c r="U88" s="244">
        <f>-psi_t-SQRT(psi_t^2-2*Tabella34[[#This Row],[c_t]])</f>
        <v>-3.8577473304658416</v>
      </c>
      <c r="V88" s="244">
        <f>phi_t-LN(alpha*Kt/(Tabella34[[#This Row],[Italy velocity]]*psi_t*SQRTPI(2)))</f>
        <v>-7.3436630916319334</v>
      </c>
      <c r="W88" s="244">
        <f>Tabella34[[#This Row],[Italy g.r.]]/Italy_gr_at_lockdown</f>
        <v>0.24406099518143581</v>
      </c>
      <c r="X88" s="244">
        <f>(ACOSH(SQRT(alpha*Kf*psi_f/(Tabella34[[#This Row],[Italy velocity]]*(1+TANH(phi_f)))))+phi_f)/psi_f-(Tabella34[[#This Row],[Day]]-pf)</f>
        <v>99.74997955543509</v>
      </c>
      <c r="Y88" s="244">
        <f>Tabella34[[#This Row],[Italy h.t.]]/Italy_ht_at_lockdown</f>
        <v>0.83994580767200999</v>
      </c>
      <c r="Z88" s="72">
        <f>-2*$BY$48*TANH($BY$48*(Tabella34[[#This Row],[Day]]-$BY$57)-$BY$47)*Tabella34[[#This Row],[Italy velocity]]</f>
        <v>48.227029550679383</v>
      </c>
      <c r="AA88" s="72">
        <f>Tabella34[[#This Row],[Italy acc. fit]]/Itali_acc_at_lockdown</f>
        <v>1.3779021966384157</v>
      </c>
      <c r="AB88" s="77">
        <f>Tabella34[[#This Row],[Italy acc. fit]]/y_f_peak</f>
        <v>1.526660083537688E-2</v>
      </c>
      <c r="AC88" s="143">
        <f>Tabella34[[#This Row],[Italy (fit of selected region + fitted sum of the other regions)]]*NOT(ISBLANK(Tabella34[[#This Row],[Italy rate data]]))</f>
        <v>48.376789371072491</v>
      </c>
      <c r="AD88" s="143">
        <f>Tabella34[[#This Row],[Italy acc. fit]]*NOT(ISBLANK(Tabella34[[#This Row],[Italy rate data]]))</f>
        <v>48.227029550679383</v>
      </c>
      <c r="AE88" s="77">
        <f>Tabella34[[#This Row],[Italy acc. fit]]+CIf</f>
        <v>1703.4369984744308</v>
      </c>
      <c r="AF88" s="77">
        <f>MAX(Tabella34[[#This Row],[Italy acc. fit]]-CIf,0)</f>
        <v>0</v>
      </c>
      <c r="AG88" s="4">
        <f>Tabella8[[#This Row],[region data]]</f>
        <v>277</v>
      </c>
      <c r="AH88" s="72">
        <f>(Tabella34[[#This Row],[selected region cumul. data]]-AG87)</f>
        <v>57</v>
      </c>
      <c r="AI88" s="72">
        <f>Tabella34[[#This Row],[selected region rate data]]-AH87</f>
        <v>13</v>
      </c>
      <c r="AJ88" s="77">
        <f>Tabella34[[#This Row],[selected region rate data]]*NOT(ISBLANK(Tabella34[[#This Row],[selected region rate data]]))</f>
        <v>57</v>
      </c>
      <c r="AK88" s="77">
        <f>Tabella8[[#This Row],[region fit]]</f>
        <v>265.28119267678937</v>
      </c>
      <c r="AL88" s="143">
        <f>(ATANH(alpha*Tabella34[[#This Row],[sel. region cumul. fit]]/Kl-(1-alpha*Tabella34[[#This Row],[sel. region cumul. fit]]/Kl)*TANH(phi_l))+phi_l)/psi_l-(Tabella34[[#This Row],[Day]]-pl)</f>
        <v>4.061773149807415</v>
      </c>
      <c r="AM88" s="77">
        <f>Tabella34[[#This Row],[sel. region cumul. fit]]/Kl</f>
        <v>2.0164450565565394E-2</v>
      </c>
      <c r="AN88" s="143">
        <f>Tabella3[[#This Row],[region fit]]</f>
        <v>61.376620694196077</v>
      </c>
      <c r="AO88" s="186">
        <f>Tabella34[[#This Row],[sel. region velocity]]/Tabella34[[#This Row],[sel. region cumul. fit]]</f>
        <v>0.23136438763292017</v>
      </c>
      <c r="AP88" s="241">
        <f>(LN(Tabella34[[#This Row],[Day]]-pr)-phi_r)/psi_r</f>
        <v>21.696600465781039</v>
      </c>
      <c r="AQ88" s="244">
        <f>EXP(phi_r+psi_r*Tabella34[[#This Row],[x_r_alpha©+plus]])-(Tabella34[[#This Row],[Day]]-pr)</f>
        <v>-1.394586726356851</v>
      </c>
      <c r="AR88" s="244">
        <f>EXP(phi_r+psi_r*Tabella34[[#This Row],[x_r_alpha©-minus]])-(Tabella34[[#This Row],[Day]]-pr)</f>
        <v>-1.8767100988283163</v>
      </c>
      <c r="AS88" s="244">
        <f>-psi_r+SQRT(psi_r^2-2*Tabella34[[#This Row],[c_r]])</f>
        <v>3.9669451478298017</v>
      </c>
      <c r="AT88" s="244">
        <f>-psi_r-SQRT(psi_r^2-2*Tabella34[[#This Row],[c_r]])</f>
        <v>-4.00723315749614</v>
      </c>
      <c r="AU88" s="244">
        <f>phi_r-LN(alpha*Kr/(Tabella34[[#This Row],[sel. region velocity]]*psi_r*SQRTPI(2)))</f>
        <v>-7.9482370651760048</v>
      </c>
      <c r="AV88" s="244">
        <f>(ACOSH(SQRT(alpha*Kl*psi_l/(Tabella34[[#This Row],[sel. region velocity]]*(1+TANH(phi_l)))))+phi_l)/psi_l-(Tabella34[[#This Row],[Day]]-pl)</f>
        <v>120.40152479231567</v>
      </c>
      <c r="AW88" s="72">
        <f>-2*$BY$22*TANH($BY$22*(Tabella34[[#This Row],[Day]]-$BY$31)-$BY$21)*Tabella34[[#This Row],[sel. region velocity]]</f>
        <v>1.8882712726444704</v>
      </c>
      <c r="AX88" s="77">
        <f>Tabella34[[#This Row],[sel. region acc. fit]]/y_l_peak</f>
        <v>1.2824898009872115E-2</v>
      </c>
      <c r="AY88" s="143">
        <f>Tabella34[[#This Row],[sel. region acc. fit]]*NOT(ISBLANK(Tabella34[[#This Row],[selected region rate data]]))</f>
        <v>1.8882712726444704</v>
      </c>
      <c r="AZ88" s="77">
        <f>Tabella34[[#This Row],[sel. region acc. fit]]+CIl</f>
        <v>71.253257647744874</v>
      </c>
      <c r="BA88" s="77">
        <f>MAX(Tabella34[[#This Row],[sel. region acc. fit]]-CIl,0)</f>
        <v>0</v>
      </c>
      <c r="BB88" s="10">
        <f>Tabella8[[#This Row],[rest of Italy ]]</f>
        <v>10620</v>
      </c>
      <c r="BC88" s="10">
        <f>(Tabella34[[#This Row],[rest of Italy cum. Data]]-BB87)</f>
        <v>1679</v>
      </c>
      <c r="BD88" s="10">
        <f>Tabella34[[#This Row],[rest of Italy rate data]]-BC87</f>
        <v>407</v>
      </c>
      <c r="BE88" s="77">
        <f>Tabella34[[#This Row],[rest of Italy rate data]]*NOT(ISBLANK(Tabella34[[#This Row],[rest of Italy rate data]]))</f>
        <v>1679</v>
      </c>
      <c r="BF88" s="77">
        <f>Tabella8[[#This Row],[rest of Italy fit]]</f>
        <v>11605.052271743623</v>
      </c>
      <c r="BG88" s="78">
        <f>(ATANH(alpha*Tabella34[[#This Row],[rest of Italy cumul. fit]]/Ka-(1-alpha*Tabella34[[#This Row],[rest of Italy cumul. fit]]/Ka)*TANH(phi_a))+phi_a)/psi_a-(Tabella34[[#This Row],[Day]]-pa)</f>
        <v>8.5044848298672804</v>
      </c>
      <c r="BH88" s="77">
        <f>Tabella34[[#This Row],[rest of Italy cumul. fit]]/Ka</f>
        <v>5.2311742377578394E-2</v>
      </c>
      <c r="BI88" s="143">
        <f>Tabella3[[#This Row],[rest of Italy fit]]</f>
        <v>1152.0111700589805</v>
      </c>
      <c r="BJ88" s="183">
        <f>Tabella34[[#This Row],[rest of Italy velocity]]/Tabella34[[#This Row],[rest of Italy cumul. fit]]</f>
        <v>9.9268072481150008E-2</v>
      </c>
      <c r="BK88" s="236">
        <f>(LN(Tabella34[[#This Row],[Day]]-po)-phi_o)/psi_o</f>
        <v>45.812460969688587</v>
      </c>
      <c r="BL88" s="244">
        <f>EXP(phi_o+psi_o*Tabella34[[#This Row],[x_o_alpha©+plus]])-(Tabella34[[#This Row],[Day]]-po)</f>
        <v>-8.6540172105997328</v>
      </c>
      <c r="BM88" s="244">
        <f>EXP(phi_o+psi_o*Tabella34[[#This Row],[x_o_alpha©-minus]])-(Tabella34[[#This Row],[Day]]-po)</f>
        <v>-9.4486766025579083</v>
      </c>
      <c r="BN88" s="244">
        <f>-psi_o+SQRT(psi_o^2-2*Tabella34[[#This Row],[c_o]])</f>
        <v>3.7951823353787955</v>
      </c>
      <c r="BO88" s="244">
        <f>-psi_o-SQRT(psi_o^2-2*Tabella34[[#This Row],[c_o]])</f>
        <v>-3.8464956196464488</v>
      </c>
      <c r="BP88" s="244">
        <f>phi_o-LN(alpha*Ko/(Tabella34[[#This Row],[rest of Italy velocity]]*psi_o*SQRTPI(2)))</f>
        <v>-7.2990761143970584</v>
      </c>
      <c r="BQ88" s="244">
        <f>(ACOSH(SQRT(alpha*Ka*psi_a/(Tabella34[[#This Row],[rest of Italy velocity]]*(1+TANH(phi_a)))))+phi_a)/psi_a-(Tabella34[[#This Row],[Day]]-pa)</f>
        <v>98.687384315359679</v>
      </c>
      <c r="BR88" s="72">
        <f>-2*$BY$35*TANH($BY$35*(Tabella34[[#This Row],[Day]]-$BY$44)-$BY$34)*Tabella34[[#This Row],[rest of Italy velocity]]</f>
        <v>46.488518098428017</v>
      </c>
      <c r="BS88" s="77">
        <f>Tabella34[[#This Row],[rest of Italy acc. fit]]/y_a_peak</f>
        <v>1.539636117853076E-2</v>
      </c>
      <c r="BT88" s="77">
        <f>Tabella34[[#This Row],[rest of Italy acc. fit]]*NOT(ISBLANK(Tabella34[[#This Row],[rest of Italy rate data]]))</f>
        <v>46.488518098428017</v>
      </c>
      <c r="BU88" s="77">
        <f>Tabella34[[#This Row],[rest of Italy acc. fit]]+CIa</f>
        <v>1680.6224580522294</v>
      </c>
      <c r="BV88" s="77">
        <f>MAX(Tabella34[[#This Row],[rest of Italy acc. fit]]-CIa,0)</f>
        <v>0</v>
      </c>
    </row>
    <row r="89" spans="2:74" x14ac:dyDescent="0.3">
      <c r="B89" s="262">
        <v>43912</v>
      </c>
      <c r="C89" s="29">
        <v>82</v>
      </c>
      <c r="D89" s="10">
        <f>Tabella8[[#This Row],[Italy cumulative]]</f>
        <v>12500</v>
      </c>
      <c r="E89" s="72">
        <f>(Tabella34[[#This Row],[Italy cumul. data]]-D88)</f>
        <v>1603</v>
      </c>
      <c r="F89" s="72">
        <f>Tabella34[[#This Row],[Italy rate data]]-E88</f>
        <v>-133</v>
      </c>
      <c r="G89" s="77">
        <f>Tabella34[[#This Row],[Italy rate data]]*NOT(ISBLANK(Tabella34[[#This Row],[Italy rate data]]))</f>
        <v>1603</v>
      </c>
      <c r="H89" s="143">
        <f>Tabella8[[#This Row],[Italy fit]]</f>
        <v>13144.07118138202</v>
      </c>
      <c r="I89" s="143">
        <f>(ATANH(alpha*Tabella34[[#This Row],[Italy cumul. Fit]]/Kf-(1-alpha*Tabella34[[#This Row],[Italy cumul. Fit]]/Kf)*TANH(phi_f))+phi_f)/psi_f-(Tabella34[[#This Row],[Day]]-pf)</f>
        <v>8.7672400699572286</v>
      </c>
      <c r="J89" s="143">
        <f>Tabella34[[#This Row],[Italy d.t.]]/Italy_dt_at_lockdown</f>
        <v>3.8626442645614465</v>
      </c>
      <c r="K89" s="77">
        <f>Tabella34[[#This Row],[Italy cumul. Fit]]/Kf</f>
        <v>5.5932217430280227E-2</v>
      </c>
      <c r="L89" s="146">
        <f>Tabella34[[#This Row],[sel. region acc. fit]]+Tabella34[[#This Row],[rest of Italy acc. fit]]</f>
        <v>49.701177203943637</v>
      </c>
      <c r="M89" s="77">
        <f>Tabella34[[#This Row],[Italy (fit of selected region + fitted sum of the other regions)]]/(y_l_peak+y_a_peak)</f>
        <v>1.5695026663204416E-2</v>
      </c>
      <c r="N89" s="143">
        <f>Tabella3[[#This Row],[Italy remov. rate fit]]</f>
        <v>1266.6900815938557</v>
      </c>
      <c r="O89" s="143">
        <f>Kt*EXP(-0.5*Tabella34[[#This Row],[x_t]]^2)/(psi_t*SQRTPI(2)*(Tabella34[[#This Row],[Day]]-D_bk))</f>
        <v>0</v>
      </c>
      <c r="P89" s="183">
        <f>Tabella34[[#This Row],[Italy velocity]]/Tabella34[[#This Row],[Italy cumul. Fit]]</f>
        <v>9.6369691255785705E-2</v>
      </c>
      <c r="Q89" s="244">
        <f>(LN(Tabella34[[#This Row],[Day]]-D_bk)-phi_t)/psi_t</f>
        <v>48.794055181392331</v>
      </c>
      <c r="R89" s="244">
        <f>EXP(phi_t+psi_t*Tabella34[[#This Row],[x_t_alpha©+plus]])-(Tabella34[[#This Row],[Day]]-D_bk)</f>
        <v>-9.1810399215670593</v>
      </c>
      <c r="S89" s="244">
        <f>EXP(phi_t+psi_t*Tabella34[[#This Row],[x_t_alpha©-minus]])-(Tabella34[[#This Row],[Day]]-D_bk)</f>
        <v>-9.9428682513252511</v>
      </c>
      <c r="T89" s="244">
        <f>-psi_t+SQRT(psi_t^2-2*Tabella34[[#This Row],[c_t]])</f>
        <v>3.7969468164014453</v>
      </c>
      <c r="U89" s="244">
        <f>-psi_t-SQRT(psi_t^2-2*Tabella34[[#This Row],[c_t]])</f>
        <v>-3.8474654910988173</v>
      </c>
      <c r="V89" s="244">
        <f>phi_t-LN(alpha*Kt/(Tabella34[[#This Row],[Italy velocity]]*psi_t*SQRTPI(2)))</f>
        <v>-7.3043109238210384</v>
      </c>
      <c r="W89" s="244">
        <f>Tabella34[[#This Row],[Italy g.r.]]/Italy_gr_at_lockdown</f>
        <v>0.22986680380831173</v>
      </c>
      <c r="X89" s="244">
        <f>(ACOSH(SQRT(alpha*Kf*psi_f/(Tabella34[[#This Row],[Italy velocity]]*(1+TANH(phi_f)))))+phi_f)/psi_f-(Tabella34[[#This Row],[Day]]-pf)</f>
        <v>97.880917039962753</v>
      </c>
      <c r="Y89" s="244">
        <f>Tabella34[[#This Row],[Italy h.t.]]/Italy_ht_at_lockdown</f>
        <v>0.82420734605883816</v>
      </c>
      <c r="Z89" s="72">
        <f>-2*$BY$48*TANH($BY$48*(Tabella34[[#This Row],[Day]]-$BY$57)-$BY$47)*Tabella34[[#This Row],[Italy velocity]]</f>
        <v>49.527128484067873</v>
      </c>
      <c r="AA89" s="72">
        <f>Tabella34[[#This Row],[Italy acc. fit]]/Itali_acc_at_lockdown</f>
        <v>1.4150475317928597</v>
      </c>
      <c r="AB89" s="77">
        <f>Tabella34[[#This Row],[Italy acc. fit]]/y_f_peak</f>
        <v>1.5678156173689475E-2</v>
      </c>
      <c r="AC89" s="143">
        <f>Tabella34[[#This Row],[Italy (fit of selected region + fitted sum of the other regions)]]*NOT(ISBLANK(Tabella34[[#This Row],[Italy rate data]]))</f>
        <v>49.701177203943637</v>
      </c>
      <c r="AD89" s="143">
        <f>Tabella34[[#This Row],[Italy acc. fit]]*NOT(ISBLANK(Tabella34[[#This Row],[Italy rate data]]))</f>
        <v>49.527128484067873</v>
      </c>
      <c r="AE89" s="77">
        <f>Tabella34[[#This Row],[Italy acc. fit]]+CIf</f>
        <v>1704.7370974078192</v>
      </c>
      <c r="AF89" s="77">
        <f>MAX(Tabella34[[#This Row],[Italy acc. fit]]-CIf,0)</f>
        <v>0</v>
      </c>
      <c r="AG89" s="4">
        <f>Tabella8[[#This Row],[region data]]</f>
        <v>314</v>
      </c>
      <c r="AH89" s="72">
        <f>(Tabella34[[#This Row],[selected region cumul. data]]-AG88)</f>
        <v>37</v>
      </c>
      <c r="AI89" s="72">
        <f>Tabella34[[#This Row],[selected region rate data]]-AH88</f>
        <v>-20</v>
      </c>
      <c r="AJ89" s="77">
        <f>Tabella34[[#This Row],[selected region rate data]]*NOT(ISBLANK(Tabella34[[#This Row],[selected region rate data]]))</f>
        <v>37</v>
      </c>
      <c r="AK89" s="77">
        <f>Tabella8[[#This Row],[region fit]]</f>
        <v>327.60813738385758</v>
      </c>
      <c r="AL89" s="143">
        <f>(ATANH(alpha*Tabella34[[#This Row],[sel. region cumul. fit]]/Kl-(1-alpha*Tabella34[[#This Row],[sel. region cumul. fit]]/Kl)*TANH(phi_l))+phi_l)/psi_l-(Tabella34[[#This Row],[Day]]-pl)</f>
        <v>4.8139829896578306</v>
      </c>
      <c r="AM89" s="77">
        <f>Tabella34[[#This Row],[sel. region cumul. fit]]/Kl</f>
        <v>2.4902021980888599E-2</v>
      </c>
      <c r="AN89" s="143">
        <f>Tabella3[[#This Row],[region fit]]</f>
        <v>63.283422849420788</v>
      </c>
      <c r="AO89" s="186">
        <f>Tabella34[[#This Row],[sel. region velocity]]/Tabella34[[#This Row],[sel. region cumul. fit]]</f>
        <v>0.19316804324451736</v>
      </c>
      <c r="AP89" s="241">
        <f>(LN(Tabella34[[#This Row],[Day]]-pr)-phi_r)/psi_r</f>
        <v>31.378657387420215</v>
      </c>
      <c r="AQ89" s="244">
        <f>EXP(phi_r+psi_r*Tabella34[[#This Row],[x_r_alpha©+plus]])-(Tabella34[[#This Row],[Day]]-pr)</f>
        <v>-2.3950893667692372</v>
      </c>
      <c r="AR89" s="244">
        <f>EXP(phi_r+psi_r*Tabella34[[#This Row],[x_r_alpha©-minus]])-(Tabella34[[#This Row],[Day]]-pr)</f>
        <v>-2.8762819812542184</v>
      </c>
      <c r="AS89" s="244">
        <f>-psi_r+SQRT(psi_r^2-2*Tabella34[[#This Row],[c_r]])</f>
        <v>3.9592643771484566</v>
      </c>
      <c r="AT89" s="244">
        <f>-psi_r-SQRT(psi_r^2-2*Tabella34[[#This Row],[c_r]])</f>
        <v>-3.9995523868147949</v>
      </c>
      <c r="AU89" s="244">
        <f>phi_r-LN(alpha*Kr/(Tabella34[[#This Row],[sel. region velocity]]*psi_r*SQRTPI(2)))</f>
        <v>-7.9176426448274517</v>
      </c>
      <c r="AV89" s="244">
        <f>(ACOSH(SQRT(alpha*Kl*psi_l/(Tabella34[[#This Row],[sel. region velocity]]*(1+TANH(phi_l)))))+phi_l)/psi_l-(Tabella34[[#This Row],[Day]]-pl)</f>
        <v>118.54624458202338</v>
      </c>
      <c r="AW89" s="72">
        <f>-2*$BY$22*TANH($BY$22*(Tabella34[[#This Row],[Day]]-$BY$31)-$BY$21)*Tabella34[[#This Row],[sel. region velocity]]</f>
        <v>1.9251937757243405</v>
      </c>
      <c r="AX89" s="77">
        <f>Tabella34[[#This Row],[sel. region acc. fit]]/y_l_peak</f>
        <v>1.3075670948659327E-2</v>
      </c>
      <c r="AY89" s="143">
        <f>Tabella34[[#This Row],[sel. region acc. fit]]*NOT(ISBLANK(Tabella34[[#This Row],[selected region rate data]]))</f>
        <v>1.9251937757243405</v>
      </c>
      <c r="AZ89" s="77">
        <f>Tabella34[[#This Row],[sel. region acc. fit]]+CIl</f>
        <v>71.290180150824739</v>
      </c>
      <c r="BA89" s="77">
        <f>MAX(Tabella34[[#This Row],[sel. region acc. fit]]-CIl,0)</f>
        <v>0</v>
      </c>
      <c r="BB89" s="10">
        <f>Tabella8[[#This Row],[rest of Italy ]]</f>
        <v>12186</v>
      </c>
      <c r="BC89" s="10">
        <f>(Tabella34[[#This Row],[rest of Italy cum. Data]]-BB88)</f>
        <v>1566</v>
      </c>
      <c r="BD89" s="10">
        <f>Tabella34[[#This Row],[rest of Italy rate data]]-BC88</f>
        <v>-113</v>
      </c>
      <c r="BE89" s="77">
        <f>Tabella34[[#This Row],[rest of Italy rate data]]*NOT(ISBLANK(Tabella34[[#This Row],[rest of Italy rate data]]))</f>
        <v>1566</v>
      </c>
      <c r="BF89" s="77">
        <f>Tabella8[[#This Row],[rest of Italy fit]]</f>
        <v>12780.523137997296</v>
      </c>
      <c r="BG89" s="78">
        <f>(ATANH(alpha*Tabella34[[#This Row],[rest of Italy cumul. fit]]/Ka-(1-alpha*Tabella34[[#This Row],[rest of Italy cumul. fit]]/Ka)*TANH(phi_a))+phi_a)/psi_a-(Tabella34[[#This Row],[Day]]-pa)</f>
        <v>8.945271019181579</v>
      </c>
      <c r="BH89" s="77">
        <f>Tabella34[[#This Row],[rest of Italy cumul. fit]]/Ka</f>
        <v>5.7610376773007295E-2</v>
      </c>
      <c r="BI89" s="143">
        <f>Tabella3[[#This Row],[rest of Italy fit]]</f>
        <v>1199.1451577259752</v>
      </c>
      <c r="BJ89" s="183">
        <f>Tabella34[[#This Row],[rest of Italy velocity]]/Tabella34[[#This Row],[rest of Italy cumul. fit]]</f>
        <v>9.3825983864529103E-2</v>
      </c>
      <c r="BK89" s="236">
        <f>(LN(Tabella34[[#This Row],[Day]]-po)-phi_o)/psi_o</f>
        <v>48.67597315898972</v>
      </c>
      <c r="BL89" s="244">
        <f>EXP(phi_o+psi_o*Tabella34[[#This Row],[x_o_alpha©+plus]])-(Tabella34[[#This Row],[Day]]-po)</f>
        <v>-9.6552205608045192</v>
      </c>
      <c r="BM89" s="244">
        <f>EXP(phi_o+psi_o*Tabella34[[#This Row],[x_o_alpha©-minus]])-(Tabella34[[#This Row],[Day]]-po)</f>
        <v>-10.447687226377564</v>
      </c>
      <c r="BN89" s="244">
        <f>-psi_o+SQRT(psi_o^2-2*Tabella34[[#This Row],[c_o]])</f>
        <v>3.7846728895789039</v>
      </c>
      <c r="BO89" s="244">
        <f>-psi_o-SQRT(psi_o^2-2*Tabella34[[#This Row],[c_o]])</f>
        <v>-3.8359861738465573</v>
      </c>
      <c r="BP89" s="244">
        <f>phi_o-LN(alpha*Ko/(Tabella34[[#This Row],[rest of Italy velocity]]*psi_o*SQRTPI(2)))</f>
        <v>-7.2589764384782871</v>
      </c>
      <c r="BQ89" s="244">
        <f>(ACOSH(SQRT(alpha*Ka*psi_a/(Tabella34[[#This Row],[rest of Italy velocity]]*(1+TANH(phi_a)))))+phi_a)/psi_a-(Tabella34[[#This Row],[Day]]-pa)</f>
        <v>96.816585690490584</v>
      </c>
      <c r="BR89" s="72">
        <f>-2*$BY$35*TANH($BY$35*(Tabella34[[#This Row],[Day]]-$BY$44)-$BY$34)*Tabella34[[#This Row],[rest of Italy velocity]]</f>
        <v>47.775983428219298</v>
      </c>
      <c r="BS89" s="77">
        <f>Tabella34[[#This Row],[rest of Italy acc. fit]]/y_a_peak</f>
        <v>1.5822752081771297E-2</v>
      </c>
      <c r="BT89" s="77">
        <f>Tabella34[[#This Row],[rest of Italy acc. fit]]*NOT(ISBLANK(Tabella34[[#This Row],[rest of Italy rate data]]))</f>
        <v>47.775983428219298</v>
      </c>
      <c r="BU89" s="77">
        <f>Tabella34[[#This Row],[rest of Italy acc. fit]]+CIa</f>
        <v>1681.9099233820207</v>
      </c>
      <c r="BV89" s="77">
        <f>MAX(Tabella34[[#This Row],[rest of Italy acc. fit]]-CIa,0)</f>
        <v>0</v>
      </c>
    </row>
    <row r="90" spans="2:74" x14ac:dyDescent="0.3">
      <c r="B90" s="262">
        <v>43913</v>
      </c>
      <c r="C90" s="29">
        <v>83</v>
      </c>
      <c r="D90" s="10">
        <f>Tabella8[[#This Row],[Italy cumulative]]</f>
        <v>13509</v>
      </c>
      <c r="E90" s="72">
        <f>(Tabella34[[#This Row],[Italy cumul. data]]-D89)</f>
        <v>1009</v>
      </c>
      <c r="F90" s="72">
        <f>Tabella34[[#This Row],[Italy rate data]]-E89</f>
        <v>-594</v>
      </c>
      <c r="G90" s="77">
        <f>Tabella34[[#This Row],[Italy rate data]]*NOT(ISBLANK(Tabella34[[#This Row],[Italy rate data]]))</f>
        <v>1009</v>
      </c>
      <c r="H90" s="143">
        <f>Tabella8[[#This Row],[Italy fit]]</f>
        <v>14435.738428760094</v>
      </c>
      <c r="I90" s="143">
        <f>(ATANH(alpha*Tabella34[[#This Row],[Italy cumul. Fit]]/Kf-(1-alpha*Tabella34[[#This Row],[Italy cumul. Fit]]/Kf)*TANH(phi_f))+phi_f)/psi_f-(Tabella34[[#This Row],[Day]]-pf)</f>
        <v>9.2115925024413556</v>
      </c>
      <c r="J90" s="143">
        <f>Tabella34[[#This Row],[Italy d.t.]]/Italy_dt_at_lockdown</f>
        <v>4.0584157229774487</v>
      </c>
      <c r="K90" s="77">
        <f>Tabella34[[#This Row],[Italy cumul. Fit]]/Kf</f>
        <v>6.1428673766446069E-2</v>
      </c>
      <c r="L90" s="146">
        <f>Tabella34[[#This Row],[sel. region acc. fit]]+Tabella34[[#This Row],[rest of Italy acc. fit]]</f>
        <v>51.000541001674193</v>
      </c>
      <c r="M90" s="77">
        <f>Tabella34[[#This Row],[Italy (fit of selected region + fitted sum of the other regions)]]/(y_l_peak+y_a_peak)</f>
        <v>1.6105349931140319E-2</v>
      </c>
      <c r="N90" s="143">
        <f>Tabella3[[#This Row],[Italy remov. rate fit]]</f>
        <v>1316.8568338131224</v>
      </c>
      <c r="O90" s="143">
        <f>Kt*EXP(-0.5*Tabella34[[#This Row],[x_t]]^2)/(psi_t*SQRTPI(2)*(Tabella34[[#This Row],[Day]]-D_bk))</f>
        <v>0</v>
      </c>
      <c r="P90" s="183">
        <f>Tabella34[[#This Row],[Italy velocity]]/Tabella34[[#This Row],[Italy cumul. Fit]]</f>
        <v>9.1221993271197635E-2</v>
      </c>
      <c r="Q90" s="244">
        <f>(LN(Tabella34[[#This Row],[Day]]-D_bk)-phi_t)/psi_t</f>
        <v>51.619107494226178</v>
      </c>
      <c r="R90" s="244">
        <f>EXP(phi_t+psi_t*Tabella34[[#This Row],[x_t_alpha©+plus]])-(Tabella34[[#This Row],[Day]]-D_bk)</f>
        <v>-10.182154885631061</v>
      </c>
      <c r="S90" s="244">
        <f>EXP(phi_t+psi_t*Tabella34[[#This Row],[x_t_alpha©-minus]])-(Tabella34[[#This Row],[Day]]-D_bk)</f>
        <v>-10.94194883256632</v>
      </c>
      <c r="T90" s="244">
        <f>-psi_t+SQRT(psi_t^2-2*Tabella34[[#This Row],[c_t]])</f>
        <v>3.7867714845846696</v>
      </c>
      <c r="U90" s="244">
        <f>-psi_t-SQRT(psi_t^2-2*Tabella34[[#This Row],[c_t]])</f>
        <v>-3.8372901592820416</v>
      </c>
      <c r="V90" s="244">
        <f>phi_t-LN(alpha*Kt/(Tabella34[[#This Row],[Italy velocity]]*psi_t*SQRTPI(2)))</f>
        <v>-7.2654704766232996</v>
      </c>
      <c r="W90" s="244">
        <f>Tabella34[[#This Row],[Italy g.r.]]/Italy_gr_at_lockdown</f>
        <v>0.21758820389511851</v>
      </c>
      <c r="X90" s="244">
        <f>(ACOSH(SQRT(alpha*Kf*psi_f/(Tabella34[[#This Row],[Italy velocity]]*(1+TANH(phi_f)))))+phi_f)/psi_f-(Tabella34[[#This Row],[Day]]-pf)</f>
        <v>96.018940235630296</v>
      </c>
      <c r="Y90" s="244">
        <f>Tabella34[[#This Row],[Italy h.t.]]/Italy_ht_at_lockdown</f>
        <v>0.8085285497548006</v>
      </c>
      <c r="Z90" s="72">
        <f>-2*$BY$48*TANH($BY$48*(Tabella34[[#This Row],[Day]]-$BY$57)-$BY$47)*Tabella34[[#This Row],[Italy velocity]]</f>
        <v>50.801538437581328</v>
      </c>
      <c r="AA90" s="72">
        <f>Tabella34[[#This Row],[Italy acc. fit]]/Itali_acc_at_lockdown</f>
        <v>1.4514589029829255</v>
      </c>
      <c r="AB90" s="77">
        <f>Tabella34[[#This Row],[Italy acc. fit]]/y_f_peak</f>
        <v>1.6081579487175451E-2</v>
      </c>
      <c r="AC90" s="143">
        <f>Tabella34[[#This Row],[Italy (fit of selected region + fitted sum of the other regions)]]*NOT(ISBLANK(Tabella34[[#This Row],[Italy rate data]]))</f>
        <v>51.000541001674193</v>
      </c>
      <c r="AD90" s="143">
        <f>Tabella34[[#This Row],[Italy acc. fit]]*NOT(ISBLANK(Tabella34[[#This Row],[Italy rate data]]))</f>
        <v>50.801538437581328</v>
      </c>
      <c r="AE90" s="77">
        <f>Tabella34[[#This Row],[Italy acc. fit]]+CIf</f>
        <v>1706.0115073613326</v>
      </c>
      <c r="AF90" s="77">
        <f>MAX(Tabella34[[#This Row],[Italy acc. fit]]-CIf,0)</f>
        <v>0</v>
      </c>
      <c r="AG90" s="4">
        <f>Tabella8[[#This Row],[region data]]</f>
        <v>371</v>
      </c>
      <c r="AH90" s="72">
        <f>(Tabella34[[#This Row],[selected region cumul. data]]-AG89)</f>
        <v>57</v>
      </c>
      <c r="AI90" s="72">
        <f>Tabella34[[#This Row],[selected region rate data]]-AH89</f>
        <v>20</v>
      </c>
      <c r="AJ90" s="77">
        <f>Tabella34[[#This Row],[selected region rate data]]*NOT(ISBLANK(Tabella34[[#This Row],[selected region rate data]]))</f>
        <v>57</v>
      </c>
      <c r="AK90" s="77">
        <f>Tabella8[[#This Row],[region fit]]</f>
        <v>391.86020047792823</v>
      </c>
      <c r="AL90" s="143">
        <f>(ATANH(alpha*Tabella34[[#This Row],[sel. region cumul. fit]]/Kl-(1-alpha*Tabella34[[#This Row],[sel. region cumul. fit]]/Kl)*TANH(phi_l))+phi_l)/psi_l-(Tabella34[[#This Row],[Day]]-pl)</f>
        <v>5.5328071668059309</v>
      </c>
      <c r="AM90" s="77">
        <f>Tabella34[[#This Row],[sel. region cumul. fit]]/Kl</f>
        <v>2.978592474430276E-2</v>
      </c>
      <c r="AN90" s="143">
        <f>Tabella3[[#This Row],[region fit]]</f>
        <v>65.226706654399095</v>
      </c>
      <c r="AO90" s="186">
        <f>Tabella34[[#This Row],[sel. region velocity]]/Tabella34[[#This Row],[sel. region cumul. fit]]</f>
        <v>0.16645402256939087</v>
      </c>
      <c r="AP90" s="241">
        <f>(LN(Tabella34[[#This Row],[Day]]-pr)-phi_r)/psi_r</f>
        <v>39.477049039652172</v>
      </c>
      <c r="AQ90" s="244">
        <f>EXP(phi_r+psi_r*Tabella34[[#This Row],[x_r_alpha©+plus]])-(Tabella34[[#This Row],[Day]]-pr)</f>
        <v>-3.3955871548899714</v>
      </c>
      <c r="AR90" s="244">
        <f>EXP(phi_r+psi_r*Tabella34[[#This Row],[x_r_alpha©-minus]])-(Tabella34[[#This Row],[Day]]-pr)</f>
        <v>-3.8758578659618563</v>
      </c>
      <c r="AS90" s="244">
        <f>-psi_r+SQRT(psi_r^2-2*Tabella34[[#This Row],[c_r]])</f>
        <v>3.9516565821806218</v>
      </c>
      <c r="AT90" s="244">
        <f>-psi_r-SQRT(psi_r^2-2*Tabella34[[#This Row],[c_r]])</f>
        <v>-3.99194459184696</v>
      </c>
      <c r="AU90" s="244">
        <f>phi_r-LN(alpha*Kr/(Tabella34[[#This Row],[sel. region velocity]]*psi_r*SQRTPI(2)))</f>
        <v>-7.8873970610361885</v>
      </c>
      <c r="AV90" s="244">
        <f>(ACOSH(SQRT(alpha*Kl*psi_l/(Tabella34[[#This Row],[sel. region velocity]]*(1+TANH(phi_l)))))+phi_l)/psi_l-(Tabella34[[#This Row],[Day]]-pl)</f>
        <v>116.69718851491868</v>
      </c>
      <c r="AW90" s="72">
        <f>-2*$BY$22*TANH($BY$22*(Tabella34[[#This Row],[Day]]-$BY$31)-$BY$21)*Tabella34[[#This Row],[sel. region velocity]]</f>
        <v>1.9612112869696425</v>
      </c>
      <c r="AX90" s="77">
        <f>Tabella34[[#This Row],[sel. region acc. fit]]/y_l_peak</f>
        <v>1.3320297298158102E-2</v>
      </c>
      <c r="AY90" s="143">
        <f>Tabella34[[#This Row],[sel. region acc. fit]]*NOT(ISBLANK(Tabella34[[#This Row],[selected region rate data]]))</f>
        <v>1.9612112869696425</v>
      </c>
      <c r="AZ90" s="77">
        <f>Tabella34[[#This Row],[sel. region acc. fit]]+CIl</f>
        <v>71.326197662070044</v>
      </c>
      <c r="BA90" s="77">
        <f>MAX(Tabella34[[#This Row],[sel. region acc. fit]]-CIl,0)</f>
        <v>0</v>
      </c>
      <c r="BB90" s="10">
        <f>Tabella8[[#This Row],[rest of Italy ]]</f>
        <v>13138</v>
      </c>
      <c r="BC90" s="10">
        <f>(Tabella34[[#This Row],[rest of Italy cum. Data]]-BB89)</f>
        <v>952</v>
      </c>
      <c r="BD90" s="10">
        <f>Tabella34[[#This Row],[rest of Italy rate data]]-BC89</f>
        <v>-614</v>
      </c>
      <c r="BE90" s="77">
        <f>Tabella34[[#This Row],[rest of Italy rate data]]*NOT(ISBLANK(Tabella34[[#This Row],[rest of Italy rate data]]))</f>
        <v>952</v>
      </c>
      <c r="BF90" s="77">
        <f>Tabella8[[#This Row],[rest of Italy fit]]</f>
        <v>14003.76797970181</v>
      </c>
      <c r="BG90" s="78">
        <f>(ATANH(alpha*Tabella34[[#This Row],[rest of Italy cumul. fit]]/Ka-(1-alpha*Tabella34[[#This Row],[rest of Italy cumul. fit]]/Ka)*TANH(phi_a))+phi_a)/psi_a-(Tabella34[[#This Row],[Day]]-pa)</f>
        <v>9.3727223543508948</v>
      </c>
      <c r="BH90" s="77">
        <f>Tabella34[[#This Row],[rest of Italy cumul. fit]]/Ka</f>
        <v>6.3124360469552415E-2</v>
      </c>
      <c r="BI90" s="143">
        <f>Tabella3[[#This Row],[rest of Italy fit]]</f>
        <v>1247.555102414932</v>
      </c>
      <c r="BJ90" s="183">
        <f>Tabella34[[#This Row],[rest of Italy velocity]]/Tabella34[[#This Row],[rest of Italy cumul. fit]]</f>
        <v>8.9087101715998068E-2</v>
      </c>
      <c r="BK90" s="236">
        <f>(LN(Tabella34[[#This Row],[Day]]-po)-phi_o)/psi_o</f>
        <v>51.343430201027964</v>
      </c>
      <c r="BL90" s="244">
        <f>EXP(phi_o+psi_o*Tabella34[[#This Row],[x_o_alpha©+plus]])-(Tabella34[[#This Row],[Day]]-po)</f>
        <v>-10.656411163403858</v>
      </c>
      <c r="BM90" s="244">
        <f>EXP(phi_o+psi_o*Tabella34[[#This Row],[x_o_alpha©-minus]])-(Tabella34[[#This Row],[Day]]-po)</f>
        <v>-11.446707805776127</v>
      </c>
      <c r="BN90" s="244">
        <f>-psi_o+SQRT(psi_o^2-2*Tabella34[[#This Row],[c_o]])</f>
        <v>3.7742719852374154</v>
      </c>
      <c r="BO90" s="244">
        <f>-psi_o-SQRT(psi_o^2-2*Tabella34[[#This Row],[c_o]])</f>
        <v>-3.8255852695050687</v>
      </c>
      <c r="BP90" s="244">
        <f>phi_o-LN(alpha*Ko/(Tabella34[[#This Row],[rest of Italy velocity]]*psi_o*SQRTPI(2)))</f>
        <v>-7.2193996549149535</v>
      </c>
      <c r="BQ90" s="244">
        <f>(ACOSH(SQRT(alpha*Ka*psi_a/(Tabella34[[#This Row],[rest of Italy velocity]]*(1+TANH(phi_a)))))+phi_a)/psi_a-(Tabella34[[#This Row],[Day]]-pa)</f>
        <v>94.952889782907846</v>
      </c>
      <c r="BR90" s="72">
        <f>-2*$BY$35*TANH($BY$35*(Tabella34[[#This Row],[Day]]-$BY$44)-$BY$34)*Tabella34[[#This Row],[rest of Italy velocity]]</f>
        <v>49.03932971470455</v>
      </c>
      <c r="BS90" s="77">
        <f>Tabella34[[#This Row],[rest of Italy acc. fit]]/y_a_peak</f>
        <v>1.6241155087844752E-2</v>
      </c>
      <c r="BT90" s="77">
        <f>Tabella34[[#This Row],[rest of Italy acc. fit]]*NOT(ISBLANK(Tabella34[[#This Row],[rest of Italy rate data]]))</f>
        <v>49.03932971470455</v>
      </c>
      <c r="BU90" s="77">
        <f>Tabella34[[#This Row],[rest of Italy acc. fit]]+CIa</f>
        <v>1683.173269668506</v>
      </c>
      <c r="BV90" s="77">
        <f>MAX(Tabella34[[#This Row],[rest of Italy acc. fit]]-CIa,0)</f>
        <v>0</v>
      </c>
    </row>
    <row r="91" spans="2:74" x14ac:dyDescent="0.3">
      <c r="B91" s="262">
        <v>43914</v>
      </c>
      <c r="C91" s="29">
        <v>84</v>
      </c>
      <c r="D91" s="10">
        <f>Tabella8[[#This Row],[Italy cumulative]]</f>
        <v>15146</v>
      </c>
      <c r="E91" s="72">
        <f>(Tabella34[[#This Row],[Italy cumul. data]]-D90)</f>
        <v>1637</v>
      </c>
      <c r="F91" s="72">
        <f>Tabella34[[#This Row],[Italy rate data]]-E90</f>
        <v>628</v>
      </c>
      <c r="G91" s="77">
        <f>Tabella34[[#This Row],[Italy rate data]]*NOT(ISBLANK(Tabella34[[#This Row],[Italy rate data]]))</f>
        <v>1637</v>
      </c>
      <c r="H91" s="143">
        <f>Tabella8[[#This Row],[Italy fit]]</f>
        <v>15778.204505976713</v>
      </c>
      <c r="I91" s="143">
        <f>(ATANH(alpha*Tabella34[[#This Row],[Italy cumul. Fit]]/Kf-(1-alpha*Tabella34[[#This Row],[Italy cumul. Fit]]/Kf)*TANH(phi_f))+phi_f)/psi_f-(Tabella34[[#This Row],[Day]]-pf)</f>
        <v>9.6437007304250173</v>
      </c>
      <c r="J91" s="143">
        <f>Tabella34[[#This Row],[Italy d.t.]]/Italy_dt_at_lockdown</f>
        <v>4.2487926665962679</v>
      </c>
      <c r="K91" s="77">
        <f>Tabella34[[#This Row],[Italy cumul. Fit]]/Kf</f>
        <v>6.7141295334565143E-2</v>
      </c>
      <c r="L91" s="146">
        <f>Tabella34[[#This Row],[sel. region acc. fit]]+Tabella34[[#This Row],[rest of Italy acc. fit]]</f>
        <v>52.267890918961946</v>
      </c>
      <c r="M91" s="77">
        <f>Tabella34[[#This Row],[Italy (fit of selected region + fitted sum of the other regions)]]/(y_l_peak+y_a_peak)</f>
        <v>1.6505563605392345E-2</v>
      </c>
      <c r="N91" s="143">
        <f>Tabella3[[#This Row],[Italy remov. rate fit]]</f>
        <v>1368.2823216050815</v>
      </c>
      <c r="O91" s="143">
        <f>Kt*EXP(-0.5*Tabella34[[#This Row],[x_t]]^2)/(psi_t*SQRTPI(2)*(Tabella34[[#This Row],[Day]]-D_bk))</f>
        <v>0</v>
      </c>
      <c r="P91" s="183">
        <f>Tabella34[[#This Row],[Italy velocity]]/Tabella34[[#This Row],[Italy cumul. Fit]]</f>
        <v>8.6719773538667361E-2</v>
      </c>
      <c r="Q91" s="244">
        <f>(LN(Tabella34[[#This Row],[Day]]-D_bk)-phi_t)/psi_t</f>
        <v>54.255924761103202</v>
      </c>
      <c r="R91" s="244">
        <f>EXP(phi_t+psi_t*Tabella34[[#This Row],[x_t_alpha©+plus]])-(Tabella34[[#This Row],[Day]]-D_bk)</f>
        <v>-11.183257219597632</v>
      </c>
      <c r="S91" s="244">
        <f>EXP(phi_t+psi_t*Tabella34[[#This Row],[x_t_alpha©-minus]])-(Tabella34[[#This Row],[Day]]-D_bk)</f>
        <v>-11.94103936400594</v>
      </c>
      <c r="T91" s="244">
        <f>-psi_t+SQRT(psi_t^2-2*Tabella34[[#This Row],[c_t]])</f>
        <v>3.7767088452890141</v>
      </c>
      <c r="U91" s="244">
        <f>-psi_t-SQRT(psi_t^2-2*Tabella34[[#This Row],[c_t]])</f>
        <v>-3.8272275199863861</v>
      </c>
      <c r="V91" s="244">
        <f>phi_t-LN(alpha*Kt/(Tabella34[[#This Row],[Italy velocity]]*psi_t*SQRTPI(2)))</f>
        <v>-7.2271620138330608</v>
      </c>
      <c r="W91" s="244">
        <f>Tabella34[[#This Row],[Italy g.r.]]/Italy_gr_at_lockdown</f>
        <v>0.20684923766545019</v>
      </c>
      <c r="X91" s="244">
        <f>(ACOSH(SQRT(alpha*Kf*psi_f/(Tabella34[[#This Row],[Italy velocity]]*(1+TANH(phi_f)))))+phi_f)/psi_f-(Tabella34[[#This Row],[Day]]-pf)</f>
        <v>94.164440876831137</v>
      </c>
      <c r="Y91" s="244">
        <f>Tabella34[[#This Row],[Italy h.t.]]/Italy_ht_at_lockdown</f>
        <v>0.79291271736369606</v>
      </c>
      <c r="Z91" s="72">
        <f>-2*$BY$48*TANH($BY$48*(Tabella34[[#This Row],[Day]]-$BY$57)-$BY$47)*Tabella34[[#This Row],[Italy velocity]]</f>
        <v>52.043422995072369</v>
      </c>
      <c r="AA91" s="72">
        <f>Tabella34[[#This Row],[Italy acc. fit]]/Itali_acc_at_lockdown</f>
        <v>1.4869409858663429</v>
      </c>
      <c r="AB91" s="77">
        <f>Tabella34[[#This Row],[Italy acc. fit]]/y_f_peak</f>
        <v>1.6474706660867765E-2</v>
      </c>
      <c r="AC91" s="143">
        <f>Tabella34[[#This Row],[Italy (fit of selected region + fitted sum of the other regions)]]*NOT(ISBLANK(Tabella34[[#This Row],[Italy rate data]]))</f>
        <v>52.267890918961946</v>
      </c>
      <c r="AD91" s="143">
        <f>Tabella34[[#This Row],[Italy acc. fit]]*NOT(ISBLANK(Tabella34[[#This Row],[Italy rate data]]))</f>
        <v>52.043422995072369</v>
      </c>
      <c r="AE91" s="77">
        <f>Tabella34[[#This Row],[Italy acc. fit]]+CIf</f>
        <v>1707.2533919188238</v>
      </c>
      <c r="AF91" s="77">
        <f>MAX(Tabella34[[#This Row],[Italy acc. fit]]-CIf,0)</f>
        <v>0</v>
      </c>
      <c r="AG91" s="4">
        <f>Tabella8[[#This Row],[region data]]</f>
        <v>424</v>
      </c>
      <c r="AH91" s="72">
        <f>(Tabella34[[#This Row],[selected region cumul. data]]-AG90)</f>
        <v>53</v>
      </c>
      <c r="AI91" s="72">
        <f>Tabella34[[#This Row],[selected region rate data]]-AH90</f>
        <v>-4</v>
      </c>
      <c r="AJ91" s="77">
        <f>Tabella34[[#This Row],[selected region rate data]]*NOT(ISBLANK(Tabella34[[#This Row],[selected region rate data]]))</f>
        <v>53</v>
      </c>
      <c r="AK91" s="77">
        <f>Tabella8[[#This Row],[region fit]]</f>
        <v>458.07338755702551</v>
      </c>
      <c r="AL91" s="143">
        <f>(ATANH(alpha*Tabella34[[#This Row],[sel. region cumul. fit]]/Kl-(1-alpha*Tabella34[[#This Row],[sel. region cumul. fit]]/Kl)*TANH(phi_l))+phi_l)/psi_l-(Tabella34[[#This Row],[Day]]-pl)</f>
        <v>6.2218455524623462</v>
      </c>
      <c r="AM91" s="77">
        <f>Tabella34[[#This Row],[sel. region cumul. fit]]/Kl</f>
        <v>3.4818895699283724E-2</v>
      </c>
      <c r="AN91" s="143">
        <f>Tabella3[[#This Row],[region fit]]</f>
        <v>67.205496180315308</v>
      </c>
      <c r="AO91" s="186">
        <f>Tabella34[[#This Row],[sel. region velocity]]/Tabella34[[#This Row],[sel. region cumul. fit]]</f>
        <v>0.14671338262790676</v>
      </c>
      <c r="AP91" s="241">
        <f>(LN(Tabella34[[#This Row],[Day]]-pr)-phi_r)/psi_r</f>
        <v>46.437747659550297</v>
      </c>
      <c r="AQ91" s="244">
        <f>EXP(phi_r+psi_r*Tabella34[[#This Row],[x_r_alpha©+plus]])-(Tabella34[[#This Row],[Day]]-pr)</f>
        <v>-4.396079888694576</v>
      </c>
      <c r="AR91" s="244">
        <f>EXP(phi_r+psi_r*Tabella34[[#This Row],[x_r_alpha©-minus]])-(Tabella34[[#This Row],[Day]]-pr)</f>
        <v>-4.875437928896261</v>
      </c>
      <c r="AS91" s="244">
        <f>-psi_r+SQRT(psi_r^2-2*Tabella34[[#This Row],[c_r]])</f>
        <v>3.9441248849491544</v>
      </c>
      <c r="AT91" s="244">
        <f>-psi_r-SQRT(psi_r^2-2*Tabella34[[#This Row],[c_r]])</f>
        <v>-3.9844128946154926</v>
      </c>
      <c r="AU91" s="244">
        <f>phi_r-LN(alpha*Kr/(Tabella34[[#This Row],[sel. region velocity]]*psi_r*SQRTPI(2)))</f>
        <v>-7.857511024782629</v>
      </c>
      <c r="AV91" s="244">
        <f>(ACOSH(SQRT(alpha*Kl*psi_l/(Tabella34[[#This Row],[sel. region velocity]]*(1+TANH(phi_l)))))+phi_l)/psi_l-(Tabella34[[#This Row],[Day]]-pl)</f>
        <v>114.85462945971372</v>
      </c>
      <c r="AW91" s="72">
        <f>-2*$BY$22*TANH($BY$22*(Tabella34[[#This Row],[Day]]-$BY$31)-$BY$21)*Tabella34[[#This Row],[sel. region velocity]]</f>
        <v>1.9961808574525937</v>
      </c>
      <c r="AX91" s="77">
        <f>Tabella34[[#This Row],[sel. region acc. fit]]/y_l_peak</f>
        <v>1.3557806167455678E-2</v>
      </c>
      <c r="AY91" s="143">
        <f>Tabella34[[#This Row],[sel. region acc. fit]]*NOT(ISBLANK(Tabella34[[#This Row],[selected region rate data]]))</f>
        <v>1.9961808574525937</v>
      </c>
      <c r="AZ91" s="77">
        <f>Tabella34[[#This Row],[sel. region acc. fit]]+CIl</f>
        <v>71.361167232553001</v>
      </c>
      <c r="BA91" s="77">
        <f>MAX(Tabella34[[#This Row],[sel. region acc. fit]]-CIl,0)</f>
        <v>0</v>
      </c>
      <c r="BB91" s="10">
        <f>Tabella8[[#This Row],[rest of Italy ]]</f>
        <v>14722</v>
      </c>
      <c r="BC91" s="10">
        <f>(Tabella34[[#This Row],[rest of Italy cum. Data]]-BB90)</f>
        <v>1584</v>
      </c>
      <c r="BD91" s="10">
        <f>Tabella34[[#This Row],[rest of Italy rate data]]-BC90</f>
        <v>632</v>
      </c>
      <c r="BE91" s="77">
        <f>Tabella34[[#This Row],[rest of Italy rate data]]*NOT(ISBLANK(Tabella34[[#This Row],[rest of Italy rate data]]))</f>
        <v>1584</v>
      </c>
      <c r="BF91" s="77">
        <f>Tabella8[[#This Row],[rest of Italy fit]]</f>
        <v>15276.049572546795</v>
      </c>
      <c r="BG91" s="78">
        <f>(ATANH(alpha*Tabella34[[#This Row],[rest of Italy cumul. fit]]/Ka-(1-alpha*Tabella34[[#This Row],[rest of Italy cumul. fit]]/Ka)*TANH(phi_a))+phi_a)/psi_a-(Tabella34[[#This Row],[Day]]-pa)</f>
        <v>9.7889493981697449</v>
      </c>
      <c r="BH91" s="77">
        <f>Tabella34[[#This Row],[rest of Italy cumul. fit]]/Ka</f>
        <v>6.8859385642915313E-2</v>
      </c>
      <c r="BI91" s="143">
        <f>Tabella3[[#This Row],[rest of Italy fit]]</f>
        <v>1297.2135002970638</v>
      </c>
      <c r="BJ91" s="183">
        <f>Tabella34[[#This Row],[rest of Italy velocity]]/Tabella34[[#This Row],[rest of Italy cumul. fit]]</f>
        <v>8.4918125863399821E-2</v>
      </c>
      <c r="BK91" s="236">
        <f>(LN(Tabella34[[#This Row],[Day]]-po)-phi_o)/psi_o</f>
        <v>53.839966865830959</v>
      </c>
      <c r="BL91" s="244">
        <f>EXP(phi_o+psi_o*Tabella34[[#This Row],[x_o_alpha©+plus]])-(Tabella34[[#This Row],[Day]]-po)</f>
        <v>-11.657588288871452</v>
      </c>
      <c r="BM91" s="244">
        <f>EXP(phi_o+psi_o*Tabella34[[#This Row],[x_o_alpha©-minus]])-(Tabella34[[#This Row],[Day]]-po)</f>
        <v>-12.445738957729606</v>
      </c>
      <c r="BN91" s="244">
        <f>-psi_o+SQRT(psi_o^2-2*Tabella34[[#This Row],[c_o]])</f>
        <v>3.7639860855759748</v>
      </c>
      <c r="BO91" s="244">
        <f>-psi_o-SQRT(psi_o^2-2*Tabella34[[#This Row],[c_o]])</f>
        <v>-3.8152993698436282</v>
      </c>
      <c r="BP91" s="244">
        <f>phi_o-LN(alpha*Ko/(Tabella34[[#This Row],[rest of Italy velocity]]*psi_o*SQRTPI(2)))</f>
        <v>-7.1803668701991015</v>
      </c>
      <c r="BQ91" s="244">
        <f>(ACOSH(SQRT(alpha*Ka*psi_a/(Tabella34[[#This Row],[rest of Italy velocity]]*(1+TANH(phi_a)))))+phi_a)/psi_a-(Tabella34[[#This Row],[Day]]-pa)</f>
        <v>93.096695596477574</v>
      </c>
      <c r="BR91" s="72">
        <f>-2*$BY$35*TANH($BY$35*(Tabella34[[#This Row],[Day]]-$BY$44)-$BY$34)*Tabella34[[#This Row],[rest of Italy velocity]]</f>
        <v>50.271710061509353</v>
      </c>
      <c r="BS91" s="77">
        <f>Tabella34[[#This Row],[rest of Italy acc. fit]]/y_a_peak</f>
        <v>1.6649302598345229E-2</v>
      </c>
      <c r="BT91" s="77">
        <f>Tabella34[[#This Row],[rest of Italy acc. fit]]*NOT(ISBLANK(Tabella34[[#This Row],[rest of Italy rate data]]))</f>
        <v>50.271710061509353</v>
      </c>
      <c r="BU91" s="77">
        <f>Tabella34[[#This Row],[rest of Italy acc. fit]]+CIa</f>
        <v>1684.4056500153108</v>
      </c>
      <c r="BV91" s="77">
        <f>MAX(Tabella34[[#This Row],[rest of Italy acc. fit]]-CIa,0)</f>
        <v>0</v>
      </c>
    </row>
    <row r="92" spans="2:74" x14ac:dyDescent="0.3">
      <c r="B92" s="262">
        <v>43915</v>
      </c>
      <c r="C92" s="29">
        <v>85</v>
      </c>
      <c r="D92" s="10">
        <f>Tabella8[[#This Row],[Italy cumulative]]</f>
        <v>16865</v>
      </c>
      <c r="E92" s="72">
        <f>(Tabella34[[#This Row],[Italy cumul. data]]-D91)</f>
        <v>1719</v>
      </c>
      <c r="F92" s="72">
        <f>Tabella34[[#This Row],[Italy rate data]]-E91</f>
        <v>82</v>
      </c>
      <c r="G92" s="77">
        <f>Tabella34[[#This Row],[Italy rate data]]*NOT(ISBLANK(Tabella34[[#This Row],[Italy rate data]]))</f>
        <v>1719</v>
      </c>
      <c r="H92" s="143">
        <f>Tabella8[[#This Row],[Italy fit]]</f>
        <v>17172.710690883545</v>
      </c>
      <c r="I92" s="143">
        <f>(ATANH(alpha*Tabella34[[#This Row],[Italy cumul. Fit]]/Kf-(1-alpha*Tabella34[[#This Row],[Italy cumul. Fit]]/Kf)*TANH(phi_f))+phi_f)/psi_f-(Tabella34[[#This Row],[Day]]-pf)</f>
        <v>10.065619145507032</v>
      </c>
      <c r="J92" s="259">
        <f>Tabella34[[#This Row],[Italy d.t.]]/Italy_dt_at_lockdown</f>
        <v>4.4346802130904006</v>
      </c>
      <c r="K92" s="77">
        <f>Tabella34[[#This Row],[Italy cumul. Fit]]/Kf</f>
        <v>7.3075364168014537E-2</v>
      </c>
      <c r="L92" s="146">
        <f>Tabella34[[#This Row],[sel. region acc. fit]]+Tabella34[[#This Row],[rest of Italy acc. fit]]</f>
        <v>53.495770523163898</v>
      </c>
      <c r="M92" s="77">
        <f>Tabella34[[#This Row],[Italy (fit of selected region + fitted sum of the other regions)]]/(y_l_peak+y_a_peak)</f>
        <v>1.6893313035311792E-2</v>
      </c>
      <c r="N92" s="143">
        <f>Tabella3[[#This Row],[Italy remov. rate fit]]</f>
        <v>1420.9304161823907</v>
      </c>
      <c r="O92" s="143">
        <f>Kt*EXP(-0.5*Tabella34[[#This Row],[x_t]]^2)/(psi_t*SQRTPI(2)*(Tabella34[[#This Row],[Day]]-D_bk))</f>
        <v>0</v>
      </c>
      <c r="P92" s="183">
        <f>Tabella34[[#This Row],[Italy velocity]]/Tabella34[[#This Row],[Italy cumul. Fit]]</f>
        <v>8.2743513342754801E-2</v>
      </c>
      <c r="Q92" s="244">
        <f>(LN(Tabella34[[#This Row],[Day]]-D_bk)-phi_t)/psi_t</f>
        <v>56.72803208277152</v>
      </c>
      <c r="R92" s="244">
        <f>EXP(phi_t+psi_t*Tabella34[[#This Row],[x_t_alpha©+plus]])-(Tabella34[[#This Row],[Day]]-D_bk)</f>
        <v>-12.184346234856982</v>
      </c>
      <c r="S92" s="244">
        <f>EXP(phi_t+psi_t*Tabella34[[#This Row],[x_t_alpha©-minus]])-(Tabella34[[#This Row],[Day]]-D_bk)</f>
        <v>-12.940140429743064</v>
      </c>
      <c r="T92" s="244">
        <f>-psi_t+SQRT(psi_t^2-2*Tabella34[[#This Row],[c_t]])</f>
        <v>3.7667652734714285</v>
      </c>
      <c r="U92" s="244">
        <f>-psi_t-SQRT(psi_t^2-2*Tabella34[[#This Row],[c_t]])</f>
        <v>-3.8172839481688006</v>
      </c>
      <c r="V92" s="244">
        <f>phi_t-LN(alpha*Kt/(Tabella34[[#This Row],[Italy velocity]]*psi_t*SQRTPI(2)))</f>
        <v>-7.1894063074710726</v>
      </c>
      <c r="W92" s="244">
        <f>Tabella34[[#This Row],[Italy g.r.]]/Italy_gr_at_lockdown</f>
        <v>0.19736482186589499</v>
      </c>
      <c r="X92" s="244">
        <f>(ACOSH(SQRT(alpha*Kf*psi_f/(Tabella34[[#This Row],[Italy velocity]]*(1+TANH(phi_f)))))+phi_f)/psi_f-(Tabella34[[#This Row],[Day]]-pf)</f>
        <v>92.317832355404249</v>
      </c>
      <c r="Y92" s="244">
        <f>Tabella34[[#This Row],[Italy h.t.]]/Italy_ht_at_lockdown</f>
        <v>0.77736332985608314</v>
      </c>
      <c r="Z92" s="72">
        <f>-2*$BY$48*TANH($BY$48*(Tabella34[[#This Row],[Day]]-$BY$57)-$BY$47)*Tabella34[[#This Row],[Italy velocity]]</f>
        <v>53.245502283342461</v>
      </c>
      <c r="AA92" s="72">
        <f>Tabella34[[#This Row],[Italy acc. fit]]/Itali_acc_at_lockdown</f>
        <v>1.521285786018306</v>
      </c>
      <c r="AB92" s="77">
        <f>Tabella34[[#This Row],[Italy acc. fit]]/y_f_peak</f>
        <v>1.6855233200392838E-2</v>
      </c>
      <c r="AC92" s="143">
        <f>Tabella34[[#This Row],[Italy (fit of selected region + fitted sum of the other regions)]]*NOT(ISBLANK(Tabella34[[#This Row],[Italy rate data]]))</f>
        <v>53.495770523163898</v>
      </c>
      <c r="AD92" s="143">
        <f>Tabella34[[#This Row],[Italy acc. fit]]*NOT(ISBLANK(Tabella34[[#This Row],[Italy rate data]]))</f>
        <v>53.245502283342461</v>
      </c>
      <c r="AE92" s="77">
        <f>Tabella34[[#This Row],[Italy acc. fit]]+CIf</f>
        <v>1708.4554712070938</v>
      </c>
      <c r="AF92" s="77">
        <f>MAX(Tabella34[[#This Row],[Italy acc. fit]]-CIf,0)</f>
        <v>0</v>
      </c>
      <c r="AG92" s="4">
        <f>Tabella8[[#This Row],[region data]]</f>
        <v>479</v>
      </c>
      <c r="AH92" s="72">
        <f>(Tabella34[[#This Row],[selected region cumul. data]]-AG91)</f>
        <v>55</v>
      </c>
      <c r="AI92" s="72">
        <f>Tabella34[[#This Row],[selected region rate data]]-AH91</f>
        <v>2</v>
      </c>
      <c r="AJ92" s="77">
        <f>Tabella34[[#This Row],[selected region rate data]]*NOT(ISBLANK(Tabella34[[#This Row],[selected region rate data]]))</f>
        <v>55</v>
      </c>
      <c r="AK92" s="77">
        <f>Tabella8[[#This Row],[region fit]]</f>
        <v>526.28265574970794</v>
      </c>
      <c r="AL92" s="143">
        <f>(ATANH(alpha*Tabella34[[#This Row],[sel. region cumul. fit]]/Kl-(1-alpha*Tabella34[[#This Row],[sel. region cumul. fit]]/Kl)*TANH(phi_l))+phi_l)/psi_l-(Tabella34[[#This Row],[Day]]-pl)</f>
        <v>6.8843450362428715</v>
      </c>
      <c r="AM92" s="77">
        <f>Tabella34[[#This Row],[sel. region cumul. fit]]/Kl</f>
        <v>4.0003591993455191E-2</v>
      </c>
      <c r="AN92" s="143">
        <f>Tabella3[[#This Row],[region fit]]</f>
        <v>69.218669359982613</v>
      </c>
      <c r="AO92" s="186">
        <f>Tabella34[[#This Row],[sel. region velocity]]/Tabella34[[#This Row],[sel. region cumul. fit]]</f>
        <v>0.13152375174017128</v>
      </c>
      <c r="AP92" s="241">
        <f>(LN(Tabella34[[#This Row],[Day]]-pr)-phi_r)/psi_r</f>
        <v>52.541386156541073</v>
      </c>
      <c r="AQ92" s="244">
        <f>EXP(phi_r+psi_r*Tabella34[[#This Row],[x_r_alpha©+plus]])-(Tabella34[[#This Row],[Day]]-pr)</f>
        <v>-5.3965673617502983</v>
      </c>
      <c r="AR92" s="244">
        <f>EXP(phi_r+psi_r*Tabella34[[#This Row],[x_r_alpha©-minus]])-(Tabella34[[#This Row],[Day]]-pr)</f>
        <v>-5.8750223499344925</v>
      </c>
      <c r="AS92" s="244">
        <f>-psi_r+SQRT(psi_r^2-2*Tabella34[[#This Row],[c_r]])</f>
        <v>3.9366724764188565</v>
      </c>
      <c r="AT92" s="244">
        <f>-psi_r-SQRT(psi_r^2-2*Tabella34[[#This Row],[c_r]])</f>
        <v>-3.9769604860851948</v>
      </c>
      <c r="AU92" s="244">
        <f>phi_r-LN(alpha*Kr/(Tabella34[[#This Row],[sel. region velocity]]*psi_r*SQRTPI(2)))</f>
        <v>-7.8279954426884713</v>
      </c>
      <c r="AV92" s="244">
        <f>(ACOSH(SQRT(alpha*Kl*psi_l/(Tabella34[[#This Row],[sel. region velocity]]*(1+TANH(phi_l)))))+phi_l)/psi_l-(Tabella34[[#This Row],[Day]]-pl)</f>
        <v>113.01885212854232</v>
      </c>
      <c r="AW92" s="72">
        <f>-2*$BY$22*TANH($BY$22*(Tabella34[[#This Row],[Day]]-$BY$31)-$BY$21)*Tabella34[[#This Row],[sel. region velocity]]</f>
        <v>2.029953196914732</v>
      </c>
      <c r="AX92" s="77">
        <f>Tabella34[[#This Row],[sel. region acc. fit]]/y_l_peak</f>
        <v>1.3787183596128901E-2</v>
      </c>
      <c r="AY92" s="143">
        <f>Tabella34[[#This Row],[sel. region acc. fit]]*NOT(ISBLANK(Tabella34[[#This Row],[selected region rate data]]))</f>
        <v>2.029953196914732</v>
      </c>
      <c r="AZ92" s="77">
        <f>Tabella34[[#This Row],[sel. region acc. fit]]+CIl</f>
        <v>71.394939572015133</v>
      </c>
      <c r="BA92" s="77">
        <f>MAX(Tabella34[[#This Row],[sel. region acc. fit]]-CIl,0)</f>
        <v>0</v>
      </c>
      <c r="BB92" s="10">
        <f>Tabella8[[#This Row],[rest of Italy ]]</f>
        <v>16386</v>
      </c>
      <c r="BC92" s="10">
        <f>(Tabella34[[#This Row],[rest of Italy cum. Data]]-BB91)</f>
        <v>1664</v>
      </c>
      <c r="BD92" s="10">
        <f>Tabella34[[#This Row],[rest of Italy rate data]]-BC91</f>
        <v>80</v>
      </c>
      <c r="BE92" s="77">
        <f>Tabella34[[#This Row],[rest of Italy rate data]]*NOT(ISBLANK(Tabella34[[#This Row],[rest of Italy rate data]]))</f>
        <v>1664</v>
      </c>
      <c r="BF92" s="77">
        <f>Tabella8[[#This Row],[rest of Italy fit]]</f>
        <v>16598.59968790405</v>
      </c>
      <c r="BG92" s="78">
        <f>(ATANH(alpha*Tabella34[[#This Row],[rest of Italy cumul. fit]]/Ka-(1-alpha*Tabella34[[#This Row],[rest of Italy cumul. fit]]/Ka)*TANH(phi_a))+phi_a)/psi_a-(Tabella34[[#This Row],[Day]]-pa)</f>
        <v>10.19594012570121</v>
      </c>
      <c r="BH92" s="77">
        <f>Tabella34[[#This Row],[rest of Italy cumul. fit]]/Ka</f>
        <v>7.4821004711573796E-2</v>
      </c>
      <c r="BI92" s="143">
        <f>Tabella3[[#This Row],[rest of Italy fit]]</f>
        <v>1348.0857698415427</v>
      </c>
      <c r="BJ92" s="183">
        <f>Tabella34[[#This Row],[rest of Italy velocity]]/Tabella34[[#This Row],[rest of Italy cumul. fit]]</f>
        <v>8.1216837274769485E-2</v>
      </c>
      <c r="BK92" s="236">
        <f>(LN(Tabella34[[#This Row],[Day]]-po)-phi_o)/psi_o</f>
        <v>56.186174210515929</v>
      </c>
      <c r="BL92" s="244">
        <f>EXP(phi_o+psi_o*Tabella34[[#This Row],[x_o_alpha©+plus]])-(Tabella34[[#This Row],[Day]]-po)</f>
        <v>-12.658751184984272</v>
      </c>
      <c r="BM92" s="244">
        <f>EXP(phi_o+psi_o*Tabella34[[#This Row],[x_o_alpha©-minus]])-(Tabella34[[#This Row],[Day]]-po)</f>
        <v>-13.444781319010396</v>
      </c>
      <c r="BN92" s="244">
        <f>-psi_o+SQRT(psi_o^2-2*Tabella34[[#This Row],[c_o]])</f>
        <v>3.7538218580175986</v>
      </c>
      <c r="BO92" s="244">
        <f>-psi_o-SQRT(psi_o^2-2*Tabella34[[#This Row],[c_o]])</f>
        <v>-3.805135142285252</v>
      </c>
      <c r="BP92" s="244">
        <f>phi_o-LN(alpha*Ko/(Tabella34[[#This Row],[rest of Italy velocity]]*psi_o*SQRTPI(2)))</f>
        <v>-7.1418997349106412</v>
      </c>
      <c r="BQ92" s="244">
        <f>(ACOSH(SQRT(alpha*Ka*psi_a/(Tabella34[[#This Row],[rest of Italy velocity]]*(1+TANH(phi_a)))))+phi_a)/psi_a-(Tabella34[[#This Row],[Day]]-pa)</f>
        <v>91.248424578823531</v>
      </c>
      <c r="BR92" s="72">
        <f>-2*$BY$35*TANH($BY$35*(Tabella34[[#This Row],[Day]]-$BY$44)-$BY$34)*Tabella34[[#This Row],[rest of Italy velocity]]</f>
        <v>51.465817326249166</v>
      </c>
      <c r="BS92" s="77">
        <f>Tabella34[[#This Row],[rest of Italy acc. fit]]/y_a_peak</f>
        <v>1.7044774587684965E-2</v>
      </c>
      <c r="BT92" s="77">
        <f>Tabella34[[#This Row],[rest of Italy acc. fit]]*NOT(ISBLANK(Tabella34[[#This Row],[rest of Italy rate data]]))</f>
        <v>51.465817326249166</v>
      </c>
      <c r="BU92" s="77">
        <f>Tabella34[[#This Row],[rest of Italy acc. fit]]+CIa</f>
        <v>1685.5997572800507</v>
      </c>
      <c r="BV92" s="77">
        <f>MAX(Tabella34[[#This Row],[rest of Italy acc. fit]]-CIa,0)</f>
        <v>0</v>
      </c>
    </row>
    <row r="93" spans="2:74" x14ac:dyDescent="0.3">
      <c r="B93" s="262">
        <v>43916</v>
      </c>
      <c r="C93" s="29">
        <v>86</v>
      </c>
      <c r="D93" s="10">
        <f>Tabella8[[#This Row],[Italy cumulative]]</f>
        <v>18526</v>
      </c>
      <c r="E93" s="72">
        <f>(Tabella34[[#This Row],[Italy cumul. data]]-D92)</f>
        <v>1661</v>
      </c>
      <c r="F93" s="72">
        <f>Tabella34[[#This Row],[Italy rate data]]-E92</f>
        <v>-58</v>
      </c>
      <c r="G93" s="77">
        <f>Tabella34[[#This Row],[Italy rate data]]*NOT(ISBLANK(Tabella34[[#This Row],[Italy rate data]]))</f>
        <v>1661</v>
      </c>
      <c r="H93" s="143">
        <f>Tabella8[[#This Row],[Italy fit]]</f>
        <v>18620.458420082512</v>
      </c>
      <c r="I93" s="143">
        <f>(ATANH(alpha*Tabella34[[#This Row],[Italy cumul. Fit]]/Kf-(1-alpha*Tabella34[[#This Row],[Italy cumul. Fit]]/Kf)*TANH(phi_f))+phi_f)/psi_f-(Tabella34[[#This Row],[Day]]-pf)</f>
        <v>10.479293413944891</v>
      </c>
      <c r="J93" s="143">
        <f>Tabella34[[#This Row],[Italy d.t.]]/Italy_dt_at_lockdown</f>
        <v>4.6169355782484285</v>
      </c>
      <c r="K93" s="77">
        <f>Tabella34[[#This Row],[Italy cumul. Fit]]/Kf</f>
        <v>7.9235992762939494E-2</v>
      </c>
      <c r="L93" s="146">
        <f>Tabella34[[#This Row],[sel. region acc. fit]]+Tabella34[[#This Row],[rest of Italy acc. fit]]</f>
        <v>54.676268287828464</v>
      </c>
      <c r="M93" s="77">
        <f>Tabella34[[#This Row],[Italy (fit of selected region + fitted sum of the other regions)]]/(y_l_peak+y_a_peak)</f>
        <v>1.7266099857165849E-2</v>
      </c>
      <c r="N93" s="143">
        <f>Tabella3[[#This Row],[Italy remov. rate fit]]</f>
        <v>1474.7574919062652</v>
      </c>
      <c r="O93" s="143">
        <f>Kt*EXP(-0.5*Tabella34[[#This Row],[x_t]]^2)/(psi_t*SQRTPI(2)*(Tabella34[[#This Row],[Day]]-D_bk))</f>
        <v>0</v>
      </c>
      <c r="P93" s="183">
        <f>Tabella34[[#This Row],[Italy velocity]]/Tabella34[[#This Row],[Italy cumul. Fit]]</f>
        <v>7.9200922911527874E-2</v>
      </c>
      <c r="Q93" s="244">
        <f>(LN(Tabella34[[#This Row],[Day]]-D_bk)-phi_t)/psi_t</f>
        <v>59.054802588538166</v>
      </c>
      <c r="R93" s="244">
        <f>EXP(phi_t+psi_t*Tabella34[[#This Row],[x_t_alpha©+plus]])-(Tabella34[[#This Row],[Day]]-D_bk)</f>
        <v>-13.18542122294304</v>
      </c>
      <c r="S93" s="244">
        <f>EXP(phi_t+psi_t*Tabella34[[#This Row],[x_t_alpha©-minus]])-(Tabella34[[#This Row],[Day]]-D_bk)</f>
        <v>-13.939252631250252</v>
      </c>
      <c r="T93" s="244">
        <f>-psi_t+SQRT(psi_t^2-2*Tabella34[[#This Row],[c_t]])</f>
        <v>3.7569473307849393</v>
      </c>
      <c r="U93" s="244">
        <f>-psi_t-SQRT(psi_t^2-2*Tabella34[[#This Row],[c_t]])</f>
        <v>-3.8074660054823113</v>
      </c>
      <c r="V93" s="244">
        <f>phi_t-LN(alpha*Kt/(Tabella34[[#This Row],[Italy velocity]]*psi_t*SQRTPI(2)))</f>
        <v>-7.1522246231755826</v>
      </c>
      <c r="W93" s="244">
        <f>Tabella34[[#This Row],[Italy g.r.]]/Italy_gr_at_lockdown</f>
        <v>0.18891482136245191</v>
      </c>
      <c r="X93" s="244">
        <f>(ACOSH(SQRT(alpha*Kf*psi_f/(Tabella34[[#This Row],[Italy velocity]]*(1+TANH(phi_f)))))+phi_f)/psi_f-(Tabella34[[#This Row],[Day]]-pf)</f>
        <v>90.479550778184631</v>
      </c>
      <c r="Y93" s="244">
        <f>Tabella34[[#This Row],[Italy h.t.]]/Italy_ht_at_lockdown</f>
        <v>0.76188405947439641</v>
      </c>
      <c r="Z93" s="72">
        <f>-2*$BY$48*TANH($BY$48*(Tabella34[[#This Row],[Day]]-$BY$57)-$BY$47)*Tabella34[[#This Row],[Italy velocity]]</f>
        <v>54.400064974042429</v>
      </c>
      <c r="AA93" s="72">
        <f>Tabella34[[#This Row],[Italy acc. fit]]/Itali_acc_at_lockdown</f>
        <v>1.5542729818396965</v>
      </c>
      <c r="AB93" s="77">
        <f>Tabella34[[#This Row],[Italy acc. fit]]/y_f_peak</f>
        <v>1.7220718031255428E-2</v>
      </c>
      <c r="AC93" s="143">
        <f>Tabella34[[#This Row],[Italy (fit of selected region + fitted sum of the other regions)]]*NOT(ISBLANK(Tabella34[[#This Row],[Italy rate data]]))</f>
        <v>54.676268287828464</v>
      </c>
      <c r="AD93" s="143">
        <f>Tabella34[[#This Row],[Italy acc. fit]]*NOT(ISBLANK(Tabella34[[#This Row],[Italy rate data]]))</f>
        <v>54.400064974042429</v>
      </c>
      <c r="AE93" s="77">
        <f>Tabella34[[#This Row],[Italy acc. fit]]+CIf</f>
        <v>1709.6100338977938</v>
      </c>
      <c r="AF93" s="77">
        <f>MAX(Tabella34[[#This Row],[Italy acc. fit]]-CIf,0)</f>
        <v>0</v>
      </c>
      <c r="AG93" s="4">
        <f>Tabella8[[#This Row],[region data]]</f>
        <v>540</v>
      </c>
      <c r="AH93" s="72">
        <f>(Tabella34[[#This Row],[selected region cumul. data]]-AG92)</f>
        <v>61</v>
      </c>
      <c r="AI93" s="72">
        <f>Tabella34[[#This Row],[selected region rate data]]-AH92</f>
        <v>6</v>
      </c>
      <c r="AJ93" s="77">
        <f>Tabella34[[#This Row],[selected region rate data]]*NOT(ISBLANK(Tabella34[[#This Row],[selected region rate data]]))</f>
        <v>61</v>
      </c>
      <c r="AK93" s="77">
        <f>Tabella8[[#This Row],[region fit]]</f>
        <v>596.52176444625877</v>
      </c>
      <c r="AL93" s="143">
        <f>(ATANH(alpha*Tabella34[[#This Row],[sel. region cumul. fit]]/Kl-(1-alpha*Tabella34[[#This Row],[sel. region cumul. fit]]/Kl)*TANH(phi_l))+phi_l)/psi_l-(Tabella34[[#This Row],[Day]]-pl)</f>
        <v>7.5232547979506847</v>
      </c>
      <c r="AM93" s="77">
        <f>Tabella34[[#This Row],[sel. region cumul. fit]]/Kl</f>
        <v>4.5342579732426162E-2</v>
      </c>
      <c r="AN93" s="143">
        <f>Tabella3[[#This Row],[region fit]]</f>
        <v>71.264951769918511</v>
      </c>
      <c r="AO93" s="186">
        <f>Tabella34[[#This Row],[sel. region velocity]]/Tabella34[[#This Row],[sel. region cumul. fit]]</f>
        <v>0.11946747967540225</v>
      </c>
      <c r="AP93" s="241">
        <f>(LN(Tabella34[[#This Row],[Day]]-pr)-phi_r)/psi_r</f>
        <v>57.976070940406636</v>
      </c>
      <c r="AQ93" s="244">
        <f>EXP(phi_r+psi_r*Tabella34[[#This Row],[x_r_alpha©+plus]])-(Tabella34[[#This Row],[Day]]-pr)</f>
        <v>-6.3970493633167749</v>
      </c>
      <c r="AR93" s="244">
        <f>EXP(phi_r+psi_r*Tabella34[[#This Row],[x_r_alpha©-minus]])-(Tabella34[[#This Row],[Day]]-pr)</f>
        <v>-6.8746113128000417</v>
      </c>
      <c r="AS93" s="244">
        <f>-psi_r+SQRT(psi_r^2-2*Tabella34[[#This Row],[c_r]])</f>
        <v>3.929302614959111</v>
      </c>
      <c r="AT93" s="244">
        <f>-psi_r-SQRT(psi_r^2-2*Tabella34[[#This Row],[c_r]])</f>
        <v>-3.9695906246254493</v>
      </c>
      <c r="AU93" s="244">
        <f>phi_r-LN(alpha*Kr/(Tabella34[[#This Row],[sel. region velocity]]*psi_r*SQRTPI(2)))</f>
        <v>-7.798861410828974</v>
      </c>
      <c r="AV93" s="244">
        <f>(ACOSH(SQRT(alpha*Kl*psi_l/(Tabella34[[#This Row],[sel. region velocity]]*(1+TANH(phi_l)))))+phi_l)/psi_l-(Tabella34[[#This Row],[Day]]-pl)</f>
        <v>111.19015351234094</v>
      </c>
      <c r="AW93" s="72">
        <f>-2*$BY$22*TANH($BY$22*(Tabella34[[#This Row],[Day]]-$BY$31)-$BY$21)*Tabella34[[#This Row],[sel. region velocity]]</f>
        <v>2.0623729314659962</v>
      </c>
      <c r="AX93" s="77">
        <f>Tabella34[[#This Row],[sel. region acc. fit]]/y_l_peak</f>
        <v>1.4007374304503552E-2</v>
      </c>
      <c r="AY93" s="143">
        <f>Tabella34[[#This Row],[sel. region acc. fit]]*NOT(ISBLANK(Tabella34[[#This Row],[selected region rate data]]))</f>
        <v>2.0623729314659962</v>
      </c>
      <c r="AZ93" s="77">
        <f>Tabella34[[#This Row],[sel. region acc. fit]]+CIl</f>
        <v>71.427359306566402</v>
      </c>
      <c r="BA93" s="77">
        <f>MAX(Tabella34[[#This Row],[sel. region acc. fit]]-CIl,0)</f>
        <v>0</v>
      </c>
      <c r="BB93" s="10">
        <f>Tabella8[[#This Row],[rest of Italy ]]</f>
        <v>17986</v>
      </c>
      <c r="BC93" s="10">
        <f>(Tabella34[[#This Row],[rest of Italy cum. Data]]-BB92)</f>
        <v>1600</v>
      </c>
      <c r="BD93" s="10">
        <f>Tabella34[[#This Row],[rest of Italy rate data]]-BC92</f>
        <v>-64</v>
      </c>
      <c r="BE93" s="77">
        <f>Tabella34[[#This Row],[rest of Italy rate data]]*NOT(ISBLANK(Tabella34[[#This Row],[rest of Italy rate data]]))</f>
        <v>1600</v>
      </c>
      <c r="BF93" s="77">
        <f>Tabella8[[#This Row],[rest of Italy fit]]</f>
        <v>17972.611786618727</v>
      </c>
      <c r="BG93" s="78">
        <f>(ATANH(alpha*Tabella34[[#This Row],[rest of Italy cumul. fit]]/Ka-(1-alpha*Tabella34[[#This Row],[rest of Italy cumul. fit]]/Ka)*TANH(phi_a))+phi_a)/psi_a-(Tabella34[[#This Row],[Day]]-pa)</f>
        <v>10.595584310636038</v>
      </c>
      <c r="BH93" s="77">
        <f>Tabella34[[#This Row],[rest of Italy cumul. fit]]/Ka</f>
        <v>8.1014597402805921E-2</v>
      </c>
      <c r="BI93" s="143">
        <f>Tabella3[[#This Row],[rest of Italy fit]]</f>
        <v>1400.1297966726727</v>
      </c>
      <c r="BJ93" s="183">
        <f>Tabella34[[#This Row],[rest of Italy velocity]]/Tabella34[[#This Row],[rest of Italy cumul. fit]]</f>
        <v>7.7903524167540358E-2</v>
      </c>
      <c r="BK93" s="236">
        <f>(LN(Tabella34[[#This Row],[Day]]-po)-phi_o)/psi_o</f>
        <v>58.399132793684764</v>
      </c>
      <c r="BL93" s="244">
        <f>EXP(phi_o+psi_o*Tabella34[[#This Row],[x_o_alpha©+plus]])-(Tabella34[[#This Row],[Day]]-po)</f>
        <v>-13.659899077208765</v>
      </c>
      <c r="BM93" s="244">
        <f>EXP(phi_o+psi_o*Tabella34[[#This Row],[x_o_alpha©-minus]])-(Tabella34[[#This Row],[Day]]-po)</f>
        <v>-14.44383554588158</v>
      </c>
      <c r="BN93" s="244">
        <f>-psi_o+SQRT(psi_o^2-2*Tabella34[[#This Row],[c_o]])</f>
        <v>3.7437861708732929</v>
      </c>
      <c r="BO93" s="244">
        <f>-psi_o-SQRT(psi_o^2-2*Tabella34[[#This Row],[c_o]])</f>
        <v>-3.7950994551409463</v>
      </c>
      <c r="BP93" s="244">
        <f>phi_o-LN(alpha*Ko/(Tabella34[[#This Row],[rest of Italy velocity]]*psi_o*SQRTPI(2)))</f>
        <v>-7.1040204286227215</v>
      </c>
      <c r="BQ93" s="244">
        <f>(ACOSH(SQRT(alpha*Ka*psi_a/(Tabella34[[#This Row],[rest of Italy velocity]]*(1+TANH(phi_a)))))+phi_a)/psi_a-(Tabella34[[#This Row],[Day]]-pa)</f>
        <v>89.408521742554441</v>
      </c>
      <c r="BR93" s="72">
        <f>-2*$BY$35*TANH($BY$35*(Tabella34[[#This Row],[Day]]-$BY$44)-$BY$34)*Tabella34[[#This Row],[rest of Italy velocity]]</f>
        <v>52.61389535636247</v>
      </c>
      <c r="BS93" s="77">
        <f>Tabella34[[#This Row],[rest of Italy acc. fit]]/y_a_peak</f>
        <v>1.742500232424855E-2</v>
      </c>
      <c r="BT93" s="77">
        <f>Tabella34[[#This Row],[rest of Italy acc. fit]]*NOT(ISBLANK(Tabella34[[#This Row],[rest of Italy rate data]]))</f>
        <v>52.61389535636247</v>
      </c>
      <c r="BU93" s="77">
        <f>Tabella34[[#This Row],[rest of Italy acc. fit]]+CIa</f>
        <v>1686.747835310164</v>
      </c>
      <c r="BV93" s="77">
        <f>MAX(Tabella34[[#This Row],[rest of Italy acc. fit]]-CIa,0)</f>
        <v>0</v>
      </c>
    </row>
    <row r="94" spans="2:74" x14ac:dyDescent="0.3">
      <c r="B94" s="262">
        <v>43917</v>
      </c>
      <c r="C94" s="29">
        <v>87</v>
      </c>
      <c r="D94" s="10">
        <f>Tabella8[[#This Row],[Italy cumulative]]</f>
        <v>20084</v>
      </c>
      <c r="E94" s="72">
        <f>(Tabella34[[#This Row],[Italy cumul. data]]-D93)</f>
        <v>1558</v>
      </c>
      <c r="F94" s="72">
        <f>Tabella34[[#This Row],[Italy rate data]]-E93</f>
        <v>-103</v>
      </c>
      <c r="G94" s="77">
        <f>Tabella34[[#This Row],[Italy rate data]]*NOT(ISBLANK(Tabella34[[#This Row],[Italy rate data]]))</f>
        <v>1558</v>
      </c>
      <c r="H94" s="143">
        <f>Tabella8[[#This Row],[Italy fit]]</f>
        <v>20122.601579114606</v>
      </c>
      <c r="I94" s="143">
        <f>(ATANH(alpha*Tabella34[[#This Row],[Italy cumul. Fit]]/Kf-(1-alpha*Tabella34[[#This Row],[Italy cumul. Fit]]/Kf)*TANH(phi_f))+phi_f)/psi_f-(Tabella34[[#This Row],[Day]]-pf)</f>
        <v>10.886583331394647</v>
      </c>
      <c r="J94" s="143">
        <f>Tabella34[[#This Row],[Italy d.t.]]/Italy_dt_at_lockdown</f>
        <v>4.7963781452475871</v>
      </c>
      <c r="K94" s="77">
        <f>Tabella34[[#This Row],[Italy cumul. Fit]]/Kf</f>
        <v>8.5628091270546408E-2</v>
      </c>
      <c r="L94" s="146">
        <f>Tabella34[[#This Row],[sel. region acc. fit]]+Tabella34[[#This Row],[rest of Italy acc. fit]]</f>
        <v>55.801035662228649</v>
      </c>
      <c r="M94" s="77">
        <f>Tabella34[[#This Row],[Italy (fit of selected region + fitted sum of the other regions)]]/(y_l_peak+y_a_peak)</f>
        <v>1.7621287700276187E-2</v>
      </c>
      <c r="N94" s="143">
        <f>Tabella3[[#This Row],[Italy remov. rate fit]]</f>
        <v>1529.7120034050286</v>
      </c>
      <c r="O94" s="143">
        <f>Kt*EXP(-0.5*Tabella34[[#This Row],[x_t]]^2)/(psi_t*SQRTPI(2)*(Tabella34[[#This Row],[Day]]-D_bk))</f>
        <v>0</v>
      </c>
      <c r="P94" s="183">
        <f>Tabella34[[#This Row],[Italy velocity]]/Tabella34[[#This Row],[Italy cumul. Fit]]</f>
        <v>7.6019594056502507E-2</v>
      </c>
      <c r="Q94" s="244">
        <f>(LN(Tabella34[[#This Row],[Day]]-D_bk)-phi_t)/psi_t</f>
        <v>61.25238043448087</v>
      </c>
      <c r="R94" s="244">
        <f>EXP(phi_t+psi_t*Tabella34[[#This Row],[x_t_alpha©+plus]])-(Tabella34[[#This Row],[Day]]-D_bk)</f>
        <v>-14.186481456012086</v>
      </c>
      <c r="S94" s="244">
        <f>EXP(phi_t+psi_t*Tabella34[[#This Row],[x_t_alpha©-minus]])-(Tabella34[[#This Row],[Day]]-D_bk)</f>
        <v>-14.938376586983782</v>
      </c>
      <c r="T94" s="244">
        <f>-psi_t+SQRT(psi_t^2-2*Tabella34[[#This Row],[c_t]])</f>
        <v>3.7472617612343893</v>
      </c>
      <c r="U94" s="244">
        <f>-psi_t-SQRT(psi_t^2-2*Tabella34[[#This Row],[c_t]])</f>
        <v>-3.7977804359317613</v>
      </c>
      <c r="V94" s="244">
        <f>phi_t-LN(alpha*Kt/(Tabella34[[#This Row],[Italy velocity]]*psi_t*SQRTPI(2)))</f>
        <v>-7.1156387025655796</v>
      </c>
      <c r="W94" s="244">
        <f>Tabella34[[#This Row],[Italy g.r.]]/Italy_gr_at_lockdown</f>
        <v>0.18132652377387856</v>
      </c>
      <c r="X94" s="244">
        <f>(ACOSH(SQRT(alpha*Kf*psi_f/(Tabella34[[#This Row],[Italy velocity]]*(1+TANH(phi_f)))))+phi_f)/psi_f-(Tabella34[[#This Row],[Day]]-pf)</f>
        <v>88.65005603873422</v>
      </c>
      <c r="Y94" s="244">
        <f>Tabella34[[#This Row],[Italy h.t.]]/Italy_ht_at_lockdown</f>
        <v>0.74647877875746771</v>
      </c>
      <c r="Z94" s="72">
        <f>-2*$BY$48*TANH($BY$48*(Tabella34[[#This Row],[Day]]-$BY$57)-$BY$47)*Tabella34[[#This Row],[Italy velocity]]</f>
        <v>55.498986520704406</v>
      </c>
      <c r="AA94" s="72">
        <f>Tabella34[[#This Row],[Italy acc. fit]]/Itali_acc_at_lockdown</f>
        <v>1.5856704456102491</v>
      </c>
      <c r="AB94" s="77">
        <f>Tabella34[[#This Row],[Italy acc. fit]]/y_f_peak</f>
        <v>1.7568589271897639E-2</v>
      </c>
      <c r="AC94" s="143">
        <f>Tabella34[[#This Row],[Italy (fit of selected region + fitted sum of the other regions)]]*NOT(ISBLANK(Tabella34[[#This Row],[Italy rate data]]))</f>
        <v>55.801035662228649</v>
      </c>
      <c r="AD94" s="143">
        <f>Tabella34[[#This Row],[Italy acc. fit]]*NOT(ISBLANK(Tabella34[[#This Row],[Italy rate data]]))</f>
        <v>55.498986520704406</v>
      </c>
      <c r="AE94" s="77">
        <f>Tabella34[[#This Row],[Italy acc. fit]]+CIf</f>
        <v>1710.7089554444558</v>
      </c>
      <c r="AF94" s="77">
        <f>MAX(Tabella34[[#This Row],[Italy acc. fit]]-CIf,0)</f>
        <v>0</v>
      </c>
      <c r="AG94" s="4">
        <f>Tabella8[[#This Row],[region data]]</f>
        <v>636</v>
      </c>
      <c r="AH94" s="72">
        <f>(Tabella34[[#This Row],[selected region cumul. data]]-AG93)</f>
        <v>96</v>
      </c>
      <c r="AI94" s="72">
        <f>Tabella34[[#This Row],[selected region rate data]]-AH93</f>
        <v>35</v>
      </c>
      <c r="AJ94" s="77">
        <f>Tabella34[[#This Row],[selected region rate data]]*NOT(ISBLANK(Tabella34[[#This Row],[selected region rate data]]))</f>
        <v>96</v>
      </c>
      <c r="AK94" s="77">
        <f>Tabella8[[#This Row],[region fit]]</f>
        <v>668.82311995188422</v>
      </c>
      <c r="AL94" s="143">
        <f>(ATANH(alpha*Tabella34[[#This Row],[sel. region cumul. fit]]/Kl-(1-alpha*Tabella34[[#This Row],[sel. region cumul. fit]]/Kl)*TANH(phi_l))+phi_l)/psi_l-(Tabella34[[#This Row],[Day]]-pl)</f>
        <v>8.1412723622438428</v>
      </c>
      <c r="AM94" s="77">
        <f>Tabella34[[#This Row],[sel. region cumul. fit]]/Kl</f>
        <v>5.0838322171630423E-2</v>
      </c>
      <c r="AN94" s="143">
        <f>Tabella3[[#This Row],[region fit]]</f>
        <v>73.342910703513695</v>
      </c>
      <c r="AO94" s="186">
        <f>Tabella34[[#This Row],[sel. region velocity]]/Tabella34[[#This Row],[sel. region cumul. fit]]</f>
        <v>0.10965965217947318</v>
      </c>
      <c r="AP94" s="241">
        <f>(LN(Tabella34[[#This Row],[Day]]-pr)-phi_r)/psi_r</f>
        <v>62.874059181277168</v>
      </c>
      <c r="AQ94" s="244">
        <f>EXP(phi_r+psi_r*Tabella34[[#This Row],[x_r_alpha©+plus]])-(Tabella34[[#This Row],[Day]]-pr)</f>
        <v>-7.3975256784644889</v>
      </c>
      <c r="AR94" s="244">
        <f>EXP(phi_r+psi_r*Tabella34[[#This Row],[x_r_alpha©-minus]])-(Tabella34[[#This Row],[Day]]-pr)</f>
        <v>-7.8742050049614898</v>
      </c>
      <c r="AS94" s="244">
        <f>-psi_r+SQRT(psi_r^2-2*Tabella34[[#This Row],[c_r]])</f>
        <v>3.9220186245292834</v>
      </c>
      <c r="AT94" s="244">
        <f>-psi_r-SQRT(psi_r^2-2*Tabella34[[#This Row],[c_r]])</f>
        <v>-3.9623066341956217</v>
      </c>
      <c r="AU94" s="244">
        <f>phi_r-LN(alpha*Kr/(Tabella34[[#This Row],[sel. region velocity]]*psi_r*SQRTPI(2)))</f>
        <v>-7.7701202077055838</v>
      </c>
      <c r="AV94" s="244">
        <f>(ACOSH(SQRT(alpha*Kl*psi_l/(Tabella34[[#This Row],[sel. region velocity]]*(1+TANH(phi_l)))))+phi_l)/psi_l-(Tabella34[[#This Row],[Day]]-pl)</f>
        <v>109.36884331682204</v>
      </c>
      <c r="AW94" s="72">
        <f>-2*$BY$22*TANH($BY$22*(Tabella34[[#This Row],[Day]]-$BY$31)-$BY$21)*Tabella34[[#This Row],[sel. region velocity]]</f>
        <v>2.0932789287981786</v>
      </c>
      <c r="AX94" s="77">
        <f>Tabella34[[#This Row],[sel. region acc. fit]]/y_l_peak</f>
        <v>1.4217283902462704E-2</v>
      </c>
      <c r="AY94" s="143">
        <f>Tabella34[[#This Row],[sel. region acc. fit]]*NOT(ISBLANK(Tabella34[[#This Row],[selected region rate data]]))</f>
        <v>2.0932789287981786</v>
      </c>
      <c r="AZ94" s="77">
        <f>Tabella34[[#This Row],[sel. region acc. fit]]+CIl</f>
        <v>71.458265303898585</v>
      </c>
      <c r="BA94" s="77">
        <f>MAX(Tabella34[[#This Row],[sel. region acc. fit]]-CIl,0)</f>
        <v>0</v>
      </c>
      <c r="BB94" s="10">
        <f>Tabella8[[#This Row],[rest of Italy ]]</f>
        <v>19448</v>
      </c>
      <c r="BC94" s="10">
        <f>(Tabella34[[#This Row],[rest of Italy cum. Data]]-BB93)</f>
        <v>1462</v>
      </c>
      <c r="BD94" s="10">
        <f>Tabella34[[#This Row],[rest of Italy rate data]]-BC93</f>
        <v>-138</v>
      </c>
      <c r="BE94" s="77">
        <f>Tabella34[[#This Row],[rest of Italy rate data]]*NOT(ISBLANK(Tabella34[[#This Row],[rest of Italy rate data]]))</f>
        <v>1462</v>
      </c>
      <c r="BF94" s="77">
        <f>Tabella8[[#This Row],[rest of Italy fit]]</f>
        <v>19399.233264332561</v>
      </c>
      <c r="BG94" s="78">
        <f>(ATANH(alpha*Tabella34[[#This Row],[rest of Italy cumul. fit]]/Ka-(1-alpha*Tabella34[[#This Row],[rest of Italy cumul. fit]]/Ka)*TANH(phi_a))+phi_a)/psi_a-(Tabella34[[#This Row],[Day]]-pa)</f>
        <v>10.989695323328256</v>
      </c>
      <c r="BH94" s="77">
        <f>Tabella34[[#This Row],[rest of Italy cumul. fit]]/Ka</f>
        <v>8.7445335797168483E-2</v>
      </c>
      <c r="BI94" s="143">
        <f>Tabella3[[#This Row],[rest of Italy fit]]</f>
        <v>1453.2954928620206</v>
      </c>
      <c r="BJ94" s="183">
        <f>Tabella34[[#This Row],[rest of Italy velocity]]/Tabella34[[#This Row],[rest of Italy cumul. fit]]</f>
        <v>7.4915099636131008E-2</v>
      </c>
      <c r="BK94" s="236">
        <f>(LN(Tabella34[[#This Row],[Day]]-po)-phi_o)/psi_o</f>
        <v>60.493167936823838</v>
      </c>
      <c r="BL94" s="244">
        <f>EXP(phi_o+psi_o*Tabella34[[#This Row],[x_o_alpha©+plus]])-(Tabella34[[#This Row],[Day]]-po)</f>
        <v>-14.661031169215232</v>
      </c>
      <c r="BM94" s="244">
        <f>EXP(phi_o+psi_o*Tabella34[[#This Row],[x_o_alpha©-minus]])-(Tabella34[[#This Row],[Day]]-po)</f>
        <v>-15.442902313680605</v>
      </c>
      <c r="BN94" s="244">
        <f>-psi_o+SQRT(psi_o^2-2*Tabella34[[#This Row],[c_o]])</f>
        <v>3.7338860888817358</v>
      </c>
      <c r="BO94" s="244">
        <f>-psi_o-SQRT(psi_o^2-2*Tabella34[[#This Row],[c_o]])</f>
        <v>-3.7851993731493891</v>
      </c>
      <c r="BP94" s="244">
        <f>phi_o-LN(alpha*Ko/(Tabella34[[#This Row],[rest of Italy velocity]]*psi_o*SQRTPI(2)))</f>
        <v>-7.0667516415231848</v>
      </c>
      <c r="BQ94" s="244">
        <f>(ACOSH(SQRT(alpha*Ka*psi_a/(Tabella34[[#This Row],[rest of Italy velocity]]*(1+TANH(phi_a)))))+phi_a)/psi_a-(Tabella34[[#This Row],[Day]]-pa)</f>
        <v>87.577456803544166</v>
      </c>
      <c r="BR94" s="72">
        <f>-2*$BY$35*TANH($BY$35*(Tabella34[[#This Row],[Day]]-$BY$44)-$BY$34)*Tabella34[[#This Row],[rest of Italy velocity]]</f>
        <v>53.707756733430472</v>
      </c>
      <c r="BS94" s="77">
        <f>Tabella34[[#This Row],[rest of Italy acc. fit]]/y_a_peak</f>
        <v>1.7787274247068854E-2</v>
      </c>
      <c r="BT94" s="77">
        <f>Tabella34[[#This Row],[rest of Italy acc. fit]]*NOT(ISBLANK(Tabella34[[#This Row],[rest of Italy rate data]]))</f>
        <v>53.707756733430472</v>
      </c>
      <c r="BU94" s="77">
        <f>Tabella34[[#This Row],[rest of Italy acc. fit]]+CIa</f>
        <v>1687.8416966872319</v>
      </c>
      <c r="BV94" s="77">
        <f>MAX(Tabella34[[#This Row],[rest of Italy acc. fit]]-CIa,0)</f>
        <v>0</v>
      </c>
    </row>
    <row r="95" spans="2:74" x14ac:dyDescent="0.3">
      <c r="B95" s="262">
        <v>43918</v>
      </c>
      <c r="C95" s="29">
        <v>88</v>
      </c>
      <c r="D95" s="10">
        <f>Tabella8[[#This Row],[Italy cumulative]]</f>
        <v>22407</v>
      </c>
      <c r="E95" s="72">
        <f>(Tabella34[[#This Row],[Italy cumul. data]]-D94)</f>
        <v>2323</v>
      </c>
      <c r="F95" s="72">
        <f>Tabella34[[#This Row],[Italy rate data]]-E94</f>
        <v>765</v>
      </c>
      <c r="G95" s="77">
        <f>Tabella34[[#This Row],[Italy rate data]]*NOT(ISBLANK(Tabella34[[#This Row],[Italy rate data]]))</f>
        <v>2323</v>
      </c>
      <c r="H95" s="143">
        <f>Tabella8[[#This Row],[Italy fit]]</f>
        <v>21680.238380000101</v>
      </c>
      <c r="I95" s="143">
        <f>(ATANH(alpha*Tabella34[[#This Row],[Italy cumul. Fit]]/Kf-(1-alpha*Tabella34[[#This Row],[Italy cumul. Fit]]/Kf)*TANH(phi_f))+phi_f)/psi_f-(Tabella34[[#This Row],[Day]]-pf)</f>
        <v>11.289283469479031</v>
      </c>
      <c r="J95" s="143">
        <f>Tabella34[[#This Row],[Italy d.t.]]/Italy_dt_at_lockdown</f>
        <v>4.9737985610566566</v>
      </c>
      <c r="K95" s="77">
        <f>Tabella34[[#This Row],[Italy cumul. Fit]]/Kf</f>
        <v>9.2256332933444443E-2</v>
      </c>
      <c r="L95" s="146">
        <f>Tabella34[[#This Row],[sel. region acc. fit]]+Tabella34[[#This Row],[rest of Italy acc. fit]]</f>
        <v>56.861312371845372</v>
      </c>
      <c r="M95" s="77">
        <f>Tabella34[[#This Row],[Italy (fit of selected region + fitted sum of the other regions)]]/(y_l_peak+y_a_peak)</f>
        <v>1.7956110176603542E-2</v>
      </c>
      <c r="N95" s="143">
        <f>Tabella3[[#This Row],[Italy remov. rate fit]]</f>
        <v>1585.7340842968274</v>
      </c>
      <c r="O95" s="143">
        <f>Kt*EXP(-0.5*Tabella34[[#This Row],[x_t]]^2)/(psi_t*SQRTPI(2)*(Tabella34[[#This Row],[Day]]-D_bk))</f>
        <v>0</v>
      </c>
      <c r="P95" s="183">
        <f>Tabella34[[#This Row],[Italy velocity]]/Tabella34[[#This Row],[Italy cumul. Fit]]</f>
        <v>7.3141911841691665E-2</v>
      </c>
      <c r="Q95" s="244">
        <f>(LN(Tabella34[[#This Row],[Day]]-D_bk)-phi_t)/psi_t</f>
        <v>63.334360767306421</v>
      </c>
      <c r="R95" s="244">
        <f>EXP(phi_t+psi_t*Tabella34[[#This Row],[x_t_alpha©+plus]])-(Tabella34[[#This Row],[Day]]-D_bk)</f>
        <v>-15.187526187441888</v>
      </c>
      <c r="S95" s="244">
        <f>EXP(phi_t+psi_t*Tabella34[[#This Row],[x_t_alpha©-minus]])-(Tabella34[[#This Row],[Day]]-D_bk)</f>
        <v>-15.937512931889374</v>
      </c>
      <c r="T95" s="244">
        <f>-psi_t+SQRT(psi_t^2-2*Tabella34[[#This Row],[c_t]])</f>
        <v>3.7377154857048169</v>
      </c>
      <c r="U95" s="244">
        <f>-psi_t-SQRT(psi_t^2-2*Tabella34[[#This Row],[c_t]])</f>
        <v>-3.788234160402189</v>
      </c>
      <c r="V95" s="244">
        <f>phi_t-LN(alpha*Kt/(Tabella34[[#This Row],[Italy velocity]]*psi_t*SQRTPI(2)))</f>
        <v>-7.0796707424056233</v>
      </c>
      <c r="W95" s="244">
        <f>Tabella34[[#This Row],[Italy g.r.]]/Italy_gr_at_lockdown</f>
        <v>0.17446250247760944</v>
      </c>
      <c r="X95" s="244">
        <f>(ACOSH(SQRT(alpha*Kf*psi_f/(Tabella34[[#This Row],[Italy velocity]]*(1+TANH(phi_f)))))+phi_f)/psi_f-(Tabella34[[#This Row],[Day]]-pf)</f>
        <v>86.829832894637761</v>
      </c>
      <c r="Y95" s="244">
        <f>Tabella34[[#This Row],[Italy h.t.]]/Italy_ht_at_lockdown</f>
        <v>0.73115156961190875</v>
      </c>
      <c r="Z95" s="72">
        <f>-2*$BY$48*TANH($BY$48*(Tabella34[[#This Row],[Day]]-$BY$57)-$BY$47)*Tabella34[[#This Row],[Italy velocity]]</f>
        <v>56.533754227183437</v>
      </c>
      <c r="AA95" s="72">
        <f>Tabella34[[#This Row],[Italy acc. fit]]/Itali_acc_at_lockdown</f>
        <v>1.6152349597230173</v>
      </c>
      <c r="AB95" s="77">
        <f>Tabella34[[#This Row],[Italy acc. fit]]/y_f_peak</f>
        <v>1.7896152169288054E-2</v>
      </c>
      <c r="AC95" s="143">
        <f>Tabella34[[#This Row],[Italy (fit of selected region + fitted sum of the other regions)]]*NOT(ISBLANK(Tabella34[[#This Row],[Italy rate data]]))</f>
        <v>56.861312371845372</v>
      </c>
      <c r="AD95" s="143">
        <f>Tabella34[[#This Row],[Italy acc. fit]]*NOT(ISBLANK(Tabella34[[#This Row],[Italy rate data]]))</f>
        <v>56.533754227183437</v>
      </c>
      <c r="AE95" s="77">
        <f>Tabella34[[#This Row],[Italy acc. fit]]+CIf</f>
        <v>1711.7437231509348</v>
      </c>
      <c r="AF95" s="77">
        <f>MAX(Tabella34[[#This Row],[Italy acc. fit]]-CIf,0)</f>
        <v>0</v>
      </c>
      <c r="AG95" s="4">
        <f>Tabella8[[#This Row],[region data]]</f>
        <v>736</v>
      </c>
      <c r="AH95" s="72">
        <f>(Tabella34[[#This Row],[selected region cumul. data]]-AG94)</f>
        <v>100</v>
      </c>
      <c r="AI95" s="72">
        <f>Tabella34[[#This Row],[selected region rate data]]-AH94</f>
        <v>4</v>
      </c>
      <c r="AJ95" s="77">
        <f>Tabella34[[#This Row],[selected region rate data]]*NOT(ISBLANK(Tabella34[[#This Row],[selected region rate data]]))</f>
        <v>100</v>
      </c>
      <c r="AK95" s="77">
        <f>Tabella8[[#This Row],[region fit]]</f>
        <v>743.21761438747058</v>
      </c>
      <c r="AL95" s="143">
        <f>(ATANH(alpha*Tabella34[[#This Row],[sel. region cumul. fit]]/Kl-(1-alpha*Tabella34[[#This Row],[sel. region cumul. fit]]/Kl)*TANH(phi_l))+phi_l)/psi_l-(Tabella34[[#This Row],[Day]]-pl)</f>
        <v>8.7408823503401543</v>
      </c>
      <c r="AM95" s="77">
        <f>Tabella34[[#This Row],[sel. region cumul. fit]]/Kl</f>
        <v>5.6493167470913729E-2</v>
      </c>
      <c r="AN95" s="143">
        <f>Tabella3[[#This Row],[region fit]]</f>
        <v>75.450949604938373</v>
      </c>
      <c r="AO95" s="186">
        <f>Tabella34[[#This Row],[sel. region velocity]]/Tabella34[[#This Row],[sel. region cumul. fit]]</f>
        <v>0.10151932374089646</v>
      </c>
      <c r="AP95" s="241">
        <f>(LN(Tabella34[[#This Row],[Day]]-pr)-phi_r)/psi_r</f>
        <v>67.331890242274895</v>
      </c>
      <c r="AQ95" s="244">
        <f>EXP(phi_r+psi_r*Tabella34[[#This Row],[x_r_alpha©+plus]])-(Tabella34[[#This Row],[Day]]-pr)</f>
        <v>-8.3979960882118529</v>
      </c>
      <c r="AR95" s="244">
        <f>EXP(phi_r+psi_r*Tabella34[[#This Row],[x_r_alpha©-minus]])-(Tabella34[[#This Row],[Day]]-pr)</f>
        <v>-8.8738036175146604</v>
      </c>
      <c r="AS95" s="244">
        <f>-psi_r+SQRT(psi_r^2-2*Tabella34[[#This Row],[c_r]])</f>
        <v>3.9148238925737768</v>
      </c>
      <c r="AT95" s="244">
        <f>-psi_r-SQRT(psi_r^2-2*Tabella34[[#This Row],[c_r]])</f>
        <v>-3.9551119022401151</v>
      </c>
      <c r="AU95" s="244">
        <f>phi_r-LN(alpha*Kr/(Tabella34[[#This Row],[sel. region velocity]]*psi_r*SQRTPI(2)))</f>
        <v>-7.7417832863462612</v>
      </c>
      <c r="AV95" s="244">
        <f>(ACOSH(SQRT(alpha*Kl*psi_l/(Tabella34[[#This Row],[sel. region velocity]]*(1+TANH(phi_l)))))+phi_l)/psi_l-(Tabella34[[#This Row],[Day]]-pl)</f>
        <v>107.55524439613455</v>
      </c>
      <c r="AW95" s="72">
        <f>-2*$BY$22*TANH($BY$22*(Tabella34[[#This Row],[Day]]-$BY$31)-$BY$21)*Tabella34[[#This Row],[sel. region velocity]]</f>
        <v>2.1225046951220872</v>
      </c>
      <c r="AX95" s="77">
        <f>Tabella34[[#This Row],[sel. region acc. fit]]/y_l_peak</f>
        <v>1.4415781585393379E-2</v>
      </c>
      <c r="AY95" s="143">
        <f>Tabella34[[#This Row],[sel. region acc. fit]]*NOT(ISBLANK(Tabella34[[#This Row],[selected region rate data]]))</f>
        <v>2.1225046951220872</v>
      </c>
      <c r="AZ95" s="77">
        <f>Tabella34[[#This Row],[sel. region acc. fit]]+CIl</f>
        <v>71.487491070222489</v>
      </c>
      <c r="BA95" s="77">
        <f>MAX(Tabella34[[#This Row],[sel. region acc. fit]]-CIl,0)</f>
        <v>0</v>
      </c>
      <c r="BB95" s="10">
        <f>Tabella8[[#This Row],[rest of Italy ]]</f>
        <v>21671</v>
      </c>
      <c r="BC95" s="10">
        <f>(Tabella34[[#This Row],[rest of Italy cum. Data]]-BB94)</f>
        <v>2223</v>
      </c>
      <c r="BD95" s="10">
        <f>Tabella34[[#This Row],[rest of Italy rate data]]-BC94</f>
        <v>761</v>
      </c>
      <c r="BE95" s="77">
        <f>Tabella34[[#This Row],[rest of Italy rate data]]*NOT(ISBLANK(Tabella34[[#This Row],[rest of Italy rate data]]))</f>
        <v>2223</v>
      </c>
      <c r="BF95" s="77">
        <f>Tabella8[[#This Row],[rest of Italy fit]]</f>
        <v>20879.557266138359</v>
      </c>
      <c r="BG95" s="78">
        <f>(ATANH(alpha*Tabella34[[#This Row],[rest of Italy cumul. fit]]/Ka-(1-alpha*Tabella34[[#This Row],[rest of Italy cumul. fit]]/Ka)*TANH(phi_a))+phi_a)/psi_a-(Tabella34[[#This Row],[Day]]-pa)</f>
        <v>11.380029979021089</v>
      </c>
      <c r="BH95" s="77">
        <f>Tabella34[[#This Row],[rest of Italy cumul. fit]]/Ka</f>
        <v>9.411814743166326E-2</v>
      </c>
      <c r="BI95" s="143">
        <f>Tabella3[[#This Row],[rest of Italy fit]]</f>
        <v>1507.5243774913429</v>
      </c>
      <c r="BJ95" s="183">
        <f>Tabella34[[#This Row],[rest of Italy velocity]]/Tabella34[[#This Row],[rest of Italy cumul. fit]]</f>
        <v>7.2200974296336554E-2</v>
      </c>
      <c r="BK95" s="236">
        <f>(LN(Tabella34[[#This Row],[Day]]-po)-phi_o)/psi_o</f>
        <v>62.480412198945032</v>
      </c>
      <c r="BL95" s="244">
        <f>EXP(phi_o+psi_o*Tabella34[[#This Row],[x_o_alpha©+plus]])-(Tabella34[[#This Row],[Day]]-po)</f>
        <v>-15.662146643529388</v>
      </c>
      <c r="BM95" s="244">
        <f>EXP(phi_o+psi_o*Tabella34[[#This Row],[x_o_alpha©-minus]])-(Tabella34[[#This Row],[Day]]-po)</f>
        <v>-16.441982316284275</v>
      </c>
      <c r="BN95" s="244">
        <f>-psi_o+SQRT(psi_o^2-2*Tabella34[[#This Row],[c_o]])</f>
        <v>3.7241288675194859</v>
      </c>
      <c r="BO95" s="244">
        <f>-psi_o-SQRT(psi_o^2-2*Tabella34[[#This Row],[c_o]])</f>
        <v>-3.7754421517871393</v>
      </c>
      <c r="BP95" s="244">
        <f>phi_o-LN(alpha*Ko/(Tabella34[[#This Row],[rest of Italy velocity]]*psi_o*SQRTPI(2)))</f>
        <v>-7.0301165525601856</v>
      </c>
      <c r="BQ95" s="244">
        <f>(ACOSH(SQRT(alpha*Ka*psi_a/(Tabella34[[#This Row],[rest of Italy velocity]]*(1+TANH(phi_a)))))+phi_a)/psi_a-(Tabella34[[#This Row],[Day]]-pa)</f>
        <v>85.75572532722677</v>
      </c>
      <c r="BR95" s="72">
        <f>-2*$BY$35*TANH($BY$35*(Tabella34[[#This Row],[Day]]-$BY$44)-$BY$34)*Tabella34[[#This Row],[rest of Italy velocity]]</f>
        <v>54.738807676723283</v>
      </c>
      <c r="BS95" s="77">
        <f>Tabella34[[#This Row],[rest of Italy acc. fit]]/y_a_peak</f>
        <v>1.8128744213540805E-2</v>
      </c>
      <c r="BT95" s="77">
        <f>Tabella34[[#This Row],[rest of Italy acc. fit]]*NOT(ISBLANK(Tabella34[[#This Row],[rest of Italy rate data]]))</f>
        <v>54.738807676723283</v>
      </c>
      <c r="BU95" s="77">
        <f>Tabella34[[#This Row],[rest of Italy acc. fit]]+CIa</f>
        <v>1688.8727476305248</v>
      </c>
      <c r="BV95" s="77">
        <f>MAX(Tabella34[[#This Row],[rest of Italy acc. fit]]-CIa,0)</f>
        <v>0</v>
      </c>
    </row>
    <row r="96" spans="2:74" x14ac:dyDescent="0.3">
      <c r="B96" s="262">
        <v>43919</v>
      </c>
      <c r="C96" s="29">
        <v>89</v>
      </c>
      <c r="D96" s="10">
        <f>Tabella8[[#This Row],[Italy cumulative]]</f>
        <v>23809</v>
      </c>
      <c r="E96" s="72">
        <f>(Tabella34[[#This Row],[Italy cumul. data]]-D95)</f>
        <v>1402</v>
      </c>
      <c r="F96" s="72">
        <f>Tabella34[[#This Row],[Italy rate data]]-E95</f>
        <v>-921</v>
      </c>
      <c r="G96" s="77">
        <f>Tabella34[[#This Row],[Italy rate data]]*NOT(ISBLANK(Tabella34[[#This Row],[Italy rate data]]))</f>
        <v>1402</v>
      </c>
      <c r="H96" s="143">
        <f>Tabella8[[#This Row],[Italy fit]]</f>
        <v>23294.402851245672</v>
      </c>
      <c r="I96" s="143">
        <f>(ATANH(alpha*Tabella34[[#This Row],[Italy cumul. Fit]]/Kf-(1-alpha*Tabella34[[#This Row],[Italy cumul. Fit]]/Kf)*TANH(phi_f))+phi_f)/psi_f-(Tabella34[[#This Row],[Day]]-pf)</f>
        <v>11.689142192147827</v>
      </c>
      <c r="J96" s="143">
        <f>Tabella34[[#This Row],[Italy d.t.]]/Italy_dt_at_lockdown</f>
        <v>5.1499671146068309</v>
      </c>
      <c r="K96" s="77">
        <f>Tabella34[[#This Row],[Italy cumul. Fit]]/Kf</f>
        <v>9.9125117872910035E-2</v>
      </c>
      <c r="L96" s="146">
        <f>Tabella34[[#This Row],[sel. region acc. fit]]+Tabella34[[#This Row],[rest of Italy acc. fit]]</f>
        <v>57.847959571558938</v>
      </c>
      <c r="M96" s="77">
        <f>Tabella34[[#This Row],[Italy (fit of selected region + fitted sum of the other regions)]]/(y_l_peak+y_a_peak)</f>
        <v>1.8267681350121974E-2</v>
      </c>
      <c r="N96" s="143">
        <f>Tabella3[[#This Row],[Italy remov. rate fit]]</f>
        <v>1642.7551746329507</v>
      </c>
      <c r="O96" s="143">
        <f>Kt*EXP(-0.5*Tabella34[[#This Row],[x_t]]^2)/(psi_t*SQRTPI(2)*(Tabella34[[#This Row],[Day]]-D_bk))</f>
        <v>0</v>
      </c>
      <c r="P96" s="183">
        <f>Tabella34[[#This Row],[Italy velocity]]/Tabella34[[#This Row],[Italy cumul. Fit]]</f>
        <v>7.0521454665454286E-2</v>
      </c>
      <c r="Q96" s="244">
        <f>(LN(Tabella34[[#This Row],[Day]]-D_bk)-phi_t)/psi_t</f>
        <v>65.312299619210137</v>
      </c>
      <c r="R96" s="244">
        <f>EXP(phi_t+psi_t*Tabella34[[#This Row],[x_t_alpha©+plus]])-(Tabella34[[#This Row],[Day]]-D_bk)</f>
        <v>-16.18855465255881</v>
      </c>
      <c r="S96" s="244">
        <f>EXP(phi_t+psi_t*Tabella34[[#This Row],[x_t_alpha©-minus]])-(Tabella34[[#This Row],[Day]]-D_bk)</f>
        <v>-16.93666231679682</v>
      </c>
      <c r="T96" s="244">
        <f>-psi_t+SQRT(psi_t^2-2*Tabella34[[#This Row],[c_t]])</f>
        <v>3.7283155952913973</v>
      </c>
      <c r="U96" s="244">
        <f>-psi_t-SQRT(psi_t^2-2*Tabella34[[#This Row],[c_t]])</f>
        <v>-3.7788342699887694</v>
      </c>
      <c r="V96" s="244">
        <f>phi_t-LN(alpha*Kt/(Tabella34[[#This Row],[Italy velocity]]*psi_t*SQRTPI(2)))</f>
        <v>-7.0443433704103562</v>
      </c>
      <c r="W96" s="244">
        <f>Tabella34[[#This Row],[Italy g.r.]]/Italy_gr_at_lockdown</f>
        <v>0.16821202986771533</v>
      </c>
      <c r="X96" s="244">
        <f>(ACOSH(SQRT(alpha*Kf*psi_f/(Tabella34[[#This Row],[Italy velocity]]*(1+TANH(phi_f)))))+phi_f)/psi_f-(Tabella34[[#This Row],[Day]]-pf)</f>
        <v>85.019392039694836</v>
      </c>
      <c r="Y96" s="244">
        <f>Tabella34[[#This Row],[Italy h.t.]]/Italy_ht_at_lockdown</f>
        <v>0.71590673234051527</v>
      </c>
      <c r="Z96" s="72">
        <f>-2*$BY$48*TANH($BY$48*(Tabella34[[#This Row],[Day]]-$BY$57)-$BY$47)*Tabella34[[#This Row],[Italy velocity]]</f>
        <v>57.495499710555826</v>
      </c>
      <c r="AA96" s="72">
        <f>Tabella34[[#This Row],[Italy acc. fit]]/Itali_acc_at_lockdown</f>
        <v>1.6427131441870493</v>
      </c>
      <c r="AB96" s="77">
        <f>Tabella34[[#This Row],[Italy acc. fit]]/y_f_peak</f>
        <v>1.820059937527746E-2</v>
      </c>
      <c r="AC96" s="143">
        <f>Tabella34[[#This Row],[Italy (fit of selected region + fitted sum of the other regions)]]*NOT(ISBLANK(Tabella34[[#This Row],[Italy rate data]]))</f>
        <v>57.847959571558938</v>
      </c>
      <c r="AD96" s="143">
        <f>Tabella34[[#This Row],[Italy acc. fit]]*NOT(ISBLANK(Tabella34[[#This Row],[Italy rate data]]))</f>
        <v>57.495499710555826</v>
      </c>
      <c r="AE96" s="77">
        <f>Tabella34[[#This Row],[Italy acc. fit]]+CIf</f>
        <v>1712.7054686343072</v>
      </c>
      <c r="AF96" s="77">
        <f>MAX(Tabella34[[#This Row],[Italy acc. fit]]-CIf,0)</f>
        <v>0</v>
      </c>
      <c r="AG96" s="4">
        <f>Tabella8[[#This Row],[region data]]</f>
        <v>797</v>
      </c>
      <c r="AH96" s="72">
        <f>(Tabella34[[#This Row],[selected region cumul. data]]-AG95)</f>
        <v>61</v>
      </c>
      <c r="AI96" s="72">
        <f>Tabella34[[#This Row],[selected region rate data]]-AH95</f>
        <v>-39</v>
      </c>
      <c r="AJ96" s="77">
        <f>Tabella34[[#This Row],[selected region rate data]]*NOT(ISBLANK(Tabella34[[#This Row],[selected region rate data]]))</f>
        <v>61</v>
      </c>
      <c r="AK96" s="77">
        <f>Tabella8[[#This Row],[region fit]]</f>
        <v>819.73445923514714</v>
      </c>
      <c r="AL96" s="143">
        <f>(ATANH(alpha*Tabella34[[#This Row],[sel. region cumul. fit]]/Kl-(1-alpha*Tabella34[[#This Row],[sel. region cumul. fit]]/Kl)*TANH(phi_l))+phi_l)/psi_l-(Tabella34[[#This Row],[Day]]-pl)</f>
        <v>9.3243894131403628</v>
      </c>
      <c r="AM96" s="77">
        <f>Tabella34[[#This Row],[sel. region cumul. fit]]/Kl</f>
        <v>6.2309336042064033E-2</v>
      </c>
      <c r="AN96" s="143">
        <f>Tabella3[[#This Row],[region fit]]</f>
        <v>77.587302937478483</v>
      </c>
      <c r="AO96" s="186">
        <f>Tabella34[[#This Row],[sel. region velocity]]/Tabella34[[#This Row],[sel. region cumul. fit]]</f>
        <v>9.4649312424747015E-2</v>
      </c>
      <c r="AP96" s="241">
        <f>(LN(Tabella34[[#This Row],[Day]]-pr)-phi_r)/psi_r</f>
        <v>71.422191564479078</v>
      </c>
      <c r="AQ96" s="244">
        <f>EXP(phi_r+psi_r*Tabella34[[#This Row],[x_r_alpha©+plus]])-(Tabella34[[#This Row],[Day]]-pr)</f>
        <v>-9.3984603696817217</v>
      </c>
      <c r="AR96" s="244">
        <f>EXP(phi_r+psi_r*Tabella34[[#This Row],[x_r_alpha©-minus]])-(Tabella34[[#This Row],[Day]]-pr)</f>
        <v>-9.8734073450475393</v>
      </c>
      <c r="AS96" s="244">
        <f>-psi_r+SQRT(psi_r^2-2*Tabella34[[#This Row],[c_r]])</f>
        <v>3.9077218676141627</v>
      </c>
      <c r="AT96" s="244">
        <f>-psi_r-SQRT(psi_r^2-2*Tabella34[[#This Row],[c_r]])</f>
        <v>-3.948009877280501</v>
      </c>
      <c r="AU96" s="244">
        <f>phi_r-LN(alpha*Kr/(Tabella34[[#This Row],[sel. region velocity]]*psi_r*SQRTPI(2)))</f>
        <v>-7.7138622655028604</v>
      </c>
      <c r="AV96" s="244">
        <f>(ACOSH(SQRT(alpha*Kl*psi_l/(Tabella34[[#This Row],[sel. region velocity]]*(1+TANH(phi_l)))))+phi_l)/psi_l-(Tabella34[[#This Row],[Day]]-pl)</f>
        <v>105.74969318081155</v>
      </c>
      <c r="AW96" s="72">
        <f>-2*$BY$22*TANH($BY$22*(Tabella34[[#This Row],[Day]]-$BY$31)-$BY$21)*Tabella34[[#This Row],[sel. region velocity]]</f>
        <v>2.1498788477032531</v>
      </c>
      <c r="AX96" s="77">
        <f>Tabella34[[#This Row],[sel. region acc. fit]]/y_l_peak</f>
        <v>1.4601703343588887E-2</v>
      </c>
      <c r="AY96" s="143">
        <f>Tabella34[[#This Row],[sel. region acc. fit]]*NOT(ISBLANK(Tabella34[[#This Row],[selected region rate data]]))</f>
        <v>2.1498788477032531</v>
      </c>
      <c r="AZ96" s="77">
        <f>Tabella34[[#This Row],[sel. region acc. fit]]+CIl</f>
        <v>71.51486522280365</v>
      </c>
      <c r="BA96" s="77">
        <f>MAX(Tabella34[[#This Row],[sel. region acc. fit]]-CIl,0)</f>
        <v>0</v>
      </c>
      <c r="BB96" s="10">
        <f>Tabella8[[#This Row],[rest of Italy ]]</f>
        <v>23012</v>
      </c>
      <c r="BC96" s="10">
        <f>(Tabella34[[#This Row],[rest of Italy cum. Data]]-BB95)</f>
        <v>1341</v>
      </c>
      <c r="BD96" s="10">
        <f>Tabella34[[#This Row],[rest of Italy rate data]]-BC95</f>
        <v>-882</v>
      </c>
      <c r="BE96" s="77">
        <f>Tabella34[[#This Row],[rest of Italy rate data]]*NOT(ISBLANK(Tabella34[[#This Row],[rest of Italy rate data]]))</f>
        <v>1341</v>
      </c>
      <c r="BF96" s="77">
        <f>Tabella8[[#This Row],[rest of Italy fit]]</f>
        <v>22414.614095520239</v>
      </c>
      <c r="BG96" s="78">
        <f>(ATANH(alpha*Tabella34[[#This Row],[rest of Italy cumul. fit]]/Ka-(1-alpha*Tabella34[[#This Row],[rest of Italy cumul. fit]]/Ka)*TANH(phi_a))+phi_a)/psi_a-(Tabella34[[#This Row],[Day]]-pa)</f>
        <v>11.768306979332998</v>
      </c>
      <c r="BH96" s="77">
        <f>Tabella34[[#This Row],[rest of Italy cumul. fit]]/Ka</f>
        <v>0.10103767657407721</v>
      </c>
      <c r="BI96" s="143">
        <f>Tabella3[[#This Row],[rest of Italy fit]]</f>
        <v>1562.7491859579925</v>
      </c>
      <c r="BJ96" s="183">
        <f>Tabella34[[#This Row],[rest of Italy velocity]]/Tabella34[[#This Row],[rest of Italy cumul. fit]]</f>
        <v>6.9720102219842456E-2</v>
      </c>
      <c r="BK96" s="236">
        <f>(LN(Tabella34[[#This Row],[Day]]-po)-phi_o)/psi_o</f>
        <v>64.371231259649889</v>
      </c>
      <c r="BL96" s="244">
        <f>EXP(phi_o+psi_o*Tabella34[[#This Row],[x_o_alpha©+plus]])-(Tabella34[[#This Row],[Day]]-po)</f>
        <v>-16.663244662330026</v>
      </c>
      <c r="BM96" s="244">
        <f>EXP(phi_o+psi_o*Tabella34[[#This Row],[x_o_alpha©-minus]])-(Tabella34[[#This Row],[Day]]-po)</f>
        <v>-17.441076265447144</v>
      </c>
      <c r="BN96" s="244">
        <f>-psi_o+SQRT(psi_o^2-2*Tabella34[[#This Row],[c_o]])</f>
        <v>3.714521946001287</v>
      </c>
      <c r="BO96" s="244">
        <f>-psi_o-SQRT(psi_o^2-2*Tabella34[[#This Row],[c_o]])</f>
        <v>-3.7658352302689404</v>
      </c>
      <c r="BP96" s="244">
        <f>phi_o-LN(alpha*Ko/(Tabella34[[#This Row],[rest of Italy velocity]]*psi_o*SQRTPI(2)))</f>
        <v>-6.9941388039293955</v>
      </c>
      <c r="BQ96" s="244">
        <f>(ACOSH(SQRT(alpha*Ka*psi_a/(Tabella34[[#This Row],[rest of Italy velocity]]*(1+TANH(phi_a)))))+phi_a)/psi_a-(Tabella34[[#This Row],[Day]]-pa)</f>
        <v>83.943849871641746</v>
      </c>
      <c r="BR96" s="72">
        <f>-2*$BY$35*TANH($BY$35*(Tabella34[[#This Row],[Day]]-$BY$44)-$BY$34)*Tabella34[[#This Row],[rest of Italy velocity]]</f>
        <v>55.698080723855682</v>
      </c>
      <c r="BS96" s="77">
        <f>Tabella34[[#This Row],[rest of Italy acc. fit]]/y_a_peak</f>
        <v>1.8446442322807479E-2</v>
      </c>
      <c r="BT96" s="77">
        <f>Tabella34[[#This Row],[rest of Italy acc. fit]]*NOT(ISBLANK(Tabella34[[#This Row],[rest of Italy rate data]]))</f>
        <v>55.698080723855682</v>
      </c>
      <c r="BU96" s="77">
        <f>Tabella34[[#This Row],[rest of Italy acc. fit]]+CIa</f>
        <v>1689.8320206776571</v>
      </c>
      <c r="BV96" s="77">
        <f>MAX(Tabella34[[#This Row],[rest of Italy acc. fit]]-CIa,0)</f>
        <v>0</v>
      </c>
    </row>
    <row r="97" spans="2:74" x14ac:dyDescent="0.3">
      <c r="B97" s="262">
        <v>43920</v>
      </c>
      <c r="C97" s="29">
        <v>90</v>
      </c>
      <c r="D97" s="10">
        <f>Tabella8[[#This Row],[Italy cumulative]]</f>
        <v>26211</v>
      </c>
      <c r="E97" s="72">
        <f>(Tabella34[[#This Row],[Italy cumul. data]]-D96)</f>
        <v>2402</v>
      </c>
      <c r="F97" s="72">
        <f>Tabella34[[#This Row],[Italy rate data]]-E96</f>
        <v>1000</v>
      </c>
      <c r="G97" s="77">
        <f>Tabella34[[#This Row],[Italy rate data]]*NOT(ISBLANK(Tabella34[[#This Row],[Italy rate data]]))</f>
        <v>2402</v>
      </c>
      <c r="H97" s="143">
        <f>Tabella8[[#This Row],[Italy fit]]</f>
        <v>24966.055972823433</v>
      </c>
      <c r="I97" s="143">
        <f>(ATANH(alpha*Tabella34[[#This Row],[Italy cumul. Fit]]/Kf-(1-alpha*Tabella34[[#This Row],[Italy cumul. Fit]]/Kf)*TANH(phi_f))+phi_f)/psi_f-(Tabella34[[#This Row],[Day]]-pf)</f>
        <v>12.087879541985053</v>
      </c>
      <c r="J97" s="143">
        <f>Tabella34[[#This Row],[Italy d.t.]]/Italy_dt_at_lockdown</f>
        <v>5.3256416170871423</v>
      </c>
      <c r="K97" s="77">
        <f>Tabella34[[#This Row],[Italy cumul. Fit]]/Kf</f>
        <v>0.10623853536539375</v>
      </c>
      <c r="L97" s="146">
        <f>Tabella34[[#This Row],[sel. region acc. fit]]+Tabella34[[#This Row],[rest of Italy acc. fit]]</f>
        <v>58.751501420015344</v>
      </c>
      <c r="M97" s="77">
        <f>Tabella34[[#This Row],[Italy (fit of selected region + fitted sum of the other regions)]]/(y_l_peak+y_a_peak)</f>
        <v>1.855300886549759E-2</v>
      </c>
      <c r="N97" s="143">
        <f>Tabella3[[#This Row],[Italy remov. rate fit]]</f>
        <v>1700.6976847170738</v>
      </c>
      <c r="O97" s="143">
        <f>Kt*EXP(-0.5*Tabella34[[#This Row],[x_t]]^2)/(psi_t*SQRTPI(2)*(Tabella34[[#This Row],[Day]]-D_bk))</f>
        <v>0</v>
      </c>
      <c r="P97" s="183">
        <f>Tabella34[[#This Row],[Italy velocity]]/Tabella34[[#This Row],[Italy cumul. Fit]]</f>
        <v>6.8120398615157812E-2</v>
      </c>
      <c r="Q97" s="244">
        <f>(LN(Tabella34[[#This Row],[Day]]-D_bk)-phi_t)/psi_t</f>
        <v>67.196102355255618</v>
      </c>
      <c r="R97" s="244">
        <f>EXP(phi_t+psi_t*Tabella34[[#This Row],[x_t_alpha©+plus]])-(Tabella34[[#This Row],[Day]]-D_bk)</f>
        <v>-17.18956606950006</v>
      </c>
      <c r="S97" s="244">
        <f>EXP(phi_t+psi_t*Tabella34[[#This Row],[x_t_alpha©-minus]])-(Tabella34[[#This Row],[Day]]-D_bk)</f>
        <v>-17.93582540769717</v>
      </c>
      <c r="T97" s="244">
        <f>-psi_t+SQRT(psi_t^2-2*Tabella34[[#This Row],[c_t]])</f>
        <v>3.7190693433630275</v>
      </c>
      <c r="U97" s="244">
        <f>-psi_t-SQRT(psi_t^2-2*Tabella34[[#This Row],[c_t]])</f>
        <v>-3.7695880180603996</v>
      </c>
      <c r="V97" s="244">
        <f>phi_t-LN(alpha*Kt/(Tabella34[[#This Row],[Italy velocity]]*psi_t*SQRTPI(2)))</f>
        <v>-7.009679617538513</v>
      </c>
      <c r="W97" s="244">
        <f>Tabella34[[#This Row],[Italy g.r.]]/Italy_gr_at_lockdown</f>
        <v>0.16248488606498862</v>
      </c>
      <c r="X97" s="244">
        <f>(ACOSH(SQRT(alpha*Kf*psi_f/(Tabella34[[#This Row],[Italy velocity]]*(1+TANH(phi_f)))))+phi_f)/psi_f-(Tabella34[[#This Row],[Day]]-pf)</f>
        <v>83.219271157978781</v>
      </c>
      <c r="Y97" s="244">
        <f>Tabella34[[#This Row],[Italy h.t.]]/Italy_ht_at_lockdown</f>
        <v>0.700748794517982</v>
      </c>
      <c r="Z97" s="72">
        <f>-2*$BY$48*TANH($BY$48*(Tabella34[[#This Row],[Day]]-$BY$57)-$BY$47)*Tabella34[[#This Row],[Italy velocity]]</f>
        <v>58.375039269993266</v>
      </c>
      <c r="AA97" s="72">
        <f>Tabella34[[#This Row],[Italy acc. fit]]/Itali_acc_at_lockdown</f>
        <v>1.6678426100129651</v>
      </c>
      <c r="AB97" s="77">
        <f>Tabella34[[#This Row],[Italy acc. fit]]/y_f_peak</f>
        <v>1.8479023725646047E-2</v>
      </c>
      <c r="AC97" s="143">
        <f>Tabella34[[#This Row],[Italy (fit of selected region + fitted sum of the other regions)]]*NOT(ISBLANK(Tabella34[[#This Row],[Italy rate data]]))</f>
        <v>58.751501420015344</v>
      </c>
      <c r="AD97" s="143">
        <f>Tabella34[[#This Row],[Italy acc. fit]]*NOT(ISBLANK(Tabella34[[#This Row],[Italy rate data]]))</f>
        <v>58.375039269993266</v>
      </c>
      <c r="AE97" s="77">
        <f>Tabella34[[#This Row],[Italy acc. fit]]+CIf</f>
        <v>1713.5850081937447</v>
      </c>
      <c r="AF97" s="77">
        <f>MAX(Tabella34[[#This Row],[Italy acc. fit]]-CIf,0)</f>
        <v>0</v>
      </c>
      <c r="AG97" s="4">
        <f>Tabella8[[#This Row],[region data]]</f>
        <v>834</v>
      </c>
      <c r="AH97" s="72">
        <f>(Tabella34[[#This Row],[selected region cumul. data]]-AG96)</f>
        <v>37</v>
      </c>
      <c r="AI97" s="72">
        <f>Tabella34[[#This Row],[selected region rate data]]-AH96</f>
        <v>-24</v>
      </c>
      <c r="AJ97" s="77">
        <f>Tabella34[[#This Row],[selected region rate data]]*NOT(ISBLANK(Tabella34[[#This Row],[selected region rate data]]))</f>
        <v>37</v>
      </c>
      <c r="AK97" s="77">
        <f>Tabella8[[#This Row],[region fit]]</f>
        <v>898.40101400151593</v>
      </c>
      <c r="AL97" s="143">
        <f>(ATANH(alpha*Tabella34[[#This Row],[sel. region cumul. fit]]/Kl-(1-alpha*Tabella34[[#This Row],[sel. region cumul. fit]]/Kl)*TANH(phi_l))+phi_l)/psi_l-(Tabella34[[#This Row],[Day]]-pl)</f>
        <v>9.8939465101618858</v>
      </c>
      <c r="AM97" s="77">
        <f>Tabella34[[#This Row],[sel. region cumul. fit]]/Kl</f>
        <v>6.8288907525227746E-2</v>
      </c>
      <c r="AN97" s="143">
        <f>Tabella3[[#This Row],[region fit]]</f>
        <v>79.750031563661324</v>
      </c>
      <c r="AO97" s="186">
        <f>Tabella34[[#This Row],[sel. region velocity]]/Tabella34[[#This Row],[sel. region cumul. fit]]</f>
        <v>8.8768857470954227E-2</v>
      </c>
      <c r="AP97" s="241">
        <f>(LN(Tabella34[[#This Row],[Day]]-pr)-phi_r)/psi_r</f>
        <v>75.200976915006279</v>
      </c>
      <c r="AQ97" s="244">
        <f>EXP(phi_r+psi_r*Tabella34[[#This Row],[x_r_alpha©+plus]])-(Tabella34[[#This Row],[Day]]-pr)</f>
        <v>-10.39891829627808</v>
      </c>
      <c r="AR97" s="244">
        <f>EXP(phi_r+psi_r*Tabella34[[#This Row],[x_r_alpha©-minus]])-(Tabella34[[#This Row],[Day]]-pr)</f>
        <v>-10.87301638548729</v>
      </c>
      <c r="AS97" s="244">
        <f>-psi_r+SQRT(psi_r^2-2*Tabella34[[#This Row],[c_r]])</f>
        <v>3.900716056526504</v>
      </c>
      <c r="AT97" s="244">
        <f>-psi_r-SQRT(psi_r^2-2*Tabella34[[#This Row],[c_r]])</f>
        <v>-3.9410040661928423</v>
      </c>
      <c r="AU97" s="244">
        <f>phi_r-LN(alpha*Kr/(Tabella34[[#This Row],[sel. region velocity]]*psi_r*SQRTPI(2)))</f>
        <v>-7.6863689199173306</v>
      </c>
      <c r="AV97" s="244">
        <f>(ACOSH(SQRT(alpha*Kl*psi_l/(Tabella34[[#This Row],[sel. region velocity]]*(1+TANH(phi_l)))))+phi_l)/psi_l-(Tabella34[[#This Row],[Day]]-pl)</f>
        <v>103.95254009605432</v>
      </c>
      <c r="AW97" s="72">
        <f>-2*$BY$22*TANH($BY$22*(Tabella34[[#This Row],[Day]]-$BY$31)-$BY$21)*Tabella34[[#This Row],[sel. region velocity]]</f>
        <v>2.1752256664374205</v>
      </c>
      <c r="AX97" s="77">
        <f>Tabella34[[#This Row],[sel. region acc. fit]]/y_l_peak</f>
        <v>1.4773855708479321E-2</v>
      </c>
      <c r="AY97" s="143">
        <f>Tabella34[[#This Row],[sel. region acc. fit]]*NOT(ISBLANK(Tabella34[[#This Row],[selected region rate data]]))</f>
        <v>2.1752256664374205</v>
      </c>
      <c r="AZ97" s="77">
        <f>Tabella34[[#This Row],[sel. region acc. fit]]+CIl</f>
        <v>71.540212041537828</v>
      </c>
      <c r="BA97" s="77">
        <f>MAX(Tabella34[[#This Row],[sel. region acc. fit]]-CIl,0)</f>
        <v>0</v>
      </c>
      <c r="BB97" s="10">
        <f>Tabella8[[#This Row],[rest of Italy ]]</f>
        <v>25377</v>
      </c>
      <c r="BC97" s="10">
        <f>(Tabella34[[#This Row],[rest of Italy cum. Data]]-BB96)</f>
        <v>2365</v>
      </c>
      <c r="BD97" s="10">
        <f>Tabella34[[#This Row],[rest of Italy rate data]]-BC96</f>
        <v>1024</v>
      </c>
      <c r="BE97" s="77">
        <f>Tabella34[[#This Row],[rest of Italy rate data]]*NOT(ISBLANK(Tabella34[[#This Row],[rest of Italy rate data]]))</f>
        <v>2365</v>
      </c>
      <c r="BF97" s="77">
        <f>Tabella8[[#This Row],[rest of Italy fit]]</f>
        <v>24005.362250307662</v>
      </c>
      <c r="BG97" s="78">
        <f>(ATANH(alpha*Tabella34[[#This Row],[rest of Italy cumul. fit]]/Ka-(1-alpha*Tabella34[[#This Row],[rest of Italy cumul. fit]]/Ka)*TANH(phi_a))+phi_a)/psi_a-(Tabella34[[#This Row],[Day]]-pa)</f>
        <v>12.156224423430153</v>
      </c>
      <c r="BH97" s="77">
        <f>Tabella34[[#This Row],[rest of Italy cumul. fit]]/Ka</f>
        <v>0.10820824381602424</v>
      </c>
      <c r="BI97" s="143">
        <f>Tabella3[[#This Row],[rest of Italy fit]]</f>
        <v>1618.8935160877425</v>
      </c>
      <c r="BJ97" s="183">
        <f>Tabella34[[#This Row],[rest of Italy velocity]]/Tabella34[[#This Row],[rest of Italy cumul. fit]]</f>
        <v>6.7438828841959841E-2</v>
      </c>
      <c r="BK97" s="236">
        <f>(LN(Tabella34[[#This Row],[Day]]-po)-phi_o)/psi_o</f>
        <v>66.174551177650315</v>
      </c>
      <c r="BL97" s="244">
        <f>EXP(phi_o+psi_o*Tabella34[[#This Row],[x_o_alpha©+plus]])-(Tabella34[[#This Row],[Day]]-po)</f>
        <v>-17.664324368401214</v>
      </c>
      <c r="BM97" s="244">
        <f>EXP(phi_o+psi_o*Tabella34[[#This Row],[x_o_alpha©-minus]])-(Tabella34[[#This Row],[Day]]-po)</f>
        <v>-18.440184890005813</v>
      </c>
      <c r="BN97" s="244">
        <f>-psi_o+SQRT(psi_o^2-2*Tabella34[[#This Row],[c_o]])</f>
        <v>3.7050729388933221</v>
      </c>
      <c r="BO97" s="244">
        <f>-psi_o-SQRT(psi_o^2-2*Tabella34[[#This Row],[c_o]])</f>
        <v>-3.7563862231609755</v>
      </c>
      <c r="BP97" s="244">
        <f>phi_o-LN(alpha*Ko/(Tabella34[[#This Row],[rest of Italy velocity]]*psi_o*SQRTPI(2)))</f>
        <v>-6.9588424717327104</v>
      </c>
      <c r="BQ97" s="244">
        <f>(ACOSH(SQRT(alpha*Ka*psi_a/(Tabella34[[#This Row],[rest of Italy velocity]]*(1+TANH(phi_a)))))+phi_a)/psi_a-(Tabella34[[#This Row],[Day]]-pa)</f>
        <v>82.142381113397079</v>
      </c>
      <c r="BR97" s="72">
        <f>-2*$BY$35*TANH($BY$35*(Tabella34[[#This Row],[Day]]-$BY$44)-$BY$34)*Tabella34[[#This Row],[rest of Italy velocity]]</f>
        <v>56.576275753577924</v>
      </c>
      <c r="BS97" s="77">
        <f>Tabella34[[#This Row],[rest of Italy acc. fit]]/y_a_peak</f>
        <v>1.8737288501947173E-2</v>
      </c>
      <c r="BT97" s="77">
        <f>Tabella34[[#This Row],[rest of Italy acc. fit]]*NOT(ISBLANK(Tabella34[[#This Row],[rest of Italy rate data]]))</f>
        <v>56.576275753577924</v>
      </c>
      <c r="BU97" s="77">
        <f>Tabella34[[#This Row],[rest of Italy acc. fit]]+CIa</f>
        <v>1690.7102157073793</v>
      </c>
      <c r="BV97" s="77">
        <f>MAX(Tabella34[[#This Row],[rest of Italy acc. fit]]-CIa,0)</f>
        <v>0</v>
      </c>
    </row>
    <row r="98" spans="2:74" x14ac:dyDescent="0.3">
      <c r="B98" s="262">
        <v>43921</v>
      </c>
      <c r="C98" s="29">
        <v>91</v>
      </c>
      <c r="D98" s="10">
        <f>Tabella8[[#This Row],[Italy cumulative]]</f>
        <v>28157</v>
      </c>
      <c r="E98" s="72">
        <f>(Tabella34[[#This Row],[Italy cumul. data]]-D97)</f>
        <v>1946</v>
      </c>
      <c r="F98" s="72">
        <f>Tabella34[[#This Row],[Italy rate data]]-E97</f>
        <v>-456</v>
      </c>
      <c r="G98" s="77">
        <f>Tabella34[[#This Row],[Italy rate data]]*NOT(ISBLANK(Tabella34[[#This Row],[Italy rate data]]))</f>
        <v>1946</v>
      </c>
      <c r="H98" s="143">
        <f>Tabella8[[#This Row],[Italy fit]]</f>
        <v>26696.07649652844</v>
      </c>
      <c r="I98" s="143">
        <f>(ATANH(alpha*Tabella34[[#This Row],[Italy cumul. Fit]]/Kf-(1-alpha*Tabella34[[#This Row],[Italy cumul. Fit]]/Kf)*TANH(phi_f))+phi_f)/psi_f-(Tabella34[[#This Row],[Day]]-pf)</f>
        <v>12.487204444168327</v>
      </c>
      <c r="J98" s="143">
        <f>Tabella34[[#This Row],[Italy d.t.]]/Italy_dt_at_lockdown</f>
        <v>5.5015749816131478</v>
      </c>
      <c r="K98" s="77">
        <f>Tabella34[[#This Row],[Italy cumul. Fit]]/Kf</f>
        <v>0.11360032478021199</v>
      </c>
      <c r="L98" s="146">
        <f>Tabella34[[#This Row],[sel. region acc. fit]]+Tabella34[[#This Row],[rest of Italy acc. fit]]</f>
        <v>59.562175567985605</v>
      </c>
      <c r="M98" s="77">
        <f>Tabella34[[#This Row],[Italy (fit of selected region + fitted sum of the other regions)]]/(y_l_peak+y_a_peak)</f>
        <v>1.8809009891697714E-2</v>
      </c>
      <c r="N98" s="143">
        <f>Tabella3[[#This Row],[Italy remov. rate fit]]</f>
        <v>1759.4747034331526</v>
      </c>
      <c r="O98" s="143">
        <f>Kt*EXP(-0.5*Tabella34[[#This Row],[x_t]]^2)/(psi_t*SQRTPI(2)*(Tabella34[[#This Row],[Day]]-D_bk))</f>
        <v>0</v>
      </c>
      <c r="P98" s="183">
        <f>Tabella34[[#This Row],[Italy velocity]]/Tabella34[[#This Row],[Italy cumul. Fit]]</f>
        <v>6.5907613939522339E-2</v>
      </c>
      <c r="Q98" s="244">
        <f>(LN(Tabella34[[#This Row],[Day]]-D_bk)-phi_t)/psi_t</f>
        <v>68.99432381243318</v>
      </c>
      <c r="R98" s="244">
        <f>EXP(phi_t+psi_t*Tabella34[[#This Row],[x_t_alpha©+plus]])-(Tabella34[[#This Row],[Day]]-D_bk)</f>
        <v>-18.1905596402177</v>
      </c>
      <c r="S98" s="244">
        <f>EXP(phi_t+psi_t*Tabella34[[#This Row],[x_t_alpha©-minus]])-(Tabella34[[#This Row],[Day]]-D_bk)</f>
        <v>-18.935002884896445</v>
      </c>
      <c r="T98" s="244">
        <f>-psi_t+SQRT(psi_t^2-2*Tabella34[[#This Row],[c_t]])</f>
        <v>3.7099841362959713</v>
      </c>
      <c r="U98" s="244">
        <f>-psi_t-SQRT(psi_t^2-2*Tabella34[[#This Row],[c_t]])</f>
        <v>-3.7605028109933434</v>
      </c>
      <c r="V98" s="244">
        <f>phi_t-LN(alpha*Kt/(Tabella34[[#This Row],[Italy velocity]]*psi_t*SQRTPI(2)))</f>
        <v>-6.975702886640855</v>
      </c>
      <c r="W98" s="244">
        <f>Tabella34[[#This Row],[Italy g.r.]]/Italy_gr_at_lockdown</f>
        <v>0.15720681850789453</v>
      </c>
      <c r="X98" s="244">
        <f>(ACOSH(SQRT(alpha*Kf*psi_f/(Tabella34[[#This Row],[Italy velocity]]*(1+TANH(phi_f)))))+phi_f)/psi_f-(Tabella34[[#This Row],[Day]]-pf)</f>
        <v>81.430035944046637</v>
      </c>
      <c r="Y98" s="244">
        <f>Tabella34[[#This Row],[Italy h.t.]]/Italy_ht_at_lockdown</f>
        <v>0.68568251958159232</v>
      </c>
      <c r="Z98" s="72">
        <f>-2*$BY$48*TANH($BY$48*(Tabella34[[#This Row],[Day]]-$BY$57)-$BY$47)*Tabella34[[#This Row],[Italy velocity]]</f>
        <v>59.162922601361664</v>
      </c>
      <c r="AA98" s="72">
        <f>Tabella34[[#This Row],[Italy acc. fit]]/Itali_acc_at_lockdown</f>
        <v>1.6903533510455739</v>
      </c>
      <c r="AB98" s="77">
        <f>Tabella34[[#This Row],[Italy acc. fit]]/y_f_peak</f>
        <v>1.8728433661047698E-2</v>
      </c>
      <c r="AC98" s="143">
        <f>Tabella34[[#This Row],[Italy (fit of selected region + fitted sum of the other regions)]]*NOT(ISBLANK(Tabella34[[#This Row],[Italy rate data]]))</f>
        <v>59.562175567985605</v>
      </c>
      <c r="AD98" s="143">
        <f>Tabella34[[#This Row],[Italy acc. fit]]*NOT(ISBLANK(Tabella34[[#This Row],[Italy rate data]]))</f>
        <v>59.162922601361664</v>
      </c>
      <c r="AE98" s="77">
        <f>Tabella34[[#This Row],[Italy acc. fit]]+CIf</f>
        <v>1714.3728915251131</v>
      </c>
      <c r="AF98" s="77">
        <f>MAX(Tabella34[[#This Row],[Italy acc. fit]]-CIf,0)</f>
        <v>0</v>
      </c>
      <c r="AG98" s="4">
        <f>Tabella8[[#This Row],[region data]]</f>
        <v>908</v>
      </c>
      <c r="AH98" s="72">
        <f>(Tabella34[[#This Row],[selected region cumul. data]]-AG97)</f>
        <v>74</v>
      </c>
      <c r="AI98" s="72">
        <f>Tabella34[[#This Row],[selected region rate data]]-AH97</f>
        <v>37</v>
      </c>
      <c r="AJ98" s="77">
        <f>Tabella34[[#This Row],[selected region rate data]]*NOT(ISBLANK(Tabella34[[#This Row],[selected region rate data]]))</f>
        <v>74</v>
      </c>
      <c r="AK98" s="77">
        <f>Tabella8[[#This Row],[region fit]]</f>
        <v>979.24261055032537</v>
      </c>
      <c r="AL98" s="143">
        <f>(ATANH(alpha*Tabella34[[#This Row],[sel. region cumul. fit]]/Kl-(1-alpha*Tabella34[[#This Row],[sel. region cumul. fit]]/Kl)*TANH(phi_l))+phi_l)/psi_l-(Tabella34[[#This Row],[Day]]-pl)</f>
        <v>10.451579458445707</v>
      </c>
      <c r="AM98" s="77">
        <f>Tabella34[[#This Row],[sel. region cumul. fit]]/Kl</f>
        <v>7.4433807436153382E-2</v>
      </c>
      <c r="AN98" s="143">
        <f>Tabella3[[#This Row],[region fit]]</f>
        <v>81.937018717711595</v>
      </c>
      <c r="AO98" s="186">
        <f>Tabella34[[#This Row],[sel. region velocity]]/Tabella34[[#This Row],[sel. region cumul. fit]]</f>
        <v>8.3673869820333632E-2</v>
      </c>
      <c r="AP98" s="241">
        <f>(LN(Tabella34[[#This Row],[Day]]-pr)-phi_r)/psi_r</f>
        <v>78.71235655432605</v>
      </c>
      <c r="AQ98" s="244">
        <f>EXP(phi_r+psi_r*Tabella34[[#This Row],[x_r_alpha©+plus]])-(Tabella34[[#This Row],[Day]]-pr)</f>
        <v>-11.399369637883606</v>
      </c>
      <c r="AR98" s="244">
        <f>EXP(phi_r+psi_r*Tabella34[[#This Row],[x_r_alpha©-minus]])-(Tabella34[[#This Row],[Day]]-pr)</f>
        <v>-11.872630939928719</v>
      </c>
      <c r="AS98" s="244">
        <f>-psi_r+SQRT(psi_r^2-2*Tabella34[[#This Row],[c_r]])</f>
        <v>3.8938100214928029</v>
      </c>
      <c r="AT98" s="244">
        <f>-psi_r-SQRT(psi_r^2-2*Tabella34[[#This Row],[c_r]])</f>
        <v>-3.9340980311591411</v>
      </c>
      <c r="AU98" s="244">
        <f>phi_r-LN(alpha*Kr/(Tabella34[[#This Row],[sel. region velocity]]*psi_r*SQRTPI(2)))</f>
        <v>-7.6593151696312853</v>
      </c>
      <c r="AV98" s="244">
        <f>(ACOSH(SQRT(alpha*Kl*psi_l/(Tabella34[[#This Row],[sel. region velocity]]*(1+TANH(phi_l)))))+phi_l)/psi_l-(Tabella34[[#This Row],[Day]]-pl)</f>
        <v>102.16414996579603</v>
      </c>
      <c r="AW98" s="72">
        <f>-2*$BY$22*TANH($BY$22*(Tabella34[[#This Row],[Day]]-$BY$31)-$BY$21)*Tabella34[[#This Row],[sel. region velocity]]</f>
        <v>2.1983657273678623</v>
      </c>
      <c r="AX98" s="77">
        <f>Tabella34[[#This Row],[sel. region acc. fit]]/y_l_peak</f>
        <v>1.4931020055400474E-2</v>
      </c>
      <c r="AY98" s="143">
        <f>Tabella34[[#This Row],[sel. region acc. fit]]*NOT(ISBLANK(Tabella34[[#This Row],[selected region rate data]]))</f>
        <v>2.1983657273678623</v>
      </c>
      <c r="AZ98" s="77">
        <f>Tabella34[[#This Row],[sel. region acc. fit]]+CIl</f>
        <v>71.563352102468258</v>
      </c>
      <c r="BA98" s="77">
        <f>MAX(Tabella34[[#This Row],[sel. region acc. fit]]-CIl,0)</f>
        <v>0</v>
      </c>
      <c r="BB98" s="10">
        <f>Tabella8[[#This Row],[rest of Italy ]]</f>
        <v>27249</v>
      </c>
      <c r="BC98" s="10">
        <f>(Tabella34[[#This Row],[rest of Italy cum. Data]]-BB97)</f>
        <v>1872</v>
      </c>
      <c r="BD98" s="10">
        <f>Tabella34[[#This Row],[rest of Italy rate data]]-BC97</f>
        <v>-493</v>
      </c>
      <c r="BE98" s="77">
        <f>Tabella34[[#This Row],[rest of Italy rate data]]*NOT(ISBLANK(Tabella34[[#This Row],[rest of Italy rate data]]))</f>
        <v>1872</v>
      </c>
      <c r="BF98" s="77">
        <f>Tabella8[[#This Row],[rest of Italy fit]]</f>
        <v>25652.679126707266</v>
      </c>
      <c r="BG98" s="78">
        <f>(ATANH(alpha*Tabella34[[#This Row],[rest of Italy cumul. fit]]/Ka-(1-alpha*Tabella34[[#This Row],[rest of Italy cumul. fit]]/Ka)*TANH(phi_a))+phi_a)/psi_a-(Tabella34[[#This Row],[Day]]-pa)</f>
        <v>12.545476822296557</v>
      </c>
      <c r="BH98" s="77">
        <f>Tabella34[[#This Row],[rest of Italy cumul. fit]]/Ka</f>
        <v>0.11563380416979126</v>
      </c>
      <c r="BI98" s="143">
        <f>Tabella3[[#This Row],[rest of Italy fit]]</f>
        <v>1675.8715196493524</v>
      </c>
      <c r="BJ98" s="183">
        <f>Tabella34[[#This Row],[rest of Italy velocity]]/Tabella34[[#This Row],[rest of Italy cumul. fit]]</f>
        <v>6.532929801880169E-2</v>
      </c>
      <c r="BK98" s="236">
        <f>(LN(Tabella34[[#This Row],[Day]]-po)-phi_o)/psi_o</f>
        <v>67.89811322278662</v>
      </c>
      <c r="BL98" s="244">
        <f>EXP(phi_o+psi_o*Tabella34[[#This Row],[x_o_alpha©+plus]])-(Tabella34[[#This Row],[Day]]-po)</f>
        <v>-18.665384886247001</v>
      </c>
      <c r="BM98" s="244">
        <f>EXP(phi_o+psi_o*Tabella34[[#This Row],[x_o_alpha©-minus]])-(Tabella34[[#This Row],[Day]]-po)</f>
        <v>-19.439308934941931</v>
      </c>
      <c r="BN98" s="244">
        <f>-psi_o+SQRT(psi_o^2-2*Tabella34[[#This Row],[c_o]])</f>
        <v>3.6957896262670173</v>
      </c>
      <c r="BO98" s="244">
        <f>-psi_o-SQRT(psi_o^2-2*Tabella34[[#This Row],[c_o]])</f>
        <v>-3.7471029105346707</v>
      </c>
      <c r="BP98" s="244">
        <f>phi_o-LN(alpha*Ko/(Tabella34[[#This Row],[rest of Italy velocity]]*psi_o*SQRTPI(2)))</f>
        <v>-6.9242520326544916</v>
      </c>
      <c r="BQ98" s="244">
        <f>(ACOSH(SQRT(alpha*Ka*psi_a/(Tabella34[[#This Row],[rest of Italy velocity]]*(1+TANH(phi_a)))))+phi_a)/psi_a-(Tabella34[[#This Row],[Day]]-pa)</f>
        <v>80.351898939781989</v>
      </c>
      <c r="BR98" s="72">
        <f>-2*$BY$35*TANH($BY$35*(Tabella34[[#This Row],[Day]]-$BY$44)-$BY$34)*Tabella34[[#This Row],[rest of Italy velocity]]</f>
        <v>57.363809840617741</v>
      </c>
      <c r="BS98" s="77">
        <f>Tabella34[[#This Row],[rest of Italy acc. fit]]/y_a_peak</f>
        <v>1.8998109017214996E-2</v>
      </c>
      <c r="BT98" s="77">
        <f>Tabella34[[#This Row],[rest of Italy acc. fit]]*NOT(ISBLANK(Tabella34[[#This Row],[rest of Italy rate data]]))</f>
        <v>57.363809840617741</v>
      </c>
      <c r="BU98" s="77">
        <f>Tabella34[[#This Row],[rest of Italy acc. fit]]+CIa</f>
        <v>1691.4977497944192</v>
      </c>
      <c r="BV98" s="77">
        <f>MAX(Tabella34[[#This Row],[rest of Italy acc. fit]]-CIa,0)</f>
        <v>0</v>
      </c>
    </row>
    <row r="99" spans="2:74" x14ac:dyDescent="0.3">
      <c r="B99" s="262">
        <v>43922</v>
      </c>
      <c r="C99" s="29">
        <v>92</v>
      </c>
      <c r="D99" s="10">
        <f>Tabella8[[#This Row],[Italy cumulative]]</f>
        <v>30002</v>
      </c>
      <c r="E99" s="72">
        <f>(Tabella34[[#This Row],[Italy cumul. data]]-D98)</f>
        <v>1845</v>
      </c>
      <c r="F99" s="72">
        <f>Tabella34[[#This Row],[Italy rate data]]-E98</f>
        <v>-101</v>
      </c>
      <c r="G99" s="77">
        <f>Tabella34[[#This Row],[Italy rate data]]*NOT(ISBLANK(Tabella34[[#This Row],[Italy rate data]]))</f>
        <v>1845</v>
      </c>
      <c r="H99" s="143">
        <f>Tabella8[[#This Row],[Italy fit]]</f>
        <v>28485.251500457278</v>
      </c>
      <c r="I99" s="143">
        <f>(ATANH(alpha*Tabella34[[#This Row],[Italy cumul. Fit]]/Kf-(1-alpha*Tabella34[[#This Row],[Italy cumul. Fit]]/Kf)*TANH(phi_f))+phi_f)/psi_f-(Tabella34[[#This Row],[Day]]-pf)</f>
        <v>12.888831644721698</v>
      </c>
      <c r="J99" s="143">
        <f>Tabella34[[#This Row],[Italy d.t.]]/Italy_dt_at_lockdown</f>
        <v>5.6785226858314166</v>
      </c>
      <c r="K99" s="77">
        <f>Tabella34[[#This Row],[Italy cumul. Fit]]/Kf</f>
        <v>0.12121383538583916</v>
      </c>
      <c r="L99" s="146">
        <f>Tabella34[[#This Row],[sel. region acc. fit]]+Tabella34[[#This Row],[rest of Italy acc. fit]]</f>
        <v>60.269992953576768</v>
      </c>
      <c r="M99" s="77">
        <f>Tabella34[[#This Row],[Italy (fit of selected region + fitted sum of the other regions)]]/(y_l_peak+y_a_peak)</f>
        <v>1.9032530004590559E-2</v>
      </c>
      <c r="N99" s="143">
        <f>Tabella3[[#This Row],[Italy remov. rate fit]]</f>
        <v>1818.9897596094827</v>
      </c>
      <c r="O99" s="143">
        <f>Kt*EXP(-0.5*Tabella34[[#This Row],[x_t]]^2)/(psi_t*SQRTPI(2)*(Tabella34[[#This Row],[Day]]-D_bk))</f>
        <v>0</v>
      </c>
      <c r="P99" s="183">
        <f>Tabella34[[#This Row],[Italy velocity]]/Tabella34[[#This Row],[Italy cumul. Fit]]</f>
        <v>6.3857247656046931E-2</v>
      </c>
      <c r="Q99" s="244">
        <f>(LN(Tabella34[[#This Row],[Day]]-D_bk)-phi_t)/psi_t</f>
        <v>70.71440317715934</v>
      </c>
      <c r="R99" s="244">
        <f>EXP(phi_t+psi_t*Tabella34[[#This Row],[x_t_alpha©+plus]])-(Tabella34[[#This Row],[Day]]-D_bk)</f>
        <v>-19.191534551630557</v>
      </c>
      <c r="S99" s="244">
        <f>EXP(phi_t+psi_t*Tabella34[[#This Row],[x_t_alpha©-minus]])-(Tabella34[[#This Row],[Day]]-D_bk)</f>
        <v>-19.93419544204043</v>
      </c>
      <c r="T99" s="244">
        <f>-psi_t+SQRT(psi_t^2-2*Tabella34[[#This Row],[c_t]])</f>
        <v>3.7010675228196983</v>
      </c>
      <c r="U99" s="244">
        <f>-psi_t-SQRT(psi_t^2-2*Tabella34[[#This Row],[c_t]])</f>
        <v>-3.7515861975170703</v>
      </c>
      <c r="V99" s="244">
        <f>phi_t-LN(alpha*Kt/(Tabella34[[#This Row],[Italy velocity]]*psi_t*SQRTPI(2)))</f>
        <v>-6.9424369173445371</v>
      </c>
      <c r="W99" s="244">
        <f>Tabella34[[#This Row],[Italy g.r.]]/Italy_gr_at_lockdown</f>
        <v>0.15231616110226001</v>
      </c>
      <c r="X99" s="244">
        <f>(ACOSH(SQRT(alpha*Kf*psi_f/(Tabella34[[#This Row],[Italy velocity]]*(1+TANH(phi_f)))))+phi_f)/psi_f-(Tabella34[[#This Row],[Day]]-pf)</f>
        <v>79.652281070552021</v>
      </c>
      <c r="Y99" s="244">
        <f>Tabella34[[#This Row],[Italy h.t.]]/Italy_ht_at_lockdown</f>
        <v>0.67071291497901253</v>
      </c>
      <c r="Z99" s="72">
        <f>-2*$BY$48*TANH($BY$48*(Tabella34[[#This Row],[Day]]-$BY$57)-$BY$47)*Tabella34[[#This Row],[Italy velocity]]</f>
        <v>59.849490203617208</v>
      </c>
      <c r="AA99" s="72">
        <f>Tabella34[[#This Row],[Italy acc. fit]]/Itali_acc_at_lockdown</f>
        <v>1.7099693841312225</v>
      </c>
      <c r="AB99" s="77">
        <f>Tabella34[[#This Row],[Italy acc. fit]]/y_f_peak</f>
        <v>1.8945771399402962E-2</v>
      </c>
      <c r="AC99" s="143">
        <f>Tabella34[[#This Row],[Italy (fit of selected region + fitted sum of the other regions)]]*NOT(ISBLANK(Tabella34[[#This Row],[Italy rate data]]))</f>
        <v>60.269992953576768</v>
      </c>
      <c r="AD99" s="143">
        <f>Tabella34[[#This Row],[Italy acc. fit]]*NOT(ISBLANK(Tabella34[[#This Row],[Italy rate data]]))</f>
        <v>59.849490203617208</v>
      </c>
      <c r="AE99" s="77">
        <f>Tabella34[[#This Row],[Italy acc. fit]]+CIf</f>
        <v>1715.0594591273687</v>
      </c>
      <c r="AF99" s="77">
        <f>MAX(Tabella34[[#This Row],[Italy acc. fit]]-CIf,0)</f>
        <v>0</v>
      </c>
      <c r="AG99" s="4">
        <f>Tabella8[[#This Row],[region data]]</f>
        <v>1015</v>
      </c>
      <c r="AH99" s="72">
        <f>(Tabella34[[#This Row],[selected region cumul. data]]-AG98)</f>
        <v>107</v>
      </c>
      <c r="AI99" s="72">
        <f>Tabella34[[#This Row],[selected region rate data]]-AH98</f>
        <v>33</v>
      </c>
      <c r="AJ99" s="77">
        <f>Tabella34[[#This Row],[selected region rate data]]*NOT(ISBLANK(Tabella34[[#This Row],[selected region rate data]]))</f>
        <v>107</v>
      </c>
      <c r="AK99" s="77">
        <f>Tabella8[[#This Row],[region fit]]</f>
        <v>1062.2823737383162</v>
      </c>
      <c r="AL99" s="143">
        <f>(ATANH(alpha*Tabella34[[#This Row],[sel. region cumul. fit]]/Kl-(1-alpha*Tabella34[[#This Row],[sel. region cumul. fit]]/Kl)*TANH(phi_l))+phi_l)/psi_l-(Tabella34[[#This Row],[Day]]-pl)</f>
        <v>10.999208494082861</v>
      </c>
      <c r="AM99" s="77">
        <f>Tabella34[[#This Row],[sel. region cumul. fit]]/Kl</f>
        <v>8.0745793532433482E-2</v>
      </c>
      <c r="AN99" s="143">
        <f>Tabella3[[#This Row],[region fit]]</f>
        <v>84.145966653463461</v>
      </c>
      <c r="AO99" s="186">
        <f>Tabella34[[#This Row],[sel. region velocity]]/Tabella34[[#This Row],[sel. region cumul. fit]]</f>
        <v>7.9212428572397714E-2</v>
      </c>
      <c r="AP99" s="241">
        <f>(LN(Tabella34[[#This Row],[Day]]-pr)-phi_r)/psi_r</f>
        <v>81.991688087888932</v>
      </c>
      <c r="AQ99" s="244">
        <f>EXP(phi_r+psi_r*Tabella34[[#This Row],[x_r_alpha©+plus]])-(Tabella34[[#This Row],[Day]]-pr)</f>
        <v>-12.399814161078757</v>
      </c>
      <c r="AR99" s="244">
        <f>EXP(phi_r+psi_r*Tabella34[[#This Row],[x_r_alpha©-minus]])-(Tabella34[[#This Row],[Day]]-pr)</f>
        <v>-12.872251212443601</v>
      </c>
      <c r="AS99" s="244">
        <f>-psi_r+SQRT(psi_r^2-2*Tabella34[[#This Row],[c_r]])</f>
        <v>3.8870073766165341</v>
      </c>
      <c r="AT99" s="244">
        <f>-psi_r-SQRT(psi_r^2-2*Tabella34[[#This Row],[c_r]])</f>
        <v>-3.9272953862828723</v>
      </c>
      <c r="AU99" s="244">
        <f>phi_r-LN(alpha*Kr/(Tabella34[[#This Row],[sel. region velocity]]*psi_r*SQRTPI(2)))</f>
        <v>-7.6327130683168027</v>
      </c>
      <c r="AV99" s="244">
        <f>(ACOSH(SQRT(alpha*Kl*psi_l/(Tabella34[[#This Row],[sel. region velocity]]*(1+TANH(phi_l)))))+phi_l)/psi_l-(Tabella34[[#This Row],[Day]]-pl)</f>
        <v>100.38490239732472</v>
      </c>
      <c r="AW99" s="72">
        <f>-2*$BY$22*TANH($BY$22*(Tabella34[[#This Row],[Day]]-$BY$31)-$BY$21)*Tabella34[[#This Row],[sel. region velocity]]</f>
        <v>2.2191166203962225</v>
      </c>
      <c r="AX99" s="77">
        <f>Tabella34[[#This Row],[sel. region acc. fit]]/y_l_peak</f>
        <v>1.5071957478194488E-2</v>
      </c>
      <c r="AY99" s="143">
        <f>Tabella34[[#This Row],[sel. region acc. fit]]*NOT(ISBLANK(Tabella34[[#This Row],[selected region rate data]]))</f>
        <v>2.2191166203962225</v>
      </c>
      <c r="AZ99" s="77">
        <f>Tabella34[[#This Row],[sel. region acc. fit]]+CIl</f>
        <v>71.584102995496622</v>
      </c>
      <c r="BA99" s="77">
        <f>MAX(Tabella34[[#This Row],[sel. region acc. fit]]-CIl,0)</f>
        <v>0</v>
      </c>
      <c r="BB99" s="10">
        <f>Tabella8[[#This Row],[rest of Italy ]]</f>
        <v>28987</v>
      </c>
      <c r="BC99" s="10">
        <f>(Tabella34[[#This Row],[rest of Italy cum. Data]]-BB98)</f>
        <v>1738</v>
      </c>
      <c r="BD99" s="10">
        <f>Tabella34[[#This Row],[rest of Italy rate data]]-BC98</f>
        <v>-134</v>
      </c>
      <c r="BE99" s="77">
        <f>Tabella34[[#This Row],[rest of Italy rate data]]*NOT(ISBLANK(Tabella34[[#This Row],[rest of Italy rate data]]))</f>
        <v>1738</v>
      </c>
      <c r="BF99" s="77">
        <f>Tabella8[[#This Row],[rest of Italy fit]]</f>
        <v>27357.351441299452</v>
      </c>
      <c r="BG99" s="78">
        <f>(ATANH(alpha*Tabella34[[#This Row],[rest of Italy cumul. fit]]/Ka-(1-alpha*Tabella34[[#This Row],[rest of Italy cumul. fit]]/Ka)*TANH(phi_a))+phi_a)/psi_a-(Tabella34[[#This Row],[Day]]-pa)</f>
        <v>12.937772026892823</v>
      </c>
      <c r="BH99" s="77">
        <f>Tabella34[[#This Row],[rest of Italy cumul. fit]]/Ka</f>
        <v>0.12331790389386242</v>
      </c>
      <c r="BI99" s="143">
        <f>Tabella3[[#This Row],[rest of Italy fit]]</f>
        <v>1733.5876483075651</v>
      </c>
      <c r="BJ99" s="183">
        <f>Tabella34[[#This Row],[rest of Italy velocity]]/Tabella34[[#This Row],[rest of Italy cumul. fit]]</f>
        <v>6.3368255952237065E-2</v>
      </c>
      <c r="BK99" s="236">
        <f>(LN(Tabella34[[#This Row],[Day]]-po)-phi_o)/psi_o</f>
        <v>69.548674703692356</v>
      </c>
      <c r="BL99" s="244">
        <f>EXP(phi_o+psi_o*Tabella34[[#This Row],[x_o_alpha©+plus]])-(Tabella34[[#This Row],[Day]]-po)</f>
        <v>-19.666425323375798</v>
      </c>
      <c r="BM99" s="244">
        <f>EXP(phi_o+psi_o*Tabella34[[#This Row],[x_o_alpha©-minus]])-(Tabella34[[#This Row],[Day]]-po)</f>
        <v>-20.438449160297434</v>
      </c>
      <c r="BN99" s="244">
        <f>-psi_o+SQRT(psi_o^2-2*Tabella34[[#This Row],[c_o]])</f>
        <v>3.6866799423272143</v>
      </c>
      <c r="BO99" s="244">
        <f>-psi_o-SQRT(psi_o^2-2*Tabella34[[#This Row],[c_o]])</f>
        <v>-3.7379932265948677</v>
      </c>
      <c r="BP99" s="244">
        <f>phi_o-LN(alpha*Ko/(Tabella34[[#This Row],[rest of Italy velocity]]*psi_o*SQRTPI(2)))</f>
        <v>-6.8903923265211429</v>
      </c>
      <c r="BQ99" s="244">
        <f>(ACOSH(SQRT(alpha*Ka*psi_a/(Tabella34[[#This Row],[rest of Italy velocity]]*(1+TANH(phi_a)))))+phi_a)/psi_a-(Tabella34[[#This Row],[Day]]-pa)</f>
        <v>78.573013486938905</v>
      </c>
      <c r="BR99" s="72">
        <f>-2*$BY$35*TANH($BY$35*(Tabella34[[#This Row],[Day]]-$BY$44)-$BY$34)*Tabella34[[#This Row],[rest of Italy velocity]]</f>
        <v>58.050876333180547</v>
      </c>
      <c r="BS99" s="77">
        <f>Tabella34[[#This Row],[rest of Italy acc. fit]]/y_a_peak</f>
        <v>1.9225656039702704E-2</v>
      </c>
      <c r="BT99" s="77">
        <f>Tabella34[[#This Row],[rest of Italy acc. fit]]*NOT(ISBLANK(Tabella34[[#This Row],[rest of Italy rate data]]))</f>
        <v>58.050876333180547</v>
      </c>
      <c r="BU99" s="77">
        <f>Tabella34[[#This Row],[rest of Italy acc. fit]]+CIa</f>
        <v>1692.1848162869819</v>
      </c>
      <c r="BV99" s="77">
        <f>MAX(Tabella34[[#This Row],[rest of Italy acc. fit]]-CIa,0)</f>
        <v>0</v>
      </c>
    </row>
    <row r="100" spans="2:74" ht="15" thickBot="1" x14ac:dyDescent="0.35">
      <c r="B100" s="262">
        <v>43923</v>
      </c>
      <c r="C100" s="29">
        <v>93</v>
      </c>
      <c r="D100" s="10">
        <f>Tabella8[[#This Row],[Italy cumulative]]</f>
        <v>32193</v>
      </c>
      <c r="E100" s="72">
        <f>(Tabella34[[#This Row],[Italy cumul. data]]-D99)</f>
        <v>2191</v>
      </c>
      <c r="F100" s="72">
        <f>Tabella34[[#This Row],[Italy rate data]]-E99</f>
        <v>346</v>
      </c>
      <c r="G100" s="77">
        <f>Tabella34[[#This Row],[Italy rate data]]*NOT(ISBLANK(Tabella34[[#This Row],[Italy rate data]]))</f>
        <v>2191</v>
      </c>
      <c r="H100" s="143">
        <f>Tabella8[[#This Row],[Italy fit]]</f>
        <v>30334.266735034074</v>
      </c>
      <c r="I100" s="143">
        <f>(ATANH(alpha*Tabella34[[#This Row],[Italy cumul. Fit]]/Kf-(1-alpha*Tabella34[[#This Row],[Italy cumul. Fit]]/Kf)*TANH(phi_f))+phi_f)/psi_f-(Tabella34[[#This Row],[Day]]-pf)</f>
        <v>13.294498787735812</v>
      </c>
      <c r="J100" s="143">
        <f>Tabella34[[#This Row],[Italy d.t.]]/Italy_dt_at_lockdown</f>
        <v>5.8572502957498411</v>
      </c>
      <c r="K100" s="77">
        <f>Tabella34[[#This Row],[Italy cumul. Fit]]/Kf</f>
        <v>0.12908198526916748</v>
      </c>
      <c r="L100" s="146">
        <f>Tabella34[[#This Row],[sel. region acc. fit]]+Tabella34[[#This Row],[rest of Italy acc. fit]]</f>
        <v>60.864807171365598</v>
      </c>
      <c r="M100" s="77">
        <f>Tabella34[[#This Row],[Italy (fit of selected region + fitted sum of the other regions)]]/(y_l_peak+y_a_peak)</f>
        <v>1.9220365092873098E-2</v>
      </c>
      <c r="N100" s="143">
        <f>Tabella3[[#This Row],[Italy remov. rate fit]]</f>
        <v>1879.1366452360542</v>
      </c>
      <c r="O100" s="143">
        <f>Kt*EXP(-0.5*Tabella34[[#This Row],[x_t]]^2)/(psi_t*SQRTPI(2)*(Tabella34[[#This Row],[Day]]-D_bk))</f>
        <v>0</v>
      </c>
      <c r="P100" s="183">
        <f>Tabella34[[#This Row],[Italy velocity]]/Tabella34[[#This Row],[Italy cumul. Fit]]</f>
        <v>6.1947653511788221E-2</v>
      </c>
      <c r="Q100" s="244">
        <f>(LN(Tabella34[[#This Row],[Day]]-D_bk)-phi_t)/psi_t</f>
        <v>72.362849922297556</v>
      </c>
      <c r="R100" s="244">
        <f>EXP(phi_t+psi_t*Tabella34[[#This Row],[x_t_alpha©+plus]])-(Tabella34[[#This Row],[Day]]-D_bk)</f>
        <v>-20.192489976929252</v>
      </c>
      <c r="S100" s="244">
        <f>EXP(phi_t+psi_t*Tabella34[[#This Row],[x_t_alpha©-minus]])-(Tabella34[[#This Row],[Day]]-D_bk)</f>
        <v>-20.933403785005716</v>
      </c>
      <c r="T100" s="244">
        <f>-psi_t+SQRT(psi_t^2-2*Tabella34[[#This Row],[c_t]])</f>
        <v>3.6923271819241132</v>
      </c>
      <c r="U100" s="244">
        <f>-psi_t-SQRT(psi_t^2-2*Tabella34[[#This Row],[c_t]])</f>
        <v>-3.7428458566214853</v>
      </c>
      <c r="V100" s="244">
        <f>phi_t-LN(alpha*Kt/(Tabella34[[#This Row],[Italy velocity]]*psi_t*SQRTPI(2)))</f>
        <v>-6.9099057470777758</v>
      </c>
      <c r="W100" s="244">
        <f>Tabella34[[#This Row],[Italy g.r.]]/Italy_gr_at_lockdown</f>
        <v>0.14776128189914267</v>
      </c>
      <c r="X100" s="244">
        <f>(ACOSH(SQRT(alpha*Kf*psi_f/(Tabella34[[#This Row],[Italy velocity]]*(1+TANH(phi_f)))))+phi_f)/psi_f-(Tabella34[[#This Row],[Day]]-pf)</f>
        <v>77.886631081134595</v>
      </c>
      <c r="Y100" s="244">
        <f>Tabella34[[#This Row],[Italy h.t.]]/Italy_ht_at_lockdown</f>
        <v>0.65584523968687769</v>
      </c>
      <c r="Z100" s="72">
        <f>-2*$BY$48*TANH($BY$48*(Tabella34[[#This Row],[Day]]-$BY$57)-$BY$47)*Tabella34[[#This Row],[Italy velocity]]</f>
        <v>60.424939706224315</v>
      </c>
      <c r="AA100" s="72">
        <f>Tabella34[[#This Row],[Italy acc. fit]]/Itali_acc_at_lockdown</f>
        <v>1.7264106441690936</v>
      </c>
      <c r="AB100" s="77">
        <f>Tabella34[[#This Row],[Italy acc. fit]]/y_f_peak</f>
        <v>1.912793393230346E-2</v>
      </c>
      <c r="AC100" s="143">
        <f>Tabella34[[#This Row],[Italy (fit of selected region + fitted sum of the other regions)]]*NOT(ISBLANK(Tabella34[[#This Row],[Italy rate data]]))</f>
        <v>60.864807171365598</v>
      </c>
      <c r="AD100" s="143">
        <f>Tabella34[[#This Row],[Italy acc. fit]]*NOT(ISBLANK(Tabella34[[#This Row],[Italy rate data]]))</f>
        <v>60.424939706224315</v>
      </c>
      <c r="AE100" s="77">
        <f>Tabella34[[#This Row],[Italy acc. fit]]+CIf</f>
        <v>1715.6349086299756</v>
      </c>
      <c r="AF100" s="77">
        <f>MAX(Tabella34[[#This Row],[Italy acc. fit]]-CIf,0)</f>
        <v>0</v>
      </c>
      <c r="AG100" s="4">
        <f>Tabella8[[#This Row],[region data]]</f>
        <v>1122</v>
      </c>
      <c r="AH100" s="72">
        <f>(Tabella34[[#This Row],[selected region cumul. data]]-AG99)</f>
        <v>107</v>
      </c>
      <c r="AI100" s="72">
        <f>Tabella34[[#This Row],[selected region rate data]]-AH99</f>
        <v>0</v>
      </c>
      <c r="AJ100" s="77">
        <f>Tabella34[[#This Row],[selected region rate data]]*NOT(ISBLANK(Tabella34[[#This Row],[selected region rate data]]))</f>
        <v>107</v>
      </c>
      <c r="AK100" s="77">
        <f>Tabella8[[#This Row],[region fit]]</f>
        <v>1147.5410390720715</v>
      </c>
      <c r="AL100" s="143">
        <f>(ATANH(alpha*Tabella34[[#This Row],[sel. region cumul. fit]]/Kl-(1-alpha*Tabella34[[#This Row],[sel. region cumul. fit]]/Kl)*TANH(phi_l))+phi_l)/psi_l-(Tabella34[[#This Row],[Day]]-pl)</f>
        <v>11.538667451282102</v>
      </c>
      <c r="AM100" s="77">
        <f>Tabella34[[#This Row],[sel. region cumul. fit]]/Kl</f>
        <v>8.7226441953308184E-2</v>
      </c>
      <c r="AN100" s="143">
        <f>Tabella3[[#This Row],[region fit]]</f>
        <v>86.374394052735056</v>
      </c>
      <c r="AO100" s="186">
        <f>Tabella34[[#This Row],[sel. region velocity]]/Tabella34[[#This Row],[sel. region cumul. fit]]</f>
        <v>7.5269111179308595E-2</v>
      </c>
      <c r="AP100" s="241">
        <f>(LN(Tabella34[[#This Row],[Day]]-pr)-phi_r)/psi_r</f>
        <v>85.067749178200756</v>
      </c>
      <c r="AQ100" s="244">
        <f>EXP(phi_r+psi_r*Tabella34[[#This Row],[x_r_alpha©+plus]])-(Tabella34[[#This Row],[Day]]-pr)</f>
        <v>-13.400251629382915</v>
      </c>
      <c r="AR100" s="244">
        <f>EXP(phi_r+psi_r*Tabella34[[#This Row],[x_r_alpha©-minus]])-(Tabella34[[#This Row],[Day]]-pr)</f>
        <v>-13.871877409870375</v>
      </c>
      <c r="AS100" s="244">
        <f>-psi_r+SQRT(psi_r^2-2*Tabella34[[#This Row],[c_r]])</f>
        <v>3.8803117841933767</v>
      </c>
      <c r="AT100" s="244">
        <f>-psi_r-SQRT(psi_r^2-2*Tabella34[[#This Row],[c_r]])</f>
        <v>-3.920599793859715</v>
      </c>
      <c r="AU100" s="244">
        <f>phi_r-LN(alpha*Kr/(Tabella34[[#This Row],[sel. region velocity]]*psi_r*SQRTPI(2)))</f>
        <v>-7.6065747906099874</v>
      </c>
      <c r="AV100" s="244">
        <f>(ACOSH(SQRT(alpha*Kl*psi_l/(Tabella34[[#This Row],[sel. region velocity]]*(1+TANH(phi_l)))))+phi_l)/psi_l-(Tabella34[[#This Row],[Day]]-pl)</f>
        <v>98.615192140524684</v>
      </c>
      <c r="AW100" s="72">
        <f>-2*$BY$22*TANH($BY$22*(Tabella34[[#This Row],[Day]]-$BY$31)-$BY$21)*Tabella34[[#This Row],[sel. region velocity]]</f>
        <v>2.2372937526735841</v>
      </c>
      <c r="AX100" s="77">
        <f>Tabella34[[#This Row],[sel. region acc. fit]]/y_l_peak</f>
        <v>1.5195414245739673E-2</v>
      </c>
      <c r="AY100" s="143">
        <f>Tabella34[[#This Row],[sel. region acc. fit]]*NOT(ISBLANK(Tabella34[[#This Row],[selected region rate data]]))</f>
        <v>2.2372937526735841</v>
      </c>
      <c r="AZ100" s="77">
        <f>Tabella34[[#This Row],[sel. region acc. fit]]+CIl</f>
        <v>71.60228012777398</v>
      </c>
      <c r="BA100" s="77">
        <f>MAX(Tabella34[[#This Row],[sel. region acc. fit]]-CIl,0)</f>
        <v>0</v>
      </c>
      <c r="BB100" s="10">
        <f>Tabella8[[#This Row],[rest of Italy ]]</f>
        <v>31071</v>
      </c>
      <c r="BC100" s="10">
        <f>(Tabella34[[#This Row],[rest of Italy cum. Data]]-BB99)</f>
        <v>2084</v>
      </c>
      <c r="BD100" s="10">
        <f>Tabella34[[#This Row],[rest of Italy rate data]]-BC99</f>
        <v>346</v>
      </c>
      <c r="BE100" s="77">
        <f>Tabella34[[#This Row],[rest of Italy rate data]]*NOT(ISBLANK(Tabella34[[#This Row],[rest of Italy rate data]]))</f>
        <v>2084</v>
      </c>
      <c r="BF100" s="77">
        <f>Tabella8[[#This Row],[rest of Italy fit]]</f>
        <v>29120.065430100036</v>
      </c>
      <c r="BG100" s="78">
        <f>(ATANH(alpha*Tabella34[[#This Row],[rest of Italy cumul. fit]]/Ka-(1-alpha*Tabella34[[#This Row],[rest of Italy cumul. fit]]/Ka)*TANH(phi_a))+phi_a)/psi_a-(Tabella34[[#This Row],[Day]]-pa)</f>
        <v>13.334848477101225</v>
      </c>
      <c r="BH100" s="77">
        <f>Tabella34[[#This Row],[rest of Italy cumul. fit]]/Ka</f>
        <v>0.13126363631352653</v>
      </c>
      <c r="BI100" s="143">
        <f>Tabella3[[#This Row],[rest of Italy fit]]</f>
        <v>1791.9364633814976</v>
      </c>
      <c r="BJ100" s="183">
        <f>Tabella34[[#This Row],[rest of Italy velocity]]/Tabella34[[#This Row],[rest of Italy cumul. fit]]</f>
        <v>6.1536141382747635E-2</v>
      </c>
      <c r="BK100" s="236">
        <f>(LN(Tabella34[[#This Row],[Day]]-po)-phi_o)/psi_o</f>
        <v>71.13216896810458</v>
      </c>
      <c r="BL100" s="244">
        <f>EXP(phi_o+psi_o*Tabella34[[#This Row],[x_o_alpha©+plus]])-(Tabella34[[#This Row],[Day]]-po)</f>
        <v>-20.667444771760895</v>
      </c>
      <c r="BM100" s="244">
        <f>EXP(phi_o+psi_o*Tabella34[[#This Row],[x_o_alpha©-minus]])-(Tabella34[[#This Row],[Day]]-po)</f>
        <v>-21.437606339936263</v>
      </c>
      <c r="BN100" s="244">
        <f>-psi_o+SQRT(psi_o^2-2*Tabella34[[#This Row],[c_o]])</f>
        <v>3.6777519624563864</v>
      </c>
      <c r="BO100" s="244">
        <f>-psi_o-SQRT(psi_o^2-2*Tabella34[[#This Row],[c_o]])</f>
        <v>-3.7290652467240397</v>
      </c>
      <c r="BP100" s="244">
        <f>phi_o-LN(alpha*Ko/(Tabella34[[#This Row],[rest of Italy velocity]]*psi_o*SQRTPI(2)))</f>
        <v>-6.8572885146336233</v>
      </c>
      <c r="BQ100" s="244">
        <f>(ACOSH(SQRT(alpha*Ka*psi_a/(Tabella34[[#This Row],[rest of Italy velocity]]*(1+TANH(phi_a)))))+phi_a)/psi_a-(Tabella34[[#This Row],[Day]]-pa)</f>
        <v>76.806366100287192</v>
      </c>
      <c r="BR100" s="72">
        <f>-2*$BY$35*TANH($BY$35*(Tabella34[[#This Row],[Day]]-$BY$44)-$BY$34)*Tabella34[[#This Row],[rest of Italy velocity]]</f>
        <v>58.627513418692011</v>
      </c>
      <c r="BS100" s="77">
        <f>Tabella34[[#This Row],[rest of Italy acc. fit]]/y_a_peak</f>
        <v>1.941663035337458E-2</v>
      </c>
      <c r="BT100" s="77">
        <f>Tabella34[[#This Row],[rest of Italy acc. fit]]*NOT(ISBLANK(Tabella34[[#This Row],[rest of Italy rate data]]))</f>
        <v>58.627513418692011</v>
      </c>
      <c r="BU100" s="77">
        <f>Tabella34[[#This Row],[rest of Italy acc. fit]]+CIa</f>
        <v>1692.7614533724934</v>
      </c>
      <c r="BV100" s="77">
        <f>MAX(Tabella34[[#This Row],[rest of Italy acc. fit]]-CIa,0)</f>
        <v>0</v>
      </c>
    </row>
    <row r="101" spans="2:74" ht="15" thickBot="1" x14ac:dyDescent="0.35">
      <c r="B101" s="262">
        <v>43924</v>
      </c>
      <c r="C101" s="174">
        <v>94</v>
      </c>
      <c r="D101" s="175">
        <f>Tabella8[[#This Row],[Italy cumulative]]</f>
        <v>34439</v>
      </c>
      <c r="E101" s="176">
        <f>(Tabella34[[#This Row],[Italy cumul. data]]-D100)</f>
        <v>2246</v>
      </c>
      <c r="F101" s="176">
        <f>Tabella34[[#This Row],[Italy rate data]]-E100</f>
        <v>55</v>
      </c>
      <c r="G101" s="177">
        <f>Tabella34[[#This Row],[Italy rate data]]*NOT(ISBLANK(Tabella34[[#This Row],[Italy rate data]]))</f>
        <v>2246</v>
      </c>
      <c r="H101" s="178">
        <f>Tabella8[[#This Row],[Italy fit]]</f>
        <v>32243.696826918273</v>
      </c>
      <c r="I101" s="143">
        <f>(ATANH(alpha*Tabella34[[#This Row],[Italy cumul. Fit]]/Kf-(1-alpha*Tabella34[[#This Row],[Italy cumul. Fit]]/Kf)*TANH(phi_f))+phi_f)/psi_f-(Tabella34[[#This Row],[Day]]-pf)</f>
        <v>13.705984042479145</v>
      </c>
      <c r="J101" s="178">
        <f>Tabella34[[#This Row],[Italy d.t.]]/Italy_dt_at_lockdown</f>
        <v>6.0385412318372902</v>
      </c>
      <c r="K101" s="177">
        <f>Tabella34[[#This Row],[Italy cumul. Fit]]/Kf</f>
        <v>0.13720721965000848</v>
      </c>
      <c r="L101" s="179">
        <f>Tabella34[[#This Row],[sel. region acc. fit]]+Tabella34[[#This Row],[rest of Italy acc. fit]]</f>
        <v>61.336393529996769</v>
      </c>
      <c r="M101" s="177">
        <f>Tabella34[[#This Row],[Italy (fit of selected region + fitted sum of the other regions)]]/(y_l_peak+y_a_peak)</f>
        <v>1.936928632349804E-2</v>
      </c>
      <c r="N101" s="143">
        <f>Tabella3[[#This Row],[Italy remov. rate fit]]</f>
        <v>1939.7993095132149</v>
      </c>
      <c r="O101" s="178">
        <f>Kt*EXP(-0.5*Tabella34[[#This Row],[x_t]]^2)/(psi_t*SQRTPI(2)*(Tabella34[[#This Row],[Day]]-D_bk))</f>
        <v>0</v>
      </c>
      <c r="P101" s="184">
        <f>Tabella34[[#This Row],[Italy velocity]]/Tabella34[[#This Row],[Italy cumul. Fit]]</f>
        <v>6.0160574016246054E-2</v>
      </c>
      <c r="Q101" s="245">
        <f>(LN(Tabella34[[#This Row],[Day]]-D_bk)-phi_t)/psi_t</f>
        <v>73.945392552741794</v>
      </c>
      <c r="R101" s="245">
        <f>EXP(phi_t+psi_t*Tabella34[[#This Row],[x_t_alpha©+plus]])-(Tabella34[[#This Row],[Day]]-D_bk)</f>
        <v>-21.193425077038793</v>
      </c>
      <c r="S101" s="245">
        <f>EXP(phi_t+psi_t*Tabella34[[#This Row],[x_t_alpha©-minus]])-(Tabella34[[#This Row],[Day]]-D_bk)</f>
        <v>-21.932628630652985</v>
      </c>
      <c r="T101" s="245">
        <f>-psi_t+SQRT(psi_t^2-2*Tabella34[[#This Row],[c_t]])</f>
        <v>3.683770909285971</v>
      </c>
      <c r="U101" s="245">
        <f>-psi_t-SQRT(psi_t^2-2*Tabella34[[#This Row],[c_t]])</f>
        <v>-3.734289583983343</v>
      </c>
      <c r="V101" s="245">
        <f>phi_t-LN(alpha*Kt/(Tabella34[[#This Row],[Italy velocity]]*psi_t*SQRTPI(2)))</f>
        <v>-6.8781336681637253</v>
      </c>
      <c r="W101" s="245">
        <f>Tabella34[[#This Row],[Italy g.r.]]/Italy_gr_at_lockdown</f>
        <v>0.14349863203030244</v>
      </c>
      <c r="X101" s="244">
        <f>(ACOSH(SQRT(alpha*Kf*psi_f/(Tabella34[[#This Row],[Italy velocity]]*(1+TANH(phi_f)))))+phi_f)/psi_f-(Tabella34[[#This Row],[Day]]-pf)</f>
        <v>76.133741182735392</v>
      </c>
      <c r="Y101" s="245">
        <f>Tabella34[[#This Row],[Italy h.t.]]/Italy_ht_at_lockdown</f>
        <v>0.64108501088249192</v>
      </c>
      <c r="Z101" s="72">
        <f>-2*$BY$48*TANH($BY$48*(Tabella34[[#This Row],[Day]]-$BY$57)-$BY$47)*Tabella34[[#This Row],[Italy velocity]]</f>
        <v>60.879401206076309</v>
      </c>
      <c r="AA101" s="176">
        <f>Tabella34[[#This Row],[Italy acc. fit]]/Itali_acc_at_lockdown</f>
        <v>1.7393951365744491</v>
      </c>
      <c r="AB101" s="177">
        <f>Tabella34[[#This Row],[Italy acc. fit]]/y_f_peak</f>
        <v>1.9271796873436838E-2</v>
      </c>
      <c r="AC101" s="178">
        <f>Tabella34[[#This Row],[Italy (fit of selected region + fitted sum of the other regions)]]*NOT(ISBLANK(Tabella34[[#This Row],[Italy rate data]]))</f>
        <v>61.336393529996769</v>
      </c>
      <c r="AD101" s="178">
        <f>Tabella34[[#This Row],[Italy acc. fit]]*NOT(ISBLANK(Tabella34[[#This Row],[Italy rate data]]))</f>
        <v>60.879401206076309</v>
      </c>
      <c r="AE101" s="177">
        <f>Tabella34[[#This Row],[Italy acc. fit]]+CIf</f>
        <v>1716.0893701298278</v>
      </c>
      <c r="AF101" s="177">
        <f>MAX(Tabella34[[#This Row],[Italy acc. fit]]-CIf,0)</f>
        <v>0</v>
      </c>
      <c r="AG101" s="180">
        <f>Tabella8[[#This Row],[region data]]</f>
        <v>1219</v>
      </c>
      <c r="AH101" s="176">
        <f>(Tabella34[[#This Row],[selected region cumul. data]]-AG100)</f>
        <v>97</v>
      </c>
      <c r="AI101" s="176">
        <f>Tabella34[[#This Row],[selected region rate data]]-AH100</f>
        <v>-10</v>
      </c>
      <c r="AJ101" s="177">
        <f>Tabella34[[#This Row],[selected region rate data]]*NOT(ISBLANK(Tabella34[[#This Row],[selected region rate data]]))</f>
        <v>97</v>
      </c>
      <c r="AK101" s="177">
        <f>Tabella8[[#This Row],[region fit]]</f>
        <v>1235.0367681893113</v>
      </c>
      <c r="AL101" s="143">
        <f>(ATANH(alpha*Tabella34[[#This Row],[sel. region cumul. fit]]/Kl-(1-alpha*Tabella34[[#This Row],[sel. region cumul. fit]]/Kl)*TANH(phi_l))+phi_l)/psi_l-(Tabella34[[#This Row],[Day]]-pl)</f>
        <v>12.07172105931333</v>
      </c>
      <c r="AM101" s="177">
        <f>Tabella34[[#This Row],[sel. region cumul. fit]]/Kl</f>
        <v>9.3877133194101334E-2</v>
      </c>
      <c r="AN101" s="143">
        <f>Tabella3[[#This Row],[region fit]]</f>
        <v>88.619634280225583</v>
      </c>
      <c r="AO101" s="185">
        <f>Tabella34[[#This Row],[sel. region velocity]]/Tabella34[[#This Row],[sel. region cumul. fit]]</f>
        <v>7.1754652624756207E-2</v>
      </c>
      <c r="AP101" s="240">
        <f>(LN(Tabella34[[#This Row],[Day]]-pr)-phi_r)/psi_r</f>
        <v>87.964275293438007</v>
      </c>
      <c r="AQ101" s="245">
        <f>EXP(phi_r+psi_r*Tabella34[[#This Row],[x_r_alpha©+plus]])-(Tabella34[[#This Row],[Day]]-pr)</f>
        <v>-14.400681803518081</v>
      </c>
      <c r="AR101" s="245">
        <f>EXP(phi_r+psi_r*Tabella34[[#This Row],[x_r_alpha©-minus]])-(Tabella34[[#This Row],[Day]]-pr)</f>
        <v>-14.871509741583761</v>
      </c>
      <c r="AS101" s="245">
        <f>-psi_r+SQRT(psi_r^2-2*Tabella34[[#This Row],[c_r]])</f>
        <v>3.8737269506296466</v>
      </c>
      <c r="AT101" s="245">
        <f>-psi_r-SQRT(psi_r^2-2*Tabella34[[#This Row],[c_r]])</f>
        <v>-3.9140149602959848</v>
      </c>
      <c r="AU101" s="245">
        <f>phi_r-LN(alpha*Kr/(Tabella34[[#This Row],[sel. region velocity]]*psi_r*SQRTPI(2)))</f>
        <v>-7.5809126184330919</v>
      </c>
      <c r="AV101" s="244">
        <f>(ACOSH(SQRT(alpha*Kl*psi_l/(Tabella34[[#This Row],[sel. region velocity]]*(1+TANH(phi_l)))))+phi_l)/psi_l-(Tabella34[[#This Row],[Day]]-pl)</f>
        <v>96.855429415018421</v>
      </c>
      <c r="AW101" s="72">
        <f>-2*$BY$22*TANH($BY$22*(Tabella34[[#This Row],[Day]]-$BY$31)-$BY$21)*Tabella34[[#This Row],[sel. region velocity]]</f>
        <v>2.2527112382765102</v>
      </c>
      <c r="AX101" s="177">
        <f>Tabella34[[#This Row],[sel. region acc. fit]]/y_l_peak</f>
        <v>1.5300127844516868E-2</v>
      </c>
      <c r="AY101" s="178">
        <f>Tabella34[[#This Row],[sel. region acc. fit]]*NOT(ISBLANK(Tabella34[[#This Row],[selected region rate data]]))</f>
        <v>2.2527112382765102</v>
      </c>
      <c r="AZ101" s="177">
        <f>Tabella34[[#This Row],[sel. region acc. fit]]+CIl</f>
        <v>71.617697613376905</v>
      </c>
      <c r="BA101" s="177">
        <f>MAX(Tabella34[[#This Row],[sel. region acc. fit]]-CIl,0)</f>
        <v>0</v>
      </c>
      <c r="BB101" s="175">
        <f>Tabella8[[#This Row],[rest of Italy ]]</f>
        <v>33220</v>
      </c>
      <c r="BC101" s="175">
        <f>(Tabella34[[#This Row],[rest of Italy cum. Data]]-BB100)</f>
        <v>2149</v>
      </c>
      <c r="BD101" s="175">
        <f>Tabella34[[#This Row],[rest of Italy rate data]]-BC100</f>
        <v>65</v>
      </c>
      <c r="BE101" s="177">
        <f>Tabella34[[#This Row],[rest of Italy rate data]]*NOT(ISBLANK(Tabella34[[#This Row],[rest of Italy rate data]]))</f>
        <v>2149</v>
      </c>
      <c r="BF101" s="177">
        <f>Tabella8[[#This Row],[rest of Italy fit]]</f>
        <v>30941.396893261805</v>
      </c>
      <c r="BG101" s="78">
        <f>(ATANH(alpha*Tabella34[[#This Row],[rest of Italy cumul. fit]]/Ka-(1-alpha*Tabella34[[#This Row],[rest of Italy cumul. fit]]/Ka)*TANH(phi_a))+phi_a)/psi_a-(Tabella34[[#This Row],[Day]]-pa)</f>
        <v>13.738493192899391</v>
      </c>
      <c r="BH101" s="177">
        <f>Tabella34[[#This Row],[rest of Italy cumul. fit]]/Ka</f>
        <v>0.13947359694567982</v>
      </c>
      <c r="BI101" s="143">
        <f>Tabella3[[#This Row],[rest of Italy fit]]</f>
        <v>1850.8025189673976</v>
      </c>
      <c r="BJ101" s="184">
        <f>Tabella34[[#This Row],[rest of Italy velocity]]/Tabella34[[#This Row],[rest of Italy cumul. fit]]</f>
        <v>5.9816385321971421E-2</v>
      </c>
      <c r="BK101" s="237">
        <f>(LN(Tabella34[[#This Row],[Day]]-po)-phi_o)/psi_o</f>
        <v>72.653834147907986</v>
      </c>
      <c r="BL101" s="245">
        <f>EXP(phi_o+psi_o*Tabella34[[#This Row],[x_o_alpha©+plus]])-(Tabella34[[#This Row],[Day]]-po)</f>
        <v>-21.668442309482273</v>
      </c>
      <c r="BM101" s="245">
        <f>EXP(phi_o+psi_o*Tabella34[[#This Row],[x_o_alpha©-minus]])-(Tabella34[[#This Row],[Day]]-po)</f>
        <v>-22.436781260147665</v>
      </c>
      <c r="BN101" s="245">
        <f>-psi_o+SQRT(psi_o^2-2*Tabella34[[#This Row],[c_o]])</f>
        <v>3.6690138886261385</v>
      </c>
      <c r="BO101" s="245">
        <f>-psi_o-SQRT(psi_o^2-2*Tabella34[[#This Row],[c_o]])</f>
        <v>-3.7203271728937919</v>
      </c>
      <c r="BP101" s="245">
        <f>phi_o-LN(alpha*Ko/(Tabella34[[#This Row],[rest of Italy velocity]]*psi_o*SQRTPI(2)))</f>
        <v>-6.82496603379027</v>
      </c>
      <c r="BQ101" s="245">
        <f>(ACOSH(SQRT(alpha*Ka*psi_a/(Tabella34[[#This Row],[rest of Italy velocity]]*(1+TANH(phi_a)))))+phi_a)/psi_a-(Tabella34[[#This Row],[Day]]-pa)</f>
        <v>75.052630189283477</v>
      </c>
      <c r="BR101" s="72">
        <f>-2*$BY$35*TANH($BY$35*(Tabella34[[#This Row],[Day]]-$BY$44)-$BY$34)*Tabella34[[#This Row],[rest of Italy velocity]]</f>
        <v>59.083682291720258</v>
      </c>
      <c r="BS101" s="177">
        <f>Tabella34[[#This Row],[rest of Italy acc. fit]]/y_a_peak</f>
        <v>1.9567707243213831E-2</v>
      </c>
      <c r="BT101" s="177">
        <f>Tabella34[[#This Row],[rest of Italy acc. fit]]*NOT(ISBLANK(Tabella34[[#This Row],[rest of Italy rate data]]))</f>
        <v>59.083682291720258</v>
      </c>
      <c r="BU101" s="177">
        <f>Tabella34[[#This Row],[rest of Italy acc. fit]]+CIa</f>
        <v>1693.2176222455216</v>
      </c>
      <c r="BV101" s="182">
        <f>MAX(Tabella34[[#This Row],[rest of Italy acc. fit]]-CIa,0)</f>
        <v>0</v>
      </c>
    </row>
    <row r="102" spans="2:74" x14ac:dyDescent="0.3">
      <c r="B102" s="262">
        <v>43925</v>
      </c>
      <c r="C102" s="4">
        <v>95</v>
      </c>
      <c r="D102" s="10">
        <f>Tabella8[[#This Row],[Italy cumulative]]</f>
        <v>36358</v>
      </c>
      <c r="E102" s="72">
        <f>(Tabella34[[#This Row],[Italy cumul. data]]-D101)</f>
        <v>1919</v>
      </c>
      <c r="F102" s="72">
        <f>Tabella34[[#This Row],[Italy rate data]]-E101</f>
        <v>-327</v>
      </c>
      <c r="G102" s="77">
        <f>Tabella34[[#This Row],[Italy rate data]]*NOT(ISBLANK(Tabella34[[#This Row],[Italy rate data]]))</f>
        <v>1919</v>
      </c>
      <c r="H102" s="143">
        <f>Tabella8[[#This Row],[Italy fit]]</f>
        <v>34213.995416125072</v>
      </c>
      <c r="I102" s="143">
        <f>(ATANH(alpha*Tabella34[[#This Row],[Italy cumul. Fit]]/Kf-(1-alpha*Tabella34[[#This Row],[Italy cumul. Fit]]/Kf)*TANH(phi_f))+phi_f)/psi_f-(Tabella34[[#This Row],[Day]]-pf)</f>
        <v>14.125124716251015</v>
      </c>
      <c r="J102" s="143">
        <f>Tabella34[[#This Row],[Italy d.t.]]/Italy_dt_at_lockdown</f>
        <v>6.2232049694184184</v>
      </c>
      <c r="K102" s="77">
        <f>Tabella34[[#This Row],[Italy cumul. Fit]]/Kf</f>
        <v>0.1455914689113931</v>
      </c>
      <c r="L102" s="146">
        <f>Tabella34[[#This Row],[sel. region acc. fit]]+Tabella34[[#This Row],[rest of Italy acc. fit]]</f>
        <v>61.674537733358349</v>
      </c>
      <c r="M102" s="77">
        <f>Tabella34[[#This Row],[Italy (fit of selected region + fitted sum of the other regions)]]/(y_l_peak+y_a_peak)</f>
        <v>1.9476068146109415E-2</v>
      </c>
      <c r="N102" s="143">
        <f>Tabella3[[#This Row],[Italy remov. rate fit]]</f>
        <v>2000.8518327177192</v>
      </c>
      <c r="O102" s="143">
        <f>Kt*EXP(-0.5*Tabella34[[#This Row],[x_t]]^2)/(psi_t*SQRTPI(2)*(Tabella34[[#This Row],[Day]]-D_bk))</f>
        <v>0</v>
      </c>
      <c r="P102" s="183">
        <f>Tabella34[[#This Row],[Italy velocity]]/Tabella34[[#This Row],[Italy cumul. Fit]]</f>
        <v>5.8480508002135195E-2</v>
      </c>
      <c r="Q102" s="244">
        <f>(LN(Tabella34[[#This Row],[Day]]-D_bk)-phi_t)/psi_t</f>
        <v>75.46709874415113</v>
      </c>
      <c r="R102" s="244">
        <f>EXP(phi_t+psi_t*Tabella34[[#This Row],[x_t_alpha©+plus]])-(Tabella34[[#This Row],[Day]]-D_bk)</f>
        <v>-22.194339002241993</v>
      </c>
      <c r="S102" s="244">
        <f>EXP(phi_t+psi_t*Tabella34[[#This Row],[x_t_alpha©-minus]])-(Tabella34[[#This Row],[Day]]-D_bk)</f>
        <v>-22.931870705439433</v>
      </c>
      <c r="T102" s="244">
        <f>-psi_t+SQRT(psi_t^2-2*Tabella34[[#This Row],[c_t]])</f>
        <v>3.6754066021823917</v>
      </c>
      <c r="U102" s="244">
        <f>-psi_t-SQRT(psi_t^2-2*Tabella34[[#This Row],[c_t]])</f>
        <v>-3.7259252768797637</v>
      </c>
      <c r="V102" s="244">
        <f>phi_t-LN(alpha*Kt/(Tabella34[[#This Row],[Italy velocity]]*psi_t*SQRTPI(2)))</f>
        <v>-6.8471451809410695</v>
      </c>
      <c r="W102" s="244">
        <f>Tabella34[[#This Row],[Italy g.r.]]/Italy_gr_at_lockdown</f>
        <v>0.13949123717598463</v>
      </c>
      <c r="X102" s="244">
        <f>(ACOSH(SQRT(alpha*Kf*psi_f/(Tabella34[[#This Row],[Italy velocity]]*(1+TANH(phi_f)))))+phi_f)/psi_f-(Tabella34[[#This Row],[Day]]-pf)</f>
        <v>74.394297907446827</v>
      </c>
      <c r="Y102" s="244">
        <f>Tabella34[[#This Row],[Italy h.t.]]/Italy_ht_at_lockdown</f>
        <v>0.62643800951694328</v>
      </c>
      <c r="Z102" s="72">
        <f>-2*$BY$48*TANH($BY$48*(Tabella34[[#This Row],[Day]]-$BY$57)-$BY$47)*Tabella34[[#This Row],[Italy velocity]]</f>
        <v>61.203021537704814</v>
      </c>
      <c r="AA102" s="72">
        <f>Tabella34[[#This Row],[Italy acc. fit]]/Itali_acc_at_lockdown</f>
        <v>1.7486413449762994</v>
      </c>
      <c r="AB102" s="77">
        <f>Tabella34[[#This Row],[Italy acc. fit]]/y_f_peak</f>
        <v>1.9374241134906288E-2</v>
      </c>
      <c r="AC102" s="143">
        <f>Tabella34[[#This Row],[Italy (fit of selected region + fitted sum of the other regions)]]*NOT(ISBLANK(Tabella34[[#This Row],[Italy rate data]]))</f>
        <v>61.674537733358349</v>
      </c>
      <c r="AD102" s="143">
        <f>Tabella34[[#This Row],[Italy acc. fit]]*NOT(ISBLANK(Tabella34[[#This Row],[Italy rate data]]))</f>
        <v>61.203021537704814</v>
      </c>
      <c r="AE102" s="77">
        <f>Tabella34[[#This Row],[Italy acc. fit]]+CIf</f>
        <v>1716.4129904614563</v>
      </c>
      <c r="AF102" s="77">
        <f>MAX(Tabella34[[#This Row],[Italy acc. fit]]-CIf,0)</f>
        <v>0</v>
      </c>
      <c r="AG102" s="4">
        <f>Tabella8[[#This Row],[region data]]</f>
        <v>1309</v>
      </c>
      <c r="AH102" s="72">
        <f>(Tabella34[[#This Row],[selected region cumul. data]]-AG101)</f>
        <v>90</v>
      </c>
      <c r="AI102" s="72">
        <f>Tabella34[[#This Row],[selected region rate data]]-AH101</f>
        <v>-7</v>
      </c>
      <c r="AJ102" s="77">
        <f>Tabella34[[#This Row],[selected region rate data]]*NOT(ISBLANK(Tabella34[[#This Row],[selected region rate data]]))</f>
        <v>90</v>
      </c>
      <c r="AK102" s="77">
        <f>Tabella8[[#This Row],[region fit]]</f>
        <v>1324.7849630542669</v>
      </c>
      <c r="AL102" s="143">
        <f>(ATANH(alpha*Tabella34[[#This Row],[sel. region cumul. fit]]/Kl-(1-alpha*Tabella34[[#This Row],[sel. region cumul. fit]]/Kl)*TANH(phi_l))+phi_l)/psi_l-(Tabella34[[#This Row],[Day]]-pl)</f>
        <v>12.600080778550218</v>
      </c>
      <c r="AM102" s="77">
        <f>Tabella34[[#This Row],[sel. region cumul. fit]]/Kl</f>
        <v>0.10069903798291174</v>
      </c>
      <c r="AN102" s="143">
        <f>Tabella3[[#This Row],[region fit]]</f>
        <v>90.878834571111938</v>
      </c>
      <c r="AO102" s="186">
        <f>Tabella34[[#This Row],[sel. region velocity]]/Tabella34[[#This Row],[sel. region cumul. fit]]</f>
        <v>6.8598932736670323E-2</v>
      </c>
      <c r="AP102" s="241">
        <f>(LN(Tabella34[[#This Row],[Day]]-pr)-phi_r)/psi_r</f>
        <v>90.701072926614884</v>
      </c>
      <c r="AQ102" s="244">
        <f>EXP(phi_r+psi_r*Tabella34[[#This Row],[x_r_alpha©+plus]])-(Tabella34[[#This Row],[Day]]-pr)</f>
        <v>-15.40110444169548</v>
      </c>
      <c r="AR102" s="244">
        <f>EXP(phi_r+psi_r*Tabella34[[#This Row],[x_r_alpha©-minus]])-(Tabella34[[#This Row],[Day]]-pr)</f>
        <v>-15.871148419243923</v>
      </c>
      <c r="AS102" s="244">
        <f>-psi_r+SQRT(psi_r^2-2*Tabella34[[#This Row],[c_r]])</f>
        <v>3.867256622002436</v>
      </c>
      <c r="AT102" s="244">
        <f>-psi_r-SQRT(psi_r^2-2*Tabella34[[#This Row],[c_r]])</f>
        <v>-3.9075446316687743</v>
      </c>
      <c r="AU102" s="244">
        <f>phi_r-LN(alpha*Kr/(Tabella34[[#This Row],[sel. region velocity]]*psi_r*SQRTPI(2)))</f>
        <v>-7.555738926295569</v>
      </c>
      <c r="AV102" s="244">
        <f>(ACOSH(SQRT(alpha*Kl*psi_l/(Tabella34[[#This Row],[sel. region velocity]]*(1+TANH(phi_l)))))+phi_l)/psi_l-(Tabella34[[#This Row],[Day]]-pl)</f>
        <v>95.106040197663404</v>
      </c>
      <c r="AW102" s="72">
        <f>-2*$BY$22*TANH($BY$22*(Tabella34[[#This Row],[Day]]-$BY$31)-$BY$21)*Tabella34[[#This Row],[sel. region velocity]]</f>
        <v>2.2651828737744402</v>
      </c>
      <c r="AX102" s="77">
        <f>Tabella34[[#This Row],[sel. region acc. fit]]/y_l_peak</f>
        <v>1.5384833604538972E-2</v>
      </c>
      <c r="AY102" s="143">
        <f>Tabella34[[#This Row],[sel. region acc. fit]]*NOT(ISBLANK(Tabella34[[#This Row],[selected region rate data]]))</f>
        <v>2.2651828737744402</v>
      </c>
      <c r="AZ102" s="77">
        <f>Tabella34[[#This Row],[sel. region acc. fit]]+CIl</f>
        <v>71.630169248874836</v>
      </c>
      <c r="BA102" s="77">
        <f>MAX(Tabella34[[#This Row],[sel. region acc. fit]]-CIl,0)</f>
        <v>0</v>
      </c>
      <c r="BB102" s="10">
        <f>Tabella8[[#This Row],[rest of Italy ]]</f>
        <v>35049</v>
      </c>
      <c r="BC102" s="10">
        <f>(Tabella34[[#This Row],[rest of Italy cum. Data]]-BB101)</f>
        <v>1829</v>
      </c>
      <c r="BD102" s="10">
        <f>Tabella34[[#This Row],[rest of Italy rate data]]-BC101</f>
        <v>-320</v>
      </c>
      <c r="BE102" s="77">
        <f>Tabella34[[#This Row],[rest of Italy rate data]]*NOT(ISBLANK(Tabella34[[#This Row],[rest of Italy rate data]]))</f>
        <v>1829</v>
      </c>
      <c r="BF102" s="77">
        <f>Tabella8[[#This Row],[rest of Italy fit]]</f>
        <v>32821.801163579061</v>
      </c>
      <c r="BG102" s="78">
        <f>(ATANH(alpha*Tabella34[[#This Row],[rest of Italy cumul. fit]]/Ka-(1-alpha*Tabella34[[#This Row],[rest of Italy cumul. fit]]/Ka)*TANH(phi_a))+phi_a)/psi_a-(Tabella34[[#This Row],[Day]]-pa)</f>
        <v>14.150560963260759</v>
      </c>
      <c r="BH102" s="77">
        <f>Tabella34[[#This Row],[rest of Italy cumul. fit]]/Ka</f>
        <v>0.14794983828015812</v>
      </c>
      <c r="BI102" s="143">
        <f>Tabella3[[#This Row],[rest of Italy fit]]</f>
        <v>1910.0603280116784</v>
      </c>
      <c r="BJ102" s="183">
        <f>Tabella34[[#This Row],[rest of Italy velocity]]/Tabella34[[#This Row],[rest of Italy cumul. fit]]</f>
        <v>5.8194866226025099E-2</v>
      </c>
      <c r="BK102" s="236">
        <f>(LN(Tabella34[[#This Row],[Day]]-po)-phi_o)/psi_o</f>
        <v>74.1183177009312</v>
      </c>
      <c r="BL102" s="244">
        <f>EXP(phi_o+psi_o*Tabella34[[#This Row],[x_o_alpha©+plus]])-(Tabella34[[#This Row],[Day]]-po)</f>
        <v>-22.669417002553843</v>
      </c>
      <c r="BM102" s="244">
        <f>EXP(phi_o+psi_o*Tabella34[[#This Row],[x_o_alpha©-minus]])-(Tabella34[[#This Row],[Day]]-po)</f>
        <v>-23.435974718087365</v>
      </c>
      <c r="BN102" s="244">
        <f>-psi_o+SQRT(psi_o^2-2*Tabella34[[#This Row],[c_o]])</f>
        <v>3.6604740331385881</v>
      </c>
      <c r="BO102" s="244">
        <f>-psi_o-SQRT(psi_o^2-2*Tabella34[[#This Row],[c_o]])</f>
        <v>-3.7117873174062415</v>
      </c>
      <c r="BP102" s="244">
        <f>phi_o-LN(alpha*Ko/(Tabella34[[#This Row],[rest of Italy velocity]]*psi_o*SQRTPI(2)))</f>
        <v>-6.7934505459493426</v>
      </c>
      <c r="BQ102" s="244">
        <f>(ACOSH(SQRT(alpha*Ka*psi_a/(Tabella34[[#This Row],[rest of Italy velocity]]*(1+TANH(phi_a)))))+phi_a)/psi_a-(Tabella34[[#This Row],[Day]]-pa)</f>
        <v>73.31251194413106</v>
      </c>
      <c r="BR102" s="72">
        <f>-2*$BY$35*TANH($BY$35*(Tabella34[[#This Row],[Day]]-$BY$44)-$BY$34)*Tabella34[[#This Row],[rest of Italy velocity]]</f>
        <v>59.409354859583907</v>
      </c>
      <c r="BS102" s="77">
        <f>Tabella34[[#This Row],[rest of Italy acc. fit]]/y_a_peak</f>
        <v>1.9675565542120067E-2</v>
      </c>
      <c r="BT102" s="77">
        <f>Tabella34[[#This Row],[rest of Italy acc. fit]]*NOT(ISBLANK(Tabella34[[#This Row],[rest of Italy rate data]]))</f>
        <v>59.409354859583907</v>
      </c>
      <c r="BU102" s="77">
        <f>Tabella34[[#This Row],[rest of Italy acc. fit]]+CIa</f>
        <v>1693.5432948133853</v>
      </c>
      <c r="BV102" s="77">
        <f>MAX(Tabella34[[#This Row],[rest of Italy acc. fit]]-CIa,0)</f>
        <v>0</v>
      </c>
    </row>
    <row r="103" spans="2:74" x14ac:dyDescent="0.3">
      <c r="B103" s="262">
        <v>43926</v>
      </c>
      <c r="C103" s="4">
        <v>96</v>
      </c>
      <c r="D103" s="10">
        <f>Tabella8[[#This Row],[Italy cumulative]]</f>
        <v>37702</v>
      </c>
      <c r="E103" s="72">
        <f>(Tabella34[[#This Row],[Italy cumul. data]]-D102)</f>
        <v>1344</v>
      </c>
      <c r="F103" s="72">
        <f>Tabella34[[#This Row],[Italy rate data]]-E102</f>
        <v>-575</v>
      </c>
      <c r="G103" s="77">
        <f>Tabella34[[#This Row],[Italy rate data]]*NOT(ISBLANK(Tabella34[[#This Row],[Italy rate data]]))</f>
        <v>1344</v>
      </c>
      <c r="H103" s="143">
        <f>Tabella8[[#This Row],[Italy fit]]</f>
        <v>36245.48531060703</v>
      </c>
      <c r="I103" s="143">
        <f>(ATANH(alpha*Tabella34[[#This Row],[Italy cumul. Fit]]/Kf-(1-alpha*Tabella34[[#This Row],[Italy cumul. Fit]]/Kf)*TANH(phi_f))+phi_f)/psi_f-(Tabella34[[#This Row],[Day]]-pf)</f>
        <v>14.553837334260599</v>
      </c>
      <c r="J103" s="143">
        <f>Tabella34[[#This Row],[Italy d.t.]]/Italy_dt_at_lockdown</f>
        <v>6.412085885406376</v>
      </c>
      <c r="K103" s="77">
        <f>Tabella34[[#This Row],[Italy cumul. Fit]]/Kf</f>
        <v>0.15423610670417437</v>
      </c>
      <c r="L103" s="146">
        <f>Tabella34[[#This Row],[sel. region acc. fit]]+Tabella34[[#This Row],[rest of Italy acc. fit]]</f>
        <v>61.869133914889716</v>
      </c>
      <c r="M103" s="77">
        <f>Tabella34[[#This Row],[Italy (fit of selected region + fitted sum of the other regions)]]/(y_l_peak+y_a_peak)</f>
        <v>1.9537519251083449E-2</v>
      </c>
      <c r="N103" s="143">
        <f>Tabella3[[#This Row],[Italy remov. rate fit]]</f>
        <v>2062.158488704014</v>
      </c>
      <c r="O103" s="143">
        <f>Kt*EXP(-0.5*Tabella34[[#This Row],[x_t]]^2)/(psi_t*SQRTPI(2)*(Tabella34[[#This Row],[Day]]-D_bk))</f>
        <v>0</v>
      </c>
      <c r="P103" s="183">
        <f>Tabella34[[#This Row],[Italy velocity]]/Tabella34[[#This Row],[Italy cumul. Fit]]</f>
        <v>5.689421650813254E-2</v>
      </c>
      <c r="Q103" s="244">
        <f>(LN(Tabella34[[#This Row],[Day]]-D_bk)-phi_t)/psi_t</f>
        <v>76.93247323305026</v>
      </c>
      <c r="R103" s="244">
        <f>EXP(phi_t+psi_t*Tabella34[[#This Row],[x_t_alpha©+plus]])-(Tabella34[[#This Row],[Day]]-D_bk)</f>
        <v>-23.195230893965775</v>
      </c>
      <c r="S103" s="244">
        <f>EXP(phi_t+psi_t*Tabella34[[#This Row],[x_t_alpha©-minus]])-(Tabella34[[#This Row],[Day]]-D_bk)</f>
        <v>-23.931130743888346</v>
      </c>
      <c r="T103" s="244">
        <f>-psi_t+SQRT(psi_t^2-2*Tabella34[[#This Row],[c_t]])</f>
        <v>3.6672422428710703</v>
      </c>
      <c r="U103" s="244">
        <f>-psi_t-SQRT(psi_t^2-2*Tabella34[[#This Row],[c_t]])</f>
        <v>-3.7177609175684423</v>
      </c>
      <c r="V103" s="244">
        <f>phi_t-LN(alpha*Kt/(Tabella34[[#This Row],[Italy velocity]]*psi_t*SQRTPI(2)))</f>
        <v>-6.8169649429010519</v>
      </c>
      <c r="W103" s="244">
        <f>Tabella34[[#This Row],[Italy g.r.]]/Italy_gr_at_lockdown</f>
        <v>0.13570751896662686</v>
      </c>
      <c r="X103" s="244">
        <f>(ACOSH(SQRT(alpha*Kf*psi_f/(Tabella34[[#This Row],[Italy velocity]]*(1+TANH(phi_f)))))+phi_f)/psi_f-(Tabella34[[#This Row],[Day]]-pf)</f>
        <v>72.669019609694175</v>
      </c>
      <c r="Y103" s="244">
        <f>Tabella34[[#This Row],[Italy h.t.]]/Italy_ht_at_lockdown</f>
        <v>0.61191028450162643</v>
      </c>
      <c r="Z103" s="72">
        <f>-2*$BY$48*TANH($BY$48*(Tabella34[[#This Row],[Day]]-$BY$57)-$BY$47)*Tabella34[[#This Row],[Italy velocity]]</f>
        <v>61.386057212689195</v>
      </c>
      <c r="AA103" s="72">
        <f>Tabella34[[#This Row],[Italy acc. fit]]/Itali_acc_at_lockdown</f>
        <v>1.7538708866041772</v>
      </c>
      <c r="AB103" s="77">
        <f>Tabella34[[#This Row],[Italy acc. fit]]/y_f_peak</f>
        <v>1.9432182347845474E-2</v>
      </c>
      <c r="AC103" s="143">
        <f>Tabella34[[#This Row],[Italy (fit of selected region + fitted sum of the other regions)]]*NOT(ISBLANK(Tabella34[[#This Row],[Italy rate data]]))</f>
        <v>61.869133914889716</v>
      </c>
      <c r="AD103" s="143">
        <f>Tabella34[[#This Row],[Italy acc. fit]]*NOT(ISBLANK(Tabella34[[#This Row],[Italy rate data]]))</f>
        <v>61.386057212689195</v>
      </c>
      <c r="AE103" s="77">
        <f>Tabella34[[#This Row],[Italy acc. fit]]+CIf</f>
        <v>1716.5960261364405</v>
      </c>
      <c r="AF103" s="77">
        <f>MAX(Tabella34[[#This Row],[Italy acc. fit]]-CIf,0)</f>
        <v>0</v>
      </c>
      <c r="AG103" s="4">
        <f>Tabella8[[#This Row],[region data]]</f>
        <v>1356</v>
      </c>
      <c r="AH103" s="72">
        <f>(Tabella34[[#This Row],[selected region cumul. data]]-AG102)</f>
        <v>47</v>
      </c>
      <c r="AI103" s="72">
        <f>Tabella34[[#This Row],[selected region rate data]]-AH102</f>
        <v>-43</v>
      </c>
      <c r="AJ103" s="77">
        <f>Tabella34[[#This Row],[selected region rate data]]*NOT(ISBLANK(Tabella34[[#This Row],[selected region rate data]]))</f>
        <v>47</v>
      </c>
      <c r="AK103" s="77">
        <f>Tabella8[[#This Row],[region fit]]</f>
        <v>1416.7980798425967</v>
      </c>
      <c r="AL103" s="143">
        <f>(ATANH(alpha*Tabella34[[#This Row],[sel. region cumul. fit]]/Kl-(1-alpha*Tabella34[[#This Row],[sel. region cumul. fit]]/Kl)*TANH(phi_l))+phi_l)/psi_l-(Tabella34[[#This Row],[Day]]-pl)</f>
        <v>13.125419537692856</v>
      </c>
      <c r="AM103" s="77">
        <f>Tabella34[[#This Row],[sel. region cumul. fit]]/Kl</f>
        <v>0.10769310313370602</v>
      </c>
      <c r="AN103" s="143">
        <f>Tabella3[[#This Row],[region fit]]</f>
        <v>93.148956236580162</v>
      </c>
      <c r="AO103" s="186">
        <f>Tabella34[[#This Row],[sel. region velocity]]/Tabella34[[#This Row],[sel. region cumul. fit]]</f>
        <v>6.5746105646140349E-2</v>
      </c>
      <c r="AP103" s="241">
        <f>(LN(Tabella34[[#This Row],[Day]]-pr)-phi_r)/psi_r</f>
        <v>93.294841597254347</v>
      </c>
      <c r="AQ103" s="244">
        <f>EXP(phi_r+psi_r*Tabella34[[#This Row],[x_r_alpha©+plus]])-(Tabella34[[#This Row],[Day]]-pr)</f>
        <v>-16.401519299925351</v>
      </c>
      <c r="AR103" s="244">
        <f>EXP(phi_r+psi_r*Tabella34[[#This Row],[x_r_alpha©-minus]])-(Tabella34[[#This Row],[Day]]-pr)</f>
        <v>-16.870793656524981</v>
      </c>
      <c r="AS103" s="244">
        <f>-psi_r+SQRT(psi_r^2-2*Tabella34[[#This Row],[c_r]])</f>
        <v>3.8609045792572245</v>
      </c>
      <c r="AT103" s="244">
        <f>-psi_r-SQRT(psi_r^2-2*Tabella34[[#This Row],[c_r]])</f>
        <v>-3.9011925889235628</v>
      </c>
      <c r="AU103" s="244">
        <f>phi_r-LN(alpha*Kr/(Tabella34[[#This Row],[sel. region velocity]]*psi_r*SQRTPI(2)))</f>
        <v>-7.5310661655696665</v>
      </c>
      <c r="AV103" s="244">
        <f>(ACOSH(SQRT(alpha*Kl*psi_l/(Tabella34[[#This Row],[sel. region velocity]]*(1+TANH(phi_l)))))+phi_l)/psi_l-(Tabella34[[#This Row],[Day]]-pl)</f>
        <v>93.367466461982104</v>
      </c>
      <c r="AW103" s="72">
        <f>-2*$BY$22*TANH($BY$22*(Tabella34[[#This Row],[Day]]-$BY$31)-$BY$21)*Tabella34[[#This Row],[sel. region velocity]]</f>
        <v>2.2745231981825857</v>
      </c>
      <c r="AX103" s="77">
        <f>Tabella34[[#This Row],[sel. region acc. fit]]/y_l_peak</f>
        <v>1.5448271898416008E-2</v>
      </c>
      <c r="AY103" s="143">
        <f>Tabella34[[#This Row],[sel. region acc. fit]]*NOT(ISBLANK(Tabella34[[#This Row],[selected region rate data]]))</f>
        <v>2.2745231981825857</v>
      </c>
      <c r="AZ103" s="77">
        <f>Tabella34[[#This Row],[sel. region acc. fit]]+CIl</f>
        <v>71.639509573282993</v>
      </c>
      <c r="BA103" s="77">
        <f>MAX(Tabella34[[#This Row],[sel. region acc. fit]]-CIl,0)</f>
        <v>0</v>
      </c>
      <c r="BB103" s="10">
        <f>Tabella8[[#This Row],[rest of Italy ]]</f>
        <v>36346</v>
      </c>
      <c r="BC103" s="10">
        <f>(Tabella34[[#This Row],[rest of Italy cum. Data]]-BB102)</f>
        <v>1297</v>
      </c>
      <c r="BD103" s="10">
        <f>Tabella34[[#This Row],[rest of Italy rate data]]-BC102</f>
        <v>-532</v>
      </c>
      <c r="BE103" s="77">
        <f>Tabella34[[#This Row],[rest of Italy rate data]]*NOT(ISBLANK(Tabella34[[#This Row],[rest of Italy rate data]]))</f>
        <v>1297</v>
      </c>
      <c r="BF103" s="77">
        <f>Tabella8[[#This Row],[rest of Italy fit]]</f>
        <v>34761.60308647831</v>
      </c>
      <c r="BG103" s="78">
        <f>(ATANH(alpha*Tabella34[[#This Row],[rest of Italy cumul. fit]]/Ka-(1-alpha*Tabella34[[#This Row],[rest of Italy cumul. fit]]/Ka)*TANH(phi_a))+phi_a)/psi_a-(Tabella34[[#This Row],[Day]]-pa)</f>
        <v>14.572995244380081</v>
      </c>
      <c r="BH103" s="77">
        <f>Tabella34[[#This Row],[rest of Italy cumul. fit]]/Ka</f>
        <v>0.15669382461284445</v>
      </c>
      <c r="BI103" s="143">
        <f>Tabella3[[#This Row],[rest of Italy fit]]</f>
        <v>1969.5744207555131</v>
      </c>
      <c r="BJ103" s="183">
        <f>Tabella34[[#This Row],[rest of Italy velocity]]/Tabella34[[#This Row],[rest of Italy cumul. fit]]</f>
        <v>5.6659481896036173E-2</v>
      </c>
      <c r="BK103" s="236">
        <f>(LN(Tabella34[[#This Row],[Day]]-po)-phi_o)/psi_o</f>
        <v>75.529762012283754</v>
      </c>
      <c r="BL103" s="244">
        <f>EXP(phi_o+psi_o*Tabella34[[#This Row],[x_o_alpha©+plus]])-(Tabella34[[#This Row],[Day]]-po)</f>
        <v>-23.670367906938591</v>
      </c>
      <c r="BM103" s="244">
        <f>EXP(phi_o+psi_o*Tabella34[[#This Row],[x_o_alpha©-minus]])-(Tabella34[[#This Row],[Day]]-po)</f>
        <v>-24.435187520054164</v>
      </c>
      <c r="BN103" s="244">
        <f>-psi_o+SQRT(psi_o^2-2*Tabella34[[#This Row],[c_o]])</f>
        <v>3.6521408006733762</v>
      </c>
      <c r="BO103" s="244">
        <f>-psi_o-SQRT(psi_o^2-2*Tabella34[[#This Row],[c_o]])</f>
        <v>-3.7034540849410296</v>
      </c>
      <c r="BP103" s="244">
        <f>phi_o-LN(alpha*Ko/(Tabella34[[#This Row],[rest of Italy velocity]]*psi_o*SQRTPI(2)))</f>
        <v>-6.7627678835168084</v>
      </c>
      <c r="BQ103" s="244">
        <f>(ACOSH(SQRT(alpha*Ka*psi_a/(Tabella34[[#This Row],[rest of Italy velocity]]*(1+TANH(phi_a)))))+phi_a)/psi_a-(Tabella34[[#This Row],[Day]]-pa)</f>
        <v>71.586750877265885</v>
      </c>
      <c r="BR103" s="72">
        <f>-2*$BY$35*TANH($BY$35*(Tabella34[[#This Row],[Day]]-$BY$44)-$BY$34)*Tabella34[[#This Row],[rest of Italy velocity]]</f>
        <v>59.59461071670713</v>
      </c>
      <c r="BS103" s="77">
        <f>Tabella34[[#This Row],[rest of Italy acc. fit]]/y_a_peak</f>
        <v>1.9736919747488983E-2</v>
      </c>
      <c r="BT103" s="77">
        <f>Tabella34[[#This Row],[rest of Italy acc. fit]]*NOT(ISBLANK(Tabella34[[#This Row],[rest of Italy rate data]]))</f>
        <v>59.59461071670713</v>
      </c>
      <c r="BU103" s="77">
        <f>Tabella34[[#This Row],[rest of Italy acc. fit]]+CIa</f>
        <v>1693.7285506705086</v>
      </c>
      <c r="BV103" s="77">
        <f>MAX(Tabella34[[#This Row],[rest of Italy acc. fit]]-CIa,0)</f>
        <v>0</v>
      </c>
    </row>
    <row r="104" spans="2:74" x14ac:dyDescent="0.3">
      <c r="B104" s="262">
        <v>43927</v>
      </c>
      <c r="C104" s="4">
        <v>97</v>
      </c>
      <c r="D104" s="10">
        <f>Tabella8[[#This Row],[Italy cumulative]]</f>
        <v>39360</v>
      </c>
      <c r="E104" s="72">
        <f>(Tabella34[[#This Row],[Italy cumul. data]]-D103)</f>
        <v>1658</v>
      </c>
      <c r="F104" s="72">
        <f>Tabella34[[#This Row],[Italy rate data]]-E103</f>
        <v>314</v>
      </c>
      <c r="G104" s="77">
        <f>Tabella34[[#This Row],[Italy rate data]]*NOT(ISBLANK(Tabella34[[#This Row],[Italy rate data]]))</f>
        <v>1658</v>
      </c>
      <c r="H104" s="143">
        <f>Tabella8[[#This Row],[Italy fit]]</f>
        <v>38338.348751196274</v>
      </c>
      <c r="I104" s="143">
        <f>(ATANH(alpha*Tabella34[[#This Row],[Italy cumul. Fit]]/Kf-(1-alpha*Tabella34[[#This Row],[Italy cumul. Fit]]/Kf)*TANH(phi_f))+phi_f)/psi_f-(Tabella34[[#This Row],[Day]]-pf)</f>
        <v>14.99413973716652</v>
      </c>
      <c r="J104" s="143">
        <f>Tabella34[[#This Row],[Italy d.t.]]/Italy_dt_at_lockdown</f>
        <v>6.6060729939703453</v>
      </c>
      <c r="K104" s="77">
        <f>Tabella34[[#This Row],[Italy cumul. Fit]]/Kf</f>
        <v>0.16314190852124988</v>
      </c>
      <c r="L104" s="146">
        <f>Tabella34[[#This Row],[sel. region acc. fit]]+Tabella34[[#This Row],[rest of Italy acc. fit]]</f>
        <v>61.910291524739925</v>
      </c>
      <c r="M104" s="77">
        <f>Tabella34[[#This Row],[Italy (fit of selected region + fitted sum of the other regions)]]/(y_l_peak+y_a_peak)</f>
        <v>1.9550516323191866E-2</v>
      </c>
      <c r="N104" s="143">
        <f>Tabella3[[#This Row],[Italy remov. rate fit]]</f>
        <v>2123.5739044915126</v>
      </c>
      <c r="O104" s="143">
        <f>Kt*EXP(-0.5*Tabella34[[#This Row],[x_t]]^2)/(psi_t*SQRTPI(2)*(Tabella34[[#This Row],[Day]]-D_bk))</f>
        <v>0</v>
      </c>
      <c r="P104" s="183">
        <f>Tabella34[[#This Row],[Italy velocity]]/Tabella34[[#This Row],[Italy cumul. Fit]]</f>
        <v>5.5390333012849194E-2</v>
      </c>
      <c r="Q104" s="244">
        <f>(LN(Tabella34[[#This Row],[Day]]-D_bk)-phi_t)/psi_t</f>
        <v>78.345538226514066</v>
      </c>
      <c r="R104" s="244">
        <f>EXP(phi_t+psi_t*Tabella34[[#This Row],[x_t_alpha©+plus]])-(Tabella34[[#This Row],[Day]]-D_bk)</f>
        <v>-24.196099886731005</v>
      </c>
      <c r="S104" s="244">
        <f>EXP(phi_t+psi_t*Tabella34[[#This Row],[x_t_alpha©-minus]])-(Tabella34[[#This Row],[Day]]-D_bk)</f>
        <v>-24.930409486915046</v>
      </c>
      <c r="T104" s="244">
        <f>-psi_t+SQRT(psi_t^2-2*Tabella34[[#This Row],[c_t]])</f>
        <v>3.6592858804300699</v>
      </c>
      <c r="U104" s="244">
        <f>-psi_t-SQRT(psi_t^2-2*Tabella34[[#This Row],[c_t]])</f>
        <v>-3.7098045551274419</v>
      </c>
      <c r="V104" s="244">
        <f>phi_t-LN(alpha*Kt/(Tabella34[[#This Row],[Italy velocity]]*psi_t*SQRTPI(2)))</f>
        <v>-6.7876177138665028</v>
      </c>
      <c r="W104" s="244">
        <f>Tabella34[[#This Row],[Italy g.r.]]/Italy_gr_at_lockdown</f>
        <v>0.13212036528940574</v>
      </c>
      <c r="X104" s="244">
        <f>(ACOSH(SQRT(alpha*Kf*psi_f/(Tabella34[[#This Row],[Italy velocity]]*(1+TANH(phi_f)))))+phi_f)/psi_f-(Tabella34[[#This Row],[Day]]-pf)</f>
        <v>70.95865676004037</v>
      </c>
      <c r="Y104" s="244">
        <f>Tabella34[[#This Row],[Italy h.t.]]/Italy_ht_at_lockdown</f>
        <v>0.59750815518222855</v>
      </c>
      <c r="Z104" s="72">
        <f>-2*$BY$48*TANH($BY$48*(Tabella34[[#This Row],[Day]]-$BY$57)-$BY$47)*Tabella34[[#This Row],[Italy velocity]]</f>
        <v>61.41897555482926</v>
      </c>
      <c r="AA104" s="72">
        <f>Tabella34[[#This Row],[Italy acc. fit]]/Itali_acc_at_lockdown</f>
        <v>1.754811401837379</v>
      </c>
      <c r="AB104" s="77">
        <f>Tabella34[[#This Row],[Italy acc. fit]]/y_f_peak</f>
        <v>1.9442602877459195E-2</v>
      </c>
      <c r="AC104" s="143">
        <f>Tabella34[[#This Row],[Italy (fit of selected region + fitted sum of the other regions)]]*NOT(ISBLANK(Tabella34[[#This Row],[Italy rate data]]))</f>
        <v>61.910291524739925</v>
      </c>
      <c r="AD104" s="143">
        <f>Tabella34[[#This Row],[Italy acc. fit]]*NOT(ISBLANK(Tabella34[[#This Row],[Italy rate data]]))</f>
        <v>61.41897555482926</v>
      </c>
      <c r="AE104" s="77">
        <f>Tabella34[[#This Row],[Italy acc. fit]]+CIf</f>
        <v>1716.6289444785807</v>
      </c>
      <c r="AF104" s="77">
        <f>MAX(Tabella34[[#This Row],[Italy acc. fit]]-CIf,0)</f>
        <v>0</v>
      </c>
      <c r="AG104" s="4">
        <f>Tabella8[[#This Row],[region data]]</f>
        <v>1432</v>
      </c>
      <c r="AH104" s="72">
        <f>(Tabella34[[#This Row],[selected region cumul. data]]-AG103)</f>
        <v>76</v>
      </c>
      <c r="AI104" s="72">
        <f>Tabella34[[#This Row],[selected region rate data]]-AH103</f>
        <v>29</v>
      </c>
      <c r="AJ104" s="77">
        <f>Tabella34[[#This Row],[selected region rate data]]*NOT(ISBLANK(Tabella34[[#This Row],[selected region rate data]]))</f>
        <v>76</v>
      </c>
      <c r="AK104" s="77">
        <f>Tabella8[[#This Row],[region fit]]</f>
        <v>1511.0854435755471</v>
      </c>
      <c r="AL104" s="143">
        <f>(ATANH(alpha*Tabella34[[#This Row],[sel. region cumul. fit]]/Kl-(1-alpha*Tabella34[[#This Row],[sel. region cumul. fit]]/Kl)*TANH(phi_l))+phi_l)/psi_l-(Tabella34[[#This Row],[Day]]-pl)</f>
        <v>13.649385691132125</v>
      </c>
      <c r="AM104" s="77">
        <f>Tabella34[[#This Row],[sel. region cumul. fit]]/Kl</f>
        <v>0.11486003745636261</v>
      </c>
      <c r="AN104" s="143">
        <f>Tabella3[[#This Row],[region fit]]</f>
        <v>95.42677597041974</v>
      </c>
      <c r="AO104" s="186">
        <f>Tabella34[[#This Row],[sel. region velocity]]/Tabella34[[#This Row],[sel. region cumul. fit]]</f>
        <v>6.3151145010450133E-2</v>
      </c>
      <c r="AP104" s="241">
        <f>(LN(Tabella34[[#This Row],[Day]]-pr)-phi_r)/psi_r</f>
        <v>95.759791526908145</v>
      </c>
      <c r="AQ104" s="244">
        <f>EXP(phi_r+psi_r*Tabella34[[#This Row],[x_r_alpha©+plus]])-(Tabella34[[#This Row],[Day]]-pr)</f>
        <v>-17.401926132350042</v>
      </c>
      <c r="AR104" s="244">
        <f>EXP(phi_r+psi_r*Tabella34[[#This Row],[x_r_alpha©-minus]])-(Tabella34[[#This Row],[Day]]-pr)</f>
        <v>-17.87044566882269</v>
      </c>
      <c r="AS104" s="244">
        <f>-psi_r+SQRT(psi_r^2-2*Tabella34[[#This Row],[c_r]])</f>
        <v>3.854674633040621</v>
      </c>
      <c r="AT104" s="244">
        <f>-psi_r-SQRT(psi_r^2-2*Tabella34[[#This Row],[c_r]])</f>
        <v>-3.8949626427069592</v>
      </c>
      <c r="AU104" s="244">
        <f>phi_r-LN(alpha*Kr/(Tabella34[[#This Row],[sel. region velocity]]*psi_r*SQRTPI(2)))</f>
        <v>-7.5069068477416883</v>
      </c>
      <c r="AV104" s="244">
        <f>(ACOSH(SQRT(alpha*Kl*psi_l/(Tabella34[[#This Row],[sel. region velocity]]*(1+TANH(phi_l)))))+phi_l)/psi_l-(Tabella34[[#This Row],[Day]]-pl)</f>
        <v>91.640166360192651</v>
      </c>
      <c r="AW104" s="72">
        <f>-2*$BY$22*TANH($BY$22*(Tabella34[[#This Row],[Day]]-$BY$31)-$BY$21)*Tabella34[[#This Row],[sel. region velocity]]</f>
        <v>2.2805486345742243</v>
      </c>
      <c r="AX104" s="77">
        <f>Tabella34[[#This Row],[sel. region acc. fit]]/y_l_peak</f>
        <v>1.5489195895040452E-2</v>
      </c>
      <c r="AY104" s="143">
        <f>Tabella34[[#This Row],[sel. region acc. fit]]*NOT(ISBLANK(Tabella34[[#This Row],[selected region rate data]]))</f>
        <v>2.2805486345742243</v>
      </c>
      <c r="AZ104" s="77">
        <f>Tabella34[[#This Row],[sel. region acc. fit]]+CIl</f>
        <v>71.645535009674632</v>
      </c>
      <c r="BA104" s="77">
        <f>MAX(Tabella34[[#This Row],[sel. region acc. fit]]-CIl,0)</f>
        <v>0</v>
      </c>
      <c r="BB104" s="10">
        <f>Tabella8[[#This Row],[rest of Italy ]]</f>
        <v>37928</v>
      </c>
      <c r="BC104" s="10">
        <f>(Tabella34[[#This Row],[rest of Italy cum. Data]]-BB103)</f>
        <v>1582</v>
      </c>
      <c r="BD104" s="10">
        <f>Tabella34[[#This Row],[rest of Italy rate data]]-BC103</f>
        <v>285</v>
      </c>
      <c r="BE104" s="77">
        <f>Tabella34[[#This Row],[rest of Italy rate data]]*NOT(ISBLANK(Tabella34[[#This Row],[rest of Italy rate data]]))</f>
        <v>1582</v>
      </c>
      <c r="BF104" s="77">
        <f>Tabella8[[#This Row],[rest of Italy fit]]</f>
        <v>36760.987108427616</v>
      </c>
      <c r="BG104" s="78">
        <f>(ATANH(alpha*Tabella34[[#This Row],[rest of Italy cumul. fit]]/Ka-(1-alpha*Tabella34[[#This Row],[rest of Italy cumul. fit]]/Ka)*TANH(phi_a))+phi_a)/psi_a-(Tabella34[[#This Row],[Day]]-pa)</f>
        <v>15.007851361258012</v>
      </c>
      <c r="BH104" s="77">
        <f>Tabella34[[#This Row],[rest of Italy cumul. fit]]/Ka</f>
        <v>0.16570638736749235</v>
      </c>
      <c r="BI104" s="143">
        <f>Tabella3[[#This Row],[rest of Italy fit]]</f>
        <v>2029.199504590955</v>
      </c>
      <c r="BJ104" s="183">
        <f>Tabella34[[#This Row],[rest of Italy velocity]]/Tabella34[[#This Row],[rest of Italy cumul. fit]]</f>
        <v>5.5199810021579976E-2</v>
      </c>
      <c r="BK104" s="236">
        <f>(LN(Tabella34[[#This Row],[Day]]-po)-phi_o)/psi_o</f>
        <v>76.891875029510302</v>
      </c>
      <c r="BL104" s="244">
        <f>EXP(phi_o+psi_o*Tabella34[[#This Row],[x_o_alpha©+plus]])-(Tabella34[[#This Row],[Day]]-po)</f>
        <v>-24.671294070752538</v>
      </c>
      <c r="BM104" s="244">
        <f>EXP(phi_o+psi_o*Tabella34[[#This Row],[x_o_alpha©-minus]])-(Tabella34[[#This Row],[Day]]-po)</f>
        <v>-25.434420479600831</v>
      </c>
      <c r="BN104" s="244">
        <f>-psi_o+SQRT(psi_o^2-2*Tabella34[[#This Row],[c_o]])</f>
        <v>3.6440226686310813</v>
      </c>
      <c r="BO104" s="244">
        <f>-psi_o-SQRT(psi_o^2-2*Tabella34[[#This Row],[c_o]])</f>
        <v>-3.6953359528987346</v>
      </c>
      <c r="BP104" s="244">
        <f>phi_o-LN(alpha*Ko/(Tabella34[[#This Row],[rest of Italy velocity]]*psi_o*SQRTPI(2)))</f>
        <v>-6.7329439902852126</v>
      </c>
      <c r="BQ104" s="244">
        <f>(ACOSH(SQRT(alpha*Ka*psi_a/(Tabella34[[#This Row],[rest of Italy velocity]]*(1+TANH(phi_a)))))+phi_a)/psi_a-(Tabella34[[#This Row],[Day]]-pa)</f>
        <v>69.876120147435344</v>
      </c>
      <c r="BR104" s="72">
        <f>-2*$BY$35*TANH($BY$35*(Tabella34[[#This Row],[Day]]-$BY$44)-$BY$34)*Tabella34[[#This Row],[rest of Italy velocity]]</f>
        <v>59.629742890165701</v>
      </c>
      <c r="BS104" s="77">
        <f>Tabella34[[#This Row],[rest of Italy acc. fit]]/y_a_peak</f>
        <v>1.974855504269047E-2</v>
      </c>
      <c r="BT104" s="77">
        <f>Tabella34[[#This Row],[rest of Italy acc. fit]]*NOT(ISBLANK(Tabella34[[#This Row],[rest of Italy rate data]]))</f>
        <v>59.629742890165701</v>
      </c>
      <c r="BU104" s="77">
        <f>Tabella34[[#This Row],[rest of Italy acc. fit]]+CIa</f>
        <v>1693.7636828439672</v>
      </c>
      <c r="BV104" s="77">
        <f>MAX(Tabella34[[#This Row],[rest of Italy acc. fit]]-CIa,0)</f>
        <v>0</v>
      </c>
    </row>
    <row r="105" spans="2:74" x14ac:dyDescent="0.3">
      <c r="B105" s="262">
        <v>43928</v>
      </c>
      <c r="C105" s="4">
        <v>98</v>
      </c>
      <c r="D105" s="10">
        <f>Tabella8[[#This Row],[Italy cumulative]]</f>
        <v>41519</v>
      </c>
      <c r="E105" s="72">
        <f>(Tabella34[[#This Row],[Italy cumul. data]]-D104)</f>
        <v>2159</v>
      </c>
      <c r="F105" s="72">
        <f>Tabella34[[#This Row],[Italy rate data]]-E104</f>
        <v>501</v>
      </c>
      <c r="G105" s="77">
        <f>Tabella34[[#This Row],[Italy rate data]]*NOT(ISBLANK(Tabella34[[#This Row],[Italy rate data]]))</f>
        <v>2159</v>
      </c>
      <c r="H105" s="143">
        <f>Tabella8[[#This Row],[Italy fit]]</f>
        <v>40492.617887984932</v>
      </c>
      <c r="I105" s="143">
        <f>(ATANH(alpha*Tabella34[[#This Row],[Italy cumul. Fit]]/Kf-(1-alpha*Tabella34[[#This Row],[Italy cumul. Fit]]/Kf)*TANH(phi_f))+phi_f)/psi_f-(Tabella34[[#This Row],[Day]]-pf)</f>
        <v>15.448175845547311</v>
      </c>
      <c r="J105" s="143">
        <f>Tabella34[[#This Row],[Italy d.t.]]/Italy_dt_at_lockdown</f>
        <v>6.8061108571914692</v>
      </c>
      <c r="K105" s="77">
        <f>Tabella34[[#This Row],[Italy cumul. Fit]]/Kf</f>
        <v>0.17230901117152145</v>
      </c>
      <c r="L105" s="146">
        <f>Tabella34[[#This Row],[sel. region acc. fit]]+Tabella34[[#This Row],[rest of Italy acc. fit]]</f>
        <v>61.788450318440738</v>
      </c>
      <c r="M105" s="77">
        <f>Tabella34[[#This Row],[Italy (fit of selected region + fitted sum of the other regions)]]/(y_l_peak+y_a_peak)</f>
        <v>1.951204035362487E-2</v>
      </c>
      <c r="N105" s="143">
        <f>Tabella3[[#This Row],[Italy remov. rate fit]]</f>
        <v>2184.9433248025584</v>
      </c>
      <c r="O105" s="143">
        <f>Kt*EXP(-0.5*Tabella34[[#This Row],[x_t]]^2)/(psi_t*SQRTPI(2)*(Tabella34[[#This Row],[Day]]-D_bk))</f>
        <v>0</v>
      </c>
      <c r="P105" s="183">
        <f>Tabella34[[#This Row],[Italy velocity]]/Tabella34[[#This Row],[Italy cumul. Fit]]</f>
        <v>5.3959053248836257E-2</v>
      </c>
      <c r="Q105" s="244">
        <f>(LN(Tabella34[[#This Row],[Day]]-D_bk)-phi_t)/psi_t</f>
        <v>79.709899948439443</v>
      </c>
      <c r="R105" s="244">
        <f>EXP(phi_t+psi_t*Tabella34[[#This Row],[x_t_alpha©+plus]])-(Tabella34[[#This Row],[Day]]-D_bk)</f>
        <v>-25.19694511026492</v>
      </c>
      <c r="S105" s="244">
        <f>EXP(phi_t+psi_t*Tabella34[[#This Row],[x_t_alpha©-minus]])-(Tabella34[[#This Row],[Day]]-D_bk)</f>
        <v>-25.929707680009855</v>
      </c>
      <c r="T105" s="244">
        <f>-psi_t+SQRT(psi_t^2-2*Tabella34[[#This Row],[c_t]])</f>
        <v>3.6515456110648712</v>
      </c>
      <c r="U105" s="244">
        <f>-psi_t-SQRT(psi_t^2-2*Tabella34[[#This Row],[c_t]])</f>
        <v>-3.7020642857622432</v>
      </c>
      <c r="V105" s="244">
        <f>phi_t-LN(alpha*Kt/(Tabella34[[#This Row],[Italy velocity]]*psi_t*SQRTPI(2)))</f>
        <v>-6.759128297277563</v>
      </c>
      <c r="W105" s="244">
        <f>Tabella34[[#This Row],[Italy g.r.]]/Italy_gr_at_lockdown</f>
        <v>0.12870639041388268</v>
      </c>
      <c r="X105" s="244">
        <f>(ACOSH(SQRT(alpha*Kf*psi_f/(Tabella34[[#This Row],[Italy velocity]]*(1+TANH(phi_f)))))+phi_f)/psi_f-(Tabella34[[#This Row],[Day]]-pf)</f>
        <v>69.263991992324151</v>
      </c>
      <c r="Y105" s="244">
        <f>Tabella34[[#This Row],[Italy h.t.]]/Italy_ht_at_lockdown</f>
        <v>0.58323821173565737</v>
      </c>
      <c r="Z105" s="72">
        <f>-2*$BY$48*TANH($BY$48*(Tabella34[[#This Row],[Day]]-$BY$57)-$BY$47)*Tabella34[[#This Row],[Italy velocity]]</f>
        <v>61.292563329595339</v>
      </c>
      <c r="AA105" s="72">
        <f>Tabella34[[#This Row],[Italy acc. fit]]/Itali_acc_at_lockdown</f>
        <v>1.7511996578744065</v>
      </c>
      <c r="AB105" s="77">
        <f>Tabella34[[#This Row],[Italy acc. fit]]/y_f_peak</f>
        <v>1.9402586210429559E-2</v>
      </c>
      <c r="AC105" s="143">
        <f>Tabella34[[#This Row],[Italy (fit of selected region + fitted sum of the other regions)]]*NOT(ISBLANK(Tabella34[[#This Row],[Italy rate data]]))</f>
        <v>61.788450318440738</v>
      </c>
      <c r="AD105" s="143">
        <f>Tabella34[[#This Row],[Italy acc. fit]]*NOT(ISBLANK(Tabella34[[#This Row],[Italy rate data]]))</f>
        <v>61.292563329595339</v>
      </c>
      <c r="AE105" s="77">
        <f>Tabella34[[#This Row],[Italy acc. fit]]+CIf</f>
        <v>1716.5025322533468</v>
      </c>
      <c r="AF105" s="77">
        <f>MAX(Tabella34[[#This Row],[Italy acc. fit]]-CIf,0)</f>
        <v>0</v>
      </c>
      <c r="AG105" s="4">
        <f>Tabella8[[#This Row],[region data]]</f>
        <v>1545</v>
      </c>
      <c r="AH105" s="72">
        <f>(Tabella34[[#This Row],[selected region cumul. data]]-AG104)</f>
        <v>113</v>
      </c>
      <c r="AI105" s="72">
        <f>Tabella34[[#This Row],[selected region rate data]]-AH104</f>
        <v>37</v>
      </c>
      <c r="AJ105" s="77">
        <f>Tabella34[[#This Row],[selected region rate data]]*NOT(ISBLANK(Tabella34[[#This Row],[selected region rate data]]))</f>
        <v>113</v>
      </c>
      <c r="AK105" s="77">
        <f>Tabella8[[#This Row],[region fit]]</f>
        <v>1607.6530646446565</v>
      </c>
      <c r="AL105" s="143">
        <f>(ATANH(alpha*Tabella34[[#This Row],[sel. region cumul. fit]]/Kl-(1-alpha*Tabella34[[#This Row],[sel. region cumul. fit]]/Kl)*TANH(phi_l))+phi_l)/psi_l-(Tabella34[[#This Row],[Day]]-pl)</f>
        <v>14.173616485555634</v>
      </c>
      <c r="AM105" s="77">
        <f>Tabella34[[#This Row],[sel. region cumul. fit]]/Kl</f>
        <v>0.1222002978104193</v>
      </c>
      <c r="AN105" s="143">
        <f>Tabella3[[#This Row],[region fit]]</f>
        <v>97.708888336432466</v>
      </c>
      <c r="AO105" s="186">
        <f>Tabella34[[#This Row],[sel. region velocity]]/Tabella34[[#This Row],[sel. region cumul. fit]]</f>
        <v>6.0777347106310713E-2</v>
      </c>
      <c r="AP105" s="241">
        <f>(LN(Tabella34[[#This Row],[Day]]-pr)-phi_r)/psi_r</f>
        <v>98.108115060419181</v>
      </c>
      <c r="AQ105" s="244">
        <f>EXP(phi_r+psi_r*Tabella34[[#This Row],[x_r_alpha©+plus]])-(Tabella34[[#This Row],[Day]]-pr)</f>
        <v>-18.402324691600434</v>
      </c>
      <c r="AR105" s="244">
        <f>EXP(phi_r+psi_r*Tabella34[[#This Row],[x_r_alpha©-minus]])-(Tabella34[[#This Row],[Day]]-pr)</f>
        <v>-18.870104672941263</v>
      </c>
      <c r="AS105" s="244">
        <f>-psi_r+SQRT(psi_r^2-2*Tabella34[[#This Row],[c_r]])</f>
        <v>3.8485706181680044</v>
      </c>
      <c r="AT105" s="244">
        <f>-psi_r-SQRT(psi_r^2-2*Tabella34[[#This Row],[c_r]])</f>
        <v>-3.8888586278343427</v>
      </c>
      <c r="AU105" s="244">
        <f>phi_r-LN(alpha*Kr/(Tabella34[[#This Row],[sel. region velocity]]*psi_r*SQRTPI(2)))</f>
        <v>-7.4832735266461965</v>
      </c>
      <c r="AV105" s="244">
        <f>(ACOSH(SQRT(alpha*Kl*psi_l/(Tabella34[[#This Row],[sel. region velocity]]*(1+TANH(phi_l)))))+phi_l)/psi_l-(Tabella34[[#This Row],[Day]]-pl)</f>
        <v>89.924614337570503</v>
      </c>
      <c r="AW105" s="72">
        <f>-2*$BY$22*TANH($BY$22*(Tabella34[[#This Row],[Day]]-$BY$31)-$BY$21)*Tabella34[[#This Row],[sel. region velocity]]</f>
        <v>2.2830787093068281</v>
      </c>
      <c r="AX105" s="77">
        <f>Tabella34[[#This Row],[sel. region acc. fit]]/y_l_peak</f>
        <v>1.5506379840415819E-2</v>
      </c>
      <c r="AY105" s="143">
        <f>Tabella34[[#This Row],[sel. region acc. fit]]*NOT(ISBLANK(Tabella34[[#This Row],[selected region rate data]]))</f>
        <v>2.2830787093068281</v>
      </c>
      <c r="AZ105" s="77">
        <f>Tabella34[[#This Row],[sel. region acc. fit]]+CIl</f>
        <v>71.648065084407222</v>
      </c>
      <c r="BA105" s="77">
        <f>MAX(Tabella34[[#This Row],[sel. region acc. fit]]-CIl,0)</f>
        <v>0</v>
      </c>
      <c r="BB105" s="10">
        <f>Tabella8[[#This Row],[rest of Italy ]]</f>
        <v>39974</v>
      </c>
      <c r="BC105" s="10">
        <f>(Tabella34[[#This Row],[rest of Italy cum. Data]]-BB104)</f>
        <v>2046</v>
      </c>
      <c r="BD105" s="10">
        <f>Tabella34[[#This Row],[rest of Italy rate data]]-BC104</f>
        <v>464</v>
      </c>
      <c r="BE105" s="77">
        <f>Tabella34[[#This Row],[rest of Italy rate data]]*NOT(ISBLANK(Tabella34[[#This Row],[rest of Italy rate data]]))</f>
        <v>2046</v>
      </c>
      <c r="BF105" s="77">
        <f>Tabella8[[#This Row],[rest of Italy fit]]</f>
        <v>38819.987579448985</v>
      </c>
      <c r="BG105" s="78">
        <f>(ATANH(alpha*Tabella34[[#This Row],[rest of Italy cumul. fit]]/Ka-(1-alpha*Tabella34[[#This Row],[rest of Italy cumul. fit]]/Ka)*TANH(phi_a))+phi_a)/psi_a-(Tabella34[[#This Row],[Day]]-pa)</f>
        <v>15.45732272197786</v>
      </c>
      <c r="BH105" s="77">
        <f>Tabella34[[#This Row],[rest of Italy cumul. fit]]/Ka</f>
        <v>0.17498768138265489</v>
      </c>
      <c r="BI105" s="143">
        <f>Tabella3[[#This Row],[rest of Italy fit]]</f>
        <v>2088.7807337477288</v>
      </c>
      <c r="BJ105" s="183">
        <f>Tabella34[[#This Row],[rest of Italy velocity]]/Tabella34[[#This Row],[rest of Italy cumul. fit]]</f>
        <v>5.3806836735143984E-2</v>
      </c>
      <c r="BK105" s="236">
        <f>(LN(Tabella34[[#This Row],[Day]]-po)-phi_o)/psi_o</f>
        <v>78.207988965714506</v>
      </c>
      <c r="BL105" s="244">
        <f>EXP(phi_o+psi_o*Tabella34[[#This Row],[x_o_alpha©+plus]])-(Tabella34[[#This Row],[Day]]-po)</f>
        <v>-25.672194536656537</v>
      </c>
      <c r="BM105" s="244">
        <f>EXP(phi_o+psi_o*Tabella34[[#This Row],[x_o_alpha©-minus]])-(Tabella34[[#This Row],[Day]]-po)</f>
        <v>-26.433674415480066</v>
      </c>
      <c r="BN105" s="244">
        <f>-psi_o+SQRT(psi_o^2-2*Tabella34[[#This Row],[c_o]])</f>
        <v>3.6361281657805922</v>
      </c>
      <c r="BO105" s="244">
        <f>-psi_o-SQRT(psi_o^2-2*Tabella34[[#This Row],[c_o]])</f>
        <v>-3.6874414500482455</v>
      </c>
      <c r="BP105" s="244">
        <f>phi_o-LN(alpha*Ko/(Tabella34[[#This Row],[rest of Italy velocity]]*psi_o*SQRTPI(2)))</f>
        <v>-6.7040048580936276</v>
      </c>
      <c r="BQ105" s="244">
        <f>(ACOSH(SQRT(alpha*Ka*psi_a/(Tabella34[[#This Row],[rest of Italy velocity]]*(1+TANH(phi_a)))))+phi_a)/psi_a-(Tabella34[[#This Row],[Day]]-pa)</f>
        <v>68.181426619076689</v>
      </c>
      <c r="BR105" s="72">
        <f>-2*$BY$35*TANH($BY$35*(Tabella34[[#This Row],[Day]]-$BY$44)-$BY$34)*Tabella34[[#This Row],[rest of Italy velocity]]</f>
        <v>59.50537160913391</v>
      </c>
      <c r="BS105" s="77">
        <f>Tabella34[[#This Row],[rest of Italy acc. fit]]/y_a_peak</f>
        <v>1.9707364975952966E-2</v>
      </c>
      <c r="BT105" s="77">
        <f>Tabella34[[#This Row],[rest of Italy acc. fit]]*NOT(ISBLANK(Tabella34[[#This Row],[rest of Italy rate data]]))</f>
        <v>59.50537160913391</v>
      </c>
      <c r="BU105" s="77">
        <f>Tabella34[[#This Row],[rest of Italy acc. fit]]+CIa</f>
        <v>1693.6393115629353</v>
      </c>
      <c r="BV105" s="77">
        <f>MAX(Tabella34[[#This Row],[rest of Italy acc. fit]]-CIa,0)</f>
        <v>0</v>
      </c>
    </row>
    <row r="106" spans="2:74" x14ac:dyDescent="0.3">
      <c r="B106" s="262">
        <v>43929</v>
      </c>
      <c r="C106" s="4">
        <v>99</v>
      </c>
      <c r="D106" s="10">
        <f>Tabella8[[#This Row],[Italy cumulative]]</f>
        <v>44160</v>
      </c>
      <c r="E106" s="72">
        <f>(Tabella34[[#This Row],[Italy cumul. data]]-D105)</f>
        <v>2641</v>
      </c>
      <c r="F106" s="72">
        <f>Tabella34[[#This Row],[Italy rate data]]-E105</f>
        <v>482</v>
      </c>
      <c r="G106" s="77">
        <f>Tabella34[[#This Row],[Italy rate data]]*NOT(ISBLANK(Tabella34[[#This Row],[Italy rate data]]))</f>
        <v>2641</v>
      </c>
      <c r="H106" s="143">
        <f>Tabella8[[#This Row],[Italy fit]]</f>
        <v>42708.165576693667</v>
      </c>
      <c r="I106" s="143">
        <f>(ATANH(alpha*Tabella34[[#This Row],[Italy cumul. Fit]]/Kf-(1-alpha*Tabella34[[#This Row],[Italy cumul. Fit]]/Kf)*TANH(phi_f))+phi_f)/psi_f-(Tabella34[[#This Row],[Day]]-pf)</f>
        <v>15.918243876436897</v>
      </c>
      <c r="J106" s="143">
        <f>Tabella34[[#This Row],[Italy d.t.]]/Italy_dt_at_lockdown</f>
        <v>7.0132120166191942</v>
      </c>
      <c r="K106" s="77">
        <f>Tabella34[[#This Row],[Italy cumul. Fit]]/Kf</f>
        <v>0.18173687361550606</v>
      </c>
      <c r="L106" s="146">
        <f>Tabella34[[#This Row],[sel. region acc. fit]]+Tabella34[[#This Row],[rest of Italy acc. fit]]</f>
        <v>61.494502427874863</v>
      </c>
      <c r="M106" s="77">
        <f>Tabella34[[#This Row],[Italy (fit of selected region + fitted sum of the other regions)]]/(y_l_peak+y_a_peak)</f>
        <v>1.9419215188516747E-2</v>
      </c>
      <c r="N106" s="143">
        <f>Tabella3[[#This Row],[Italy remov. rate fit]]</f>
        <v>2246.1029885939342</v>
      </c>
      <c r="O106" s="143">
        <f>Kt*EXP(-0.5*Tabella34[[#This Row],[x_t]]^2)/(psi_t*SQRTPI(2)*(Tabella34[[#This Row],[Day]]-D_bk))</f>
        <v>0</v>
      </c>
      <c r="P106" s="183">
        <f>Tabella34[[#This Row],[Italy velocity]]/Tabella34[[#This Row],[Italy cumul. Fit]]</f>
        <v>5.2591886311774957E-2</v>
      </c>
      <c r="Q106" s="244">
        <f>(LN(Tabella34[[#This Row],[Day]]-D_bk)-phi_t)/psi_t</f>
        <v>81.028804095280066</v>
      </c>
      <c r="R106" s="244">
        <f>EXP(phi_t+psi_t*Tabella34[[#This Row],[x_t_alpha©+plus]])-(Tabella34[[#This Row],[Day]]-D_bk)</f>
        <v>-26.197765691773469</v>
      </c>
      <c r="S106" s="244">
        <f>EXP(phi_t+psi_t*Tabella34[[#This Row],[x_t_alpha©-minus]])-(Tabella34[[#This Row],[Day]]-D_bk)</f>
        <v>-26.929026071280131</v>
      </c>
      <c r="T106" s="244">
        <f>-psi_t+SQRT(psi_t^2-2*Tabella34[[#This Row],[c_t]])</f>
        <v>3.6440295569066778</v>
      </c>
      <c r="U106" s="244">
        <f>-psi_t-SQRT(psi_t^2-2*Tabella34[[#This Row],[c_t]])</f>
        <v>-3.6945482316040499</v>
      </c>
      <c r="V106" s="244">
        <f>phi_t-LN(alpha*Kt/(Tabella34[[#This Row],[Italy velocity]]*psi_t*SQRTPI(2)))</f>
        <v>-6.7315214776912278</v>
      </c>
      <c r="W106" s="244">
        <f>Tabella34[[#This Row],[Italy g.r.]]/Italy_gr_at_lockdown</f>
        <v>0.12544534132262275</v>
      </c>
      <c r="X106" s="244">
        <f>(ACOSH(SQRT(alpha*Kf*psi_f/(Tabella34[[#This Row],[Italy velocity]]*(1+TANH(phi_f)))))+phi_f)/psi_f-(Tabella34[[#This Row],[Day]]-pf)</f>
        <v>67.585839856341323</v>
      </c>
      <c r="Y106" s="244">
        <f>Tabella34[[#This Row],[Italy h.t.]]/Italy_ht_at_lockdown</f>
        <v>0.56910731308749007</v>
      </c>
      <c r="Z106" s="72">
        <f>-2*$BY$48*TANH($BY$48*(Tabella34[[#This Row],[Day]]-$BY$57)-$BY$47)*Tabella34[[#This Row],[Italy velocity]]</f>
        <v>60.998041923543362</v>
      </c>
      <c r="AA106" s="72">
        <f>Tabella34[[#This Row],[Italy acc. fit]]/Itali_acc_at_lockdown</f>
        <v>1.7427848395425083</v>
      </c>
      <c r="AB106" s="77">
        <f>Tabella34[[#This Row],[Italy acc. fit]]/y_f_peak</f>
        <v>1.9309353415758998E-2</v>
      </c>
      <c r="AC106" s="143">
        <f>Tabella34[[#This Row],[Italy (fit of selected region + fitted sum of the other regions)]]*NOT(ISBLANK(Tabella34[[#This Row],[Italy rate data]]))</f>
        <v>61.494502427874863</v>
      </c>
      <c r="AD106" s="143">
        <f>Tabella34[[#This Row],[Italy acc. fit]]*NOT(ISBLANK(Tabella34[[#This Row],[Italy rate data]]))</f>
        <v>60.998041923543362</v>
      </c>
      <c r="AE106" s="77">
        <f>Tabella34[[#This Row],[Italy acc. fit]]+CIf</f>
        <v>1716.2080108472946</v>
      </c>
      <c r="AF106" s="77">
        <f>MAX(Tabella34[[#This Row],[Italy acc. fit]]-CIf,0)</f>
        <v>0</v>
      </c>
      <c r="AG106" s="4">
        <f>Tabella8[[#This Row],[region data]]</f>
        <v>1661</v>
      </c>
      <c r="AH106" s="72">
        <f>(Tabella34[[#This Row],[selected region cumul. data]]-AG105)</f>
        <v>116</v>
      </c>
      <c r="AI106" s="72">
        <f>Tabella34[[#This Row],[selected region rate data]]-AH105</f>
        <v>3</v>
      </c>
      <c r="AJ106" s="77">
        <f>Tabella34[[#This Row],[selected region rate data]]*NOT(ISBLANK(Tabella34[[#This Row],[selected region rate data]]))</f>
        <v>116</v>
      </c>
      <c r="AK106" s="77">
        <f>Tabella8[[#This Row],[region fit]]</f>
        <v>1706.5034584457503</v>
      </c>
      <c r="AL106" s="143">
        <f>(ATANH(alpha*Tabella34[[#This Row],[sel. region cumul. fit]]/Kl-(1-alpha*Tabella34[[#This Row],[sel. region cumul. fit]]/Kl)*TANH(phi_l))+phi_l)/psi_l-(Tabella34[[#This Row],[Day]]-pl)</f>
        <v>14.699751306426187</v>
      </c>
      <c r="AM106" s="77">
        <f>Tabella34[[#This Row],[sel. region cumul. fit]]/Kl</f>
        <v>0.12971407539516258</v>
      </c>
      <c r="AN106" s="143">
        <f>Tabella3[[#This Row],[region fit]]</f>
        <v>99.991709511662421</v>
      </c>
      <c r="AO106" s="186">
        <f>Tabella34[[#This Row],[sel. region velocity]]/Tabella34[[#This Row],[sel. region cumul. fit]]</f>
        <v>5.8594495672884772E-2</v>
      </c>
      <c r="AP106" s="241">
        <f>(LN(Tabella34[[#This Row],[Day]]-pr)-phi_r)/psi_r</f>
        <v>100.35035151706649</v>
      </c>
      <c r="AQ106" s="244">
        <f>EXP(phi_r+psi_r*Tabella34[[#This Row],[x_r_alpha©+plus]])-(Tabella34[[#This Row],[Day]]-pr)</f>
        <v>-19.402714729175543</v>
      </c>
      <c r="AR106" s="244">
        <f>EXP(phi_r+psi_r*Tabella34[[#This Row],[x_r_alpha©-minus]])-(Tabella34[[#This Row],[Day]]-pr)</f>
        <v>-19.869770886759468</v>
      </c>
      <c r="AS106" s="244">
        <f>-psi_r+SQRT(psi_r^2-2*Tabella34[[#This Row],[c_r]])</f>
        <v>3.8425963877281113</v>
      </c>
      <c r="AT106" s="244">
        <f>-psi_r-SQRT(psi_r^2-2*Tabella34[[#This Row],[c_r]])</f>
        <v>-3.8828843973944496</v>
      </c>
      <c r="AU106" s="244">
        <f>phi_r-LN(alpha*Kr/(Tabella34[[#This Row],[sel. region velocity]]*psi_r*SQRTPI(2)))</f>
        <v>-7.4601787796968777</v>
      </c>
      <c r="AV106" s="244">
        <f>(ACOSH(SQRT(alpha*Kl*psi_l/(Tabella34[[#This Row],[sel. region velocity]]*(1+TANH(phi_l)))))+phi_l)/psi_l-(Tabella34[[#This Row],[Day]]-pl)</f>
        <v>88.221301167928274</v>
      </c>
      <c r="AW106" s="72">
        <f>-2*$BY$22*TANH($BY$22*(Tabella34[[#This Row],[Day]]-$BY$31)-$BY$21)*Tabella34[[#This Row],[sel. region velocity]]</f>
        <v>2.2819373434099313</v>
      </c>
      <c r="AX106" s="77">
        <f>Tabella34[[#This Row],[sel. region acc. fit]]/y_l_peak</f>
        <v>1.5498627828598604E-2</v>
      </c>
      <c r="AY106" s="143">
        <f>Tabella34[[#This Row],[sel. region acc. fit]]*NOT(ISBLANK(Tabella34[[#This Row],[selected region rate data]]))</f>
        <v>2.2819373434099313</v>
      </c>
      <c r="AZ106" s="77">
        <f>Tabella34[[#This Row],[sel. region acc. fit]]+CIl</f>
        <v>71.646923718510337</v>
      </c>
      <c r="BA106" s="77">
        <f>MAX(Tabella34[[#This Row],[sel. region acc. fit]]-CIl,0)</f>
        <v>0</v>
      </c>
      <c r="BB106" s="10">
        <f>Tabella8[[#This Row],[rest of Italy ]]</f>
        <v>42499</v>
      </c>
      <c r="BC106" s="10">
        <f>(Tabella34[[#This Row],[rest of Italy cum. Data]]-BB105)</f>
        <v>2525</v>
      </c>
      <c r="BD106" s="10">
        <f>Tabella34[[#This Row],[rest of Italy rate data]]-BC105</f>
        <v>479</v>
      </c>
      <c r="BE106" s="77">
        <f>Tabella34[[#This Row],[rest of Italy rate data]]*NOT(ISBLANK(Tabella34[[#This Row],[rest of Italy rate data]]))</f>
        <v>2525</v>
      </c>
      <c r="BF106" s="77">
        <f>Tabella8[[#This Row],[rest of Italy fit]]</f>
        <v>40938.47938341774</v>
      </c>
      <c r="BG106" s="78">
        <f>(ATANH(alpha*Tabella34[[#This Row],[rest of Italy cumul. fit]]/Ka-(1-alpha*Tabella34[[#This Row],[rest of Italy cumul. fit]]/Ka)*TANH(phi_a))+phi_a)/psi_a-(Tabella34[[#This Row],[Day]]-pa)</f>
        <v>15.923770911709653</v>
      </c>
      <c r="BH106" s="77">
        <f>Tabella34[[#This Row],[rest of Italy cumul. fit]]/Ka</f>
        <v>0.18453714267616908</v>
      </c>
      <c r="BI106" s="143">
        <f>Tabella3[[#This Row],[rest of Italy fit]]</f>
        <v>2148.1540963504385</v>
      </c>
      <c r="BJ106" s="183">
        <f>Tabella34[[#This Row],[rest of Italy velocity]]/Tabella34[[#This Row],[rest of Italy cumul. fit]]</f>
        <v>5.247273784234778E-2</v>
      </c>
      <c r="BK106" s="236">
        <f>(LN(Tabella34[[#This Row],[Day]]-po)-phi_o)/psi_o</f>
        <v>79.481109410553231</v>
      </c>
      <c r="BL106" s="244">
        <f>EXP(phi_o+psi_o*Tabella34[[#This Row],[x_o_alpha©+plus]])-(Tabella34[[#This Row],[Day]]-po)</f>
        <v>-26.673068344432846</v>
      </c>
      <c r="BM106" s="244">
        <f>EXP(phi_o+psi_o*Tabella34[[#This Row],[x_o_alpha©-minus]])-(Tabella34[[#This Row],[Day]]-po)</f>
        <v>-27.432950149427768</v>
      </c>
      <c r="BN106" s="244">
        <f>-psi_o+SQRT(psi_o^2-2*Tabella34[[#This Row],[c_o]])</f>
        <v>3.6284658492365205</v>
      </c>
      <c r="BO106" s="244">
        <f>-psi_o-SQRT(psi_o^2-2*Tabella34[[#This Row],[c_o]])</f>
        <v>-3.6797791335041738</v>
      </c>
      <c r="BP106" s="244">
        <f>phi_o-LN(alpha*Ko/(Tabella34[[#This Row],[rest of Italy velocity]]*psi_o*SQRTPI(2)))</f>
        <v>-6.6759764593265256</v>
      </c>
      <c r="BQ106" s="244">
        <f>(ACOSH(SQRT(alpha*Ka*psi_a/(Tabella34[[#This Row],[rest of Italy velocity]]*(1+TANH(phi_a)))))+phi_a)/psi_a-(Tabella34[[#This Row],[Day]]-pa)</f>
        <v>66.503510604677771</v>
      </c>
      <c r="BR106" s="72">
        <f>-2*$BY$35*TANH($BY$35*(Tabella34[[#This Row],[Day]]-$BY$44)-$BY$34)*Tabella34[[#This Row],[rest of Italy velocity]]</f>
        <v>59.212565084464934</v>
      </c>
      <c r="BS106" s="77">
        <f>Tabella34[[#This Row],[rest of Italy acc. fit]]/y_a_peak</f>
        <v>1.9610391460908046E-2</v>
      </c>
      <c r="BT106" s="77">
        <f>Tabella34[[#This Row],[rest of Italy acc. fit]]*NOT(ISBLANK(Tabella34[[#This Row],[rest of Italy rate data]]))</f>
        <v>59.212565084464934</v>
      </c>
      <c r="BU106" s="77">
        <f>Tabella34[[#This Row],[rest of Italy acc. fit]]+CIa</f>
        <v>1693.3465050382665</v>
      </c>
      <c r="BV106" s="77">
        <f>MAX(Tabella34[[#This Row],[rest of Italy acc. fit]]-CIa,0)</f>
        <v>0</v>
      </c>
    </row>
    <row r="107" spans="2:74" x14ac:dyDescent="0.3">
      <c r="B107" s="262">
        <v>43930</v>
      </c>
      <c r="C107" s="4">
        <v>100</v>
      </c>
      <c r="D107" s="10">
        <f>Tabella8[[#This Row],[Italy cumulative]]</f>
        <v>46749</v>
      </c>
      <c r="E107" s="72">
        <f>(Tabella34[[#This Row],[Italy cumul. data]]-D106)</f>
        <v>2589</v>
      </c>
      <c r="F107" s="72">
        <f>Tabella34[[#This Row],[Italy rate data]]-E106</f>
        <v>-52</v>
      </c>
      <c r="G107" s="77">
        <f>Tabella34[[#This Row],[Italy rate data]]*NOT(ISBLANK(Tabella34[[#This Row],[Italy rate data]]))</f>
        <v>2589</v>
      </c>
      <c r="H107" s="143">
        <f>Tabella8[[#This Row],[Italy fit]]</f>
        <v>44984.696610108731</v>
      </c>
      <c r="I107" s="143">
        <f>(ATANH(alpha*Tabella34[[#This Row],[Italy cumul. Fit]]/Kf-(1-alpha*Tabella34[[#This Row],[Italy cumul. Fit]]/Kf)*TANH(phi_f))+phi_f)/psi_f-(Tabella34[[#This Row],[Day]]-pf)</f>
        <v>16.4068289816462</v>
      </c>
      <c r="J107" s="143">
        <f>Tabella34[[#This Row],[Italy d.t.]]/Italy_dt_at_lockdown</f>
        <v>7.2284713729648535</v>
      </c>
      <c r="K107" s="77">
        <f>Tabella34[[#This Row],[Italy cumul. Fit]]/Kf</f>
        <v>0.19142423965230226</v>
      </c>
      <c r="L107" s="146">
        <f>Tabella34[[#This Row],[sel. region acc. fit]]+Tabella34[[#This Row],[rest of Italy acc. fit]]</f>
        <v>61.019920216370885</v>
      </c>
      <c r="M107" s="77">
        <f>Tabella34[[#This Row],[Italy (fit of selected region + fitted sum of the other regions)]]/(y_l_peak+y_a_peak)</f>
        <v>1.9269347904028233E-2</v>
      </c>
      <c r="N107" s="143">
        <f>Tabella3[[#This Row],[Italy remov. rate fit]]</f>
        <v>2306.8806235547668</v>
      </c>
      <c r="O107" s="143">
        <f>Kt*EXP(-0.5*Tabella34[[#This Row],[x_t]]^2)/(psi_t*SQRTPI(2)*(Tabella34[[#This Row],[Day]]-D_bk))</f>
        <v>0</v>
      </c>
      <c r="P107" s="183">
        <f>Tabella34[[#This Row],[Italy velocity]]/Tabella34[[#This Row],[Italy cumul. Fit]]</f>
        <v>5.1281453414012274E-2</v>
      </c>
      <c r="Q107" s="244">
        <f>(LN(Tabella34[[#This Row],[Day]]-D_bk)-phi_t)/psi_t</f>
        <v>82.305182347889939</v>
      </c>
      <c r="R107" s="244">
        <f>EXP(phi_t+psi_t*Tabella34[[#This Row],[x_t_alpha©+plus]])-(Tabella34[[#This Row],[Day]]-D_bk)</f>
        <v>-27.198560758369041</v>
      </c>
      <c r="S107" s="244">
        <f>EXP(phi_t+psi_t*Tabella34[[#This Row],[x_t_alpha©-minus]])-(Tabella34[[#This Row],[Day]]-D_bk)</f>
        <v>-27.928365409355251</v>
      </c>
      <c r="T107" s="244">
        <f>-psi_t+SQRT(psi_t^2-2*Tabella34[[#This Row],[c_t]])</f>
        <v>3.6367458433436193</v>
      </c>
      <c r="U107" s="244">
        <f>-psi_t-SQRT(psi_t^2-2*Tabella34[[#This Row],[c_t]])</f>
        <v>-3.6872645180409913</v>
      </c>
      <c r="V107" s="244">
        <f>phi_t-LN(alpha*Kt/(Tabella34[[#This Row],[Italy velocity]]*psi_t*SQRTPI(2)))</f>
        <v>-6.7048219546469952</v>
      </c>
      <c r="W107" s="244">
        <f>Tabella34[[#This Row],[Italy g.r.]]/Italy_gr_at_lockdown</f>
        <v>0.12231961768598208</v>
      </c>
      <c r="X107" s="244">
        <f>(ACOSH(SQRT(alpha*Kf*psi_f/(Tabella34[[#This Row],[Italy velocity]]*(1+TANH(phi_f)))))+phi_f)/psi_f-(Tabella34[[#This Row],[Day]]-pf)</f>
        <v>65.925046224072318</v>
      </c>
      <c r="Y107" s="244">
        <f>Tabella34[[#This Row],[Italy h.t.]]/Italy_ht_at_lockdown</f>
        <v>0.55512258191210706</v>
      </c>
      <c r="Z107" s="72">
        <f>-2*$BY$48*TANH($BY$48*(Tabella34[[#This Row],[Day]]-$BY$57)-$BY$47)*Tabella34[[#This Row],[Italy velocity]]</f>
        <v>60.527187876886899</v>
      </c>
      <c r="AA107" s="72">
        <f>Tabella34[[#This Row],[Italy acc. fit]]/Itali_acc_at_lockdown</f>
        <v>1.7293319930531295</v>
      </c>
      <c r="AB107" s="77">
        <f>Tabella34[[#This Row],[Italy acc. fit]]/y_f_peak</f>
        <v>1.9160301300192306E-2</v>
      </c>
      <c r="AC107" s="143">
        <f>Tabella34[[#This Row],[Italy (fit of selected region + fitted sum of the other regions)]]*NOT(ISBLANK(Tabella34[[#This Row],[Italy rate data]]))</f>
        <v>61.019920216370885</v>
      </c>
      <c r="AD107" s="143">
        <f>Tabella34[[#This Row],[Italy acc. fit]]*NOT(ISBLANK(Tabella34[[#This Row],[Italy rate data]]))</f>
        <v>60.527187876886899</v>
      </c>
      <c r="AE107" s="77">
        <f>Tabella34[[#This Row],[Italy acc. fit]]+CIf</f>
        <v>1715.7371568006383</v>
      </c>
      <c r="AF107" s="77">
        <f>MAX(Tabella34[[#This Row],[Italy acc. fit]]-CIf,0)</f>
        <v>0</v>
      </c>
      <c r="AG107" s="4">
        <f>Tabella8[[#This Row],[region data]]</f>
        <v>1767</v>
      </c>
      <c r="AH107" s="72">
        <f>(Tabella34[[#This Row],[selected region cumul. data]]-AG106)</f>
        <v>106</v>
      </c>
      <c r="AI107" s="72">
        <f>Tabella34[[#This Row],[selected region rate data]]-AH106</f>
        <v>-10</v>
      </c>
      <c r="AJ107" s="77">
        <f>Tabella34[[#This Row],[selected region rate data]]*NOT(ISBLANK(Tabella34[[#This Row],[selected region rate data]]))</f>
        <v>106</v>
      </c>
      <c r="AK107" s="77">
        <f>Tabella8[[#This Row],[region fit]]</f>
        <v>1807.6354694130687</v>
      </c>
      <c r="AL107" s="143">
        <f>(ATANH(alpha*Tabella34[[#This Row],[sel. region cumul. fit]]/Kl-(1-alpha*Tabella34[[#This Row],[sel. region cumul. fit]]/Kl)*TANH(phi_l))+phi_l)/psi_l-(Tabella34[[#This Row],[Day]]-pl)</f>
        <v>15.229444966763339</v>
      </c>
      <c r="AM107" s="77">
        <f>Tabella34[[#This Row],[sel. region cumul. fit]]/Kl</f>
        <v>0.13740128237417862</v>
      </c>
      <c r="AN107" s="143">
        <f>Tabella3[[#This Row],[region fit]]</f>
        <v>102.27148235427096</v>
      </c>
      <c r="AO107" s="186">
        <f>Tabella34[[#This Row],[sel. region velocity]]/Tabella34[[#This Row],[sel. region cumul. fit]]</f>
        <v>5.6577492577902372E-2</v>
      </c>
      <c r="AP107" s="241">
        <f>(LN(Tabella34[[#This Row],[Day]]-pr)-phi_r)/psi_r</f>
        <v>102.49567313501052</v>
      </c>
      <c r="AQ107" s="244">
        <f>EXP(phi_r+psi_r*Tabella34[[#This Row],[x_r_alpha©+plus]])-(Tabella34[[#This Row],[Day]]-pr)</f>
        <v>-20.403095995845</v>
      </c>
      <c r="AR107" s="244">
        <f>EXP(phi_r+psi_r*Tabella34[[#This Row],[x_r_alpha©-minus]])-(Tabella34[[#This Row],[Day]]-pr)</f>
        <v>-20.869444528876237</v>
      </c>
      <c r="AS107" s="244">
        <f>-psi_r+SQRT(psi_r^2-2*Tabella34[[#This Row],[c_r]])</f>
        <v>3.8367558068290695</v>
      </c>
      <c r="AT107" s="244">
        <f>-psi_r-SQRT(psi_r^2-2*Tabella34[[#This Row],[c_r]])</f>
        <v>-3.8770438164954077</v>
      </c>
      <c r="AU107" s="244">
        <f>phi_r-LN(alpha*Kr/(Tabella34[[#This Row],[sel. region velocity]]*psi_r*SQRTPI(2)))</f>
        <v>-7.4376351881347462</v>
      </c>
      <c r="AV107" s="244">
        <f>(ACOSH(SQRT(alpha*Kl*psi_l/(Tabella34[[#This Row],[sel. region velocity]]*(1+TANH(phi_l)))))+phi_l)/psi_l-(Tabella34[[#This Row],[Day]]-pl)</f>
        <v>86.530733898070011</v>
      </c>
      <c r="AW107" s="72">
        <f>-2*$BY$22*TANH($BY$22*(Tabella34[[#This Row],[Day]]-$BY$31)-$BY$21)*Tabella34[[#This Row],[sel. region velocity]]</f>
        <v>2.2769542092051895</v>
      </c>
      <c r="AX107" s="77">
        <f>Tabella34[[#This Row],[sel. region acc. fit]]/y_l_peak</f>
        <v>1.5464783015688955E-2</v>
      </c>
      <c r="AY107" s="143">
        <f>Tabella34[[#This Row],[sel. region acc. fit]]*NOT(ISBLANK(Tabella34[[#This Row],[selected region rate data]]))</f>
        <v>2.2769542092051895</v>
      </c>
      <c r="AZ107" s="77">
        <f>Tabella34[[#This Row],[sel. region acc. fit]]+CIl</f>
        <v>71.641940584305587</v>
      </c>
      <c r="BA107" s="77">
        <f>MAX(Tabella34[[#This Row],[sel. region acc. fit]]-CIl,0)</f>
        <v>0</v>
      </c>
      <c r="BB107" s="10">
        <f>Tabella8[[#This Row],[rest of Italy ]]</f>
        <v>44982</v>
      </c>
      <c r="BC107" s="10">
        <f>(Tabella34[[#This Row],[rest of Italy cum. Data]]-BB106)</f>
        <v>2483</v>
      </c>
      <c r="BD107" s="10">
        <f>Tabella34[[#This Row],[rest of Italy rate data]]-BC106</f>
        <v>-42</v>
      </c>
      <c r="BE107" s="77">
        <f>Tabella34[[#This Row],[rest of Italy rate data]]*NOT(ISBLANK(Tabella34[[#This Row],[rest of Italy rate data]]))</f>
        <v>2483</v>
      </c>
      <c r="BF107" s="77">
        <f>Tabella8[[#This Row],[rest of Italy fit]]</f>
        <v>43116.169016821528</v>
      </c>
      <c r="BG107" s="78">
        <f>(ATANH(alpha*Tabella34[[#This Row],[rest of Italy cumul. fit]]/Ka-(1-alpha*Tabella34[[#This Row],[rest of Italy cumul. fit]]/Ka)*TANH(phi_a))+phi_a)/psi_a-(Tabella34[[#This Row],[Day]]-pa)</f>
        <v>16.409760747337508</v>
      </c>
      <c r="BH107" s="77">
        <f>Tabella34[[#This Row],[rest of Italy cumul. fit]]/Ka</f>
        <v>0.19435344823114839</v>
      </c>
      <c r="BI107" s="143">
        <f>Tabella3[[#This Row],[rest of Italy fit]]</f>
        <v>2207.1469252341526</v>
      </c>
      <c r="BJ107" s="183">
        <f>Tabella34[[#This Row],[rest of Italy velocity]]/Tabella34[[#This Row],[rest of Italy cumul. fit]]</f>
        <v>5.1190701204762573E-2</v>
      </c>
      <c r="BK107" s="236">
        <f>(LN(Tabella34[[#This Row],[Day]]-po)-phi_o)/psi_o</f>
        <v>80.713956670564045</v>
      </c>
      <c r="BL107" s="244">
        <f>EXP(phi_o+psi_o*Tabella34[[#This Row],[x_o_alpha©+plus]])-(Tabella34[[#This Row],[Day]]-po)</f>
        <v>-27.673914533741247</v>
      </c>
      <c r="BM107" s="244">
        <f>EXP(phi_o+psi_o*Tabella34[[#This Row],[x_o_alpha©-minus]])-(Tabella34[[#This Row],[Day]]-po)</f>
        <v>-28.432248503788109</v>
      </c>
      <c r="BN107" s="244">
        <f>-psi_o+SQRT(psi_o^2-2*Tabella34[[#This Row],[c_o]])</f>
        <v>3.6210442798128564</v>
      </c>
      <c r="BO107" s="244">
        <f>-psi_o-SQRT(psi_o^2-2*Tabella34[[#This Row],[c_o]])</f>
        <v>-3.6723575640805097</v>
      </c>
      <c r="BP107" s="244">
        <f>phi_o-LN(alpha*Ko/(Tabella34[[#This Row],[rest of Italy velocity]]*psi_o*SQRTPI(2)))</f>
        <v>-6.6488846754206019</v>
      </c>
      <c r="BQ107" s="244">
        <f>(ACOSH(SQRT(alpha*Ka*psi_a/(Tabella34[[#This Row],[rest of Italy velocity]]*(1+TANH(phi_a)))))+phi_a)/psi_a-(Tabella34[[#This Row],[Day]]-pa)</f>
        <v>64.843245233101584</v>
      </c>
      <c r="BR107" s="72">
        <f>-2*$BY$35*TANH($BY$35*(Tabella34[[#This Row],[Day]]-$BY$44)-$BY$34)*Tabella34[[#This Row],[rest of Italy velocity]]</f>
        <v>58.742966007165698</v>
      </c>
      <c r="BS107" s="77">
        <f>Tabella34[[#This Row],[rest of Italy acc. fit]]/y_a_peak</f>
        <v>1.9454866671154675E-2</v>
      </c>
      <c r="BT107" s="77">
        <f>Tabella34[[#This Row],[rest of Italy acc. fit]]*NOT(ISBLANK(Tabella34[[#This Row],[rest of Italy rate data]]))</f>
        <v>58.742966007165698</v>
      </c>
      <c r="BU107" s="77">
        <f>Tabella34[[#This Row],[rest of Italy acc. fit]]+CIa</f>
        <v>1692.8769059609672</v>
      </c>
      <c r="BV107" s="77">
        <f>MAX(Tabella34[[#This Row],[rest of Italy acc. fit]]-CIa,0)</f>
        <v>0</v>
      </c>
    </row>
    <row r="108" spans="2:74" x14ac:dyDescent="0.3">
      <c r="B108" s="262">
        <v>43931</v>
      </c>
      <c r="C108" s="4">
        <v>101</v>
      </c>
      <c r="D108" s="10">
        <f>Tabella8[[#This Row],[Italy cumulative]]</f>
        <v>49304</v>
      </c>
      <c r="E108" s="72">
        <f>(Tabella34[[#This Row],[Italy cumul. data]]-D107)</f>
        <v>2555</v>
      </c>
      <c r="F108" s="72">
        <f>Tabella34[[#This Row],[Italy rate data]]-E107</f>
        <v>-34</v>
      </c>
      <c r="G108" s="77">
        <f>Tabella34[[#This Row],[Italy rate data]]*NOT(ISBLANK(Tabella34[[#This Row],[Italy rate data]]))</f>
        <v>2555</v>
      </c>
      <c r="H108" s="143">
        <f>Tabella8[[#This Row],[Italy fit]]</f>
        <v>47321.739504998819</v>
      </c>
      <c r="I108" s="143">
        <f>(ATANH(alpha*Tabella34[[#This Row],[Italy cumul. Fit]]/Kf-(1-alpha*Tabella34[[#This Row],[Italy cumul. Fit]]/Kf)*TANH(phi_f))+phi_f)/psi_f-(Tabella34[[#This Row],[Day]]-pf)</f>
        <v>16.916641527401346</v>
      </c>
      <c r="J108" s="143">
        <f>Tabella34[[#This Row],[Italy d.t.]]/Italy_dt_at_lockdown</f>
        <v>7.4530830512295498</v>
      </c>
      <c r="K108" s="77">
        <f>Tabella34[[#This Row],[Italy cumul. Fit]]/Kf</f>
        <v>0.2013691029703005</v>
      </c>
      <c r="L108" s="146">
        <f>Tabella34[[#This Row],[sel. region acc. fit]]+Tabella34[[#This Row],[rest of Italy acc. fit]]</f>
        <v>60.356888336885383</v>
      </c>
      <c r="M108" s="77">
        <f>Tabella34[[#This Row],[Italy (fit of selected region + fitted sum of the other regions)]]/(y_l_peak+y_a_peak)</f>
        <v>1.9059970508712661E-2</v>
      </c>
      <c r="N108" s="143">
        <f>Tabella3[[#This Row],[Italy remov. rate fit]]</f>
        <v>2367.0960632189121</v>
      </c>
      <c r="O108" s="143">
        <f>Kt*EXP(-0.5*Tabella34[[#This Row],[x_t]]^2)/(psi_t*SQRTPI(2)*(Tabella34[[#This Row],[Day]]-D_bk))</f>
        <v>0</v>
      </c>
      <c r="P108" s="183">
        <f>Tabella34[[#This Row],[Italy velocity]]/Tabella34[[#This Row],[Italy cumul. Fit]]</f>
        <v>5.0021323983004989E-2</v>
      </c>
      <c r="Q108" s="244">
        <f>(LN(Tabella34[[#This Row],[Day]]-D_bk)-phi_t)/psi_t</f>
        <v>83.541691616485622</v>
      </c>
      <c r="R108" s="244">
        <f>EXP(phi_t+psi_t*Tabella34[[#This Row],[x_t_alpha©+plus]])-(Tabella34[[#This Row],[Day]]-D_bk)</f>
        <v>-28.199329439647009</v>
      </c>
      <c r="S108" s="244">
        <f>EXP(phi_t+psi_t*Tabella34[[#This Row],[x_t_alpha©-minus]])-(Tabella34[[#This Row],[Day]]-D_bk)</f>
        <v>-28.927726441160008</v>
      </c>
      <c r="T108" s="244">
        <f>-psi_t+SQRT(psi_t^2-2*Tabella34[[#This Row],[c_t]])</f>
        <v>3.6297025749453899</v>
      </c>
      <c r="U108" s="244">
        <f>-psi_t-SQRT(psi_t^2-2*Tabella34[[#This Row],[c_t]])</f>
        <v>-3.680221249642762</v>
      </c>
      <c r="V108" s="244">
        <f>phi_t-LN(alpha*Kt/(Tabella34[[#This Row],[Italy velocity]]*psi_t*SQRTPI(2)))</f>
        <v>-6.6790542730985365</v>
      </c>
      <c r="W108" s="244">
        <f>Tabella34[[#This Row],[Italy g.r.]]/Italy_gr_at_lockdown</f>
        <v>0.1193138809142246</v>
      </c>
      <c r="X108" s="244">
        <f>(ACOSH(SQRT(alpha*Kf*psi_f/(Tabella34[[#This Row],[Italy velocity]]*(1+TANH(phi_f)))))+phi_f)/psi_f-(Tabella34[[#This Row],[Day]]-pf)</f>
        <v>64.282487293819287</v>
      </c>
      <c r="Y108" s="244">
        <f>Tabella34[[#This Row],[Italy h.t.]]/Italy_ht_at_lockdown</f>
        <v>0.54129139624701605</v>
      </c>
      <c r="Z108" s="72">
        <f>-2*$BY$48*TANH($BY$48*(Tabella34[[#This Row],[Day]]-$BY$57)-$BY$47)*Tabella34[[#This Row],[Italy velocity]]</f>
        <v>59.872457316569943</v>
      </c>
      <c r="AA108" s="72">
        <f>Tabella34[[#This Row],[Italy acc. fit]]/Itali_acc_at_lockdown</f>
        <v>1.7106255811991917</v>
      </c>
      <c r="AB108" s="77">
        <f>Tabella34[[#This Row],[Italy acc. fit]]/y_f_peak</f>
        <v>1.8953041798369208E-2</v>
      </c>
      <c r="AC108" s="143">
        <f>Tabella34[[#This Row],[Italy (fit of selected region + fitted sum of the other regions)]]*NOT(ISBLANK(Tabella34[[#This Row],[Italy rate data]]))</f>
        <v>60.356888336885383</v>
      </c>
      <c r="AD108" s="143">
        <f>Tabella34[[#This Row],[Italy acc. fit]]*NOT(ISBLANK(Tabella34[[#This Row],[Italy rate data]]))</f>
        <v>59.872457316569943</v>
      </c>
      <c r="AE108" s="77">
        <f>Tabella34[[#This Row],[Italy acc. fit]]+CIf</f>
        <v>1715.0824262403214</v>
      </c>
      <c r="AF108" s="77">
        <f>MAX(Tabella34[[#This Row],[Italy acc. fit]]-CIf,0)</f>
        <v>0</v>
      </c>
      <c r="AG108" s="4">
        <f>Tabella8[[#This Row],[region data]]</f>
        <v>1890</v>
      </c>
      <c r="AH108" s="72">
        <f>(Tabella34[[#This Row],[selected region cumul. data]]-AG107)</f>
        <v>123</v>
      </c>
      <c r="AI108" s="72">
        <f>Tabella34[[#This Row],[selected region rate data]]-AH107</f>
        <v>17</v>
      </c>
      <c r="AJ108" s="77">
        <f>Tabella34[[#This Row],[selected region rate data]]*NOT(ISBLANK(Tabella34[[#This Row],[selected region rate data]]))</f>
        <v>123</v>
      </c>
      <c r="AK108" s="77">
        <f>Tabella8[[#This Row],[region fit]]</f>
        <v>1911.0441008093981</v>
      </c>
      <c r="AL108" s="143">
        <f>(ATANH(alpha*Tabella34[[#This Row],[sel. region cumul. fit]]/Kl-(1-alpha*Tabella34[[#This Row],[sel. region cumul. fit]]/Kl)*TANH(phi_l))+phi_l)/psi_l-(Tabella34[[#This Row],[Day]]-pl)</f>
        <v>15.764381302229772</v>
      </c>
      <c r="AM108" s="77">
        <f>Tabella34[[#This Row],[sel. region cumul. fit]]/Kl</f>
        <v>0.14526153893742685</v>
      </c>
      <c r="AN108" s="143">
        <f>Tabella3[[#This Row],[region fit]]</f>
        <v>104.54428285718801</v>
      </c>
      <c r="AO108" s="186">
        <f>Tabella34[[#This Row],[sel. region velocity]]/Tabella34[[#This Row],[sel. region cumul. fit]]</f>
        <v>5.470532198231827E-2</v>
      </c>
      <c r="AP108" s="241">
        <f>(LN(Tabella34[[#This Row],[Day]]-pr)-phi_r)/psi_r</f>
        <v>104.55211174106203</v>
      </c>
      <c r="AQ108" s="244">
        <f>EXP(phi_r+psi_r*Tabella34[[#This Row],[x_r_alpha©+plus]])-(Tabella34[[#This Row],[Day]]-pr)</f>
        <v>-21.403468242073956</v>
      </c>
      <c r="AR108" s="244">
        <f>EXP(phi_r+psi_r*Tabella34[[#This Row],[x_r_alpha©-minus]])-(Tabella34[[#This Row],[Day]]-pr)</f>
        <v>-21.869125818236171</v>
      </c>
      <c r="AS108" s="244">
        <f>-psi_r+SQRT(psi_r^2-2*Tabella34[[#This Row],[c_r]])</f>
        <v>3.8310527459929982</v>
      </c>
      <c r="AT108" s="244">
        <f>-psi_r-SQRT(psi_r^2-2*Tabella34[[#This Row],[c_r]])</f>
        <v>-3.8713407556593364</v>
      </c>
      <c r="AU108" s="244">
        <f>phi_r-LN(alpha*Kr/(Tabella34[[#This Row],[sel. region velocity]]*psi_r*SQRTPI(2)))</f>
        <v>-7.4156553163216552</v>
      </c>
      <c r="AV108" s="244">
        <f>(ACOSH(SQRT(alpha*Kl*psi_l/(Tabella34[[#This Row],[sel. region velocity]]*(1+TANH(phi_l)))))+phi_l)/psi_l-(Tabella34[[#This Row],[Day]]-pl)</f>
        <v>84.853435688189123</v>
      </c>
      <c r="AW108" s="72">
        <f>-2*$BY$22*TANH($BY$22*(Tabella34[[#This Row],[Day]]-$BY$31)-$BY$21)*Tabella34[[#This Row],[sel. region velocity]]</f>
        <v>2.2679661437000584</v>
      </c>
      <c r="AX108" s="77">
        <f>Tabella34[[#This Row],[sel. region acc. fit]]/y_l_peak</f>
        <v>1.5403737219420538E-2</v>
      </c>
      <c r="AY108" s="143">
        <f>Tabella34[[#This Row],[sel. region acc. fit]]*NOT(ISBLANK(Tabella34[[#This Row],[selected region rate data]]))</f>
        <v>2.2679661437000584</v>
      </c>
      <c r="AZ108" s="77">
        <f>Tabella34[[#This Row],[sel. region acc. fit]]+CIl</f>
        <v>71.632952518800465</v>
      </c>
      <c r="BA108" s="77">
        <f>MAX(Tabella34[[#This Row],[sel. region acc. fit]]-CIl,0)</f>
        <v>0</v>
      </c>
      <c r="BB108" s="10">
        <f>Tabella8[[#This Row],[rest of Italy ]]</f>
        <v>47414</v>
      </c>
      <c r="BC108" s="10">
        <f>(Tabella34[[#This Row],[rest of Italy cum. Data]]-BB107)</f>
        <v>2432</v>
      </c>
      <c r="BD108" s="10">
        <f>Tabella34[[#This Row],[rest of Italy rate data]]-BC107</f>
        <v>-51</v>
      </c>
      <c r="BE108" s="77">
        <f>Tabella34[[#This Row],[rest of Italy rate data]]*NOT(ISBLANK(Tabella34[[#This Row],[rest of Italy rate data]]))</f>
        <v>2432</v>
      </c>
      <c r="BF108" s="77">
        <f>Tabella8[[#This Row],[rest of Italy fit]]</f>
        <v>45352.586242345984</v>
      </c>
      <c r="BG108" s="78">
        <f>(ATANH(alpha*Tabella34[[#This Row],[rest of Italy cumul. fit]]/Ka-(1-alpha*Tabella34[[#This Row],[rest of Italy cumul. fit]]/Ka)*TANH(phi_a))+phi_a)/psi_a-(Tabella34[[#This Row],[Day]]-pa)</f>
        <v>16.918101663399256</v>
      </c>
      <c r="BH108" s="77">
        <f>Tabella34[[#This Row],[rest of Italy cumul. fit]]/Ka</f>
        <v>0.20443447837310366</v>
      </c>
      <c r="BI108" s="143">
        <f>Tabella3[[#This Row],[rest of Italy fit]]</f>
        <v>2265.5785374743177</v>
      </c>
      <c r="BJ108" s="183">
        <f>Tabella34[[#This Row],[rest of Italy velocity]]/Tabella34[[#This Row],[rest of Italy cumul. fit]]</f>
        <v>4.9954781528179608E-2</v>
      </c>
      <c r="BK108" s="236">
        <f>(LN(Tabella34[[#This Row],[Day]]-po)-phi_o)/psi_o</f>
        <v>81.909000769111557</v>
      </c>
      <c r="BL108" s="244">
        <f>EXP(phi_o+psi_o*Tabella34[[#This Row],[x_o_alpha©+plus]])-(Tabella34[[#This Row],[Day]]-po)</f>
        <v>-28.674732147047028</v>
      </c>
      <c r="BM108" s="244">
        <f>EXP(phi_o+psi_o*Tabella34[[#This Row],[x_o_alpha©-minus]])-(Tabella34[[#This Row],[Day]]-po)</f>
        <v>-29.431570298986777</v>
      </c>
      <c r="BN108" s="244">
        <f>-psi_o+SQRT(psi_o^2-2*Tabella34[[#This Row],[c_o]])</f>
        <v>3.6138719958206043</v>
      </c>
      <c r="BO108" s="244">
        <f>-psi_o-SQRT(psi_o^2-2*Tabella34[[#This Row],[c_o]])</f>
        <v>-3.6651852800882576</v>
      </c>
      <c r="BP108" s="244">
        <f>phi_o-LN(alpha*Ko/(Tabella34[[#This Row],[rest of Italy velocity]]*psi_o*SQRTPI(2)))</f>
        <v>-6.6227552216024268</v>
      </c>
      <c r="BQ108" s="244">
        <f>(ACOSH(SQRT(alpha*Ka*psi_a/(Tabella34[[#This Row],[rest of Italy velocity]]*(1+TANH(phi_a)))))+phi_a)/psi_a-(Tabella34[[#This Row],[Day]]-pa)</f>
        <v>63.201535382791732</v>
      </c>
      <c r="BR108" s="72">
        <f>-2*$BY$35*TANH($BY$35*(Tabella34[[#This Row],[Day]]-$BY$44)-$BY$34)*Tabella34[[#This Row],[rest of Italy velocity]]</f>
        <v>58.088922193185326</v>
      </c>
      <c r="BS108" s="77">
        <f>Tabella34[[#This Row],[rest of Italy acc. fit]]/y_a_peak</f>
        <v>1.923825630802576E-2</v>
      </c>
      <c r="BT108" s="77">
        <f>Tabella34[[#This Row],[rest of Italy acc. fit]]*NOT(ISBLANK(Tabella34[[#This Row],[rest of Italy rate data]]))</f>
        <v>58.088922193185326</v>
      </c>
      <c r="BU108" s="77">
        <f>Tabella34[[#This Row],[rest of Italy acc. fit]]+CIa</f>
        <v>1692.2228621469867</v>
      </c>
      <c r="BV108" s="77">
        <f>MAX(Tabella34[[#This Row],[rest of Italy acc. fit]]-CIa,0)</f>
        <v>0</v>
      </c>
    </row>
    <row r="109" spans="2:74" x14ac:dyDescent="0.3">
      <c r="B109" s="262">
        <v>43932</v>
      </c>
      <c r="C109" s="4">
        <v>102</v>
      </c>
      <c r="D109" s="10">
        <f>Tabella8[[#This Row],[Italy cumulative]]</f>
        <v>52002</v>
      </c>
      <c r="E109" s="72">
        <f>(Tabella34[[#This Row],[Italy cumul. data]]-D108)</f>
        <v>2698</v>
      </c>
      <c r="F109" s="72">
        <f>Tabella34[[#This Row],[Italy rate data]]-E108</f>
        <v>143</v>
      </c>
      <c r="G109" s="77">
        <f>Tabella34[[#This Row],[Italy rate data]]*NOT(ISBLANK(Tabella34[[#This Row],[Italy rate data]]))</f>
        <v>2698</v>
      </c>
      <c r="H109" s="143">
        <f>Tabella8[[#This Row],[Italy fit]]</f>
        <v>49718.638968802377</v>
      </c>
      <c r="I109" s="143">
        <f>(ATANH(alpha*Tabella34[[#This Row],[Italy cumul. Fit]]/Kf-(1-alpha*Tabella34[[#This Row],[Italy cumul. Fit]]/Kf)*TANH(phi_f))+phi_f)/psi_f-(Tabella34[[#This Row],[Day]]-pf)</f>
        <v>17.450662573630403</v>
      </c>
      <c r="J109" s="143">
        <f>Tabella34[[#This Row],[Italy d.t.]]/Italy_dt_at_lockdown</f>
        <v>7.6883604378315384</v>
      </c>
      <c r="K109" s="77">
        <f>Tabella34[[#This Row],[Italy cumul. Fit]]/Kf</f>
        <v>0.21156867509053356</v>
      </c>
      <c r="L109" s="146">
        <f>Tabella34[[#This Row],[sel. region acc. fit]]+Tabella34[[#This Row],[rest of Italy acc. fit]]</f>
        <v>59.49843813390828</v>
      </c>
      <c r="M109" s="77">
        <f>Tabella34[[#This Row],[Italy (fit of selected region + fitted sum of the other regions)]]/(y_l_peak+y_a_peak)</f>
        <v>1.8788882386001359E-2</v>
      </c>
      <c r="N109" s="143">
        <f>Tabella3[[#This Row],[Italy remov. rate fit]]</f>
        <v>2426.5619897607298</v>
      </c>
      <c r="O109" s="143">
        <f>Kt*EXP(-0.5*Tabella34[[#This Row],[x_t]]^2)/(psi_t*SQRTPI(2)*(Tabella34[[#This Row],[Day]]-D_bk))</f>
        <v>0</v>
      </c>
      <c r="P109" s="183">
        <f>Tabella34[[#This Row],[Italy velocity]]/Tabella34[[#This Row],[Italy cumul. Fit]]</f>
        <v>4.8805881256792999E-2</v>
      </c>
      <c r="Q109" s="244">
        <f>(LN(Tabella34[[#This Row],[Day]]-D_bk)-phi_t)/psi_t</f>
        <v>84.740747339974661</v>
      </c>
      <c r="R109" s="244">
        <f>EXP(phi_t+psi_t*Tabella34[[#This Row],[x_t_alpha©+plus]])-(Tabella34[[#This Row],[Day]]-D_bk)</f>
        <v>-29.200070870402485</v>
      </c>
      <c r="S109" s="244">
        <f>EXP(phi_t+psi_t*Tabella34[[#This Row],[x_t_alpha©-minus]])-(Tabella34[[#This Row],[Day]]-D_bk)</f>
        <v>-29.927109909563818</v>
      </c>
      <c r="T109" s="244">
        <f>-psi_t+SQRT(psi_t^2-2*Tabella34[[#This Row],[c_t]])</f>
        <v>3.6229078100617529</v>
      </c>
      <c r="U109" s="244">
        <f>-psi_t-SQRT(psi_t^2-2*Tabella34[[#This Row],[c_t]])</f>
        <v>-3.6734264847591249</v>
      </c>
      <c r="V109" s="244">
        <f>phi_t-LN(alpha*Kt/(Tabella34[[#This Row],[Italy velocity]]*psi_t*SQRTPI(2)))</f>
        <v>-6.654242750660762</v>
      </c>
      <c r="W109" s="244">
        <f>Tabella34[[#This Row],[Italy g.r.]]/Italy_gr_at_lockdown</f>
        <v>0.11641473356773314</v>
      </c>
      <c r="X109" s="244">
        <f>(ACOSH(SQRT(alpha*Kf*psi_f/(Tabella34[[#This Row],[Italy velocity]]*(1+TANH(phi_f)))))+phi_f)/psi_f-(Tabella34[[#This Row],[Day]]-pf)</f>
        <v>62.659068133871898</v>
      </c>
      <c r="Y109" s="244">
        <f>Tabella34[[#This Row],[Italy h.t.]]/Italy_ht_at_lockdown</f>
        <v>0.52762137722977476</v>
      </c>
      <c r="Z109" s="72">
        <f>-2*$BY$48*TANH($BY$48*(Tabella34[[#This Row],[Day]]-$BY$57)-$BY$47)*Tabella34[[#This Row],[Italy velocity]]</f>
        <v>59.02711258543075</v>
      </c>
      <c r="AA109" s="72">
        <f>Tabella34[[#This Row],[Italy acc. fit]]/Itali_acc_at_lockdown</f>
        <v>1.6864731012972443</v>
      </c>
      <c r="AB109" s="77">
        <f>Tabella34[[#This Row],[Italy acc. fit]]/y_f_peak</f>
        <v>1.8685442058164824E-2</v>
      </c>
      <c r="AC109" s="143">
        <f>Tabella34[[#This Row],[Italy (fit of selected region + fitted sum of the other regions)]]*NOT(ISBLANK(Tabella34[[#This Row],[Italy rate data]]))</f>
        <v>59.49843813390828</v>
      </c>
      <c r="AD109" s="143">
        <f>Tabella34[[#This Row],[Italy acc. fit]]*NOT(ISBLANK(Tabella34[[#This Row],[Italy rate data]]))</f>
        <v>59.02711258543075</v>
      </c>
      <c r="AE109" s="77">
        <f>Tabella34[[#This Row],[Italy acc. fit]]+CIf</f>
        <v>1714.2370815091822</v>
      </c>
      <c r="AF109" s="77">
        <f>MAX(Tabella34[[#This Row],[Italy acc. fit]]-CIf,0)</f>
        <v>0</v>
      </c>
      <c r="AG109" s="4">
        <f>Tabella8[[#This Row],[region data]]</f>
        <v>2043</v>
      </c>
      <c r="AH109" s="72">
        <f>(Tabella34[[#This Row],[selected region cumul. data]]-AG108)</f>
        <v>153</v>
      </c>
      <c r="AI109" s="72">
        <f>Tabella34[[#This Row],[selected region rate data]]-AH108</f>
        <v>30</v>
      </c>
      <c r="AJ109" s="77">
        <f>Tabella34[[#This Row],[selected region rate data]]*NOT(ISBLANK(Tabella34[[#This Row],[selected region rate data]]))</f>
        <v>153</v>
      </c>
      <c r="AK109" s="77">
        <f>Tabella8[[#This Row],[region fit]]</f>
        <v>2016.7203516848165</v>
      </c>
      <c r="AL109" s="143">
        <f>(ATANH(alpha*Tabella34[[#This Row],[sel. region cumul. fit]]/Kl-(1-alpha*Tabella34[[#This Row],[sel. region cumul. fit]]/Kl)*TANH(phi_l))+phi_l)/psi_l-(Tabella34[[#This Row],[Day]]-pl)</f>
        <v>16.306287347964904</v>
      </c>
      <c r="AM109" s="77">
        <f>Tabella34[[#This Row],[sel. region cumul. fit]]/Kl</f>
        <v>0.15329416090821199</v>
      </c>
      <c r="AN109" s="143">
        <f>Tabella3[[#This Row],[region fit]]</f>
        <v>106.80602803943566</v>
      </c>
      <c r="AO109" s="186">
        <f>Tabella34[[#This Row],[sel. region velocity]]/Tabella34[[#This Row],[sel. region cumul. fit]]</f>
        <v>5.296025695888245E-2</v>
      </c>
      <c r="AP109" s="241">
        <f>(LN(Tabella34[[#This Row],[Day]]-pr)-phi_r)/psi_r</f>
        <v>106.52674030543861</v>
      </c>
      <c r="AQ109" s="244">
        <f>EXP(phi_r+psi_r*Tabella34[[#This Row],[x_r_alpha©+plus]])-(Tabella34[[#This Row],[Day]]-pr)</f>
        <v>-22.403831218469755</v>
      </c>
      <c r="AR109" s="244">
        <f>EXP(phi_r+psi_r*Tabella34[[#This Row],[x_r_alpha©-minus]])-(Tabella34[[#This Row],[Day]]-pr)</f>
        <v>-22.868814973735521</v>
      </c>
      <c r="AS109" s="244">
        <f>-psi_r+SQRT(psi_r^2-2*Tabella34[[#This Row],[c_r]])</f>
        <v>3.8254910742090562</v>
      </c>
      <c r="AT109" s="244">
        <f>-psi_r-SQRT(psi_r^2-2*Tabella34[[#This Row],[c_r]])</f>
        <v>-3.8657790838753945</v>
      </c>
      <c r="AU109" s="244">
        <f>phi_r-LN(alpha*Kr/(Tabella34[[#This Row],[sel. region velocity]]*psi_r*SQRTPI(2)))</f>
        <v>-7.3942516901146922</v>
      </c>
      <c r="AV109" s="244">
        <f>(ACOSH(SQRT(alpha*Kl*psi_l/(Tabella34[[#This Row],[sel. region velocity]]*(1+TANH(phi_l)))))+phi_l)/psi_l-(Tabella34[[#This Row],[Day]]-pl)</f>
        <v>83.189945534364867</v>
      </c>
      <c r="AW109" s="72">
        <f>-2*$BY$22*TANH($BY$22*(Tabella34[[#This Row],[Day]]-$BY$31)-$BY$21)*Tabella34[[#This Row],[sel. region velocity]]</f>
        <v>2.2548186087393596</v>
      </c>
      <c r="AX109" s="77">
        <f>Tabella34[[#This Row],[sel. region acc. fit]]/y_l_peak</f>
        <v>1.5314440836324031E-2</v>
      </c>
      <c r="AY109" s="143">
        <f>Tabella34[[#This Row],[sel. region acc. fit]]*NOT(ISBLANK(Tabella34[[#This Row],[selected region rate data]]))</f>
        <v>2.2548186087393596</v>
      </c>
      <c r="AZ109" s="77">
        <f>Tabella34[[#This Row],[sel. region acc. fit]]+CIl</f>
        <v>71.619804983839757</v>
      </c>
      <c r="BA109" s="77">
        <f>MAX(Tabella34[[#This Row],[sel. region acc. fit]]-CIl,0)</f>
        <v>0</v>
      </c>
      <c r="BB109" s="10">
        <f>Tabella8[[#This Row],[rest of Italy ]]</f>
        <v>49959</v>
      </c>
      <c r="BC109" s="10">
        <f>(Tabella34[[#This Row],[rest of Italy cum. Data]]-BB108)</f>
        <v>2545</v>
      </c>
      <c r="BD109" s="10">
        <f>Tabella34[[#This Row],[rest of Italy rate data]]-BC108</f>
        <v>113</v>
      </c>
      <c r="BE109" s="77">
        <f>Tabella34[[#This Row],[rest of Italy rate data]]*NOT(ISBLANK(Tabella34[[#This Row],[rest of Italy rate data]]))</f>
        <v>2545</v>
      </c>
      <c r="BF109" s="77">
        <f>Tabella8[[#This Row],[rest of Italy fit]]</f>
        <v>47647.076447778127</v>
      </c>
      <c r="BG109" s="78">
        <f>(ATANH(alpha*Tabella34[[#This Row],[rest of Italy cumul. fit]]/Ka-(1-alpha*Tabella34[[#This Row],[rest of Italy cumul. fit]]/Ka)*TANH(phi_a))+phi_a)/psi_a-(Tabella34[[#This Row],[Day]]-pa)</f>
        <v>17.451897194356206</v>
      </c>
      <c r="BH109" s="77">
        <f>Tabella34[[#This Row],[rest of Italy cumul. fit]]/Ka</f>
        <v>0.21477728232640367</v>
      </c>
      <c r="BI109" s="143">
        <f>Tabella3[[#This Row],[rest of Italy fit]]</f>
        <v>2323.2610058753176</v>
      </c>
      <c r="BJ109" s="183">
        <f>Tabella34[[#This Row],[rest of Italy velocity]]/Tabella34[[#This Row],[rest of Italy cumul. fit]]</f>
        <v>4.8759780852905943E-2</v>
      </c>
      <c r="BK109" s="236">
        <f>(LN(Tabella34[[#This Row],[Day]]-po)-phi_o)/psi_o</f>
        <v>83.068491238219138</v>
      </c>
      <c r="BL109" s="244">
        <f>EXP(phi_o+psi_o*Tabella34[[#This Row],[x_o_alpha©+plus]])-(Tabella34[[#This Row],[Day]]-po)</f>
        <v>-29.675520232710689</v>
      </c>
      <c r="BM109" s="244">
        <f>EXP(phi_o+psi_o*Tabella34[[#This Row],[x_o_alpha©-minus]])-(Tabella34[[#This Row],[Day]]-po)</f>
        <v>-30.43091635086115</v>
      </c>
      <c r="BN109" s="244">
        <f>-psi_o+SQRT(psi_o^2-2*Tabella34[[#This Row],[c_o]])</f>
        <v>3.6069574853998696</v>
      </c>
      <c r="BO109" s="244">
        <f>-psi_o-SQRT(psi_o^2-2*Tabella34[[#This Row],[c_o]])</f>
        <v>-3.658270769667523</v>
      </c>
      <c r="BP109" s="244">
        <f>phi_o-LN(alpha*Ko/(Tabella34[[#This Row],[rest of Italy velocity]]*psi_o*SQRTPI(2)))</f>
        <v>-6.5976135681359072</v>
      </c>
      <c r="BQ109" s="244">
        <f>(ACOSH(SQRT(alpha*Ka*psi_a/(Tabella34[[#This Row],[rest of Italy velocity]]*(1+TANH(phi_a)))))+phi_a)/psi_a-(Tabella34[[#This Row],[Day]]-pa)</f>
        <v>61.579316115727224</v>
      </c>
      <c r="BR109" s="72">
        <f>-2*$BY$35*TANH($BY$35*(Tabella34[[#This Row],[Day]]-$BY$44)-$BY$34)*Tabella34[[#This Row],[rest of Italy velocity]]</f>
        <v>57.243619525168924</v>
      </c>
      <c r="BS109" s="77">
        <f>Tabella34[[#This Row],[rest of Italy acc. fit]]/y_a_peak</f>
        <v>1.8958303629078216E-2</v>
      </c>
      <c r="BT109" s="77">
        <f>Tabella34[[#This Row],[rest of Italy acc. fit]]*NOT(ISBLANK(Tabella34[[#This Row],[rest of Italy rate data]]))</f>
        <v>57.243619525168924</v>
      </c>
      <c r="BU109" s="77">
        <f>Tabella34[[#This Row],[rest of Italy acc. fit]]+CIa</f>
        <v>1691.3775594789704</v>
      </c>
      <c r="BV109" s="77">
        <f>MAX(Tabella34[[#This Row],[rest of Italy acc. fit]]-CIa,0)</f>
        <v>0</v>
      </c>
    </row>
    <row r="110" spans="2:74" x14ac:dyDescent="0.3">
      <c r="B110" s="262">
        <v>43933</v>
      </c>
      <c r="C110" s="4">
        <v>103</v>
      </c>
      <c r="D110" s="10">
        <f>Tabella8[[#This Row],[Italy cumulative]]</f>
        <v>54110</v>
      </c>
      <c r="E110" s="72">
        <f>(Tabella34[[#This Row],[Italy cumul. data]]-D109)</f>
        <v>2108</v>
      </c>
      <c r="F110" s="72">
        <f>Tabella34[[#This Row],[Italy rate data]]-E109</f>
        <v>-590</v>
      </c>
      <c r="G110" s="77">
        <f>Tabella34[[#This Row],[Italy rate data]]*NOT(ISBLANK(Tabella34[[#This Row],[Italy rate data]]))</f>
        <v>2108</v>
      </c>
      <c r="H110" s="143">
        <f>Tabella8[[#This Row],[Italy fit]]</f>
        <v>52174.549172553001</v>
      </c>
      <c r="I110" s="143">
        <f>(ATANH(alpha*Tabella34[[#This Row],[Italy cumul. Fit]]/Kf-(1-alpha*Tabella34[[#This Row],[Italy cumul. Fit]]/Kf)*TANH(phi_f))+phi_f)/psi_f-(Tabella34[[#This Row],[Day]]-pf)</f>
        <v>18.012198573512606</v>
      </c>
      <c r="J110" s="143">
        <f>Tabella34[[#This Row],[Italy d.t.]]/Italy_dt_at_lockdown</f>
        <v>7.935760279969128</v>
      </c>
      <c r="K110" s="77">
        <f>Tabella34[[#This Row],[Italy cumul. Fit]]/Kf</f>
        <v>0.22201935674082729</v>
      </c>
      <c r="L110" s="146">
        <f>Tabella34[[#This Row],[sel. region acc. fit]]+Tabella34[[#This Row],[rest of Italy acc. fit]]</f>
        <v>58.438582265571043</v>
      </c>
      <c r="M110" s="77">
        <f>Tabella34[[#This Row],[Italy (fit of selected region + fitted sum of the other regions)]]/(y_l_peak+y_a_peak)</f>
        <v>1.8454192806226441E-2</v>
      </c>
      <c r="N110" s="143">
        <f>Tabella3[[#This Row],[Italy remov. rate fit]]</f>
        <v>2485.0848037176847</v>
      </c>
      <c r="O110" s="143">
        <f>Kt*EXP(-0.5*Tabella34[[#This Row],[x_t]]^2)/(psi_t*SQRTPI(2)*(Tabella34[[#This Row],[Day]]-D_bk))</f>
        <v>0</v>
      </c>
      <c r="P110" s="183">
        <f>Tabella34[[#This Row],[Italy velocity]]/Tabella34[[#This Row],[Italy cumul. Fit]]</f>
        <v>4.7630211341145444E-2</v>
      </c>
      <c r="Q110" s="244">
        <f>(LN(Tabella34[[#This Row],[Day]]-D_bk)-phi_t)/psi_t</f>
        <v>85.904551888856815</v>
      </c>
      <c r="R110" s="244">
        <f>EXP(phi_t+psi_t*Tabella34[[#This Row],[x_t_alpha©+plus]])-(Tabella34[[#This Row],[Day]]-D_bk)</f>
        <v>-30.200784193476366</v>
      </c>
      <c r="S110" s="244">
        <f>EXP(phi_t+psi_t*Tabella34[[#This Row],[x_t_alpha©-minus]])-(Tabella34[[#This Row],[Day]]-D_bk)</f>
        <v>-30.926516550915157</v>
      </c>
      <c r="T110" s="244">
        <f>-psi_t+SQRT(psi_t^2-2*Tabella34[[#This Row],[c_t]])</f>
        <v>3.6163695341960378</v>
      </c>
      <c r="U110" s="244">
        <f>-psi_t-SQRT(psi_t^2-2*Tabella34[[#This Row],[c_t]])</f>
        <v>-3.6668882088934098</v>
      </c>
      <c r="V110" s="244">
        <f>phi_t-LN(alpha*Kt/(Tabella34[[#This Row],[Italy velocity]]*psi_t*SQRTPI(2)))</f>
        <v>-6.6304114019724025</v>
      </c>
      <c r="W110" s="244">
        <f>Tabella34[[#This Row],[Italy g.r.]]/Italy_gr_at_lockdown</f>
        <v>0.11361045472941876</v>
      </c>
      <c r="X110" s="244">
        <f>(ACOSH(SQRT(alpha*Kf*psi_f/(Tabella34[[#This Row],[Italy velocity]]*(1+TANH(phi_f)))))+phi_f)/psi_f-(Tabella34[[#This Row],[Day]]-pf)</f>
        <v>61.055720705873838</v>
      </c>
      <c r="Y110" s="244">
        <f>Tabella34[[#This Row],[Italy h.t.]]/Italy_ht_at_lockdown</f>
        <v>0.51412037245372622</v>
      </c>
      <c r="Z110" s="72">
        <f>-2*$BY$48*TANH($BY$48*(Tabella34[[#This Row],[Day]]-$BY$57)-$BY$47)*Tabella34[[#This Row],[Italy velocity]]</f>
        <v>57.985349123842902</v>
      </c>
      <c r="AA110" s="72">
        <f>Tabella34[[#This Row],[Italy acc. fit]]/Itali_acc_at_lockdown</f>
        <v>1.6567087103431819</v>
      </c>
      <c r="AB110" s="77">
        <f>Tabella34[[#This Row],[Italy acc. fit]]/y_f_peak</f>
        <v>1.8355664605953521E-2</v>
      </c>
      <c r="AC110" s="143">
        <f>Tabella34[[#This Row],[Italy (fit of selected region + fitted sum of the other regions)]]*NOT(ISBLANK(Tabella34[[#This Row],[Italy rate data]]))</f>
        <v>58.438582265571043</v>
      </c>
      <c r="AD110" s="143">
        <f>Tabella34[[#This Row],[Italy acc. fit]]*NOT(ISBLANK(Tabella34[[#This Row],[Italy rate data]]))</f>
        <v>57.985349123842902</v>
      </c>
      <c r="AE110" s="77">
        <f>Tabella34[[#This Row],[Italy acc. fit]]+CIf</f>
        <v>1713.1953180475944</v>
      </c>
      <c r="AF110" s="77">
        <f>MAX(Tabella34[[#This Row],[Italy acc. fit]]-CIf,0)</f>
        <v>0</v>
      </c>
      <c r="AG110" s="4">
        <f>Tabella8[[#This Row],[region data]]</f>
        <v>2161</v>
      </c>
      <c r="AH110" s="72">
        <f>(Tabella34[[#This Row],[selected region cumul. data]]-AG109)</f>
        <v>118</v>
      </c>
      <c r="AI110" s="72">
        <f>Tabella34[[#This Row],[selected region rate data]]-AH109</f>
        <v>-35</v>
      </c>
      <c r="AJ110" s="77">
        <f>Tabella34[[#This Row],[selected region rate data]]*NOT(ISBLANK(Tabella34[[#This Row],[selected region rate data]]))</f>
        <v>118</v>
      </c>
      <c r="AK110" s="77">
        <f>Tabella8[[#This Row],[region fit]]</f>
        <v>2124.6510624632015</v>
      </c>
      <c r="AL110" s="143">
        <f>(ATANH(alpha*Tabella34[[#This Row],[sel. region cumul. fit]]/Kl-(1-alpha*Tabella34[[#This Row],[sel. region cumul. fit]]/Kl)*TANH(phi_l))+phi_l)/psi_l-(Tabella34[[#This Row],[Day]]-pl)</f>
        <v>16.856948394605325</v>
      </c>
      <c r="AM110" s="77">
        <f>Tabella34[[#This Row],[sel. region cumul. fit]]/Kl</f>
        <v>0.16149814800596565</v>
      </c>
      <c r="AN110" s="143">
        <f>Tabella3[[#This Row],[region fit]]</f>
        <v>109.05248531622441</v>
      </c>
      <c r="AO110" s="186">
        <f>Tabella34[[#This Row],[sel. region velocity]]/Tabella34[[#This Row],[sel. region cumul. fit]]</f>
        <v>5.1327244855818847E-2</v>
      </c>
      <c r="AP110" s="241">
        <f>(LN(Tabella34[[#This Row],[Day]]-pr)-phi_r)/psi_r</f>
        <v>108.42581974556974</v>
      </c>
      <c r="AQ110" s="244">
        <f>EXP(phi_r+psi_r*Tabella34[[#This Row],[x_r_alpha©+plus]])-(Tabella34[[#This Row],[Day]]-pr)</f>
        <v>-23.404184676249553</v>
      </c>
      <c r="AR110" s="244">
        <f>EXP(phi_r+psi_r*Tabella34[[#This Row],[x_r_alpha©-minus]])-(Tabella34[[#This Row],[Day]]-pr)</f>
        <v>-23.868512213809346</v>
      </c>
      <c r="AS110" s="244">
        <f>-psi_r+SQRT(psi_r^2-2*Tabella34[[#This Row],[c_r]])</f>
        <v>3.8200746516577202</v>
      </c>
      <c r="AT110" s="244">
        <f>-psi_r-SQRT(psi_r^2-2*Tabella34[[#This Row],[c_r]])</f>
        <v>-3.8603626613240585</v>
      </c>
      <c r="AU110" s="244">
        <f>phi_r-LN(alpha*Kr/(Tabella34[[#This Row],[sel. region velocity]]*psi_r*SQRTPI(2)))</f>
        <v>-7.3734367743649871</v>
      </c>
      <c r="AV110" s="244">
        <f>(ACOSH(SQRT(alpha*Kl*psi_l/(Tabella34[[#This Row],[sel. region velocity]]*(1+TANH(phi_l)))))+phi_l)/psi_l-(Tabella34[[#This Row],[Day]]-pl)</f>
        <v>81.540817858613735</v>
      </c>
      <c r="AW110" s="72">
        <f>-2*$BY$22*TANH($BY$22*(Tabella34[[#This Row],[Day]]-$BY$31)-$BY$21)*Tabella34[[#This Row],[sel. region velocity]]</f>
        <v>2.2373671863407689</v>
      </c>
      <c r="AX110" s="77">
        <f>Tabella34[[#This Row],[sel. region acc. fit]]/y_l_peak</f>
        <v>1.5195912997855313E-2</v>
      </c>
      <c r="AY110" s="143">
        <f>Tabella34[[#This Row],[sel. region acc. fit]]*NOT(ISBLANK(Tabella34[[#This Row],[selected region rate data]]))</f>
        <v>2.2373671863407689</v>
      </c>
      <c r="AZ110" s="77">
        <f>Tabella34[[#This Row],[sel. region acc. fit]]+CIl</f>
        <v>71.602353561441163</v>
      </c>
      <c r="BA110" s="77">
        <f>MAX(Tabella34[[#This Row],[sel. region acc. fit]]-CIl,0)</f>
        <v>0</v>
      </c>
      <c r="BB110" s="10">
        <f>Tabella8[[#This Row],[rest of Italy ]]</f>
        <v>51949</v>
      </c>
      <c r="BC110" s="10">
        <f>(Tabella34[[#This Row],[rest of Italy cum. Data]]-BB109)</f>
        <v>1990</v>
      </c>
      <c r="BD110" s="10">
        <f>Tabella34[[#This Row],[rest of Italy rate data]]-BC109</f>
        <v>-555</v>
      </c>
      <c r="BE110" s="77">
        <f>Tabella34[[#This Row],[rest of Italy rate data]]*NOT(ISBLANK(Tabella34[[#This Row],[rest of Italy rate data]]))</f>
        <v>1990</v>
      </c>
      <c r="BF110" s="77">
        <f>Tabella8[[#This Row],[rest of Italy fit]]</f>
        <v>49998.793842992643</v>
      </c>
      <c r="BG110" s="78">
        <f>(ATANH(alpha*Tabella34[[#This Row],[rest of Italy cumul. fit]]/Ka-(1-alpha*Tabella34[[#This Row],[rest of Italy cumul. fit]]/Ka)*TANH(phi_a))+phi_a)/psi_a-(Tabella34[[#This Row],[Day]]-pa)</f>
        <v>18.014604858821976</v>
      </c>
      <c r="BH110" s="77">
        <f>Tabella34[[#This Row],[rest of Italy cumul. fit]]/Ka</f>
        <v>0.22537804754853635</v>
      </c>
      <c r="BI110" s="143">
        <f>Tabella3[[#This Row],[rest of Italy fit]]</f>
        <v>2380.0000636796362</v>
      </c>
      <c r="BJ110" s="183">
        <f>Tabella34[[#This Row],[rest of Italy velocity]]/Tabella34[[#This Row],[rest of Italy cumul. fit]]</f>
        <v>4.7601149562794792E-2</v>
      </c>
      <c r="BK110" s="236">
        <f>(LN(Tabella34[[#This Row],[Day]]-po)-phi_o)/psi_o</f>
        <v>84.194482605454255</v>
      </c>
      <c r="BL110" s="244">
        <f>EXP(phi_o+psi_o*Tabella34[[#This Row],[x_o_alpha©+plus]])-(Tabella34[[#This Row],[Day]]-po)</f>
        <v>-30.676277848226579</v>
      </c>
      <c r="BM110" s="244">
        <f>EXP(phi_o+psi_o*Tabella34[[#This Row],[x_o_alpha©-minus]])-(Tabella34[[#This Row],[Day]]-po)</f>
        <v>-31.4302874678583</v>
      </c>
      <c r="BN110" s="244">
        <f>-psi_o+SQRT(psi_o^2-2*Tabella34[[#This Row],[c_o]])</f>
        <v>3.6003091575004622</v>
      </c>
      <c r="BO110" s="244">
        <f>-psi_o-SQRT(psi_o^2-2*Tabella34[[#This Row],[c_o]])</f>
        <v>-3.6516224417681156</v>
      </c>
      <c r="BP110" s="244">
        <f>phi_o-LN(alpha*Ko/(Tabella34[[#This Row],[rest of Italy velocity]]*psi_o*SQRTPI(2)))</f>
        <v>-6.5734848584159717</v>
      </c>
      <c r="BQ110" s="244">
        <f>(ACOSH(SQRT(alpha*Ka*psi_a/(Tabella34[[#This Row],[rest of Italy velocity]]*(1+TANH(phi_a)))))+phi_a)/psi_a-(Tabella34[[#This Row],[Day]]-pa)</f>
        <v>59.977550546423942</v>
      </c>
      <c r="BR110" s="72">
        <f>-2*$BY$35*TANH($BY$35*(Tabella34[[#This Row],[Day]]-$BY$44)-$BY$34)*Tabella34[[#This Row],[rest of Italy velocity]]</f>
        <v>56.201215079230273</v>
      </c>
      <c r="BS110" s="77">
        <f>Tabella34[[#This Row],[rest of Italy acc. fit]]/y_a_peak</f>
        <v>1.8613073537858758E-2</v>
      </c>
      <c r="BT110" s="77">
        <f>Tabella34[[#This Row],[rest of Italy acc. fit]]*NOT(ISBLANK(Tabella34[[#This Row],[rest of Italy rate data]]))</f>
        <v>56.201215079230273</v>
      </c>
      <c r="BU110" s="77">
        <f>Tabella34[[#This Row],[rest of Italy acc. fit]]+CIa</f>
        <v>1690.3351550330317</v>
      </c>
      <c r="BV110" s="77">
        <f>MAX(Tabella34[[#This Row],[rest of Italy acc. fit]]-CIa,0)</f>
        <v>0</v>
      </c>
    </row>
    <row r="111" spans="2:74" x14ac:dyDescent="0.3">
      <c r="B111" s="262">
        <v>43934</v>
      </c>
      <c r="C111" s="4">
        <v>104</v>
      </c>
      <c r="D111" s="10">
        <f>Tabella8[[#This Row],[Italy cumulative]]</f>
        <v>55900</v>
      </c>
      <c r="E111" s="72">
        <f>(Tabella34[[#This Row],[Italy cumul. data]]-D110)</f>
        <v>1790</v>
      </c>
      <c r="F111" s="72">
        <f>Tabella34[[#This Row],[Italy rate data]]-E110</f>
        <v>-318</v>
      </c>
      <c r="G111" s="77">
        <f>Tabella34[[#This Row],[Italy rate data]]*NOT(ISBLANK(Tabella34[[#This Row],[Italy rate data]]))</f>
        <v>1790</v>
      </c>
      <c r="H111" s="143">
        <f>Tabella8[[#This Row],[Italy fit]]</f>
        <v>54688.427956744141</v>
      </c>
      <c r="I111" s="143">
        <f>(ATANH(alpha*Tabella34[[#This Row],[Italy cumul. Fit]]/Kf-(1-alpha*Tabella34[[#This Row],[Italy cumul. Fit]]/Kf)*TANH(phi_f))+phi_f)/psi_f-(Tabella34[[#This Row],[Day]]-pf)</f>
        <v>18.604947950274529</v>
      </c>
      <c r="J111" s="143">
        <f>Tabella34[[#This Row],[Italy d.t.]]/Italy_dt_at_lockdown</f>
        <v>8.1969120178253245</v>
      </c>
      <c r="K111" s="77">
        <f>Tabella34[[#This Row],[Italy cumul. Fit]]/Kf</f>
        <v>0.232716713199906</v>
      </c>
      <c r="L111" s="146">
        <f>Tabella34[[#This Row],[sel. region acc. fit]]+Tabella34[[#This Row],[rest of Italy acc. fit]]</f>
        <v>57.172447183018249</v>
      </c>
      <c r="M111" s="77">
        <f>Tabella34[[#This Row],[Italy (fit of selected region + fitted sum of the other regions)]]/(y_l_peak+y_a_peak)</f>
        <v>1.8054362761993448E-2</v>
      </c>
      <c r="N111" s="143">
        <f>Tabella3[[#This Row],[Italy remov. rate fit]]</f>
        <v>2542.4656198287225</v>
      </c>
      <c r="O111" s="143">
        <f>Kt*EXP(-0.5*Tabella34[[#This Row],[x_t]]^2)/(psi_t*SQRTPI(2)*(Tabella34[[#This Row],[Day]]-D_bk))</f>
        <v>0</v>
      </c>
      <c r="P111" s="183">
        <f>Tabella34[[#This Row],[Italy velocity]]/Tabella34[[#This Row],[Italy cumul. Fit]]</f>
        <v>4.6490011046572556E-2</v>
      </c>
      <c r="Q111" s="244">
        <f>(LN(Tabella34[[#This Row],[Day]]-D_bk)-phi_t)/psi_t</f>
        <v>87.035118911053914</v>
      </c>
      <c r="R111" s="244">
        <f>EXP(phi_t+psi_t*Tabella34[[#This Row],[x_t_alpha©+plus]])-(Tabella34[[#This Row],[Day]]-D_bk)</f>
        <v>-31.201468562717693</v>
      </c>
      <c r="S111" s="244">
        <f>EXP(phi_t+psi_t*Tabella34[[#This Row],[x_t_alpha©-minus]])-(Tabella34[[#This Row],[Day]]-D_bk)</f>
        <v>-31.925947092472413</v>
      </c>
      <c r="T111" s="244">
        <f>-psi_t+SQRT(psi_t^2-2*Tabella34[[#This Row],[c_t]])</f>
        <v>3.6100956322758768</v>
      </c>
      <c r="U111" s="244">
        <f>-psi_t-SQRT(psi_t^2-2*Tabella34[[#This Row],[c_t]])</f>
        <v>-3.6606143069732489</v>
      </c>
      <c r="V111" s="244">
        <f>phi_t-LN(alpha*Kt/(Tabella34[[#This Row],[Italy velocity]]*psi_t*SQRTPI(2)))</f>
        <v>-6.6075838605253558</v>
      </c>
      <c r="W111" s="244">
        <f>Tabella34[[#This Row],[Italy g.r.]]/Italy_gr_at_lockdown</f>
        <v>0.11089078017199892</v>
      </c>
      <c r="X111" s="244">
        <f>(ACOSH(SQRT(alpha*Kf*psi_f/(Tabella34[[#This Row],[Italy velocity]]*(1+TANH(phi_f)))))+phi_f)/psi_f-(Tabella34[[#This Row],[Day]]-pf)</f>
        <v>59.473401308366235</v>
      </c>
      <c r="Y111" s="244">
        <f>Tabella34[[#This Row],[Italy h.t.]]/Italy_ht_at_lockdown</f>
        <v>0.50079643444132793</v>
      </c>
      <c r="Z111" s="72">
        <f>-2*$BY$48*TANH($BY$48*(Tabella34[[#This Row],[Day]]-$BY$57)-$BY$47)*Tabella34[[#This Row],[Italy velocity]]</f>
        <v>56.742420442839567</v>
      </c>
      <c r="AA111" s="72">
        <f>Tabella34[[#This Row],[Italy acc. fit]]/Itali_acc_at_lockdown</f>
        <v>1.6211967956394231</v>
      </c>
      <c r="AB111" s="77">
        <f>Tabella34[[#This Row],[Italy acc. fit]]/y_f_peak</f>
        <v>1.7962206907718568E-2</v>
      </c>
      <c r="AC111" s="143">
        <f>Tabella34[[#This Row],[Italy (fit of selected region + fitted sum of the other regions)]]*NOT(ISBLANK(Tabella34[[#This Row],[Italy rate data]]))</f>
        <v>57.172447183018249</v>
      </c>
      <c r="AD111" s="143">
        <f>Tabella34[[#This Row],[Italy acc. fit]]*NOT(ISBLANK(Tabella34[[#This Row],[Italy rate data]]))</f>
        <v>56.742420442839567</v>
      </c>
      <c r="AE111" s="77">
        <f>Tabella34[[#This Row],[Italy acc. fit]]+CIf</f>
        <v>1711.952389366591</v>
      </c>
      <c r="AF111" s="77">
        <f>MAX(Tabella34[[#This Row],[Italy acc. fit]]-CIf,0)</f>
        <v>0</v>
      </c>
      <c r="AG111" s="4">
        <f>Tabella8[[#This Row],[region data]]</f>
        <v>2231</v>
      </c>
      <c r="AH111" s="72">
        <f>(Tabella34[[#This Row],[selected region cumul. data]]-AG110)</f>
        <v>70</v>
      </c>
      <c r="AI111" s="72">
        <f>Tabella34[[#This Row],[selected region rate data]]-AH110</f>
        <v>-48</v>
      </c>
      <c r="AJ111" s="77">
        <f>Tabella34[[#This Row],[selected region rate data]]*NOT(ISBLANK(Tabella34[[#This Row],[selected region rate data]]))</f>
        <v>70</v>
      </c>
      <c r="AK111" s="77">
        <f>Tabella8[[#This Row],[region fit]]</f>
        <v>2234.8187706507611</v>
      </c>
      <c r="AL111" s="143">
        <f>(ATANH(alpha*Tabella34[[#This Row],[sel. region cumul. fit]]/Kl-(1-alpha*Tabella34[[#This Row],[sel. region cumul. fit]]/Kl)*TANH(phi_l))+phi_l)/psi_l-(Tabella34[[#This Row],[Day]]-pl)</f>
        <v>17.418224254840332</v>
      </c>
      <c r="AM111" s="77">
        <f>Tabella34[[#This Row],[sel. region cumul. fit]]/Kl</f>
        <v>0.16987217287841958</v>
      </c>
      <c r="AN111" s="143">
        <f>Tabella3[[#This Row],[region fit]]</f>
        <v>111.27928337657913</v>
      </c>
      <c r="AO111" s="186">
        <f>Tabella34[[#This Row],[sel. region velocity]]/Tabella34[[#This Row],[sel. region cumul. fit]]</f>
        <v>4.9793426132793535E-2</v>
      </c>
      <c r="AP111" s="241">
        <f>(LN(Tabella34[[#This Row],[Day]]-pr)-phi_r)/psi_r</f>
        <v>110.25491866743837</v>
      </c>
      <c r="AQ111" s="244">
        <f>EXP(phi_r+psi_r*Tabella34[[#This Row],[x_r_alpha©+plus]])-(Tabella34[[#This Row],[Day]]-pr)</f>
        <v>-24.404528367727867</v>
      </c>
      <c r="AR111" s="244">
        <f>EXP(phi_r+psi_r*Tabella34[[#This Row],[x_r_alpha©-minus]])-(Tabella34[[#This Row],[Day]]-pr)</f>
        <v>-24.868217756000735</v>
      </c>
      <c r="AS111" s="244">
        <f>-psi_r+SQRT(psi_r^2-2*Tabella34[[#This Row],[c_r]])</f>
        <v>3.8148073221220917</v>
      </c>
      <c r="AT111" s="244">
        <f>-psi_r-SQRT(psi_r^2-2*Tabella34[[#This Row],[c_r]])</f>
        <v>-3.85509533178843</v>
      </c>
      <c r="AU111" s="244">
        <f>phi_r-LN(alpha*Kr/(Tabella34[[#This Row],[sel. region velocity]]*psi_r*SQRTPI(2)))</f>
        <v>-7.3532229495925998</v>
      </c>
      <c r="AV111" s="244">
        <f>(ACOSH(SQRT(alpha*Kl*psi_l/(Tabella34[[#This Row],[sel. region velocity]]*(1+TANH(phi_l)))))+phi_l)/psi_l-(Tabella34[[#This Row],[Day]]-pl)</f>
        <v>79.906621951413882</v>
      </c>
      <c r="AW111" s="72">
        <f>-2*$BY$22*TANH($BY$22*(Tabella34[[#This Row],[Day]]-$BY$31)-$BY$21)*Tabella34[[#This Row],[sel. region velocity]]</f>
        <v>2.2154790961110722</v>
      </c>
      <c r="AX111" s="77">
        <f>Tabella34[[#This Row],[sel. region acc. fit]]/y_l_peak</f>
        <v>1.504725187649344E-2</v>
      </c>
      <c r="AY111" s="143">
        <f>Tabella34[[#This Row],[sel. region acc. fit]]*NOT(ISBLANK(Tabella34[[#This Row],[selected region rate data]]))</f>
        <v>2.2154790961110722</v>
      </c>
      <c r="AZ111" s="77">
        <f>Tabella34[[#This Row],[sel. region acc. fit]]+CIl</f>
        <v>71.580465471211468</v>
      </c>
      <c r="BA111" s="77">
        <f>MAX(Tabella34[[#This Row],[sel. region acc. fit]]-CIl,0)</f>
        <v>0</v>
      </c>
      <c r="BB111" s="10">
        <f>Tabella8[[#This Row],[rest of Italy ]]</f>
        <v>53669</v>
      </c>
      <c r="BC111" s="10">
        <f>(Tabella34[[#This Row],[rest of Italy cum. Data]]-BB110)</f>
        <v>1720</v>
      </c>
      <c r="BD111" s="10">
        <f>Tabella34[[#This Row],[rest of Italy rate data]]-BC110</f>
        <v>-270</v>
      </c>
      <c r="BE111" s="77">
        <f>Tabella34[[#This Row],[rest of Italy rate data]]*NOT(ISBLANK(Tabella34[[#This Row],[rest of Italy rate data]]))</f>
        <v>1720</v>
      </c>
      <c r="BF111" s="77">
        <f>Tabella8[[#This Row],[rest of Italy fit]]</f>
        <v>52406.695627952147</v>
      </c>
      <c r="BG111" s="78">
        <f>(ATANH(alpha*Tabella34[[#This Row],[rest of Italy cumul. fit]]/Ka-(1-alpha*Tabella34[[#This Row],[rest of Italy cumul. fit]]/Ka)*TANH(phi_a))+phi_a)/psi_a-(Tabella34[[#This Row],[Day]]-pa)</f>
        <v>18.610109499982428</v>
      </c>
      <c r="BH111" s="77">
        <f>Tabella34[[#This Row],[rest of Italy cumul. fit]]/Ka</f>
        <v>0.23623207344138028</v>
      </c>
      <c r="BI111" s="143">
        <f>Tabella3[[#This Row],[rest of Italy fit]]</f>
        <v>2435.5961415262868</v>
      </c>
      <c r="BJ111" s="183">
        <f>Tabella34[[#This Row],[rest of Italy velocity]]/Tabella34[[#This Row],[rest of Italy cumul. fit]]</f>
        <v>4.6474903871390312E-2</v>
      </c>
      <c r="BK111" s="236">
        <f>(LN(Tabella34[[#This Row],[Day]]-po)-phi_o)/psi_o</f>
        <v>85.288856301430314</v>
      </c>
      <c r="BL111" s="244">
        <f>EXP(phi_o+psi_o*Tabella34[[#This Row],[x_o_alpha©+plus]])-(Tabella34[[#This Row],[Day]]-po)</f>
        <v>-31.677004063595042</v>
      </c>
      <c r="BM111" s="244">
        <f>EXP(phi_o+psi_o*Tabella34[[#This Row],[x_o_alpha©-minus]])-(Tabella34[[#This Row],[Day]]-po)</f>
        <v>-32.429684448114223</v>
      </c>
      <c r="BN111" s="244">
        <f>-psi_o+SQRT(psi_o^2-2*Tabella34[[#This Row],[c_o]])</f>
        <v>3.5939353116492803</v>
      </c>
      <c r="BO111" s="244">
        <f>-psi_o-SQRT(psi_o^2-2*Tabella34[[#This Row],[c_o]])</f>
        <v>-3.6452485959169336</v>
      </c>
      <c r="BP111" s="244">
        <f>phi_o-LN(alpha*Ko/(Tabella34[[#This Row],[rest of Italy velocity]]*psi_o*SQRTPI(2)))</f>
        <v>-6.5503938243029136</v>
      </c>
      <c r="BQ111" s="244">
        <f>(ACOSH(SQRT(alpha*Ka*psi_a/(Tabella34[[#This Row],[rest of Italy velocity]]*(1+TANH(phi_a)))))+phi_a)/psi_a-(Tabella34[[#This Row],[Day]]-pa)</f>
        <v>58.397227080707367</v>
      </c>
      <c r="BR111" s="72">
        <f>-2*$BY$35*TANH($BY$35*(Tabella34[[#This Row],[Day]]-$BY$44)-$BY$34)*Tabella34[[#This Row],[rest of Italy velocity]]</f>
        <v>54.956968086907175</v>
      </c>
      <c r="BS111" s="77">
        <f>Tabella34[[#This Row],[rest of Italy acc. fit]]/y_a_peak</f>
        <v>1.8200995956711798E-2</v>
      </c>
      <c r="BT111" s="77">
        <f>Tabella34[[#This Row],[rest of Italy acc. fit]]*NOT(ISBLANK(Tabella34[[#This Row],[rest of Italy rate data]]))</f>
        <v>54.956968086907175</v>
      </c>
      <c r="BU111" s="77">
        <f>Tabella34[[#This Row],[rest of Italy acc. fit]]+CIa</f>
        <v>1689.0909080407087</v>
      </c>
      <c r="BV111" s="77">
        <f>MAX(Tabella34[[#This Row],[rest of Italy acc. fit]]-CIa,0)</f>
        <v>0</v>
      </c>
    </row>
    <row r="112" spans="2:74" x14ac:dyDescent="0.3">
      <c r="B112" s="262">
        <v>43935</v>
      </c>
      <c r="C112" s="4">
        <v>105</v>
      </c>
      <c r="D112" s="10">
        <f>Tabella8[[#This Row],[Italy cumulative]]</f>
        <v>58197</v>
      </c>
      <c r="E112" s="72">
        <f>(Tabella34[[#This Row],[Italy cumul. data]]-D111)</f>
        <v>2297</v>
      </c>
      <c r="F112" s="72">
        <f>Tabella34[[#This Row],[Italy rate data]]-E111</f>
        <v>507</v>
      </c>
      <c r="G112" s="77">
        <f>Tabella34[[#This Row],[Italy rate data]]*NOT(ISBLANK(Tabella34[[#This Row],[Italy rate data]]))</f>
        <v>2297</v>
      </c>
      <c r="H112" s="143">
        <f>Tabella8[[#This Row],[Italy fit]]</f>
        <v>57259.032094910166</v>
      </c>
      <c r="I112" s="143">
        <f>(ATANH(alpha*Tabella34[[#This Row],[Italy cumul. Fit]]/Kf-(1-alpha*Tabella34[[#This Row],[Italy cumul. Fit]]/Kf)*TANH(phi_f))+phi_f)/psi_f-(Tabella34[[#This Row],[Day]]-pf)</f>
        <v>19.23308309395442</v>
      </c>
      <c r="J112" s="143">
        <f>Tabella34[[#This Row],[Italy d.t.]]/Italy_dt_at_lockdown</f>
        <v>8.4736539104556758</v>
      </c>
      <c r="K112" s="77">
        <f>Tabella34[[#This Row],[Italy cumul. Fit]]/Kf</f>
        <v>0.24365545414241835</v>
      </c>
      <c r="L112" s="146">
        <f>Tabella34[[#This Row],[sel. region acc. fit]]+Tabella34[[#This Row],[rest of Italy acc. fit]]</f>
        <v>55.696400900578389</v>
      </c>
      <c r="M112" s="77">
        <f>Tabella34[[#This Row],[Italy (fit of selected region + fitted sum of the other regions)]]/(y_l_peak+y_a_peak)</f>
        <v>1.7588245316445716E-2</v>
      </c>
      <c r="N112" s="143">
        <f>Tabella3[[#This Row],[Italy remov. rate fit]]</f>
        <v>2598.5013859204032</v>
      </c>
      <c r="O112" s="143">
        <f>Kt*EXP(-0.5*Tabella34[[#This Row],[x_t]]^2)/(psi_t*SQRTPI(2)*(Tabella34[[#This Row],[Day]]-D_bk))</f>
        <v>0</v>
      </c>
      <c r="P112" s="183">
        <f>Tabella34[[#This Row],[Italy velocity]]/Tabella34[[#This Row],[Italy cumul. Fit]]</f>
        <v>4.5381510843795554E-2</v>
      </c>
      <c r="Q112" s="244">
        <f>(LN(Tabella34[[#This Row],[Day]]-D_bk)-phi_t)/psi_t</f>
        <v>88.134294296811674</v>
      </c>
      <c r="R112" s="244">
        <f>EXP(phi_t+psi_t*Tabella34[[#This Row],[x_t_alpha©+plus]])-(Tabella34[[#This Row],[Day]]-D_bk)</f>
        <v>-32.202123146046894</v>
      </c>
      <c r="S112" s="244">
        <f>EXP(phi_t+psi_t*Tabella34[[#This Row],[x_t_alpha©-minus]])-(Tabella34[[#This Row],[Day]]-D_bk)</f>
        <v>-32.925402249744572</v>
      </c>
      <c r="T112" s="244">
        <f>-psi_t+SQRT(psi_t^2-2*Tabella34[[#This Row],[c_t]])</f>
        <v>3.6040938599647601</v>
      </c>
      <c r="U112" s="244">
        <f>-psi_t-SQRT(psi_t^2-2*Tabella34[[#This Row],[c_t]])</f>
        <v>-3.6546125346621321</v>
      </c>
      <c r="V112" s="244">
        <f>phi_t-LN(alpha*Kt/(Tabella34[[#This Row],[Italy velocity]]*psi_t*SQRTPI(2)))</f>
        <v>-6.5857832983630189</v>
      </c>
      <c r="W112" s="244">
        <f>Tabella34[[#This Row],[Italy g.r.]]/Italy_gr_at_lockdown</f>
        <v>0.1082467185867345</v>
      </c>
      <c r="X112" s="244">
        <f>(ACOSH(SQRT(alpha*Kf*psi_f/(Tabella34[[#This Row],[Italy velocity]]*(1+TANH(phi_f)))))+phi_f)/psi_f-(Tabella34[[#This Row],[Day]]-pf)</f>
        <v>57.913087383541779</v>
      </c>
      <c r="Y112" s="244">
        <f>Tabella34[[#This Row],[Italy h.t.]]/Italy_ht_at_lockdown</f>
        <v>0.48765779375538959</v>
      </c>
      <c r="Z112" s="72">
        <f>-2*$BY$48*TANH($BY$48*(Tabella34[[#This Row],[Day]]-$BY$57)-$BY$47)*Tabella34[[#This Row],[Italy velocity]]</f>
        <v>55.294758841965944</v>
      </c>
      <c r="AA112" s="72">
        <f>Tabella34[[#This Row],[Italy acc. fit]]/Itali_acc_at_lockdown</f>
        <v>1.5798354238440344</v>
      </c>
      <c r="AB112" s="77">
        <f>Tabella34[[#This Row],[Italy acc. fit]]/y_f_peak</f>
        <v>1.7503939583125922E-2</v>
      </c>
      <c r="AC112" s="143">
        <f>Tabella34[[#This Row],[Italy (fit of selected region + fitted sum of the other regions)]]*NOT(ISBLANK(Tabella34[[#This Row],[Italy rate data]]))</f>
        <v>55.696400900578389</v>
      </c>
      <c r="AD112" s="143">
        <f>Tabella34[[#This Row],[Italy acc. fit]]*NOT(ISBLANK(Tabella34[[#This Row],[Italy rate data]]))</f>
        <v>55.294758841965944</v>
      </c>
      <c r="AE112" s="77">
        <f>Tabella34[[#This Row],[Italy acc. fit]]+CIf</f>
        <v>1710.5047277657172</v>
      </c>
      <c r="AF112" s="77">
        <f>MAX(Tabella34[[#This Row],[Italy acc. fit]]-CIf,0)</f>
        <v>0</v>
      </c>
      <c r="AG112" s="4">
        <f>Tabella8[[#This Row],[region data]]</f>
        <v>2342</v>
      </c>
      <c r="AH112" s="72">
        <f>(Tabella34[[#This Row],[selected region cumul. data]]-AG111)</f>
        <v>111</v>
      </c>
      <c r="AI112" s="72">
        <f>Tabella34[[#This Row],[selected region rate data]]-AH111</f>
        <v>41</v>
      </c>
      <c r="AJ112" s="77">
        <f>Tabella34[[#This Row],[selected region rate data]]*NOT(ISBLANK(Tabella34[[#This Row],[selected region rate data]]))</f>
        <v>111</v>
      </c>
      <c r="AK112" s="77">
        <f>Tabella8[[#This Row],[region fit]]</f>
        <v>2347.2015781827786</v>
      </c>
      <c r="AL112" s="143">
        <f>(ATANH(alpha*Tabella34[[#This Row],[sel. region cumul. fit]]/Kl-(1-alpha*Tabella34[[#This Row],[sel. region cumul. fit]]/Kl)*TANH(phi_l))+phi_l)/psi_l-(Tabella34[[#This Row],[Day]]-pl)</f>
        <v>17.992067119799806</v>
      </c>
      <c r="AM112" s="77">
        <f>Tabella34[[#This Row],[sel. region cumul. fit]]/Kl</f>
        <v>0.17841457101841818</v>
      </c>
      <c r="AN112" s="143">
        <f>Tabella3[[#This Row],[region fit]]</f>
        <v>113.48192458341013</v>
      </c>
      <c r="AO112" s="186">
        <f>Tabella34[[#This Row],[sel. region velocity]]/Tabella34[[#This Row],[sel. region cumul. fit]]</f>
        <v>4.8347754039629057E-2</v>
      </c>
      <c r="AP112" s="241">
        <f>(LN(Tabella34[[#This Row],[Day]]-pr)-phi_r)/psi_r</f>
        <v>112.01901181877209</v>
      </c>
      <c r="AQ112" s="244">
        <f>EXP(phi_r+psi_r*Tabella34[[#This Row],[x_r_alpha©+plus]])-(Tabella34[[#This Row],[Day]]-pr)</f>
        <v>-25.40486204682286</v>
      </c>
      <c r="AR112" s="244">
        <f>EXP(phi_r+psi_r*Tabella34[[#This Row],[x_r_alpha©-minus]])-(Tabella34[[#This Row],[Day]]-pr)</f>
        <v>-25.867931816513199</v>
      </c>
      <c r="AS112" s="244">
        <f>-psi_r+SQRT(psi_r^2-2*Tabella34[[#This Row],[c_r]])</f>
        <v>3.8096929051051118</v>
      </c>
      <c r="AT112" s="244">
        <f>-psi_r-SQRT(psi_r^2-2*Tabella34[[#This Row],[c_r]])</f>
        <v>-3.8499809147714501</v>
      </c>
      <c r="AU112" s="244">
        <f>phi_r-LN(alpha*Kr/(Tabella34[[#This Row],[sel. region velocity]]*psi_r*SQRTPI(2)))</f>
        <v>-7.3336224878974408</v>
      </c>
      <c r="AV112" s="244">
        <f>(ACOSH(SQRT(alpha*Kl*psi_l/(Tabella34[[#This Row],[sel. region velocity]]*(1+TANH(phi_l)))))+phi_l)/psi_l-(Tabella34[[#This Row],[Day]]-pl)</f>
        <v>78.28794125129734</v>
      </c>
      <c r="AW112" s="72">
        <f>-2*$BY$22*TANH($BY$22*(Tabella34[[#This Row],[Day]]-$BY$31)-$BY$21)*Tabella34[[#This Row],[sel. region velocity]]</f>
        <v>2.1890347201735105</v>
      </c>
      <c r="AX112" s="77">
        <f>Tabella34[[#This Row],[sel. region acc. fit]]/y_l_peak</f>
        <v>1.4867645042852965E-2</v>
      </c>
      <c r="AY112" s="143">
        <f>Tabella34[[#This Row],[sel. region acc. fit]]*NOT(ISBLANK(Tabella34[[#This Row],[selected region rate data]]))</f>
        <v>2.1890347201735105</v>
      </c>
      <c r="AZ112" s="77">
        <f>Tabella34[[#This Row],[sel. region acc. fit]]+CIl</f>
        <v>71.55402109527391</v>
      </c>
      <c r="BA112" s="77">
        <f>MAX(Tabella34[[#This Row],[sel. region acc. fit]]-CIl,0)</f>
        <v>0</v>
      </c>
      <c r="BB112" s="10">
        <f>Tabella8[[#This Row],[rest of Italy ]]</f>
        <v>55855</v>
      </c>
      <c r="BC112" s="10">
        <f>(Tabella34[[#This Row],[rest of Italy cum. Data]]-BB111)</f>
        <v>2186</v>
      </c>
      <c r="BD112" s="10">
        <f>Tabella34[[#This Row],[rest of Italy rate data]]-BC111</f>
        <v>466</v>
      </c>
      <c r="BE112" s="77">
        <f>Tabella34[[#This Row],[rest of Italy rate data]]*NOT(ISBLANK(Tabella34[[#This Row],[rest of Italy rate data]]))</f>
        <v>2186</v>
      </c>
      <c r="BF112" s="77">
        <f>Tabella8[[#This Row],[rest of Italy fit]]</f>
        <v>54869.537262470432</v>
      </c>
      <c r="BG112" s="78">
        <f>(ATANH(alpha*Tabella34[[#This Row],[rest of Italy cumul. fit]]/Ka-(1-alpha*Tabella34[[#This Row],[rest of Italy cumul. fit]]/Ka)*TANH(phi_a))+phi_a)/psi_a-(Tabella34[[#This Row],[Day]]-pa)</f>
        <v>19.242814185583562</v>
      </c>
      <c r="BH112" s="77">
        <f>Tabella34[[#This Row],[rest of Italy cumul. fit]]/Ka</f>
        <v>0.24733375002886002</v>
      </c>
      <c r="BI112" s="143">
        <f>Tabella3[[#This Row],[rest of Italy fit]]</f>
        <v>2489.8455332327317</v>
      </c>
      <c r="BJ112" s="183">
        <f>Tabella34[[#This Row],[rest of Italy velocity]]/Tabella34[[#This Row],[rest of Italy cumul. fit]]</f>
        <v>4.5377556608915161E-2</v>
      </c>
      <c r="BK112" s="236">
        <f>(LN(Tabella34[[#This Row],[Day]]-po)-phi_o)/psi_o</f>
        <v>86.353339574707661</v>
      </c>
      <c r="BL112" s="244">
        <f>EXP(phi_o+psi_o*Tabella34[[#This Row],[x_o_alpha©+plus]])-(Tabella34[[#This Row],[Day]]-po)</f>
        <v>-32.677697964809937</v>
      </c>
      <c r="BM112" s="244">
        <f>EXP(phi_o+psi_o*Tabella34[[#This Row],[x_o_alpha©-minus]])-(Tabella34[[#This Row],[Day]]-po)</f>
        <v>-33.429108076429983</v>
      </c>
      <c r="BN112" s="244">
        <f>-psi_o+SQRT(psi_o^2-2*Tabella34[[#This Row],[c_o]])</f>
        <v>3.5878441066670401</v>
      </c>
      <c r="BO112" s="244">
        <f>-psi_o-SQRT(psi_o^2-2*Tabella34[[#This Row],[c_o]])</f>
        <v>-3.6391573909346935</v>
      </c>
      <c r="BP112" s="244">
        <f>phi_o-LN(alpha*Ko/(Tabella34[[#This Row],[rest of Italy velocity]]*psi_o*SQRTPI(2)))</f>
        <v>-6.5283646991494209</v>
      </c>
      <c r="BQ112" s="244">
        <f>(ACOSH(SQRT(alpha*Ka*psi_a/(Tabella34[[#This Row],[rest of Italy velocity]]*(1+TANH(phi_a)))))+phi_a)/psi_a-(Tabella34[[#This Row],[Day]]-pa)</f>
        <v>56.839355961992524</v>
      </c>
      <c r="BR112" s="72">
        <f>-2*$BY$35*TANH($BY$35*(Tabella34[[#This Row],[Day]]-$BY$44)-$BY$34)*Tabella34[[#This Row],[rest of Italy velocity]]</f>
        <v>53.50736618040488</v>
      </c>
      <c r="BS112" s="77">
        <f>Tabella34[[#This Row],[rest of Italy acc. fit]]/y_a_peak</f>
        <v>1.7720907637476885E-2</v>
      </c>
      <c r="BT112" s="77">
        <f>Tabella34[[#This Row],[rest of Italy acc. fit]]*NOT(ISBLANK(Tabella34[[#This Row],[rest of Italy rate data]]))</f>
        <v>53.50736618040488</v>
      </c>
      <c r="BU112" s="77">
        <f>Tabella34[[#This Row],[rest of Italy acc. fit]]+CIa</f>
        <v>1687.6413061342064</v>
      </c>
      <c r="BV112" s="77">
        <f>MAX(Tabella34[[#This Row],[rest of Italy acc. fit]]-CIa,0)</f>
        <v>0</v>
      </c>
    </row>
    <row r="113" spans="2:74" x14ac:dyDescent="0.3">
      <c r="B113" s="262">
        <v>43936</v>
      </c>
      <c r="C113" s="4">
        <v>106</v>
      </c>
      <c r="D113" s="10">
        <f>Tabella8[[#This Row],[Italy cumulative]]</f>
        <v>59737</v>
      </c>
      <c r="E113" s="72">
        <f>(Tabella34[[#This Row],[Italy cumul. data]]-D112)</f>
        <v>1540</v>
      </c>
      <c r="F113" s="72">
        <f>Tabella34[[#This Row],[Italy rate data]]-E112</f>
        <v>-757</v>
      </c>
      <c r="G113" s="77">
        <f>Tabella34[[#This Row],[Italy rate data]]*NOT(ISBLANK(Tabella34[[#This Row],[Italy rate data]]))</f>
        <v>1540</v>
      </c>
      <c r="H113" s="143">
        <f>Tabella8[[#This Row],[Italy fit]]</f>
        <v>59884.913735434537</v>
      </c>
      <c r="I113" s="143">
        <f>(ATANH(alpha*Tabella34[[#This Row],[Italy cumul. Fit]]/Kf-(1-alpha*Tabella34[[#This Row],[Italy cumul. Fit]]/Kf)*TANH(phi_f))+phi_f)/psi_f-(Tabella34[[#This Row],[Day]]-pf)</f>
        <v>19.901352569686637</v>
      </c>
      <c r="J113" s="143">
        <f>Tabella34[[#This Row],[Italy d.t.]]/Italy_dt_at_lockdown</f>
        <v>8.7680780664068561</v>
      </c>
      <c r="K113" s="77">
        <f>Tabella34[[#This Row],[Italy cumul. Fit]]/Kf</f>
        <v>0.25482941849769564</v>
      </c>
      <c r="L113" s="146">
        <f>Tabella34[[#This Row],[sel. region acc. fit]]+Tabella34[[#This Row],[rest of Italy acc. fit]]</f>
        <v>54.008173334006585</v>
      </c>
      <c r="M113" s="77">
        <f>Tabella34[[#This Row],[Italy (fit of selected region + fitted sum of the other regions)]]/(y_l_peak+y_a_peak)</f>
        <v>1.7055123604616348E-2</v>
      </c>
      <c r="N113" s="143">
        <f>Tabella3[[#This Row],[Italy remov. rate fit]]</f>
        <v>2652.9861193501097</v>
      </c>
      <c r="O113" s="143">
        <f>Kt*EXP(-0.5*Tabella34[[#This Row],[x_t]]^2)/(psi_t*SQRTPI(2)*(Tabella34[[#This Row],[Day]]-D_bk))</f>
        <v>0</v>
      </c>
      <c r="P113" s="183">
        <f>Tabella34[[#This Row],[Italy velocity]]/Tabella34[[#This Row],[Italy cumul. Fit]]</f>
        <v>4.4301410052467183E-2</v>
      </c>
      <c r="Q113" s="244">
        <f>(LN(Tabella34[[#This Row],[Day]]-D_bk)-phi_t)/psi_t</f>
        <v>89.203774310896293</v>
      </c>
      <c r="R113" s="244">
        <f>EXP(phi_t+psi_t*Tabella34[[#This Row],[x_t_alpha©+plus]])-(Tabella34[[#This Row],[Day]]-D_bk)</f>
        <v>-33.202747128602397</v>
      </c>
      <c r="S113" s="244">
        <f>EXP(phi_t+psi_t*Tabella34[[#This Row],[x_t_alpha©-minus]])-(Tabella34[[#This Row],[Day]]-D_bk)</f>
        <v>-33.924882723756937</v>
      </c>
      <c r="T113" s="244">
        <f>-psi_t+SQRT(psi_t^2-2*Tabella34[[#This Row],[c_t]])</f>
        <v>3.5983718141790151</v>
      </c>
      <c r="U113" s="244">
        <f>-psi_t-SQRT(psi_t^2-2*Tabella34[[#This Row],[c_t]])</f>
        <v>-3.6488904888763871</v>
      </c>
      <c r="V113" s="244">
        <f>phi_t-LN(alpha*Kt/(Tabella34[[#This Row],[Italy velocity]]*psi_t*SQRTPI(2)))</f>
        <v>-6.5650323440993397</v>
      </c>
      <c r="W113" s="244">
        <f>Tabella34[[#This Row],[Italy g.r.]]/Italy_gr_at_lockdown</f>
        <v>0.10567039699165443</v>
      </c>
      <c r="X113" s="244">
        <f>(ACOSH(SQRT(alpha*Kf*psi_f/(Tabella34[[#This Row],[Italy velocity]]*(1+TANH(phi_f)))))+phi_f)/psi_f-(Tabella34[[#This Row],[Day]]-pf)</f>
        <v>56.375773635585688</v>
      </c>
      <c r="Y113" s="244">
        <f>Tabella34[[#This Row],[Italy h.t.]]/Italy_ht_at_lockdown</f>
        <v>0.47471282631351996</v>
      </c>
      <c r="Z113" s="72">
        <f>-2*$BY$48*TANH($BY$48*(Tabella34[[#This Row],[Day]]-$BY$57)-$BY$47)*Tabella34[[#This Row],[Italy velocity]]</f>
        <v>53.640089380950279</v>
      </c>
      <c r="AA113" s="72">
        <f>Tabella34[[#This Row],[Italy acc. fit]]/Itali_acc_at_lockdown</f>
        <v>1.5325595972736237</v>
      </c>
      <c r="AB113" s="77">
        <f>Tabella34[[#This Row],[Italy acc. fit]]/y_f_peak</f>
        <v>1.6980142484047517E-2</v>
      </c>
      <c r="AC113" s="143">
        <f>Tabella34[[#This Row],[Italy (fit of selected region + fitted sum of the other regions)]]*NOT(ISBLANK(Tabella34[[#This Row],[Italy rate data]]))</f>
        <v>54.008173334006585</v>
      </c>
      <c r="AD113" s="143">
        <f>Tabella34[[#This Row],[Italy acc. fit]]*NOT(ISBLANK(Tabella34[[#This Row],[Italy rate data]]))</f>
        <v>53.640089380950279</v>
      </c>
      <c r="AE113" s="77">
        <f>Tabella34[[#This Row],[Italy acc. fit]]+CIf</f>
        <v>1708.8500583047016</v>
      </c>
      <c r="AF113" s="77">
        <f>MAX(Tabella34[[#This Row],[Italy acc. fit]]-CIf,0)</f>
        <v>0</v>
      </c>
      <c r="AG113" s="4">
        <f>Tabella8[[#This Row],[region data]]</f>
        <v>2472</v>
      </c>
      <c r="AH113" s="72">
        <f>(Tabella34[[#This Row],[selected region cumul. data]]-AG112)</f>
        <v>130</v>
      </c>
      <c r="AI113" s="72">
        <f>Tabella34[[#This Row],[selected region rate data]]-AH112</f>
        <v>19</v>
      </c>
      <c r="AJ113" s="77">
        <f>Tabella34[[#This Row],[selected region rate data]]*NOT(ISBLANK(Tabella34[[#This Row],[selected region rate data]]))</f>
        <v>130</v>
      </c>
      <c r="AK113" s="77">
        <f>Tabella8[[#This Row],[region fit]]</f>
        <v>2461.773031932195</v>
      </c>
      <c r="AL113" s="143">
        <f>(ATANH(alpha*Tabella34[[#This Row],[sel. region cumul. fit]]/Kl-(1-alpha*Tabella34[[#This Row],[sel. region cumul. fit]]/Kl)*TANH(phi_l))+phi_l)/psi_l-(Tabella34[[#This Row],[Day]]-pl)</f>
        <v>18.580541449678236</v>
      </c>
      <c r="AM113" s="77">
        <f>Tabella34[[#This Row],[sel. region cumul. fit]]/Kl</f>
        <v>0.18712333168118342</v>
      </c>
      <c r="AN113" s="143">
        <f>Tabella3[[#This Row],[region fit]]</f>
        <v>115.65579889567999</v>
      </c>
      <c r="AO113" s="186">
        <f>Tabella34[[#This Row],[sel. region velocity]]/Tabella34[[#This Row],[sel. region cumul. fit]]</f>
        <v>4.6980691312920972E-2</v>
      </c>
      <c r="AP113" s="241">
        <f>(LN(Tabella34[[#This Row],[Day]]-pr)-phi_r)/psi_r</f>
        <v>113.72256164021444</v>
      </c>
      <c r="AQ113" s="244">
        <f>EXP(phi_r+psi_r*Tabella34[[#This Row],[x_r_alpha©+plus]])-(Tabella34[[#This Row],[Day]]-pr)</f>
        <v>-26.405185469579877</v>
      </c>
      <c r="AR113" s="244">
        <f>EXP(phi_r+psi_r*Tabella34[[#This Row],[x_r_alpha©-minus]])-(Tabella34[[#This Row],[Day]]-pr)</f>
        <v>-26.86765460974744</v>
      </c>
      <c r="AS113" s="244">
        <f>-psi_r+SQRT(psi_r^2-2*Tabella34[[#This Row],[c_r]])</f>
        <v>3.8047351876747295</v>
      </c>
      <c r="AT113" s="244">
        <f>-psi_r-SQRT(psi_r^2-2*Tabella34[[#This Row],[c_r]])</f>
        <v>-3.8450231973410678</v>
      </c>
      <c r="AU113" s="244">
        <f>phi_r-LN(alpha*Kr/(Tabella34[[#This Row],[sel. region velocity]]*psi_r*SQRTPI(2)))</f>
        <v>-7.3146475281745778</v>
      </c>
      <c r="AV113" s="244">
        <f>(ACOSH(SQRT(alpha*Kl*psi_l/(Tabella34[[#This Row],[sel. region velocity]]*(1+TANH(phi_l)))))+phi_l)/psi_l-(Tabella34[[#This Row],[Day]]-pl)</f>
        <v>76.685372446053805</v>
      </c>
      <c r="AW113" s="72">
        <f>-2*$BY$22*TANH($BY$22*(Tabella34[[#This Row],[Day]]-$BY$31)-$BY$21)*Tabella34[[#This Row],[sel. region velocity]]</f>
        <v>2.1579291196683421</v>
      </c>
      <c r="AX113" s="77">
        <f>Tabella34[[#This Row],[sel. region acc. fit]]/y_l_peak</f>
        <v>1.4656379765562628E-2</v>
      </c>
      <c r="AY113" s="143">
        <f>Tabella34[[#This Row],[sel. region acc. fit]]*NOT(ISBLANK(Tabella34[[#This Row],[selected region rate data]]))</f>
        <v>2.1579291196683421</v>
      </c>
      <c r="AZ113" s="77">
        <f>Tabella34[[#This Row],[sel. region acc. fit]]+CIl</f>
        <v>71.522915494768739</v>
      </c>
      <c r="BA113" s="77">
        <f>MAX(Tabella34[[#This Row],[sel. region acc. fit]]-CIl,0)</f>
        <v>0</v>
      </c>
      <c r="BB113" s="10">
        <f>Tabella8[[#This Row],[rest of Italy ]]</f>
        <v>57265</v>
      </c>
      <c r="BC113" s="10">
        <f>(Tabella34[[#This Row],[rest of Italy cum. Data]]-BB112)</f>
        <v>1410</v>
      </c>
      <c r="BD113" s="10">
        <f>Tabella34[[#This Row],[rest of Italy rate data]]-BC112</f>
        <v>-776</v>
      </c>
      <c r="BE113" s="77">
        <f>Tabella34[[#This Row],[rest of Italy rate data]]*NOT(ISBLANK(Tabella34[[#This Row],[rest of Italy rate data]]))</f>
        <v>1410</v>
      </c>
      <c r="BF113" s="77">
        <f>Tabella8[[#This Row],[rest of Italy fit]]</f>
        <v>57385.868963758294</v>
      </c>
      <c r="BG113" s="78">
        <f>(ATANH(alpha*Tabella34[[#This Row],[rest of Italy cumul. fit]]/Ka-(1-alpha*Tabella34[[#This Row],[rest of Italy cumul. fit]]/Ka)*TANH(phi_a))+phi_a)/psi_a-(Tabella34[[#This Row],[Day]]-pa)</f>
        <v>19.917754261679733</v>
      </c>
      <c r="BH113" s="77">
        <f>Tabella34[[#This Row],[rest of Italy cumul. fit]]/Ka</f>
        <v>0.25867654216903935</v>
      </c>
      <c r="BI113" s="143">
        <f>Tabella3[[#This Row],[rest of Italy fit]]</f>
        <v>2542.5416843408793</v>
      </c>
      <c r="BJ113" s="183">
        <f>Tabella34[[#This Row],[rest of Italy velocity]]/Tabella34[[#This Row],[rest of Italy cumul. fit]]</f>
        <v>4.4306058795530422E-2</v>
      </c>
      <c r="BK113" s="236">
        <f>(LN(Tabella34[[#This Row],[Day]]-po)-phi_o)/psi_o</f>
        <v>87.389521891629514</v>
      </c>
      <c r="BL113" s="244">
        <f>EXP(phi_o+psi_o*Tabella34[[#This Row],[x_o_alpha©+plus]])-(Tabella34[[#This Row],[Day]]-po)</f>
        <v>-33.678358657440754</v>
      </c>
      <c r="BM113" s="244">
        <f>EXP(phi_o+psi_o*Tabella34[[#This Row],[x_o_alpha©-minus]])-(Tabella34[[#This Row],[Day]]-po)</f>
        <v>-34.42855912116282</v>
      </c>
      <c r="BN113" s="244">
        <f>-psi_o+SQRT(psi_o^2-2*Tabella34[[#This Row],[c_o]])</f>
        <v>3.5820435285209133</v>
      </c>
      <c r="BO113" s="244">
        <f>-psi_o-SQRT(psi_o^2-2*Tabella34[[#This Row],[c_o]])</f>
        <v>-3.6333568127885667</v>
      </c>
      <c r="BP113" s="244">
        <f>phi_o-LN(alpha*Ko/(Tabella34[[#This Row],[rest of Italy velocity]]*psi_o*SQRTPI(2)))</f>
        <v>-6.5074211290283284</v>
      </c>
      <c r="BQ113" s="244">
        <f>(ACOSH(SQRT(alpha*Ka*psi_a/(Tabella34[[#This Row],[rest of Italy velocity]]*(1+TANH(phi_a)))))+phi_a)/psi_a-(Tabella34[[#This Row],[Day]]-pa)</f>
        <v>55.304965069006812</v>
      </c>
      <c r="BR113" s="72">
        <f>-2*$BY$35*TANH($BY$35*(Tabella34[[#This Row],[Day]]-$BY$44)-$BY$34)*Tabella34[[#This Row],[rest of Italy velocity]]</f>
        <v>51.850244214338247</v>
      </c>
      <c r="BS113" s="77">
        <f>Tabella34[[#This Row],[rest of Italy acc. fit]]/y_a_peak</f>
        <v>1.7172091513624109E-2</v>
      </c>
      <c r="BT113" s="77">
        <f>Tabella34[[#This Row],[rest of Italy acc. fit]]*NOT(ISBLANK(Tabella34[[#This Row],[rest of Italy rate data]]))</f>
        <v>51.850244214338247</v>
      </c>
      <c r="BU113" s="77">
        <f>Tabella34[[#This Row],[rest of Italy acc. fit]]+CIa</f>
        <v>1685.9841841681398</v>
      </c>
      <c r="BV113" s="77">
        <f>MAX(Tabella34[[#This Row],[rest of Italy acc. fit]]-CIa,0)</f>
        <v>0</v>
      </c>
    </row>
    <row r="114" spans="2:74" x14ac:dyDescent="0.3">
      <c r="B114" s="262">
        <v>43937</v>
      </c>
      <c r="C114" s="4">
        <v>107</v>
      </c>
      <c r="D114" s="10">
        <f>Tabella8[[#This Row],[Italy cumulative]]</f>
        <v>62334</v>
      </c>
      <c r="E114" s="72">
        <f>(Tabella34[[#This Row],[Italy cumul. data]]-D113)</f>
        <v>2597</v>
      </c>
      <c r="F114" s="72">
        <f>Tabella34[[#This Row],[Italy rate data]]-E113</f>
        <v>1057</v>
      </c>
      <c r="G114" s="77">
        <f>Tabella34[[#This Row],[Italy rate data]]*NOT(ISBLANK(Tabella34[[#This Row],[Italy rate data]]))</f>
        <v>2597</v>
      </c>
      <c r="H114" s="143">
        <f>Tabella8[[#This Row],[Italy fit]]</f>
        <v>62564.418135340435</v>
      </c>
      <c r="I114" s="143">
        <f>(ATANH(alpha*Tabella34[[#This Row],[Italy cumul. Fit]]/Kf-(1-alpha*Tabella34[[#This Row],[Italy cumul. Fit]]/Kf)*TANH(phi_f))+phi_f)/psi_f-(Tabella34[[#This Row],[Day]]-pf)</f>
        <v>20.615210115825178</v>
      </c>
      <c r="J114" s="143">
        <f>Tabella34[[#This Row],[Italy d.t.]]/Italy_dt_at_lockdown</f>
        <v>9.0825872773220073</v>
      </c>
      <c r="K114" s="77">
        <f>Tabella34[[#This Row],[Italy cumul. Fit]]/Kf</f>
        <v>0.26623156480630772</v>
      </c>
      <c r="L114" s="146">
        <f>Tabella34[[#This Row],[sel. region acc. fit]]+Tabella34[[#This Row],[rest of Italy acc. fit]]</f>
        <v>52.106966386116355</v>
      </c>
      <c r="M114" s="77">
        <f>Tabella34[[#This Row],[Italy (fit of selected region + fitted sum of the other regions)]]/(y_l_peak+y_a_peak)</f>
        <v>1.6454745597130463E-2</v>
      </c>
      <c r="N114" s="143">
        <f>Tabella3[[#This Row],[Italy remov. rate fit]]</f>
        <v>2705.7122529736084</v>
      </c>
      <c r="O114" s="143">
        <f>Kt*EXP(-0.5*Tabella34[[#This Row],[x_t]]^2)/(psi_t*SQRTPI(2)*(Tabella34[[#This Row],[Day]]-D_bk))</f>
        <v>0</v>
      </c>
      <c r="P114" s="183">
        <f>Tabella34[[#This Row],[Italy velocity]]/Tabella34[[#This Row],[Italy cumul. Fit]]</f>
        <v>4.3246821973482834E-2</v>
      </c>
      <c r="Q114" s="244">
        <f>(LN(Tabella34[[#This Row],[Day]]-D_bk)-phi_t)/psi_t</f>
        <v>90.245121339320875</v>
      </c>
      <c r="R114" s="244">
        <f>EXP(phi_t+psi_t*Tabella34[[#This Row],[x_t_alpha©+plus]])-(Tabella34[[#This Row],[Day]]-D_bk)</f>
        <v>-34.203339715950975</v>
      </c>
      <c r="S114" s="244">
        <f>EXP(phi_t+psi_t*Tabella34[[#This Row],[x_t_alpha©-minus]])-(Tabella34[[#This Row],[Day]]-D_bk)</f>
        <v>-34.924389198259142</v>
      </c>
      <c r="T114" s="244">
        <f>-psi_t+SQRT(psi_t^2-2*Tabella34[[#This Row],[c_t]])</f>
        <v>3.5929369029952429</v>
      </c>
      <c r="U114" s="244">
        <f>-psi_t-SQRT(psi_t^2-2*Tabella34[[#This Row],[c_t]])</f>
        <v>-3.643455577692615</v>
      </c>
      <c r="V114" s="244">
        <f>phi_t-LN(alpha*Kt/(Tabella34[[#This Row],[Italy velocity]]*psi_t*SQRTPI(2)))</f>
        <v>-6.5453529997578244</v>
      </c>
      <c r="W114" s="244">
        <f>Tabella34[[#This Row],[Italy g.r.]]/Italy_gr_at_lockdown</f>
        <v>0.10315492985783266</v>
      </c>
      <c r="X114" s="244">
        <f>(ACOSH(SQRT(alpha*Kf*psi_f/(Tabella34[[#This Row],[Italy velocity]]*(1+TANH(phi_f)))))+phi_f)/psi_f-(Tabella34[[#This Row],[Day]]-pf)</f>
        <v>54.862467417626164</v>
      </c>
      <c r="Y114" s="244">
        <f>Tabella34[[#This Row],[Italy h.t.]]/Italy_ht_at_lockdown</f>
        <v>0.46197001454389264</v>
      </c>
      <c r="Z114" s="72">
        <f>-2*$BY$48*TANH($BY$48*(Tabella34[[#This Row],[Day]]-$BY$57)-$BY$47)*Tabella34[[#This Row],[Italy velocity]]</f>
        <v>51.777534521480341</v>
      </c>
      <c r="AA114" s="72">
        <f>Tabella34[[#This Row],[Italy acc. fit]]/Itali_acc_at_lockdown</f>
        <v>1.4793442436403201</v>
      </c>
      <c r="AB114" s="77">
        <f>Tabella34[[#This Row],[Italy acc. fit]]/y_f_peak</f>
        <v>1.6390537819641674E-2</v>
      </c>
      <c r="AC114" s="143">
        <f>Tabella34[[#This Row],[Italy (fit of selected region + fitted sum of the other regions)]]*NOT(ISBLANK(Tabella34[[#This Row],[Italy rate data]]))</f>
        <v>52.106966386116355</v>
      </c>
      <c r="AD114" s="143">
        <f>Tabella34[[#This Row],[Italy acc. fit]]*NOT(ISBLANK(Tabella34[[#This Row],[Italy rate data]]))</f>
        <v>51.777534521480341</v>
      </c>
      <c r="AE114" s="77">
        <f>Tabella34[[#This Row],[Italy acc. fit]]+CIf</f>
        <v>1706.9875034452318</v>
      </c>
      <c r="AF114" s="77">
        <f>MAX(Tabella34[[#This Row],[Italy acc. fit]]-CIf,0)</f>
        <v>0</v>
      </c>
      <c r="AG114" s="4">
        <f>Tabella8[[#This Row],[region data]]</f>
        <v>2602</v>
      </c>
      <c r="AH114" s="72">
        <f>(Tabella34[[#This Row],[selected region cumul. data]]-AG113)</f>
        <v>130</v>
      </c>
      <c r="AI114" s="72">
        <f>Tabella34[[#This Row],[selected region rate data]]-AH113</f>
        <v>0</v>
      </c>
      <c r="AJ114" s="77">
        <f>Tabella34[[#This Row],[selected region rate data]]*NOT(ISBLANK(Tabella34[[#This Row],[selected region rate data]]))</f>
        <v>130</v>
      </c>
      <c r="AK114" s="77">
        <f>Tabella8[[#This Row],[region fit]]</f>
        <v>2578.5020188950489</v>
      </c>
      <c r="AL114" s="143">
        <f>(ATANH(alpha*Tabella34[[#This Row],[sel. region cumul. fit]]/Kl-(1-alpha*Tabella34[[#This Row],[sel. region cumul. fit]]/Kl)*TANH(phi_l))+phi_l)/psi_l-(Tabella34[[#This Row],[Day]]-pl)</f>
        <v>19.185846429656984</v>
      </c>
      <c r="AM114" s="77">
        <f>Tabella34[[#This Row],[sel. region cumul. fit]]/Kl</f>
        <v>0.19599608991719136</v>
      </c>
      <c r="AN114" s="143">
        <f>Tabella3[[#This Row],[region fit]]</f>
        <v>117.79619929575041</v>
      </c>
      <c r="AO114" s="186">
        <f>Tabella34[[#This Row],[sel. region velocity]]/Tabella34[[#This Row],[sel. region cumul. fit]]</f>
        <v>4.5683966284513114E-2</v>
      </c>
      <c r="AP114" s="241">
        <f>(LN(Tabella34[[#This Row],[Day]]-pr)-phi_r)/psi_r</f>
        <v>115.36958628119775</v>
      </c>
      <c r="AQ114" s="244">
        <f>EXP(phi_r+psi_r*Tabella34[[#This Row],[x_r_alpha©+plus]])-(Tabella34[[#This Row],[Day]]-pr)</f>
        <v>-27.405498394710701</v>
      </c>
      <c r="AR114" s="244">
        <f>EXP(phi_r+psi_r*Tabella34[[#This Row],[x_r_alpha©-minus]])-(Tabella34[[#This Row],[Day]]-pr)</f>
        <v>-27.867386347823956</v>
      </c>
      <c r="AS114" s="244">
        <f>-psi_r+SQRT(psi_r^2-2*Tabella34[[#This Row],[c_r]])</f>
        <v>3.7999379160622522</v>
      </c>
      <c r="AT114" s="244">
        <f>-psi_r-SQRT(psi_r^2-2*Tabella34[[#This Row],[c_r]])</f>
        <v>-3.8402259257285905</v>
      </c>
      <c r="AU114" s="244">
        <f>phi_r-LN(alpha*Kr/(Tabella34[[#This Row],[sel. region velocity]]*psi_r*SQRTPI(2)))</f>
        <v>-7.2963100507106669</v>
      </c>
      <c r="AV114" s="244">
        <f>(ACOSH(SQRT(alpha*Kl*psi_l/(Tabella34[[#This Row],[sel. region velocity]]*(1+TANH(phi_l)))))+phi_l)/psi_l-(Tabella34[[#This Row],[Day]]-pl)</f>
        <v>75.09952438037908</v>
      </c>
      <c r="AW114" s="72">
        <f>-2*$BY$22*TANH($BY$22*(Tabella34[[#This Row],[Day]]-$BY$31)-$BY$21)*Tabella34[[#This Row],[sel. region velocity]]</f>
        <v>2.1220735256567553</v>
      </c>
      <c r="AX114" s="77">
        <f>Tabella34[[#This Row],[sel. region acc. fit]]/y_l_peak</f>
        <v>1.4412853137294866E-2</v>
      </c>
      <c r="AY114" s="143">
        <f>Tabella34[[#This Row],[sel. region acc. fit]]*NOT(ISBLANK(Tabella34[[#This Row],[selected region rate data]]))</f>
        <v>2.1220735256567553</v>
      </c>
      <c r="AZ114" s="77">
        <f>Tabella34[[#This Row],[sel. region acc. fit]]+CIl</f>
        <v>71.48705990075716</v>
      </c>
      <c r="BA114" s="77">
        <f>MAX(Tabella34[[#This Row],[sel. region acc. fit]]-CIl,0)</f>
        <v>0</v>
      </c>
      <c r="BB114" s="10">
        <f>Tabella8[[#This Row],[rest of Italy ]]</f>
        <v>59732</v>
      </c>
      <c r="BC114" s="10">
        <f>(Tabella34[[#This Row],[rest of Italy cum. Data]]-BB113)</f>
        <v>2467</v>
      </c>
      <c r="BD114" s="10">
        <f>Tabella34[[#This Row],[rest of Italy rate data]]-BC113</f>
        <v>1057</v>
      </c>
      <c r="BE114" s="77">
        <f>Tabella34[[#This Row],[rest of Italy rate data]]*NOT(ISBLANK(Tabella34[[#This Row],[rest of Italy rate data]]))</f>
        <v>2467</v>
      </c>
      <c r="BF114" s="77">
        <f>Tabella8[[#This Row],[rest of Italy fit]]</f>
        <v>59954.033550339474</v>
      </c>
      <c r="BG114" s="78">
        <f>(ATANH(alpha*Tabella34[[#This Row],[rest of Italy cumul. fit]]/Ka-(1-alpha*Tabella34[[#This Row],[rest of Italy cumul. fit]]/Ka)*TANH(phi_a))+phi_a)/psi_a-(Tabella34[[#This Row],[Day]]-pa)</f>
        <v>20.640742306041936</v>
      </c>
      <c r="BH114" s="77">
        <f>Tabella34[[#This Row],[rest of Italy cumul. fit]]/Ka</f>
        <v>0.2702529798352068</v>
      </c>
      <c r="BI114" s="143">
        <f>Tabella3[[#This Row],[rest of Italy fit]]</f>
        <v>2593.4765946072334</v>
      </c>
      <c r="BJ114" s="183">
        <f>Tabella34[[#This Row],[rest of Italy velocity]]/Tabella34[[#This Row],[rest of Italy cumul. fit]]</f>
        <v>4.3257749996581316E-2</v>
      </c>
      <c r="BK114" s="236">
        <f>(LN(Tabella34[[#This Row],[Day]]-po)-phi_o)/psi_o</f>
        <v>88.39886921202482</v>
      </c>
      <c r="BL114" s="244">
        <f>EXP(phi_o+psi_o*Tabella34[[#This Row],[x_o_alpha©+plus]])-(Tabella34[[#This Row],[Day]]-po)</f>
        <v>-34.678985270286056</v>
      </c>
      <c r="BM114" s="244">
        <f>EXP(phi_o+psi_o*Tabella34[[#This Row],[x_o_alpha©-minus]])-(Tabella34[[#This Row],[Day]]-po)</f>
        <v>-35.428038331052598</v>
      </c>
      <c r="BN114" s="244">
        <f>-psi_o+SQRT(psi_o^2-2*Tabella34[[#This Row],[c_o]])</f>
        <v>3.576541357522891</v>
      </c>
      <c r="BO114" s="244">
        <f>-psi_o-SQRT(psi_o^2-2*Tabella34[[#This Row],[c_o]])</f>
        <v>-3.6278546417905444</v>
      </c>
      <c r="BP114" s="244">
        <f>phi_o-LN(alpha*Ko/(Tabella34[[#This Row],[rest of Italy velocity]]*psi_o*SQRTPI(2)))</f>
        <v>-6.4875860827226379</v>
      </c>
      <c r="BQ114" s="244">
        <f>(ACOSH(SQRT(alpha*Ka*psi_a/(Tabella34[[#This Row],[rest of Italy velocity]]*(1+TANH(phi_a)))))+phi_a)/psi_a-(Tabella34[[#This Row],[Day]]-pa)</f>
        <v>53.795094918878888</v>
      </c>
      <c r="BR114" s="72">
        <f>-2*$BY$35*TANH($BY$35*(Tabella34[[#This Row],[Day]]-$BY$44)-$BY$34)*Tabella34[[#This Row],[rest of Italy velocity]]</f>
        <v>49.984892860459603</v>
      </c>
      <c r="BS114" s="77">
        <f>Tabella34[[#This Row],[rest of Italy acc. fit]]/y_a_peak</f>
        <v>1.6554312665342255E-2</v>
      </c>
      <c r="BT114" s="77">
        <f>Tabella34[[#This Row],[rest of Italy acc. fit]]*NOT(ISBLANK(Tabella34[[#This Row],[rest of Italy rate data]]))</f>
        <v>49.984892860459603</v>
      </c>
      <c r="BU114" s="77">
        <f>Tabella34[[#This Row],[rest of Italy acc. fit]]+CIa</f>
        <v>1684.1188328142612</v>
      </c>
      <c r="BV114" s="77">
        <f>MAX(Tabella34[[#This Row],[rest of Italy acc. fit]]-CIa,0)</f>
        <v>0</v>
      </c>
    </row>
    <row r="115" spans="2:74" x14ac:dyDescent="0.3">
      <c r="B115" s="262">
        <v>43938</v>
      </c>
      <c r="C115" s="4">
        <v>108</v>
      </c>
      <c r="D115" s="10">
        <f>Tabella8[[#This Row],[Italy cumulative]]</f>
        <v>65472</v>
      </c>
      <c r="E115" s="72">
        <f>(Tabella34[[#This Row],[Italy cumul. data]]-D114)</f>
        <v>3138</v>
      </c>
      <c r="F115" s="72">
        <f>Tabella34[[#This Row],[Italy rate data]]-E114</f>
        <v>541</v>
      </c>
      <c r="G115" s="77">
        <f>Tabella34[[#This Row],[Italy rate data]]*NOT(ISBLANK(Tabella34[[#This Row],[Italy rate data]]))</f>
        <v>3138</v>
      </c>
      <c r="H115" s="143">
        <f>Tabella8[[#This Row],[Italy fit]]</f>
        <v>65295.682790488063</v>
      </c>
      <c r="I115" s="143">
        <f>(ATANH(alpha*Tabella34[[#This Row],[Italy cumul. Fit]]/Kf-(1-alpha*Tabella34[[#This Row],[Italy cumul. Fit]]/Kf)*TANH(phi_f))+phi_f)/psi_f-(Tabella34[[#This Row],[Day]]-pf)</f>
        <v>21.380979608991176</v>
      </c>
      <c r="J115" s="143">
        <f>Tabella34[[#This Row],[Italy d.t.]]/Italy_dt_at_lockdown</f>
        <v>9.4199676977452622</v>
      </c>
      <c r="K115" s="77">
        <f>Tabella34[[#This Row],[Italy cumul. Fit]]/Kf</f>
        <v>0.27785396751877489</v>
      </c>
      <c r="L115" s="146">
        <f>Tabella34[[#This Row],[sel. region acc. fit]]+Tabella34[[#This Row],[rest of Italy acc. fit]]</f>
        <v>49.99355092966973</v>
      </c>
      <c r="M115" s="77">
        <f>Tabella34[[#This Row],[Italy (fit of selected region + fitted sum of the other regions)]]/(y_l_peak+y_a_peak)</f>
        <v>1.5787354726221149E-2</v>
      </c>
      <c r="N115" s="143">
        <f>Tabella3[[#This Row],[Italy remov. rate fit]]</f>
        <v>2756.4720799990091</v>
      </c>
      <c r="O115" s="143">
        <f>Kt*EXP(-0.5*Tabella34[[#This Row],[x_t]]^2)/(psi_t*SQRTPI(2)*(Tabella34[[#This Row],[Day]]-D_bk))</f>
        <v>0</v>
      </c>
      <c r="P115" s="183">
        <f>Tabella34[[#This Row],[Italy velocity]]/Tabella34[[#This Row],[Italy cumul. Fit]]</f>
        <v>4.2215227135974719E-2</v>
      </c>
      <c r="Q115" s="244">
        <f>(LN(Tabella34[[#This Row],[Day]]-D_bk)-phi_t)/psi_t</f>
        <v>91.259777617565618</v>
      </c>
      <c r="R115" s="244">
        <f>EXP(phi_t+psi_t*Tabella34[[#This Row],[x_t_alpha©+plus]])-(Tabella34[[#This Row],[Day]]-D_bk)</f>
        <v>-35.203900137339964</v>
      </c>
      <c r="S115" s="244">
        <f>EXP(phi_t+psi_t*Tabella34[[#This Row],[x_t_alpha©-minus]])-(Tabella34[[#This Row],[Day]]-D_bk)</f>
        <v>-35.923922336894407</v>
      </c>
      <c r="T115" s="244">
        <f>-psi_t+SQRT(psi_t^2-2*Tabella34[[#This Row],[c_t]])</f>
        <v>3.5877963151525192</v>
      </c>
      <c r="U115" s="244">
        <f>-psi_t-SQRT(psi_t^2-2*Tabella34[[#This Row],[c_t]])</f>
        <v>-3.6383149898498912</v>
      </c>
      <c r="V115" s="244">
        <f>phi_t-LN(alpha*Kt/(Tabella34[[#This Row],[Italy velocity]]*psi_t*SQRTPI(2)))</f>
        <v>-6.5267665569738078</v>
      </c>
      <c r="W115" s="244">
        <f>Tabella34[[#This Row],[Italy g.r.]]/Italy_gr_at_lockdown</f>
        <v>0.10069430759129708</v>
      </c>
      <c r="X115" s="244">
        <f>(ACOSH(SQRT(alpha*Kf*psi_f/(Tabella34[[#This Row],[Italy velocity]]*(1+TANH(phi_f)))))+phi_f)/psi_f-(Tabella34[[#This Row],[Day]]-pf)</f>
        <v>53.374183356737348</v>
      </c>
      <c r="Y115" s="244">
        <f>Tabella34[[#This Row],[Italy h.t.]]/Italy_ht_at_lockdown</f>
        <v>0.44943790212502321</v>
      </c>
      <c r="Z115" s="72">
        <f>-2*$BY$48*TANH($BY$48*(Tabella34[[#This Row],[Day]]-$BY$57)-$BY$47)*Tabella34[[#This Row],[Italy velocity]]</f>
        <v>49.70770682296169</v>
      </c>
      <c r="AA115" s="72">
        <f>Tabella34[[#This Row],[Italy acc. fit]]/Itali_acc_at_lockdown</f>
        <v>1.4202068644771511</v>
      </c>
      <c r="AB115" s="77">
        <f>Tabella34[[#This Row],[Italy acc. fit]]/y_f_peak</f>
        <v>1.5735319499838564E-2</v>
      </c>
      <c r="AC115" s="143">
        <f>Tabella34[[#This Row],[Italy (fit of selected region + fitted sum of the other regions)]]*NOT(ISBLANK(Tabella34[[#This Row],[Italy rate data]]))</f>
        <v>49.99355092966973</v>
      </c>
      <c r="AD115" s="143">
        <f>Tabella34[[#This Row],[Italy acc. fit]]*NOT(ISBLANK(Tabella34[[#This Row],[Italy rate data]]))</f>
        <v>49.70770682296169</v>
      </c>
      <c r="AE115" s="77">
        <f>Tabella34[[#This Row],[Italy acc. fit]]+CIf</f>
        <v>1704.917675746713</v>
      </c>
      <c r="AF115" s="77">
        <f>MAX(Tabella34[[#This Row],[Italy acc. fit]]-CIf,0)</f>
        <v>0</v>
      </c>
      <c r="AG115" s="4">
        <f>Tabella8[[#This Row],[region data]]</f>
        <v>2729</v>
      </c>
      <c r="AH115" s="72">
        <f>(Tabella34[[#This Row],[selected region cumul. data]]-AG114)</f>
        <v>127</v>
      </c>
      <c r="AI115" s="72">
        <f>Tabella34[[#This Row],[selected region rate data]]-AH114</f>
        <v>-3</v>
      </c>
      <c r="AJ115" s="77">
        <f>Tabella34[[#This Row],[selected region rate data]]*NOT(ISBLANK(Tabella34[[#This Row],[selected region rate data]]))</f>
        <v>127</v>
      </c>
      <c r="AK115" s="77">
        <f>Tabella8[[#This Row],[region fit]]</f>
        <v>2697.3526775422256</v>
      </c>
      <c r="AL115" s="143">
        <f>(ATANH(alpha*Tabella34[[#This Row],[sel. region cumul. fit]]/Kl-(1-alpha*Tabella34[[#This Row],[sel. region cumul. fit]]/Kl)*TANH(phi_l))+phi_l)/psi_l-(Tabella34[[#This Row],[Day]]-pl)</f>
        <v>19.810341636534581</v>
      </c>
      <c r="AM115" s="77">
        <f>Tabella34[[#This Row],[sel. region cumul. fit]]/Kl</f>
        <v>0.20503011983387595</v>
      </c>
      <c r="AN115" s="143">
        <f>Tabella3[[#This Row],[region fit]]</f>
        <v>119.89833868727874</v>
      </c>
      <c r="AO115" s="186">
        <f>Tabella34[[#This Row],[sel. region velocity]]/Tabella34[[#This Row],[sel. region cumul. fit]]</f>
        <v>4.4450375245897671E-2</v>
      </c>
      <c r="AP115" s="241">
        <f>(LN(Tabella34[[#This Row],[Day]]-pr)-phi_r)/psi_r</f>
        <v>116.96371668992457</v>
      </c>
      <c r="AQ115" s="244">
        <f>EXP(phi_r+psi_r*Tabella34[[#This Row],[x_r_alpha©+plus]])-(Tabella34[[#This Row],[Day]]-pr)</f>
        <v>-28.405800584146661</v>
      </c>
      <c r="AR115" s="244">
        <f>EXP(phi_r+psi_r*Tabella34[[#This Row],[x_r_alpha©-minus]])-(Tabella34[[#This Row],[Day]]-pr)</f>
        <v>-28.867127240093087</v>
      </c>
      <c r="AS115" s="244">
        <f>-psi_r+SQRT(psi_r^2-2*Tabella34[[#This Row],[c_r]])</f>
        <v>3.7953047870422685</v>
      </c>
      <c r="AT115" s="244">
        <f>-psi_r-SQRT(psi_r^2-2*Tabella34[[#This Row],[c_r]])</f>
        <v>-3.8355927967086068</v>
      </c>
      <c r="AU115" s="244">
        <f>phi_r-LN(alpha*Kr/(Tabella34[[#This Row],[sel. region velocity]]*psi_r*SQRTPI(2)))</f>
        <v>-7.27862185124651</v>
      </c>
      <c r="AV115" s="244">
        <f>(ACOSH(SQRT(alpha*Kl*psi_l/(Tabella34[[#This Row],[sel. region velocity]]*(1+TANH(phi_l)))))+phi_l)/psi_l-(Tabella34[[#This Row],[Day]]-pl)</f>
        <v>73.531016755494576</v>
      </c>
      <c r="AW115" s="72">
        <f>-2*$BY$22*TANH($BY$22*(Tabella34[[#This Row],[Day]]-$BY$31)-$BY$21)*Tabella34[[#This Row],[sel. region velocity]]</f>
        <v>2.0813967862009988</v>
      </c>
      <c r="AX115" s="77">
        <f>Tabella34[[#This Row],[sel. region acc. fit]]/y_l_peak</f>
        <v>1.4136581903149771E-2</v>
      </c>
      <c r="AY115" s="143">
        <f>Tabella34[[#This Row],[sel. region acc. fit]]*NOT(ISBLANK(Tabella34[[#This Row],[selected region rate data]]))</f>
        <v>2.0813967862009988</v>
      </c>
      <c r="AZ115" s="77">
        <f>Tabella34[[#This Row],[sel. region acc. fit]]+CIl</f>
        <v>71.446383161301398</v>
      </c>
      <c r="BA115" s="77">
        <f>MAX(Tabella34[[#This Row],[sel. region acc. fit]]-CIl,0)</f>
        <v>0</v>
      </c>
      <c r="BB115" s="10">
        <f>Tabella8[[#This Row],[rest of Italy ]]</f>
        <v>62743</v>
      </c>
      <c r="BC115" s="10">
        <f>(Tabella34[[#This Row],[rest of Italy cum. Data]]-BB114)</f>
        <v>3011</v>
      </c>
      <c r="BD115" s="10">
        <f>Tabella34[[#This Row],[rest of Italy rate data]]-BC114</f>
        <v>544</v>
      </c>
      <c r="BE115" s="77">
        <f>Tabella34[[#This Row],[rest of Italy rate data]]*NOT(ISBLANK(Tabella34[[#This Row],[rest of Italy rate data]]))</f>
        <v>3011</v>
      </c>
      <c r="BF115" s="77">
        <f>Tabella8[[#This Row],[rest of Italy fit]]</f>
        <v>62572.165740695404</v>
      </c>
      <c r="BG115" s="78">
        <f>(ATANH(alpha*Tabella34[[#This Row],[rest of Italy cumul. fit]]/Ka-(1-alpha*Tabella34[[#This Row],[rest of Italy cumul. fit]]/Ka)*TANH(phi_a))+phi_a)/psi_a-(Tabella34[[#This Row],[Day]]-pa)</f>
        <v>21.418554887273224</v>
      </c>
      <c r="BH115" s="77">
        <f>Tabella34[[#This Row],[rest of Italy cumul. fit]]/Ka</f>
        <v>0.28205465495439752</v>
      </c>
      <c r="BI115" s="143">
        <f>Tabella3[[#This Row],[rest of Italy fit]]</f>
        <v>2642.4423227935144</v>
      </c>
      <c r="BJ115" s="183">
        <f>Tabella34[[#This Row],[rest of Italy velocity]]/Tabella34[[#This Row],[rest of Italy cumul. fit]]</f>
        <v>4.2230315852323688E-2</v>
      </c>
      <c r="BK115" s="236">
        <f>(LN(Tabella34[[#This Row],[Day]]-po)-phi_o)/psi_o</f>
        <v>89.382736462604313</v>
      </c>
      <c r="BL115" s="244">
        <f>EXP(phi_o+psi_o*Tabella34[[#This Row],[x_o_alpha©+plus]])-(Tabella34[[#This Row],[Day]]-po)</f>
        <v>-35.679576959072392</v>
      </c>
      <c r="BM115" s="244">
        <f>EXP(phi_o+psi_o*Tabella34[[#This Row],[x_o_alpha©-minus]])-(Tabella34[[#This Row],[Day]]-po)</f>
        <v>-36.427546432006004</v>
      </c>
      <c r="BN115" s="244">
        <f>-psi_o+SQRT(psi_o^2-2*Tabella34[[#This Row],[c_o]])</f>
        <v>3.5713451351055641</v>
      </c>
      <c r="BO115" s="244">
        <f>-psi_o-SQRT(psi_o^2-2*Tabella34[[#This Row],[c_o]])</f>
        <v>-3.6226584193732174</v>
      </c>
      <c r="BP115" s="244">
        <f>phi_o-LN(alpha*Ko/(Tabella34[[#This Row],[rest of Italy velocity]]*psi_o*SQRTPI(2)))</f>
        <v>-6.4688817610888769</v>
      </c>
      <c r="BQ115" s="244">
        <f>(ACOSH(SQRT(alpha*Ka*psi_a/(Tabella34[[#This Row],[rest of Italy velocity]]*(1+TANH(phi_a)))))+phi_a)/psi_a-(Tabella34[[#This Row],[Day]]-pa)</f>
        <v>52.31079284382335</v>
      </c>
      <c r="BR115" s="72">
        <f>-2*$BY$35*TANH($BY$35*(Tabella34[[#This Row],[Day]]-$BY$44)-$BY$34)*Tabella34[[#This Row],[rest of Italy velocity]]</f>
        <v>47.912154143468733</v>
      </c>
      <c r="BS115" s="77">
        <f>Tabella34[[#This Row],[rest of Italy acc. fit]]/y_a_peak</f>
        <v>1.5867849959692041E-2</v>
      </c>
      <c r="BT115" s="77">
        <f>Tabella34[[#This Row],[rest of Italy acc. fit]]*NOT(ISBLANK(Tabella34[[#This Row],[rest of Italy rate data]]))</f>
        <v>47.912154143468733</v>
      </c>
      <c r="BU115" s="77">
        <f>Tabella34[[#This Row],[rest of Italy acc. fit]]+CIa</f>
        <v>1682.0460940972703</v>
      </c>
      <c r="BV115" s="77">
        <f>MAX(Tabella34[[#This Row],[rest of Italy acc. fit]]-CIa,0)</f>
        <v>0</v>
      </c>
    </row>
    <row r="116" spans="2:74" x14ac:dyDescent="0.3">
      <c r="B116" s="262">
        <v>43939</v>
      </c>
      <c r="C116" s="4">
        <v>109</v>
      </c>
      <c r="D116" s="10">
        <f>Tabella8[[#This Row],[Italy cumulative]]</f>
        <v>68154</v>
      </c>
      <c r="E116" s="72">
        <f>(Tabella34[[#This Row],[Italy cumul. data]]-D115)</f>
        <v>2682</v>
      </c>
      <c r="F116" s="72">
        <f>Tabella34[[#This Row],[Italy rate data]]-E115</f>
        <v>-456</v>
      </c>
      <c r="G116" s="77">
        <f>Tabella34[[#This Row],[Italy rate data]]*NOT(ISBLANK(Tabella34[[#This Row],[Italy rate data]]))</f>
        <v>2682</v>
      </c>
      <c r="H116" s="143">
        <f>Tabella8[[#This Row],[Italy fit]]</f>
        <v>68076.638054658382</v>
      </c>
      <c r="I116" s="143">
        <f>(ATANH(alpha*Tabella34[[#This Row],[Italy cumul. Fit]]/Kf-(1-alpha*Tabella34[[#This Row],[Italy cumul. Fit]]/Kf)*TANH(phi_f))+phi_f)/psi_f-(Tabella34[[#This Row],[Day]]-pf)</f>
        <v>22.20606902276139</v>
      </c>
      <c r="J116" s="143">
        <f>Tabella34[[#This Row],[Italy d.t.]]/Italy_dt_at_lockdown</f>
        <v>9.7834831103972881</v>
      </c>
      <c r="K116" s="77">
        <f>Tabella34[[#This Row],[Italy cumul. Fit]]/Kf</f>
        <v>0.28968781962996698</v>
      </c>
      <c r="L116" s="146">
        <f>Tabella34[[#This Row],[sel. region acc. fit]]+Tabella34[[#This Row],[rest of Italy acc. fit]]</f>
        <v>47.67034788519679</v>
      </c>
      <c r="M116" s="77">
        <f>Tabella34[[#This Row],[Italy (fit of selected region + fitted sum of the other regions)]]/(y_l_peak+y_a_peak)</f>
        <v>1.505371548911778E-2</v>
      </c>
      <c r="N116" s="143">
        <f>Tabella3[[#This Row],[Italy remov. rate fit]]</f>
        <v>2805.0592844849198</v>
      </c>
      <c r="O116" s="143">
        <f>Kt*EXP(-0.5*Tabella34[[#This Row],[x_t]]^2)/(psi_t*SQRTPI(2)*(Tabella34[[#This Row],[Day]]-D_bk))</f>
        <v>0</v>
      </c>
      <c r="P116" s="183">
        <f>Tabella34[[#This Row],[Italy velocity]]/Tabella34[[#This Row],[Italy cumul. Fit]]</f>
        <v>4.1204433189440878E-2</v>
      </c>
      <c r="Q116" s="244">
        <f>(LN(Tabella34[[#This Row],[Day]]-D_bk)-phi_t)/psi_t</f>
        <v>92.249077243038698</v>
      </c>
      <c r="R116" s="244">
        <f>EXP(phi_t+psi_t*Tabella34[[#This Row],[x_t_alpha©+plus]])-(Tabella34[[#This Row],[Day]]-D_bk)</f>
        <v>-36.204427648967794</v>
      </c>
      <c r="S116" s="244">
        <f>EXP(phi_t+psi_t*Tabella34[[#This Row],[x_t_alpha©-minus]])-(Tabella34[[#This Row],[Day]]-D_bk)</f>
        <v>-36.923482780350746</v>
      </c>
      <c r="T116" s="244">
        <f>-psi_t+SQRT(psi_t^2-2*Tabella34[[#This Row],[c_t]])</f>
        <v>3.5829569893714406</v>
      </c>
      <c r="U116" s="244">
        <f>-psi_t-SQRT(psi_t^2-2*Tabella34[[#This Row],[c_t]])</f>
        <v>-3.6334756640688126</v>
      </c>
      <c r="V116" s="244">
        <f>phi_t-LN(alpha*Kt/(Tabella34[[#This Row],[Italy velocity]]*psi_t*SQRTPI(2)))</f>
        <v>-6.509293513143195</v>
      </c>
      <c r="W116" s="244">
        <f>Tabella34[[#This Row],[Italy g.r.]]/Italy_gr_at_lockdown</f>
        <v>9.8283300865314921E-2</v>
      </c>
      <c r="X116" s="244">
        <f>(ACOSH(SQRT(alpha*Kf*psi_f/(Tabella34[[#This Row],[Italy velocity]]*(1+TANH(phi_f)))))+phi_f)/psi_f-(Tabella34[[#This Row],[Day]]-pf)</f>
        <v>51.911937202992092</v>
      </c>
      <c r="Y116" s="244">
        <f>Tabella34[[#This Row],[Italy h.t.]]/Italy_ht_at_lockdown</f>
        <v>0.43712504219165066</v>
      </c>
      <c r="Z116" s="72">
        <f>-2*$BY$48*TANH($BY$48*(Tabella34[[#This Row],[Day]]-$BY$57)-$BY$47)*Tabella34[[#This Row],[Italy velocity]]</f>
        <v>47.432787111940385</v>
      </c>
      <c r="AA116" s="72">
        <f>Tabella34[[#This Row],[Italy acc. fit]]/Itali_acc_at_lockdown</f>
        <v>1.3552097685291564</v>
      </c>
      <c r="AB116" s="77">
        <f>Tabella34[[#This Row],[Italy acc. fit]]/y_f_peak</f>
        <v>1.5015177880413367E-2</v>
      </c>
      <c r="AC116" s="143">
        <f>Tabella34[[#This Row],[Italy (fit of selected region + fitted sum of the other regions)]]*NOT(ISBLANK(Tabella34[[#This Row],[Italy rate data]]))</f>
        <v>47.67034788519679</v>
      </c>
      <c r="AD116" s="143">
        <f>Tabella34[[#This Row],[Italy acc. fit]]*NOT(ISBLANK(Tabella34[[#This Row],[Italy rate data]]))</f>
        <v>47.432787111940385</v>
      </c>
      <c r="AE116" s="77">
        <f>Tabella34[[#This Row],[Italy acc. fit]]+CIf</f>
        <v>1702.6427560356917</v>
      </c>
      <c r="AF116" s="77">
        <f>MAX(Tabella34[[#This Row],[Italy acc. fit]]-CIf,0)</f>
        <v>0</v>
      </c>
      <c r="AG116" s="4">
        <f>Tabella8[[#This Row],[region data]]</f>
        <v>2889</v>
      </c>
      <c r="AH116" s="72">
        <f>(Tabella34[[#This Row],[selected region cumul. data]]-AG115)</f>
        <v>160</v>
      </c>
      <c r="AI116" s="72">
        <f>Tabella34[[#This Row],[selected region rate data]]-AH115</f>
        <v>33</v>
      </c>
      <c r="AJ116" s="77">
        <f>Tabella34[[#This Row],[selected region rate data]]*NOT(ISBLANK(Tabella34[[#This Row],[selected region rate data]]))</f>
        <v>160</v>
      </c>
      <c r="AK116" s="77">
        <f>Tabella8[[#This Row],[region fit]]</f>
        <v>2818.2843267829389</v>
      </c>
      <c r="AL116" s="143">
        <f>(ATANH(alpha*Tabella34[[#This Row],[sel. region cumul. fit]]/Kl-(1-alpha*Tabella34[[#This Row],[sel. region cumul. fit]]/Kl)*TANH(phi_l))+phi_l)/psi_l-(Tabella34[[#This Row],[Day]]-pl)</f>
        <v>20.456576712023292</v>
      </c>
      <c r="AM116" s="77">
        <f>Tabella34[[#This Row],[sel. region cumul. fit]]/Kl</f>
        <v>0.21422232919602882</v>
      </c>
      <c r="AN116" s="143">
        <f>Tabella3[[#This Row],[region fit]]</f>
        <v>121.95736821036495</v>
      </c>
      <c r="AO116" s="186">
        <f>Tabella34[[#This Row],[sel. region velocity]]/Tabella34[[#This Row],[sel. region cumul. fit]]</f>
        <v>4.3273621135869862E-2</v>
      </c>
      <c r="AP116" s="241">
        <f>(LN(Tabella34[[#This Row],[Day]]-pr)-phi_r)/psi_r</f>
        <v>118.5082448181911</v>
      </c>
      <c r="AQ116" s="244">
        <f>EXP(phi_r+psi_r*Tabella34[[#This Row],[x_r_alpha©+plus]])-(Tabella34[[#This Row],[Day]]-pr)</f>
        <v>-29.406091803603523</v>
      </c>
      <c r="AR116" s="244">
        <f>EXP(phi_r+psi_r*Tabella34[[#This Row],[x_r_alpha©-minus]])-(Tabella34[[#This Row],[Day]]-pr)</f>
        <v>-29.866877492634305</v>
      </c>
      <c r="AS116" s="244">
        <f>-psi_r+SQRT(psi_r^2-2*Tabella34[[#This Row],[c_r]])</f>
        <v>3.7908394391256843</v>
      </c>
      <c r="AT116" s="244">
        <f>-psi_r-SQRT(psi_r^2-2*Tabella34[[#This Row],[c_r]])</f>
        <v>-3.8311274487920226</v>
      </c>
      <c r="AU116" s="244">
        <f>phi_r-LN(alpha*Kr/(Tabella34[[#This Row],[sel. region velocity]]*psi_r*SQRTPI(2)))</f>
        <v>-7.2615945145988823</v>
      </c>
      <c r="AV116" s="244">
        <f>(ACOSH(SQRT(alpha*Kl*psi_l/(Tabella34[[#This Row],[sel. region velocity]]*(1+TANH(phi_l)))))+phi_l)/psi_l-(Tabella34[[#This Row],[Day]]-pl)</f>
        <v>71.980478607436481</v>
      </c>
      <c r="AW116" s="72">
        <f>-2*$BY$22*TANH($BY$22*(Tabella34[[#This Row],[Day]]-$BY$31)-$BY$21)*Tabella34[[#This Row],[sel. region velocity]]</f>
        <v>2.0358467505500037</v>
      </c>
      <c r="AX116" s="77">
        <f>Tabella34[[#This Row],[sel. region acc. fit]]/y_l_peak</f>
        <v>1.382721186186755E-2</v>
      </c>
      <c r="AY116" s="143">
        <f>Tabella34[[#This Row],[sel. region acc. fit]]*NOT(ISBLANK(Tabella34[[#This Row],[selected region rate data]]))</f>
        <v>2.0358467505500037</v>
      </c>
      <c r="AZ116" s="77">
        <f>Tabella34[[#This Row],[sel. region acc. fit]]+CIl</f>
        <v>71.400833125650408</v>
      </c>
      <c r="BA116" s="77">
        <f>MAX(Tabella34[[#This Row],[sel. region acc. fit]]-CIl,0)</f>
        <v>0</v>
      </c>
      <c r="BB116" s="10">
        <f>Tabella8[[#This Row],[rest of Italy ]]</f>
        <v>65265</v>
      </c>
      <c r="BC116" s="10">
        <f>(Tabella34[[#This Row],[rest of Italy cum. Data]]-BB115)</f>
        <v>2522</v>
      </c>
      <c r="BD116" s="10">
        <f>Tabella34[[#This Row],[rest of Italy rate data]]-BC115</f>
        <v>-489</v>
      </c>
      <c r="BE116" s="77">
        <f>Tabella34[[#This Row],[rest of Italy rate data]]*NOT(ISBLANK(Tabella34[[#This Row],[rest of Italy rate data]]))</f>
        <v>2522</v>
      </c>
      <c r="BF116" s="77">
        <f>Tabella8[[#This Row],[rest of Italy fit]]</f>
        <v>65238.193001942105</v>
      </c>
      <c r="BG116" s="78">
        <f>(ATANH(alpha*Tabella34[[#This Row],[rest of Italy cumul. fit]]/Ka-(1-alpha*Tabella34[[#This Row],[rest of Italy cumul. fit]]/Ka)*TANH(phi_a))+phi_a)/psi_a-(Tabella34[[#This Row],[Day]]-pa)</f>
        <v>22.259176767866656</v>
      </c>
      <c r="BH116" s="77">
        <f>Tabella34[[#This Row],[rest of Italy cumul. fit]]/Ka</f>
        <v>0.29407222523294863</v>
      </c>
      <c r="BI116" s="143">
        <f>Tabella3[[#This Row],[rest of Italy fit]]</f>
        <v>2689.2325792997422</v>
      </c>
      <c r="BJ116" s="183">
        <f>Tabella34[[#This Row],[rest of Italy velocity]]/Tabella34[[#This Row],[rest of Italy cumul. fit]]</f>
        <v>4.1221751485662476E-2</v>
      </c>
      <c r="BK116" s="236">
        <f>(LN(Tabella34[[#This Row],[Day]]-po)-phi_o)/psi_o</f>
        <v>90.3423784743878</v>
      </c>
      <c r="BL116" s="244">
        <f>EXP(phi_o+psi_o*Tabella34[[#This Row],[x_o_alpha©+plus]])-(Tabella34[[#This Row],[Day]]-po)</f>
        <v>-36.680132910170911</v>
      </c>
      <c r="BM116" s="244">
        <f>EXP(phi_o+psi_o*Tabella34[[#This Row],[x_o_alpha©-minus]])-(Tabella34[[#This Row],[Day]]-po)</f>
        <v>-37.42708412386304</v>
      </c>
      <c r="BN116" s="244">
        <f>-psi_o+SQRT(psi_o^2-2*Tabella34[[#This Row],[c_o]])</f>
        <v>3.5664621304270576</v>
      </c>
      <c r="BO116" s="244">
        <f>-psi_o-SQRT(psi_o^2-2*Tabella34[[#This Row],[c_o]])</f>
        <v>-3.617775414694711</v>
      </c>
      <c r="BP116" s="244">
        <f>phi_o-LN(alpha*Ko/(Tabella34[[#This Row],[rest of Italy velocity]]*psi_o*SQRTPI(2)))</f>
        <v>-6.4513295064493654</v>
      </c>
      <c r="BQ116" s="244">
        <f>(ACOSH(SQRT(alpha*Ka*psi_a/(Tabella34[[#This Row],[rest of Italy velocity]]*(1+TANH(phi_a)))))+phi_a)/psi_a-(Tabella34[[#This Row],[Day]]-pa)</f>
        <v>50.853106328670549</v>
      </c>
      <c r="BR116" s="72">
        <f>-2*$BY$35*TANH($BY$35*(Tabella34[[#This Row],[Day]]-$BY$44)-$BY$34)*Tabella34[[#This Row],[rest of Italy velocity]]</f>
        <v>45.63450113464679</v>
      </c>
      <c r="BS116" s="77">
        <f>Tabella34[[#This Row],[rest of Italy acc. fit]]/y_a_peak</f>
        <v>1.511352244404736E-2</v>
      </c>
      <c r="BT116" s="77">
        <f>Tabella34[[#This Row],[rest of Italy acc. fit]]*NOT(ISBLANK(Tabella34[[#This Row],[rest of Italy rate data]]))</f>
        <v>45.63450113464679</v>
      </c>
      <c r="BU116" s="77">
        <f>Tabella34[[#This Row],[rest of Italy acc. fit]]+CIa</f>
        <v>1679.7684410884483</v>
      </c>
      <c r="BV116" s="77">
        <f>MAX(Tabella34[[#This Row],[rest of Italy acc. fit]]-CIa,0)</f>
        <v>0</v>
      </c>
    </row>
    <row r="117" spans="2:74" x14ac:dyDescent="0.3">
      <c r="B117" s="262">
        <v>43940</v>
      </c>
      <c r="C117" s="4">
        <v>110</v>
      </c>
      <c r="D117" s="10">
        <f>Tabella8[[#This Row],[Italy cumulative]]</f>
        <v>70715</v>
      </c>
      <c r="E117" s="72">
        <f>(Tabella34[[#This Row],[Italy cumul. data]]-D116)</f>
        <v>2561</v>
      </c>
      <c r="F117" s="72">
        <f>Tabella34[[#This Row],[Italy rate data]]-E116</f>
        <v>-121</v>
      </c>
      <c r="G117" s="77">
        <f>Tabella34[[#This Row],[Italy rate data]]*NOT(ISBLANK(Tabella34[[#This Row],[Italy rate data]]))</f>
        <v>2561</v>
      </c>
      <c r="H117" s="143">
        <f>Tabella8[[#This Row],[Italy fit]]</f>
        <v>70905.009325486972</v>
      </c>
      <c r="I117" s="143">
        <f>(ATANH(alpha*Tabella34[[#This Row],[Italy cumul. Fit]]/Kf-(1-alpha*Tabella34[[#This Row],[Italy cumul. Fit]]/Kf)*TANH(phi_f))+phi_f)/psi_f-(Tabella34[[#This Row],[Day]]-pf)</f>
        <v>23.099252226863854</v>
      </c>
      <c r="J117" s="143">
        <f>Tabella34[[#This Row],[Italy d.t.]]/Italy_dt_at_lockdown</f>
        <v>10.176999080417467</v>
      </c>
      <c r="K117" s="77">
        <f>Tabella34[[#This Row],[Italy cumul. Fit]]/Kf</f>
        <v>0.30172344198094919</v>
      </c>
      <c r="L117" s="146">
        <f>Tabella34[[#This Row],[sel. region acc. fit]]+Tabella34[[#This Row],[rest of Italy acc. fit]]</f>
        <v>45.141490723148081</v>
      </c>
      <c r="M117" s="77">
        <f>Tabella34[[#This Row],[Italy (fit of selected region + fitted sum of the other regions)]]/(y_l_peak+y_a_peak)</f>
        <v>1.4255133185464808E-2</v>
      </c>
      <c r="N117" s="143">
        <f>Tabella3[[#This Row],[Italy remov. rate fit]]</f>
        <v>2851.2705417089642</v>
      </c>
      <c r="O117" s="143">
        <f>Kt*EXP(-0.5*Tabella34[[#This Row],[x_t]]^2)/(psi_t*SQRTPI(2)*(Tabella34[[#This Row],[Day]]-D_bk))</f>
        <v>0</v>
      </c>
      <c r="P117" s="183">
        <f>Tabella34[[#This Row],[Italy velocity]]/Tabella34[[#This Row],[Italy cumul. Fit]]</f>
        <v>4.0212540253965784E-2</v>
      </c>
      <c r="Q117" s="244">
        <f>(LN(Tabella34[[#This Row],[Day]]-D_bk)-phi_t)/psi_t</f>
        <v>93.214256722838755</v>
      </c>
      <c r="R117" s="244">
        <f>EXP(phi_t+psi_t*Tabella34[[#This Row],[x_t_alpha©+plus]])-(Tabella34[[#This Row],[Day]]-D_bk)</f>
        <v>-37.204921537247635</v>
      </c>
      <c r="S117" s="244">
        <f>EXP(phi_t+psi_t*Tabella34[[#This Row],[x_t_alpha©-minus]])-(Tabella34[[#This Row],[Day]]-D_bk)</f>
        <v>-37.923071143516268</v>
      </c>
      <c r="T117" s="244">
        <f>-psi_t+SQRT(psi_t^2-2*Tabella34[[#This Row],[c_t]])</f>
        <v>3.5784255837278103</v>
      </c>
      <c r="U117" s="244">
        <f>-psi_t-SQRT(psi_t^2-2*Tabella34[[#This Row],[c_t]])</f>
        <v>-3.6289442584251823</v>
      </c>
      <c r="V117" s="244">
        <f>phi_t-LN(alpha*Kt/(Tabella34[[#This Row],[Italy velocity]]*psi_t*SQRTPI(2)))</f>
        <v>-6.4929534881354094</v>
      </c>
      <c r="W117" s="244">
        <f>Tabella34[[#This Row],[Italy g.r.]]/Italy_gr_at_lockdown</f>
        <v>9.5917377971647719E-2</v>
      </c>
      <c r="X117" s="244">
        <f>(ACOSH(SQRT(alpha*Kf*psi_f/(Tabella34[[#This Row],[Italy velocity]]*(1+TANH(phi_f)))))+phi_f)/psi_f-(Tabella34[[#This Row],[Day]]-pf)</f>
        <v>50.476738909429855</v>
      </c>
      <c r="Y117" s="244">
        <f>Tabella34[[#This Row],[Italy h.t.]]/Italy_ht_at_lockdown</f>
        <v>0.42503993906452986</v>
      </c>
      <c r="Z117" s="72">
        <f>-2*$BY$48*TANH($BY$48*(Tabella34[[#This Row],[Day]]-$BY$57)-$BY$47)*Tabella34[[#This Row],[Italy velocity]]</f>
        <v>44.956585654994271</v>
      </c>
      <c r="AA117" s="72">
        <f>Tabella34[[#This Row],[Italy acc. fit]]/Itali_acc_at_lockdown</f>
        <v>1.2844618195338771</v>
      </c>
      <c r="AB117" s="77">
        <f>Tabella34[[#This Row],[Italy acc. fit]]/y_f_peak</f>
        <v>1.423131912768945E-2</v>
      </c>
      <c r="AC117" s="143">
        <f>Tabella34[[#This Row],[Italy (fit of selected region + fitted sum of the other regions)]]*NOT(ISBLANK(Tabella34[[#This Row],[Italy rate data]]))</f>
        <v>45.141490723148081</v>
      </c>
      <c r="AD117" s="143">
        <f>Tabella34[[#This Row],[Italy acc. fit]]*NOT(ISBLANK(Tabella34[[#This Row],[Italy rate data]]))</f>
        <v>44.956585654994271</v>
      </c>
      <c r="AE117" s="77">
        <f>Tabella34[[#This Row],[Italy acc. fit]]+CIf</f>
        <v>1700.1665545787457</v>
      </c>
      <c r="AF117" s="77">
        <f>MAX(Tabella34[[#This Row],[Italy acc. fit]]-CIf,0)</f>
        <v>0</v>
      </c>
      <c r="AG117" s="4">
        <f>Tabella8[[#This Row],[region data]]</f>
        <v>3038</v>
      </c>
      <c r="AH117" s="72">
        <f>(Tabella34[[#This Row],[selected region cumul. data]]-AG116)</f>
        <v>149</v>
      </c>
      <c r="AI117" s="72">
        <f>Tabella34[[#This Row],[selected region rate data]]-AH116</f>
        <v>-11</v>
      </c>
      <c r="AJ117" s="77">
        <f>Tabella34[[#This Row],[selected region rate data]]*NOT(ISBLANK(Tabella34[[#This Row],[selected region rate data]]))</f>
        <v>149</v>
      </c>
      <c r="AK117" s="77">
        <f>Tabella8[[#This Row],[region fit]]</f>
        <v>2941.2514139225377</v>
      </c>
      <c r="AL117" s="143">
        <f>(ATANH(alpha*Tabella34[[#This Row],[sel. region cumul. fit]]/Kl-(1-alpha*Tabella34[[#This Row],[sel. region cumul. fit]]/Kl)*TANH(phi_l))+phi_l)/psi_l-(Tabella34[[#This Row],[Day]]-pl)</f>
        <v>21.127326037300215</v>
      </c>
      <c r="AM117" s="77">
        <f>Tabella34[[#This Row],[sel. region cumul. fit]]/Kl</f>
        <v>0.22356925546998838</v>
      </c>
      <c r="AN117" s="143">
        <f>Tabella3[[#This Row],[region fit]]</f>
        <v>123.96839690126257</v>
      </c>
      <c r="AO117" s="186">
        <f>Tabella34[[#This Row],[sel. region velocity]]/Tabella34[[#This Row],[sel. region cumul. fit]]</f>
        <v>4.214818097985535E-2</v>
      </c>
      <c r="AP117" s="241">
        <f>(LN(Tabella34[[#This Row],[Day]]-pr)-phi_r)/psi_r</f>
        <v>120.00616455048494</v>
      </c>
      <c r="AQ117" s="244">
        <f>EXP(phi_r+psi_r*Tabella34[[#This Row],[x_r_alpha©+plus]])-(Tabella34[[#This Row],[Day]]-pr)</f>
        <v>-30.406371823156086</v>
      </c>
      <c r="AR117" s="244">
        <f>EXP(phi_r+psi_r*Tabella34[[#This Row],[x_r_alpha©-minus]])-(Tabella34[[#This Row],[Day]]-pr)</f>
        <v>-30.866637307746707</v>
      </c>
      <c r="AS117" s="244">
        <f>-psi_r+SQRT(psi_r^2-2*Tabella34[[#This Row],[c_r]])</f>
        <v>3.7865454436004384</v>
      </c>
      <c r="AT117" s="244">
        <f>-psi_r-SQRT(psi_r^2-2*Tabella34[[#This Row],[c_r]])</f>
        <v>-3.8268334532667767</v>
      </c>
      <c r="AU117" s="244">
        <f>phi_r-LN(alpha*Kr/(Tabella34[[#This Row],[sel. region velocity]]*psi_r*SQRTPI(2)))</f>
        <v>-7.2452393879425232</v>
      </c>
      <c r="AV117" s="244">
        <f>(ACOSH(SQRT(alpha*Kl*psi_l/(Tabella34[[#This Row],[sel. region velocity]]*(1+TANH(phi_l)))))+phi_l)/psi_l-(Tabella34[[#This Row],[Day]]-pl)</f>
        <v>70.448546552428638</v>
      </c>
      <c r="AW117" s="72">
        <f>-2*$BY$22*TANH($BY$22*(Tabella34[[#This Row],[Day]]-$BY$31)-$BY$21)*Tabella34[[#This Row],[sel. region velocity]]</f>
        <v>1.9853915707674015</v>
      </c>
      <c r="AX117" s="77">
        <f>Tabella34[[#This Row],[sel. region acc. fit]]/y_l_peak</f>
        <v>1.3484526706320268E-2</v>
      </c>
      <c r="AY117" s="143">
        <f>Tabella34[[#This Row],[sel. region acc. fit]]*NOT(ISBLANK(Tabella34[[#This Row],[selected region rate data]]))</f>
        <v>1.9853915707674015</v>
      </c>
      <c r="AZ117" s="77">
        <f>Tabella34[[#This Row],[sel. region acc. fit]]+CIl</f>
        <v>71.350377945867805</v>
      </c>
      <c r="BA117" s="77">
        <f>MAX(Tabella34[[#This Row],[sel. region acc. fit]]-CIl,0)</f>
        <v>0</v>
      </c>
      <c r="BB117" s="10">
        <f>Tabella8[[#This Row],[rest of Italy ]]</f>
        <v>67677</v>
      </c>
      <c r="BC117" s="10">
        <f>(Tabella34[[#This Row],[rest of Italy cum. Data]]-BB116)</f>
        <v>2412</v>
      </c>
      <c r="BD117" s="10">
        <f>Tabella34[[#This Row],[rest of Italy rate data]]-BC116</f>
        <v>-110</v>
      </c>
      <c r="BE117" s="77">
        <f>Tabella34[[#This Row],[rest of Italy rate data]]*NOT(ISBLANK(Tabella34[[#This Row],[rest of Italy rate data]]))</f>
        <v>2412</v>
      </c>
      <c r="BF117" s="77">
        <f>Tabella8[[#This Row],[rest of Italy fit]]</f>
        <v>67949.838028011683</v>
      </c>
      <c r="BG117" s="78">
        <f>(ATANH(alpha*Tabella34[[#This Row],[rest of Italy cumul. fit]]/Ka-(1-alpha*Tabella34[[#This Row],[rest of Italy cumul. fit]]/Ka)*TANH(phi_a))+phi_a)/psi_a-(Tabella34[[#This Row],[Day]]-pa)</f>
        <v>23.172125430846094</v>
      </c>
      <c r="BH117" s="77">
        <f>Tabella34[[#This Row],[rest of Italy cumul. fit]]/Ka</f>
        <v>0.30629542532732279</v>
      </c>
      <c r="BI117" s="143">
        <f>Tabella3[[#This Row],[rest of Italy fit]]</f>
        <v>2733.6443894574986</v>
      </c>
      <c r="BJ117" s="183">
        <f>Tabella34[[#This Row],[rest of Italy velocity]]/Tabella34[[#This Row],[rest of Italy cumul. fit]]</f>
        <v>4.0230329737218497E-2</v>
      </c>
      <c r="BK117" s="236">
        <f>(LN(Tabella34[[#This Row],[Day]]-po)-phi_o)/psi_o</f>
        <v>91.27895960568425</v>
      </c>
      <c r="BL117" s="244">
        <f>EXP(phi_o+psi_o*Tabella34[[#This Row],[x_o_alpha©+plus]])-(Tabella34[[#This Row],[Day]]-po)</f>
        <v>-37.68065234430162</v>
      </c>
      <c r="BM117" s="244">
        <f>EXP(phi_o+psi_o*Tabella34[[#This Row],[x_o_alpha©-minus]])-(Tabella34[[#This Row],[Day]]-po)</f>
        <v>-38.426652077171831</v>
      </c>
      <c r="BN117" s="244">
        <f>-psi_o+SQRT(psi_o^2-2*Tabella34[[#This Row],[c_o]])</f>
        <v>3.5618993070744938</v>
      </c>
      <c r="BO117" s="244">
        <f>-psi_o-SQRT(psi_o^2-2*Tabella34[[#This Row],[c_o]])</f>
        <v>-3.6132125913421471</v>
      </c>
      <c r="BP117" s="244">
        <f>phi_o-LN(alpha*Ko/(Tabella34[[#This Row],[rest of Italy velocity]]*psi_o*SQRTPI(2)))</f>
        <v>-6.4349497127072155</v>
      </c>
      <c r="BQ117" s="244">
        <f>(ACOSH(SQRT(alpha*Ka*psi_a/(Tabella34[[#This Row],[rest of Italy velocity]]*(1+TANH(phi_a)))))+phi_a)/psi_a-(Tabella34[[#This Row],[Day]]-pa)</f>
        <v>49.423075520401397</v>
      </c>
      <c r="BR117" s="72">
        <f>-2*$BY$35*TANH($BY$35*(Tabella34[[#This Row],[Day]]-$BY$44)-$BY$34)*Tabella34[[#This Row],[rest of Italy velocity]]</f>
        <v>43.156099152380676</v>
      </c>
      <c r="BS117" s="77">
        <f>Tabella34[[#This Row],[rest of Italy acc. fit]]/y_a_peak</f>
        <v>1.4292709614871677E-2</v>
      </c>
      <c r="BT117" s="77">
        <f>Tabella34[[#This Row],[rest of Italy acc. fit]]*NOT(ISBLANK(Tabella34[[#This Row],[rest of Italy rate data]]))</f>
        <v>43.156099152380676</v>
      </c>
      <c r="BU117" s="77">
        <f>Tabella34[[#This Row],[rest of Italy acc. fit]]+CIa</f>
        <v>1677.2900391061821</v>
      </c>
      <c r="BV117" s="77">
        <f>MAX(Tabella34[[#This Row],[rest of Italy acc. fit]]-CIa,0)</f>
        <v>0</v>
      </c>
    </row>
    <row r="118" spans="2:74" x14ac:dyDescent="0.3">
      <c r="B118" s="262">
        <v>43941</v>
      </c>
      <c r="C118" s="4">
        <v>111</v>
      </c>
      <c r="D118" s="10">
        <f>Tabella8[[#This Row],[Italy cumulative]]</f>
        <v>72991</v>
      </c>
      <c r="E118" s="72">
        <f>(Tabella34[[#This Row],[Italy cumul. data]]-D117)</f>
        <v>2276</v>
      </c>
      <c r="F118" s="72">
        <f>Tabella34[[#This Row],[Italy rate data]]-E117</f>
        <v>-285</v>
      </c>
      <c r="G118" s="77">
        <f>Tabella34[[#This Row],[Italy rate data]]*NOT(ISBLANK(Tabella34[[#This Row],[Italy rate data]]))</f>
        <v>2276</v>
      </c>
      <c r="H118" s="143">
        <f>Tabella8[[#This Row],[Italy fit]]</f>
        <v>73778.320858230261</v>
      </c>
      <c r="I118" s="143">
        <f>(ATANH(alpha*Tabella34[[#This Row],[Italy cumul. Fit]]/Kf-(1-alpha*Tabella34[[#This Row],[Italy cumul. Fit]]/Kf)*TANH(phi_f))+phi_f)/psi_f-(Tabella34[[#This Row],[Day]]-pf)</f>
        <v>24.071046475954503</v>
      </c>
      <c r="J118" s="143">
        <f>Tabella34[[#This Row],[Italy d.t.]]/Italy_dt_at_lockdown</f>
        <v>10.605149268233882</v>
      </c>
      <c r="K118" s="77">
        <f>Tabella34[[#This Row],[Italy cumul. Fit]]/Kf</f>
        <v>0.3139502994877747</v>
      </c>
      <c r="L118" s="146">
        <f>Tabella34[[#This Row],[sel. region acc. fit]]+Tabella34[[#This Row],[rest of Italy acc. fit]]</f>
        <v>42.412866939503409</v>
      </c>
      <c r="M118" s="77">
        <f>Tabella34[[#This Row],[Italy (fit of selected region + fitted sum of the other regions)]]/(y_l_peak+y_a_peak)</f>
        <v>1.339346701481405E-2</v>
      </c>
      <c r="N118" s="143">
        <f>Tabella3[[#This Row],[Italy remov. rate fit]]</f>
        <v>2894.9071702502101</v>
      </c>
      <c r="O118" s="143">
        <f>Kt*EXP(-0.5*Tabella34[[#This Row],[x_t]]^2)/(psi_t*SQRTPI(2)*(Tabella34[[#This Row],[Day]]-D_bk))</f>
        <v>0</v>
      </c>
      <c r="P118" s="183">
        <f>Tabella34[[#This Row],[Italy velocity]]/Tabella34[[#This Row],[Italy cumul. Fit]]</f>
        <v>3.9237910765317616E-2</v>
      </c>
      <c r="Q118" s="244">
        <f>(LN(Tabella34[[#This Row],[Day]]-D_bk)-phi_t)/psi_t</f>
        <v>94.156464266038611</v>
      </c>
      <c r="R118" s="244">
        <f>EXP(phi_t+psi_t*Tabella34[[#This Row],[x_t_alpha©+plus]])-(Tabella34[[#This Row],[Day]]-D_bk)</f>
        <v>-38.205381122037423</v>
      </c>
      <c r="S118" s="244">
        <f>EXP(phi_t+psi_t*Tabella34[[#This Row],[x_t_alpha©-minus]])-(Tabella34[[#This Row],[Day]]-D_bk)</f>
        <v>-38.922688012662015</v>
      </c>
      <c r="T118" s="244">
        <f>-psi_t+SQRT(psi_t^2-2*Tabella34[[#This Row],[c_t]])</f>
        <v>3.5742084453319749</v>
      </c>
      <c r="U118" s="244">
        <f>-psi_t-SQRT(psi_t^2-2*Tabella34[[#This Row],[c_t]])</f>
        <v>-3.6247271200293469</v>
      </c>
      <c r="V118" s="244">
        <f>phi_t-LN(alpha*Kt/(Tabella34[[#This Row],[Italy velocity]]*psi_t*SQRTPI(2)))</f>
        <v>-6.47776514221637</v>
      </c>
      <c r="W118" s="244">
        <f>Tabella34[[#This Row],[Italy g.r.]]/Italy_gr_at_lockdown</f>
        <v>9.359263289325738E-2</v>
      </c>
      <c r="X118" s="244">
        <f>(ACOSH(SQRT(alpha*Kf*psi_f/(Tabella34[[#This Row],[Italy velocity]]*(1+TANH(phi_f)))))+phi_f)/psi_f-(Tabella34[[#This Row],[Day]]-pf)</f>
        <v>49.06958497491145</v>
      </c>
      <c r="Y118" s="244">
        <f>Tabella34[[#This Row],[Italy h.t.]]/Italy_ht_at_lockdown</f>
        <v>0.4131909837733555</v>
      </c>
      <c r="Z118" s="72">
        <f>-2*$BY$48*TANH($BY$48*(Tabella34[[#This Row],[Day]]-$BY$57)-$BY$47)*Tabella34[[#This Row],[Italy velocity]]</f>
        <v>42.284584053206892</v>
      </c>
      <c r="AA118" s="72">
        <f>Tabella34[[#This Row],[Italy acc. fit]]/Itali_acc_at_lockdown</f>
        <v>1.2081196331950892</v>
      </c>
      <c r="AB118" s="77">
        <f>Tabella34[[#This Row],[Italy acc. fit]]/y_f_peak</f>
        <v>1.3385478480524795E-2</v>
      </c>
      <c r="AC118" s="143">
        <f>Tabella34[[#This Row],[Italy (fit of selected region + fitted sum of the other regions)]]*NOT(ISBLANK(Tabella34[[#This Row],[Italy rate data]]))</f>
        <v>42.412866939503409</v>
      </c>
      <c r="AD118" s="143">
        <f>Tabella34[[#This Row],[Italy acc. fit]]*NOT(ISBLANK(Tabella34[[#This Row],[Italy rate data]]))</f>
        <v>42.284584053206892</v>
      </c>
      <c r="AE118" s="77">
        <f>Tabella34[[#This Row],[Italy acc. fit]]+CIf</f>
        <v>1697.4945529769582</v>
      </c>
      <c r="AF118" s="77">
        <f>MAX(Tabella34[[#This Row],[Italy acc. fit]]-CIf,0)</f>
        <v>0</v>
      </c>
      <c r="AG118" s="4">
        <f>Tabella8[[#This Row],[region data]]</f>
        <v>3173</v>
      </c>
      <c r="AH118" s="72">
        <f>(Tabella34[[#This Row],[selected region cumul. data]]-AG117)</f>
        <v>135</v>
      </c>
      <c r="AI118" s="72">
        <f>Tabella34[[#This Row],[selected region rate data]]-AH117</f>
        <v>-14</v>
      </c>
      <c r="AJ118" s="77">
        <f>Tabella34[[#This Row],[selected region rate data]]*NOT(ISBLANK(Tabella34[[#This Row],[selected region rate data]]))</f>
        <v>135</v>
      </c>
      <c r="AK118" s="77">
        <f>Tabella8[[#This Row],[region fit]]</f>
        <v>3066.203482914575</v>
      </c>
      <c r="AL118" s="143">
        <f>(ATANH(alpha*Tabella34[[#This Row],[sel. region cumul. fit]]/Kl-(1-alpha*Tabella34[[#This Row],[sel. region cumul. fit]]/Kl)*TANH(phi_l))+phi_l)/psi_l-(Tabella34[[#This Row],[Day]]-pl)</f>
        <v>21.825629666764947</v>
      </c>
      <c r="AM118" s="77">
        <f>Tabella34[[#This Row],[sel. region cumul. fit]]/Kl</f>
        <v>0.23306706341042857</v>
      </c>
      <c r="AN118" s="143">
        <f>Tabella3[[#This Row],[region fit]]</f>
        <v>125.92651260412181</v>
      </c>
      <c r="AO118" s="186">
        <f>Tabella34[[#This Row],[sel. region velocity]]/Tabella34[[#This Row],[sel. region cumul. fit]]</f>
        <v>4.106919625713247E-2</v>
      </c>
      <c r="AP118" s="241">
        <f>(LN(Tabella34[[#This Row],[Day]]-pr)-phi_r)/psi_r</f>
        <v>121.46020663661477</v>
      </c>
      <c r="AQ118" s="244">
        <f>EXP(phi_r+psi_r*Tabella34[[#This Row],[x_r_alpha©+plus]])-(Tabella34[[#This Row],[Day]]-pr)</f>
        <v>-31.406640417819922</v>
      </c>
      <c r="AR118" s="244">
        <f>EXP(phi_r+psi_r*Tabella34[[#This Row],[x_r_alpha©-minus]])-(Tabella34[[#This Row],[Day]]-pr)</f>
        <v>-31.866406883432852</v>
      </c>
      <c r="AS118" s="244">
        <f>-psi_r+SQRT(psi_r^2-2*Tabella34[[#This Row],[c_r]])</f>
        <v>3.7824262954574106</v>
      </c>
      <c r="AT118" s="244">
        <f>-psi_r-SQRT(psi_r^2-2*Tabella34[[#This Row],[c_r]])</f>
        <v>-3.8227143051237489</v>
      </c>
      <c r="AU118" s="244">
        <f>phi_r-LN(alpha*Kr/(Tabella34[[#This Row],[sel. region velocity]]*psi_r*SQRTPI(2)))</f>
        <v>-7.2295675538606359</v>
      </c>
      <c r="AV118" s="244">
        <f>(ACOSH(SQRT(alpha*Kl*psi_l/(Tabella34[[#This Row],[sel. region velocity]]*(1+TANH(phi_l)))))+phi_l)/psi_l-(Tabella34[[#This Row],[Day]]-pl)</f>
        <v>68.935862790078886</v>
      </c>
      <c r="AW118" s="72">
        <f>-2*$BY$22*TANH($BY$22*(Tabella34[[#This Row],[Day]]-$BY$31)-$BY$21)*Tabella34[[#This Row],[sel. region velocity]]</f>
        <v>1.9300209008332105</v>
      </c>
      <c r="AX118" s="77">
        <f>Tabella34[[#This Row],[sel. region acc. fit]]/y_l_peak</f>
        <v>1.3108456167657788E-2</v>
      </c>
      <c r="AY118" s="143">
        <f>Tabella34[[#This Row],[sel. region acc. fit]]*NOT(ISBLANK(Tabella34[[#This Row],[selected region rate data]]))</f>
        <v>1.9300209008332105</v>
      </c>
      <c r="AZ118" s="77">
        <f>Tabella34[[#This Row],[sel. region acc. fit]]+CIl</f>
        <v>71.295007275933614</v>
      </c>
      <c r="BA118" s="77">
        <f>MAX(Tabella34[[#This Row],[sel. region acc. fit]]-CIl,0)</f>
        <v>0</v>
      </c>
      <c r="BB118" s="10">
        <f>Tabella8[[#This Row],[rest of Italy ]]</f>
        <v>69818</v>
      </c>
      <c r="BC118" s="10">
        <f>(Tabella34[[#This Row],[rest of Italy cum. Data]]-BB117)</f>
        <v>2141</v>
      </c>
      <c r="BD118" s="10">
        <f>Tabella34[[#This Row],[rest of Italy rate data]]-BC117</f>
        <v>-271</v>
      </c>
      <c r="BE118" s="77">
        <f>Tabella34[[#This Row],[rest of Italy rate data]]*NOT(ISBLANK(Tabella34[[#This Row],[rest of Italy rate data]]))</f>
        <v>2141</v>
      </c>
      <c r="BF118" s="77">
        <f>Tabella8[[#This Row],[rest of Italy fit]]</f>
        <v>70704.622908336067</v>
      </c>
      <c r="BG118" s="78">
        <f>(ATANH(alpha*Tabella34[[#This Row],[rest of Italy cumul. fit]]/Ka-(1-alpha*Tabella34[[#This Row],[rest of Italy cumul. fit]]/Ka)*TANH(phi_a))+phi_a)/psi_a-(Tabella34[[#This Row],[Day]]-pa)</f>
        <v>24.16889016277058</v>
      </c>
      <c r="BH118" s="77">
        <f>Tabella34[[#This Row],[rest of Italy cumul. fit]]/Ka</f>
        <v>0.31871308563515749</v>
      </c>
      <c r="BI118" s="143">
        <f>Tabella3[[#This Row],[rest of Italy fit]]</f>
        <v>2775.4798077527798</v>
      </c>
      <c r="BJ118" s="183">
        <f>Tabella34[[#This Row],[rest of Italy velocity]]/Tabella34[[#This Row],[rest of Italy cumul. fit]]</f>
        <v>3.9254573372819034E-2</v>
      </c>
      <c r="BK118" s="236">
        <f>(LN(Tabella34[[#This Row],[Day]]-po)-phi_o)/psi_o</f>
        <v>92.193562235746342</v>
      </c>
      <c r="BL118" s="244">
        <f>EXP(phi_o+psi_o*Tabella34[[#This Row],[x_o_alpha©+plus]])-(Tabella34[[#This Row],[Day]]-po)</f>
        <v>-38.681134520193972</v>
      </c>
      <c r="BM118" s="244">
        <f>EXP(phi_o+psi_o*Tabella34[[#This Row],[x_o_alpha©-minus]])-(Tabella34[[#This Row],[Day]]-po)</f>
        <v>-39.426250929999568</v>
      </c>
      <c r="BN118" s="244">
        <f>-psi_o+SQRT(psi_o^2-2*Tabella34[[#This Row],[c_o]])</f>
        <v>3.5576632901500109</v>
      </c>
      <c r="BO118" s="244">
        <f>-psi_o-SQRT(psi_o^2-2*Tabella34[[#This Row],[c_o]])</f>
        <v>-3.6089765744176643</v>
      </c>
      <c r="BP118" s="244">
        <f>phi_o-LN(alpha*Ko/(Tabella34[[#This Row],[rest of Italy velocity]]*psi_o*SQRTPI(2)))</f>
        <v>-6.4197617369085318</v>
      </c>
      <c r="BQ118" s="244">
        <f>(ACOSH(SQRT(alpha*Ka*psi_a/(Tabella34[[#This Row],[rest of Italy velocity]]*(1+TANH(phi_a)))))+phi_a)/psi_a-(Tabella34[[#This Row],[Day]]-pa)</f>
        <v>48.02172494951725</v>
      </c>
      <c r="BR118" s="72">
        <f>-2*$BY$35*TANH($BY$35*(Tabella34[[#This Row],[Day]]-$BY$44)-$BY$34)*Tabella34[[#This Row],[rest of Italy velocity]]</f>
        <v>40.482846038670196</v>
      </c>
      <c r="BS118" s="77">
        <f>Tabella34[[#This Row],[rest of Italy acc. fit]]/y_a_peak</f>
        <v>1.3407364756746155E-2</v>
      </c>
      <c r="BT118" s="77">
        <f>Tabella34[[#This Row],[rest of Italy acc. fit]]*NOT(ISBLANK(Tabella34[[#This Row],[rest of Italy rate data]]))</f>
        <v>40.482846038670196</v>
      </c>
      <c r="BU118" s="77">
        <f>Tabella34[[#This Row],[rest of Italy acc. fit]]+CIa</f>
        <v>1674.6167859924717</v>
      </c>
      <c r="BV118" s="77">
        <f>MAX(Tabella34[[#This Row],[rest of Italy acc. fit]]-CIa,0)</f>
        <v>0</v>
      </c>
    </row>
    <row r="119" spans="2:74" x14ac:dyDescent="0.3">
      <c r="B119" s="262">
        <v>43942</v>
      </c>
      <c r="C119" s="4">
        <v>112</v>
      </c>
      <c r="D119" s="10">
        <f>Tabella8[[#This Row],[Italy cumulative]]</f>
        <v>76248</v>
      </c>
      <c r="E119" s="72">
        <f>(Tabella34[[#This Row],[Italy cumul. data]]-D118)</f>
        <v>3257</v>
      </c>
      <c r="F119" s="72">
        <f>Tabella34[[#This Row],[Italy rate data]]-E118</f>
        <v>981</v>
      </c>
      <c r="G119" s="77">
        <f>Tabella34[[#This Row],[Italy rate data]]*NOT(ISBLANK(Tabella34[[#This Row],[Italy rate data]]))</f>
        <v>3257</v>
      </c>
      <c r="H119" s="143">
        <f>Tabella8[[#This Row],[Italy fit]]</f>
        <v>76693.901249090486</v>
      </c>
      <c r="I119" s="143">
        <f>(ATANH(alpha*Tabella34[[#This Row],[Italy cumul. Fit]]/Kf-(1-alpha*Tabella34[[#This Row],[Italy cumul. Fit]]/Kf)*TANH(phi_f))+phi_f)/psi_f-(Tabella34[[#This Row],[Day]]-pf)</f>
        <v>25.13422772185362</v>
      </c>
      <c r="J119" s="143">
        <f>Tabella34[[#This Row],[Italy d.t.]]/Italy_dt_at_lockdown</f>
        <v>11.073562464278774</v>
      </c>
      <c r="K119" s="77">
        <f>Tabella34[[#This Row],[Italy cumul. Fit]]/Kf</f>
        <v>0.32635702447478204</v>
      </c>
      <c r="L119" s="146">
        <f>Tabella34[[#This Row],[sel. region acc. fit]]+Tabella34[[#This Row],[rest of Italy acc. fit]]</f>
        <v>39.492136362574286</v>
      </c>
      <c r="M119" s="77">
        <f>Tabella34[[#This Row],[Italy (fit of selected region + fitted sum of the other regions)]]/(y_l_peak+y_a_peak)</f>
        <v>1.2471135857690035E-2</v>
      </c>
      <c r="N119" s="143">
        <f>Tabella3[[#This Row],[Italy remov. rate fit]]</f>
        <v>2935.776815474384</v>
      </c>
      <c r="O119" s="143">
        <f>Kt*EXP(-0.5*Tabella34[[#This Row],[x_t]]^2)/(psi_t*SQRTPI(2)*(Tabella34[[#This Row],[Day]]-D_bk))</f>
        <v>0</v>
      </c>
      <c r="P119" s="183">
        <f>Tabella34[[#This Row],[Italy velocity]]/Tabella34[[#This Row],[Italy cumul. Fit]]</f>
        <v>3.8279143030414027E-2</v>
      </c>
      <c r="Q119" s="244">
        <f>(LN(Tabella34[[#This Row],[Day]]-D_bk)-phi_t)/psi_t</f>
        <v>95.076767995652943</v>
      </c>
      <c r="R119" s="244">
        <f>EXP(phi_t+psi_t*Tabella34[[#This Row],[x_t_alpha©+plus]])-(Tabella34[[#This Row],[Day]]-D_bk)</f>
        <v>-39.205805759808555</v>
      </c>
      <c r="S119" s="244">
        <f>EXP(phi_t+psi_t*Tabella34[[#This Row],[x_t_alpha©-minus]])-(Tabella34[[#This Row],[Day]]-D_bk)</f>
        <v>-39.922333942676602</v>
      </c>
      <c r="T119" s="244">
        <f>-psi_t+SQRT(psi_t^2-2*Tabella34[[#This Row],[c_t]])</f>
        <v>3.5703115805751495</v>
      </c>
      <c r="U119" s="244">
        <f>-psi_t-SQRT(psi_t^2-2*Tabella34[[#This Row],[c_t]])</f>
        <v>-3.6208302552725216</v>
      </c>
      <c r="V119" s="244">
        <f>phi_t-LN(alpha*Kt/(Tabella34[[#This Row],[Italy velocity]]*psi_t*SQRTPI(2)))</f>
        <v>-6.4637460958481796</v>
      </c>
      <c r="W119" s="244">
        <f>Tabella34[[#This Row],[Italy g.r.]]/Italy_gr_at_lockdown</f>
        <v>9.1305722227207162E-2</v>
      </c>
      <c r="X119" s="244">
        <f>(ACOSH(SQRT(alpha*Kf*psi_f/(Tabella34[[#This Row],[Italy velocity]]*(1+TANH(phi_f)))))+phi_f)/psi_f-(Tabella34[[#This Row],[Day]]-pf)</f>
        <v>47.691450110778788</v>
      </c>
      <c r="Y119" s="244">
        <f>Tabella34[[#This Row],[Italy h.t.]]/Italy_ht_at_lockdown</f>
        <v>0.40158638388577794</v>
      </c>
      <c r="Z119" s="72">
        <f>-2*$BY$48*TANH($BY$48*(Tabella34[[#This Row],[Day]]-$BY$57)-$BY$47)*Tabella34[[#This Row],[Italy velocity]]</f>
        <v>39.423955844040826</v>
      </c>
      <c r="AA119" s="72">
        <f>Tabella34[[#This Row],[Italy acc. fit]]/Itali_acc_at_lockdown</f>
        <v>1.1263881658022314</v>
      </c>
      <c r="AB119" s="77">
        <f>Tabella34[[#This Row],[Italy acc. fit]]/y_f_peak</f>
        <v>1.2479926771977942E-2</v>
      </c>
      <c r="AC119" s="143">
        <f>Tabella34[[#This Row],[Italy (fit of selected region + fitted sum of the other regions)]]*NOT(ISBLANK(Tabella34[[#This Row],[Italy rate data]]))</f>
        <v>39.492136362574286</v>
      </c>
      <c r="AD119" s="143">
        <f>Tabella34[[#This Row],[Italy acc. fit]]*NOT(ISBLANK(Tabella34[[#This Row],[Italy rate data]]))</f>
        <v>39.423955844040826</v>
      </c>
      <c r="AE119" s="77">
        <f>Tabella34[[#This Row],[Italy acc. fit]]+CIf</f>
        <v>1694.6339247677922</v>
      </c>
      <c r="AF119" s="77">
        <f>MAX(Tabella34[[#This Row],[Italy acc. fit]]-CIf,0)</f>
        <v>0</v>
      </c>
      <c r="AG119" s="4">
        <f>Tabella8[[#This Row],[region data]]</f>
        <v>3301</v>
      </c>
      <c r="AH119" s="72">
        <f>(Tabella34[[#This Row],[selected region cumul. data]]-AG118)</f>
        <v>128</v>
      </c>
      <c r="AI119" s="72">
        <f>Tabella34[[#This Row],[selected region rate data]]-AH118</f>
        <v>-7</v>
      </c>
      <c r="AJ119" s="77">
        <f>Tabella34[[#This Row],[selected region rate data]]*NOT(ISBLANK(Tabella34[[#This Row],[selected region rate data]]))</f>
        <v>128</v>
      </c>
      <c r="AK119" s="77">
        <f>Tabella8[[#This Row],[region fit]]</f>
        <v>3193.0851641045883</v>
      </c>
      <c r="AL119" s="143">
        <f>(ATANH(alpha*Tabella34[[#This Row],[sel. region cumul. fit]]/Kl-(1-alpha*Tabella34[[#This Row],[sel. region cumul. fit]]/Kl)*TANH(phi_l))+phi_l)/psi_l-(Tabella34[[#This Row],[Day]]-pl)</f>
        <v>22.554842130641092</v>
      </c>
      <c r="AM119" s="77">
        <f>Tabella34[[#This Row],[sel. region cumul. fit]]/Kl</f>
        <v>0.24271154428076697</v>
      </c>
      <c r="AN119" s="143">
        <f>Tabella3[[#This Row],[region fit]]</f>
        <v>127.82680402224767</v>
      </c>
      <c r="AO119" s="186">
        <f>Tabella34[[#This Row],[sel. region velocity]]/Tabella34[[#This Row],[sel. region cumul. fit]]</f>
        <v>4.0032381678768388E-2</v>
      </c>
      <c r="AP119" s="241">
        <f>(LN(Tabella34[[#This Row],[Day]]-pr)-phi_r)/psi_r</f>
        <v>122.87286865217219</v>
      </c>
      <c r="AQ119" s="244">
        <f>EXP(phi_r+psi_r*Tabella34[[#This Row],[x_r_alpha©+plus]])-(Tabella34[[#This Row],[Day]]-pr)</f>
        <v>-32.406897368137798</v>
      </c>
      <c r="AR119" s="244">
        <f>EXP(phi_r+psi_r*Tabella34[[#This Row],[x_r_alpha©-minus]])-(Tabella34[[#This Row],[Day]]-pr)</f>
        <v>-32.866186412878221</v>
      </c>
      <c r="AS119" s="244">
        <f>-psi_r+SQRT(psi_r^2-2*Tabella34[[#This Row],[c_r]])</f>
        <v>3.7784854042417551</v>
      </c>
      <c r="AT119" s="244">
        <f>-psi_r-SQRT(psi_r^2-2*Tabella34[[#This Row],[c_r]])</f>
        <v>-3.8187734139080933</v>
      </c>
      <c r="AU119" s="244">
        <f>phi_r-LN(alpha*Kr/(Tabella34[[#This Row],[sel. region velocity]]*psi_r*SQRTPI(2)))</f>
        <v>-7.214589803279094</v>
      </c>
      <c r="AV119" s="244">
        <f>(ACOSH(SQRT(alpha*Kl*psi_l/(Tabella34[[#This Row],[sel. region velocity]]*(1+TANH(phi_l)))))+phi_l)/psi_l-(Tabella34[[#This Row],[Day]]-pl)</f>
        <v>67.443072858122108</v>
      </c>
      <c r="AW119" s="72">
        <f>-2*$BY$22*TANH($BY$22*(Tabella34[[#This Row],[Day]]-$BY$31)-$BY$21)*Tabella34[[#This Row],[sel. region velocity]]</f>
        <v>1.8697469732636962</v>
      </c>
      <c r="AX119" s="77">
        <f>Tabella34[[#This Row],[sel. region acc. fit]]/y_l_peak</f>
        <v>1.2699083327572759E-2</v>
      </c>
      <c r="AY119" s="143">
        <f>Tabella34[[#This Row],[sel. region acc. fit]]*NOT(ISBLANK(Tabella34[[#This Row],[selected region rate data]]))</f>
        <v>1.8697469732636962</v>
      </c>
      <c r="AZ119" s="77">
        <f>Tabella34[[#This Row],[sel. region acc. fit]]+CIl</f>
        <v>71.234733348364102</v>
      </c>
      <c r="BA119" s="77">
        <f>MAX(Tabella34[[#This Row],[sel. region acc. fit]]-CIl,0)</f>
        <v>0</v>
      </c>
      <c r="BB119" s="10">
        <f>Tabella8[[#This Row],[rest of Italy ]]</f>
        <v>72947</v>
      </c>
      <c r="BC119" s="10">
        <f>(Tabella34[[#This Row],[rest of Italy cum. Data]]-BB118)</f>
        <v>3129</v>
      </c>
      <c r="BD119" s="10">
        <f>Tabella34[[#This Row],[rest of Italy rate data]]-BC118</f>
        <v>988</v>
      </c>
      <c r="BE119" s="77">
        <f>Tabella34[[#This Row],[rest of Italy rate data]]*NOT(ISBLANK(Tabella34[[#This Row],[rest of Italy rate data]]))</f>
        <v>3129</v>
      </c>
      <c r="BF119" s="77">
        <f>Tabella8[[#This Row],[rest of Italy fit]]</f>
        <v>73499.87502713193</v>
      </c>
      <c r="BG119" s="78">
        <f>(ATANH(alpha*Tabella34[[#This Row],[rest of Italy cumul. fit]]/Ka-(1-alpha*Tabella34[[#This Row],[rest of Italy cumul. fit]]/Ka)*TANH(phi_a))+phi_a)/psi_a-(Tabella34[[#This Row],[Day]]-pa)</f>
        <v>25.263538218138962</v>
      </c>
      <c r="BH119" s="77">
        <f>Tabella34[[#This Row],[rest of Italy cumul. fit]]/Ka</f>
        <v>0.33131315888729279</v>
      </c>
      <c r="BI119" s="143">
        <f>Tabella3[[#This Row],[rest of Italy fit]]</f>
        <v>2814.547660963864</v>
      </c>
      <c r="BJ119" s="183">
        <f>Tabella34[[#This Row],[rest of Italy velocity]]/Tabella34[[#This Row],[rest of Italy cumul. fit]]</f>
        <v>3.8293230565696806E-2</v>
      </c>
      <c r="BK119" s="236">
        <f>(LN(Tabella34[[#This Row],[Day]]-po)-phi_o)/psi_o</f>
        <v>93.087194284500384</v>
      </c>
      <c r="BL119" s="244">
        <f>EXP(phi_o+psi_o*Tabella34[[#This Row],[x_o_alpha©+plus]])-(Tabella34[[#This Row],[Day]]-po)</f>
        <v>-39.681578738170977</v>
      </c>
      <c r="BM119" s="244">
        <f>EXP(phi_o+psi_o*Tabella34[[#This Row],[x_o_alpha©-minus]])-(Tabella34[[#This Row],[Day]]-po)</f>
        <v>-40.425881284808099</v>
      </c>
      <c r="BN119" s="244">
        <f>-psi_o+SQRT(psi_o^2-2*Tabella34[[#This Row],[c_o]])</f>
        <v>3.5537603340345711</v>
      </c>
      <c r="BO119" s="244">
        <f>-psi_o-SQRT(psi_o^2-2*Tabella34[[#This Row],[c_o]])</f>
        <v>-3.6050736183022245</v>
      </c>
      <c r="BP119" s="244">
        <f>phi_o-LN(alpha*Ko/(Tabella34[[#This Row],[rest of Italy velocity]]*psi_o*SQRTPI(2)))</f>
        <v>-6.4057838129984663</v>
      </c>
      <c r="BQ119" s="244">
        <f>(ACOSH(SQRT(alpha*Ka*psi_a/(Tabella34[[#This Row],[rest of Italy velocity]]*(1+TANH(phi_a)))))+phi_a)/psi_a-(Tabella34[[#This Row],[Day]]-pa)</f>
        <v>46.650054535979237</v>
      </c>
      <c r="BR119" s="72">
        <f>-2*$BY$35*TANH($BY$35*(Tabella34[[#This Row],[Day]]-$BY$44)-$BY$34)*Tabella34[[#This Row],[rest of Italy velocity]]</f>
        <v>37.622389389310591</v>
      </c>
      <c r="BS119" s="77">
        <f>Tabella34[[#This Row],[rest of Italy acc. fit]]/y_a_peak</f>
        <v>1.2460020648770392E-2</v>
      </c>
      <c r="BT119" s="77">
        <f>Tabella34[[#This Row],[rest of Italy acc. fit]]*NOT(ISBLANK(Tabella34[[#This Row],[rest of Italy rate data]]))</f>
        <v>37.622389389310591</v>
      </c>
      <c r="BU119" s="77">
        <f>Tabella34[[#This Row],[rest of Italy acc. fit]]+CIa</f>
        <v>1671.7563293431122</v>
      </c>
      <c r="BV119" s="77">
        <f>MAX(Tabella34[[#This Row],[rest of Italy acc. fit]]-CIa,0)</f>
        <v>0</v>
      </c>
    </row>
    <row r="120" spans="2:74" x14ac:dyDescent="0.3">
      <c r="B120" s="262">
        <v>43943</v>
      </c>
      <c r="C120" s="4">
        <v>113</v>
      </c>
      <c r="D120" s="10">
        <f>Tabella8[[#This Row],[Italy cumulative]]</f>
        <v>79628</v>
      </c>
      <c r="E120" s="72">
        <f>(Tabella34[[#This Row],[Italy cumul. data]]-D119)</f>
        <v>3380</v>
      </c>
      <c r="F120" s="72">
        <f>Tabella34[[#This Row],[Italy rate data]]-E119</f>
        <v>123</v>
      </c>
      <c r="G120" s="77">
        <f>Tabella34[[#This Row],[Italy rate data]]*NOT(ISBLANK(Tabella34[[#This Row],[Italy rate data]]))</f>
        <v>3380</v>
      </c>
      <c r="H120" s="143">
        <f>Tabella8[[#This Row],[Italy fit]]</f>
        <v>79648.890608561604</v>
      </c>
      <c r="I120" s="143">
        <f>(ATANH(alpha*Tabella34[[#This Row],[Italy cumul. Fit]]/Kf-(1-alpha*Tabella34[[#This Row],[Italy cumul. Fit]]/Kf)*TANH(phi_f))+phi_f)/psi_f-(Tabella34[[#This Row],[Day]]-pf)</f>
        <v>26.304549214762545</v>
      </c>
      <c r="J120" s="143">
        <f>Tabella34[[#This Row],[Italy d.t.]]/Italy_dt_at_lockdown</f>
        <v>11.589179188151572</v>
      </c>
      <c r="K120" s="77">
        <f>Tabella34[[#This Row],[Italy cumul. Fit]]/Kf</f>
        <v>0.33893144719947133</v>
      </c>
      <c r="L120" s="146">
        <f>Tabella34[[#This Row],[sel. region acc. fit]]+Tabella34[[#This Row],[rest of Italy acc. fit]]</f>
        <v>36.388724543624541</v>
      </c>
      <c r="M120" s="77">
        <f>Tabella34[[#This Row],[Italy (fit of selected region + fitted sum of the other regions)]]/(y_l_peak+y_a_peak)</f>
        <v>1.1491116188428458E-2</v>
      </c>
      <c r="N120" s="143">
        <f>Tabella3[[#This Row],[Italy remov. rate fit]]</f>
        <v>2973.6951422629222</v>
      </c>
      <c r="O120" s="143">
        <f>Kt*EXP(-0.5*Tabella34[[#This Row],[x_t]]^2)/(psi_t*SQRTPI(2)*(Tabella34[[#This Row],[Day]]-D_bk))</f>
        <v>0</v>
      </c>
      <c r="P120" s="183">
        <f>Tabella34[[#This Row],[Italy velocity]]/Tabella34[[#This Row],[Italy cumul. Fit]]</f>
        <v>3.7335047852421366E-2</v>
      </c>
      <c r="Q120" s="244">
        <f>(LN(Tabella34[[#This Row],[Day]]-D_bk)-phi_t)/psi_t</f>
        <v>95.97616322758779</v>
      </c>
      <c r="R120" s="244">
        <f>EXP(phi_t+psi_t*Tabella34[[#This Row],[x_t_alpha©+plus]])-(Tabella34[[#This Row],[Day]]-D_bk)</f>
        <v>-40.206194846724806</v>
      </c>
      <c r="S120" s="244">
        <f>EXP(phi_t+psi_t*Tabella34[[#This Row],[x_t_alpha©-minus]])-(Tabella34[[#This Row],[Day]]-D_bk)</f>
        <v>-40.922009454377857</v>
      </c>
      <c r="T120" s="244">
        <f>-psi_t+SQRT(psi_t^2-2*Tabella34[[#This Row],[c_t]])</f>
        <v>3.5667406262110255</v>
      </c>
      <c r="U120" s="244">
        <f>-psi_t-SQRT(psi_t^2-2*Tabella34[[#This Row],[c_t]])</f>
        <v>-3.6172593009083975</v>
      </c>
      <c r="V120" s="244">
        <f>phi_t-LN(alpha*Kt/(Tabella34[[#This Row],[Italy velocity]]*psi_t*SQRTPI(2)))</f>
        <v>-6.4509128520448371</v>
      </c>
      <c r="W120" s="244">
        <f>Tabella34[[#This Row],[Italy g.r.]]/Italy_gr_at_lockdown</f>
        <v>8.9053809429437525E-2</v>
      </c>
      <c r="X120" s="244">
        <f>(ACOSH(SQRT(alpha*Kf*psi_f/(Tabella34[[#This Row],[Italy velocity]]*(1+TANH(phi_f)))))+phi_f)/psi_f-(Tabella34[[#This Row],[Day]]-pf)</f>
        <v>46.343278324224912</v>
      </c>
      <c r="Y120" s="244">
        <f>Tabella34[[#This Row],[Italy h.t.]]/Italy_ht_at_lockdown</f>
        <v>0.39023408842482205</v>
      </c>
      <c r="Z120" s="72">
        <f>-2*$BY$48*TANH($BY$48*(Tabella34[[#This Row],[Day]]-$BY$57)-$BY$47)*Tabella34[[#This Row],[Italy velocity]]</f>
        <v>36.383564141708163</v>
      </c>
      <c r="AA120" s="72">
        <f>Tabella34[[#This Row],[Italy acc. fit]]/Itali_acc_at_lockdown</f>
        <v>1.0395206468130513</v>
      </c>
      <c r="AB120" s="77">
        <f>Tabella34[[#This Row],[Italy acc. fit]]/y_f_peak</f>
        <v>1.1517469682350888E-2</v>
      </c>
      <c r="AC120" s="143">
        <f>Tabella34[[#This Row],[Italy (fit of selected region + fitted sum of the other regions)]]*NOT(ISBLANK(Tabella34[[#This Row],[Italy rate data]]))</f>
        <v>36.388724543624541</v>
      </c>
      <c r="AD120" s="143">
        <f>Tabella34[[#This Row],[Italy acc. fit]]*NOT(ISBLANK(Tabella34[[#This Row],[Italy rate data]]))</f>
        <v>36.383564141708163</v>
      </c>
      <c r="AE120" s="77">
        <f>Tabella34[[#This Row],[Italy acc. fit]]+CIf</f>
        <v>1691.5935330654595</v>
      </c>
      <c r="AF120" s="77">
        <f>MAX(Tabella34[[#This Row],[Italy acc. fit]]-CIf,0)</f>
        <v>0</v>
      </c>
      <c r="AG120" s="4">
        <f>Tabella8[[#This Row],[region data]]</f>
        <v>3442</v>
      </c>
      <c r="AH120" s="72">
        <f>(Tabella34[[#This Row],[selected region cumul. data]]-AG119)</f>
        <v>141</v>
      </c>
      <c r="AI120" s="72">
        <f>Tabella34[[#This Row],[selected region rate data]]-AH119</f>
        <v>13</v>
      </c>
      <c r="AJ120" s="77">
        <f>Tabella34[[#This Row],[selected region rate data]]*NOT(ISBLANK(Tabella34[[#This Row],[selected region rate data]]))</f>
        <v>141</v>
      </c>
      <c r="AK120" s="77">
        <f>Tabella8[[#This Row],[region fit]]</f>
        <v>3321.8361865405759</v>
      </c>
      <c r="AL120" s="143">
        <f>(ATANH(alpha*Tabella34[[#This Row],[sel. region cumul. fit]]/Kl-(1-alpha*Tabella34[[#This Row],[sel. region cumul. fit]]/Kl)*TANH(phi_l))+phi_l)/psi_l-(Tabella34[[#This Row],[Day]]-pl)</f>
        <v>23.318691189821351</v>
      </c>
      <c r="AM120" s="77">
        <f>Tabella34[[#This Row],[sel. region cumul. fit]]/Kl</f>
        <v>0.25249811678890399</v>
      </c>
      <c r="AN120" s="143">
        <f>Tabella3[[#This Row],[region fit]]</f>
        <v>129.66438377654694</v>
      </c>
      <c r="AO120" s="186">
        <f>Tabella34[[#This Row],[sel. region velocity]]/Tabella34[[#This Row],[sel. region cumul. fit]]</f>
        <v>3.9033948844895305E-2</v>
      </c>
      <c r="AP120" s="241">
        <f>(LN(Tabella34[[#This Row],[Day]]-pr)-phi_r)/psi_r</f>
        <v>124.24644081263183</v>
      </c>
      <c r="AQ120" s="244">
        <f>EXP(phi_r+psi_r*Tabella34[[#This Row],[x_r_alpha©+plus]])-(Tabella34[[#This Row],[Day]]-pr)</f>
        <v>-33.407142460768014</v>
      </c>
      <c r="AR120" s="244">
        <f>EXP(phi_r+psi_r*Tabella34[[#This Row],[x_r_alpha©-minus]])-(Tabella34[[#This Row],[Day]]-pr)</f>
        <v>-33.865976083928793</v>
      </c>
      <c r="AS120" s="244">
        <f>-psi_r+SQRT(psi_r^2-2*Tabella34[[#This Row],[c_r]])</f>
        <v>3.7747260848724582</v>
      </c>
      <c r="AT120" s="244">
        <f>-psi_r-SQRT(psi_r^2-2*Tabella34[[#This Row],[c_r]])</f>
        <v>-3.8150140945387965</v>
      </c>
      <c r="AU120" s="244">
        <f>phi_r-LN(alpha*Kr/(Tabella34[[#This Row],[sel. region velocity]]*psi_r*SQRTPI(2)))</f>
        <v>-7.2003166084058394</v>
      </c>
      <c r="AV120" s="244">
        <f>(ACOSH(SQRT(alpha*Kl*psi_l/(Tabella34[[#This Row],[sel. region velocity]]*(1+TANH(phi_l)))))+phi_l)/psi_l-(Tabella34[[#This Row],[Day]]-pl)</f>
        <v>65.970823136117659</v>
      </c>
      <c r="AW120" s="72">
        <f>-2*$BY$22*TANH($BY$22*(Tabella34[[#This Row],[Day]]-$BY$31)-$BY$21)*Tabella34[[#This Row],[sel. region velocity]]</f>
        <v>1.8046055336531153</v>
      </c>
      <c r="AX120" s="77">
        <f>Tabella34[[#This Row],[sel. region acc. fit]]/y_l_peak</f>
        <v>1.225665096558912E-2</v>
      </c>
      <c r="AY120" s="143">
        <f>Tabella34[[#This Row],[sel. region acc. fit]]*NOT(ISBLANK(Tabella34[[#This Row],[selected region rate data]]))</f>
        <v>1.8046055336531153</v>
      </c>
      <c r="AZ120" s="77">
        <f>Tabella34[[#This Row],[sel. region acc. fit]]+CIl</f>
        <v>71.169591908753517</v>
      </c>
      <c r="BA120" s="77">
        <f>MAX(Tabella34[[#This Row],[sel. region acc. fit]]-CIl,0)</f>
        <v>0</v>
      </c>
      <c r="BB120" s="10">
        <f>Tabella8[[#This Row],[rest of Italy ]]</f>
        <v>76186</v>
      </c>
      <c r="BC120" s="10">
        <f>(Tabella34[[#This Row],[rest of Italy cum. Data]]-BB119)</f>
        <v>3239</v>
      </c>
      <c r="BD120" s="10">
        <f>Tabella34[[#This Row],[rest of Italy rate data]]-BC119</f>
        <v>110</v>
      </c>
      <c r="BE120" s="77">
        <f>Tabella34[[#This Row],[rest of Italy rate data]]*NOT(ISBLANK(Tabella34[[#This Row],[rest of Italy rate data]]))</f>
        <v>3239</v>
      </c>
      <c r="BF120" s="77">
        <f>Tabella8[[#This Row],[rest of Italy fit]]</f>
        <v>76332.734710373232</v>
      </c>
      <c r="BG120" s="78">
        <f>(ATANH(alpha*Tabella34[[#This Row],[rest of Italy cumul. fit]]/Ka-(1-alpha*Tabella34[[#This Row],[rest of Italy cumul. fit]]/Ka)*TANH(phi_a))+phi_a)/psi_a-(Tabella34[[#This Row],[Day]]-pa)</f>
        <v>26.473570989454373</v>
      </c>
      <c r="BH120" s="77">
        <f>Tabella34[[#This Row],[rest of Italy cumul. fit]]/Ka</f>
        <v>0.34408275461779803</v>
      </c>
      <c r="BI120" s="143">
        <f>Tabella3[[#This Row],[rest of Italy fit]]</f>
        <v>2850.6652962677163</v>
      </c>
      <c r="BJ120" s="183">
        <f>Tabella34[[#This Row],[rest of Italy velocity]]/Tabella34[[#This Row],[rest of Italy cumul. fit]]</f>
        <v>3.7345253082886408E-2</v>
      </c>
      <c r="BK120" s="236">
        <f>(LN(Tabella34[[#This Row],[Day]]-po)-phi_o)/psi_o</f>
        <v>93.960795889362359</v>
      </c>
      <c r="BL120" s="244">
        <f>EXP(phi_o+psi_o*Tabella34[[#This Row],[x_o_alpha©+plus]])-(Tabella34[[#This Row],[Day]]-po)</f>
        <v>-40.68198434362337</v>
      </c>
      <c r="BM120" s="244">
        <f>EXP(phi_o+psi_o*Tabella34[[#This Row],[x_o_alpha©-minus]])-(Tabella34[[#This Row],[Day]]-po)</f>
        <v>-41.425543705423749</v>
      </c>
      <c r="BN120" s="244">
        <f>-psi_o+SQRT(psi_o^2-2*Tabella34[[#This Row],[c_o]])</f>
        <v>3.550196291132043</v>
      </c>
      <c r="BO120" s="244">
        <f>-psi_o-SQRT(psi_o^2-2*Tabella34[[#This Row],[c_o]])</f>
        <v>-3.6015095753996964</v>
      </c>
      <c r="BP120" s="244">
        <f>phi_o-LN(alpha*Ko/(Tabella34[[#This Row],[rest of Italy velocity]]*psi_o*SQRTPI(2)))</f>
        <v>-6.3930329685302709</v>
      </c>
      <c r="BQ120" s="244">
        <f>(ACOSH(SQRT(alpha*Ka*psi_a/(Tabella34[[#This Row],[rest of Italy velocity]]*(1+TANH(phi_a)))))+phi_a)/psi_a-(Tabella34[[#This Row],[Day]]-pa)</f>
        <v>45.309029988593124</v>
      </c>
      <c r="BR120" s="72">
        <f>-2*$BY$35*TANH($BY$35*(Tabella34[[#This Row],[Day]]-$BY$44)-$BY$34)*Tabella34[[#This Row],[rest of Italy velocity]]</f>
        <v>34.584119009971424</v>
      </c>
      <c r="BS120" s="77">
        <f>Tabella34[[#This Row],[rest of Italy acc. fit]]/y_a_peak</f>
        <v>1.1453787066118954E-2</v>
      </c>
      <c r="BT120" s="77">
        <f>Tabella34[[#This Row],[rest of Italy acc. fit]]*NOT(ISBLANK(Tabella34[[#This Row],[rest of Italy rate data]]))</f>
        <v>34.584119009971424</v>
      </c>
      <c r="BU120" s="77">
        <f>Tabella34[[#This Row],[rest of Italy acc. fit]]+CIa</f>
        <v>1668.7180589637728</v>
      </c>
      <c r="BV120" s="77">
        <f>MAX(Tabella34[[#This Row],[rest of Italy acc. fit]]-CIa,0)</f>
        <v>0</v>
      </c>
    </row>
    <row r="121" spans="2:74" x14ac:dyDescent="0.3">
      <c r="B121" s="262">
        <v>43944</v>
      </c>
      <c r="C121" s="4">
        <v>114</v>
      </c>
      <c r="D121" s="10">
        <f>Tabella8[[#This Row],[Italy cumulative]]</f>
        <v>83125</v>
      </c>
      <c r="E121" s="72">
        <f>(Tabella34[[#This Row],[Italy cumul. data]]-D120)</f>
        <v>3497</v>
      </c>
      <c r="F121" s="72">
        <f>Tabella34[[#This Row],[Italy rate data]]-E120</f>
        <v>117</v>
      </c>
      <c r="G121" s="77">
        <f>Tabella34[[#This Row],[Italy rate data]]*NOT(ISBLANK(Tabella34[[#This Row],[Italy rate data]]))</f>
        <v>3497</v>
      </c>
      <c r="H121" s="143">
        <f>Tabella8[[#This Row],[Italy fit]]</f>
        <v>82640.249422332548</v>
      </c>
      <c r="I121" s="143">
        <f>(ATANH(alpha*Tabella34[[#This Row],[Italy cumul. Fit]]/Kf-(1-alpha*Tabella34[[#This Row],[Italy cumul. Fit]]/Kf)*TANH(phi_f))+phi_f)/psi_f-(Tabella34[[#This Row],[Day]]-pf)</f>
        <v>27.601768240464949</v>
      </c>
      <c r="J121" s="143">
        <f>Tabella34[[#This Row],[Italy d.t.]]/Italy_dt_at_lockdown</f>
        <v>12.160704045407343</v>
      </c>
      <c r="K121" s="77">
        <f>Tabella34[[#This Row],[Italy cumul. Fit]]/Kf</f>
        <v>0.35166063355847499</v>
      </c>
      <c r="L121" s="146">
        <f>Tabella34[[#This Row],[sel. region acc. fit]]+Tabella34[[#This Row],[rest of Italy acc. fit]]</f>
        <v>33.113789958678417</v>
      </c>
      <c r="M121" s="77">
        <f>Tabella34[[#This Row],[Italy (fit of selected region + fitted sum of the other regions)]]/(y_l_peak+y_a_peak)</f>
        <v>1.0456931717906475E-2</v>
      </c>
      <c r="N121" s="143">
        <f>Tabella3[[#This Row],[Italy remov. rate fit]]</f>
        <v>3008.4875133611736</v>
      </c>
      <c r="O121" s="143">
        <f>Kt*EXP(-0.5*Tabella34[[#This Row],[x_t]]^2)/(psi_t*SQRTPI(2)*(Tabella34[[#This Row],[Day]]-D_bk))</f>
        <v>0</v>
      </c>
      <c r="P121" s="183">
        <f>Tabella34[[#This Row],[Italy velocity]]/Tabella34[[#This Row],[Italy cumul. Fit]]</f>
        <v>3.6404627701282874E-2</v>
      </c>
      <c r="Q121" s="244">
        <f>(LN(Tabella34[[#This Row],[Day]]-D_bk)-phi_t)/psi_t</f>
        <v>96.855578940958623</v>
      </c>
      <c r="R121" s="244">
        <f>EXP(phi_t+psi_t*Tabella34[[#This Row],[x_t_alpha©+plus]])-(Tabella34[[#This Row],[Day]]-D_bk)</f>
        <v>-41.20654782160274</v>
      </c>
      <c r="S121" s="244">
        <f>EXP(phi_t+psi_t*Tabella34[[#This Row],[x_t_alpha©-minus]])-(Tabella34[[#This Row],[Day]]-D_bk)</f>
        <v>-41.921715031926688</v>
      </c>
      <c r="T121" s="244">
        <f>-psi_t+SQRT(psi_t^2-2*Tabella34[[#This Row],[c_t]])</f>
        <v>3.563500821544233</v>
      </c>
      <c r="U121" s="244">
        <f>-psi_t-SQRT(psi_t^2-2*Tabella34[[#This Row],[c_t]])</f>
        <v>-3.614019496241605</v>
      </c>
      <c r="V121" s="244">
        <f>phi_t-LN(alpha*Kt/(Tabella34[[#This Row],[Italy velocity]]*psi_t*SQRTPI(2)))</f>
        <v>-6.4392807219669166</v>
      </c>
      <c r="W121" s="244">
        <f>Tabella34[[#This Row],[Italy g.r.]]/Italy_gr_at_lockdown</f>
        <v>8.6834515131052906E-2</v>
      </c>
      <c r="X121" s="244">
        <f>(ACOSH(SQRT(alpha*Kf*psi_f/(Tabella34[[#This Row],[Italy velocity]]*(1+TANH(phi_f)))))+phi_f)/psi_f-(Tabella34[[#This Row],[Day]]-pf)</f>
        <v>45.02597354508481</v>
      </c>
      <c r="Y121" s="244">
        <f>Tabella34[[#This Row],[Italy h.t.]]/Italy_ht_at_lockdown</f>
        <v>0.37914170894167515</v>
      </c>
      <c r="Z121" s="72">
        <f>-2*$BY$48*TANH($BY$48*(Tabella34[[#This Row],[Day]]-$BY$57)-$BY$47)*Tabella34[[#This Row],[Italy velocity]]</f>
        <v>33.173935064923924</v>
      </c>
      <c r="AA121" s="72">
        <f>Tabella34[[#This Row],[Italy acc. fit]]/Itali_acc_at_lockdown</f>
        <v>0.9478178196536865</v>
      </c>
      <c r="AB121" s="77">
        <f>Tabella34[[#This Row],[Italy acc. fit]]/y_f_peak</f>
        <v>1.0501439327560067E-2</v>
      </c>
      <c r="AC121" s="143">
        <f>Tabella34[[#This Row],[Italy (fit of selected region + fitted sum of the other regions)]]*NOT(ISBLANK(Tabella34[[#This Row],[Italy rate data]]))</f>
        <v>33.113789958678417</v>
      </c>
      <c r="AD121" s="143">
        <f>Tabella34[[#This Row],[Italy acc. fit]]*NOT(ISBLANK(Tabella34[[#This Row],[Italy rate data]]))</f>
        <v>33.173935064923924</v>
      </c>
      <c r="AE121" s="77">
        <f>Tabella34[[#This Row],[Italy acc. fit]]+CIf</f>
        <v>1688.3839039886752</v>
      </c>
      <c r="AF121" s="77">
        <f>MAX(Tabella34[[#This Row],[Italy acc. fit]]-CIf,0)</f>
        <v>0</v>
      </c>
      <c r="AG121" s="4">
        <f>Tabella8[[#This Row],[region data]]</f>
        <v>3583</v>
      </c>
      <c r="AH121" s="72">
        <f>(Tabella34[[#This Row],[selected region cumul. data]]-AG120)</f>
        <v>141</v>
      </c>
      <c r="AI121" s="72">
        <f>Tabella34[[#This Row],[selected region rate data]]-AH120</f>
        <v>0</v>
      </c>
      <c r="AJ121" s="77">
        <f>Tabella34[[#This Row],[selected region rate data]]*NOT(ISBLANK(Tabella34[[#This Row],[selected region rate data]]))</f>
        <v>141</v>
      </c>
      <c r="AK121" s="77">
        <f>Tabella8[[#This Row],[region fit]]</f>
        <v>3452.3914137831289</v>
      </c>
      <c r="AL121" s="143">
        <f>(ATANH(alpha*Tabella34[[#This Row],[sel. region cumul. fit]]/Kl-(1-alpha*Tabella34[[#This Row],[sel. region cumul. fit]]/Kl)*TANH(phi_l))+phi_l)/psi_l-(Tabella34[[#This Row],[Day]]-pl)</f>
        <v>24.121349271128217</v>
      </c>
      <c r="AM121" s="77">
        <f>Tabella34[[#This Row],[sel. region cumul. fit]]/Kl</f>
        <v>0.2624218298092087</v>
      </c>
      <c r="AN121" s="143">
        <f>Tabella3[[#This Row],[region fit]]</f>
        <v>131.43441231957556</v>
      </c>
      <c r="AO121" s="186">
        <f>Tabella34[[#This Row],[sel. region velocity]]/Tabella34[[#This Row],[sel. region cumul. fit]]</f>
        <v>3.807054200020437E-2</v>
      </c>
      <c r="AP121" s="241">
        <f>(LN(Tabella34[[#This Row],[Day]]-pr)-phi_r)/psi_r</f>
        <v>125.583028311185</v>
      </c>
      <c r="AQ121" s="244">
        <f>EXP(phi_r+psi_r*Tabella34[[#This Row],[x_r_alpha©+plus]])-(Tabella34[[#This Row],[Day]]-pr)</f>
        <v>-34.407375489071747</v>
      </c>
      <c r="AR121" s="244">
        <f>EXP(phi_r+psi_r*Tabella34[[#This Row],[x_r_alpha©-minus]])-(Tabella34[[#This Row],[Day]]-pr)</f>
        <v>-34.865776078569219</v>
      </c>
      <c r="AS121" s="244">
        <f>-psi_r+SQRT(psi_r^2-2*Tabella34[[#This Row],[c_r]])</f>
        <v>3.7711515484751952</v>
      </c>
      <c r="AT121" s="244">
        <f>-psi_r-SQRT(psi_r^2-2*Tabella34[[#This Row],[c_r]])</f>
        <v>-3.8114395581415335</v>
      </c>
      <c r="AU121" s="244">
        <f>phi_r-LN(alpha*Kr/(Tabella34[[#This Row],[sel. region velocity]]*psi_r*SQRTPI(2)))</f>
        <v>-7.1867580958025288</v>
      </c>
      <c r="AV121" s="244">
        <f>(ACOSH(SQRT(alpha*Kl*psi_l/(Tabella34[[#This Row],[sel. region velocity]]*(1+TANH(phi_l)))))+phi_l)/psi_l-(Tabella34[[#This Row],[Day]]-pl)</f>
        <v>64.519758099904323</v>
      </c>
      <c r="AW121" s="72">
        <f>-2*$BY$22*TANH($BY$22*(Tabella34[[#This Row],[Day]]-$BY$31)-$BY$21)*Tabella34[[#This Row],[sel. region velocity]]</f>
        <v>1.7346566142675517</v>
      </c>
      <c r="AX121" s="77">
        <f>Tabella34[[#This Row],[sel. region acc. fit]]/y_l_peak</f>
        <v>1.1781566813212924E-2</v>
      </c>
      <c r="AY121" s="143">
        <f>Tabella34[[#This Row],[sel. region acc. fit]]*NOT(ISBLANK(Tabella34[[#This Row],[selected region rate data]]))</f>
        <v>1.7346566142675517</v>
      </c>
      <c r="AZ121" s="77">
        <f>Tabella34[[#This Row],[sel. region acc. fit]]+CIl</f>
        <v>71.09964298936795</v>
      </c>
      <c r="BA121" s="77">
        <f>MAX(Tabella34[[#This Row],[sel. region acc. fit]]-CIl,0)</f>
        <v>0</v>
      </c>
      <c r="BB121" s="10">
        <f>Tabella8[[#This Row],[rest of Italy ]]</f>
        <v>79542</v>
      </c>
      <c r="BC121" s="10">
        <f>(Tabella34[[#This Row],[rest of Italy cum. Data]]-BB120)</f>
        <v>3356</v>
      </c>
      <c r="BD121" s="10">
        <f>Tabella34[[#This Row],[rest of Italy rate data]]-BC120</f>
        <v>117</v>
      </c>
      <c r="BE121" s="77">
        <f>Tabella34[[#This Row],[rest of Italy rate data]]*NOT(ISBLANK(Tabella34[[#This Row],[rest of Italy rate data]]))</f>
        <v>3356</v>
      </c>
      <c r="BF121" s="77">
        <f>Tabella8[[#This Row],[rest of Italy fit]]</f>
        <v>79200.164612802182</v>
      </c>
      <c r="BG121" s="78">
        <f>(ATANH(alpha*Tabella34[[#This Row],[rest of Italy cumul. fit]]/Ka-(1-alpha*Tabella34[[#This Row],[rest of Italy cumul. fit]]/Ka)*TANH(phi_a))+phi_a)/psi_a-(Tabella34[[#This Row],[Day]]-pa)</f>
        <v>27.821165446713024</v>
      </c>
      <c r="BH121" s="77">
        <f>Tabella34[[#This Row],[rest of Italy cumul. fit]]/Ka</f>
        <v>0.35700818147751617</v>
      </c>
      <c r="BI121" s="143">
        <f>Tabella3[[#This Row],[rest of Italy fit]]</f>
        <v>2883.6603088713323</v>
      </c>
      <c r="BJ121" s="183">
        <f>Tabella34[[#This Row],[rest of Italy velocity]]/Tabella34[[#This Row],[rest of Italy cumul. fit]]</f>
        <v>3.6409776709039915E-2</v>
      </c>
      <c r="BK121" s="236">
        <f>(LN(Tabella34[[#This Row],[Day]]-po)-phi_o)/psi_o</f>
        <v>94.815245350041366</v>
      </c>
      <c r="BL121" s="244">
        <f>EXP(phi_o+psi_o*Tabella34[[#This Row],[x_o_alpha©+plus]])-(Tabella34[[#This Row],[Day]]-po)</f>
        <v>-41.682350730340097</v>
      </c>
      <c r="BM121" s="244">
        <f>EXP(phi_o+psi_o*Tabella34[[#This Row],[x_o_alpha©-minus]])-(Tabella34[[#This Row],[Day]]-po)</f>
        <v>-42.42523871413109</v>
      </c>
      <c r="BN121" s="244">
        <f>-psi_o+SQRT(psi_o^2-2*Tabella34[[#This Row],[c_o]])</f>
        <v>3.5469765818989556</v>
      </c>
      <c r="BO121" s="244">
        <f>-psi_o-SQRT(psi_o^2-2*Tabella34[[#This Row],[c_o]])</f>
        <v>-3.598289866166609</v>
      </c>
      <c r="BP121" s="244">
        <f>phi_o-LN(alpha*Ko/(Tabella34[[#This Row],[rest of Italy velocity]]*psi_o*SQRTPI(2)))</f>
        <v>-6.3815249450886444</v>
      </c>
      <c r="BQ121" s="244">
        <f>(ACOSH(SQRT(alpha*Ka*psi_a/(Tabella34[[#This Row],[rest of Italy velocity]]*(1+TANH(phi_a)))))+phi_a)/psi_a-(Tabella34[[#This Row],[Day]]-pa)</f>
        <v>43.999572744596321</v>
      </c>
      <c r="BR121" s="72">
        <f>-2*$BY$35*TANH($BY$35*(Tabella34[[#This Row],[Day]]-$BY$44)-$BY$34)*Tabella34[[#This Row],[rest of Italy velocity]]</f>
        <v>31.379133344410864</v>
      </c>
      <c r="BS121" s="77">
        <f>Tabella34[[#This Row],[rest of Italy acc. fit]]/y_a_peak</f>
        <v>1.0392339661525243E-2</v>
      </c>
      <c r="BT121" s="77">
        <f>Tabella34[[#This Row],[rest of Italy acc. fit]]*NOT(ISBLANK(Tabella34[[#This Row],[rest of Italy rate data]]))</f>
        <v>31.379133344410864</v>
      </c>
      <c r="BU121" s="77">
        <f>Tabella34[[#This Row],[rest of Italy acc. fit]]+CIa</f>
        <v>1665.5130732982122</v>
      </c>
      <c r="BV121" s="77">
        <f>MAX(Tabella34[[#This Row],[rest of Italy acc. fit]]-CIa,0)</f>
        <v>0</v>
      </c>
    </row>
    <row r="122" spans="2:74" x14ac:dyDescent="0.3">
      <c r="B122" s="262">
        <v>43945</v>
      </c>
      <c r="C122" s="4">
        <v>115</v>
      </c>
      <c r="D122" s="10">
        <f>Tabella8[[#This Row],[Italy cumulative]]</f>
        <v>86467</v>
      </c>
      <c r="E122" s="72">
        <f>(Tabella34[[#This Row],[Italy cumul. data]]-D121)</f>
        <v>3342</v>
      </c>
      <c r="F122" s="72">
        <f>Tabella34[[#This Row],[Italy rate data]]-E121</f>
        <v>-155</v>
      </c>
      <c r="G122" s="77">
        <f>Tabella34[[#This Row],[Italy rate data]]*NOT(ISBLANK(Tabella34[[#This Row],[Italy rate data]]))</f>
        <v>3342</v>
      </c>
      <c r="H122" s="143">
        <f>Tabella8[[#This Row],[Italy fit]]</f>
        <v>85664.76907311067</v>
      </c>
      <c r="I122" s="143">
        <f>(ATANH(alpha*Tabella34[[#This Row],[Italy cumul. Fit]]/Kf-(1-alpha*Tabella34[[#This Row],[Italy cumul. Fit]]/Kf)*TANH(phi_f))+phi_f)/psi_f-(Tabella34[[#This Row],[Day]]-pf)</f>
        <v>29.05115486985062</v>
      </c>
      <c r="J122" s="143">
        <f>Tabella34[[#This Row],[Italy d.t.]]/Italy_dt_at_lockdown</f>
        <v>12.799270447884778</v>
      </c>
      <c r="K122" s="77">
        <f>Tabella34[[#This Row],[Italy cumul. Fit]]/Kf</f>
        <v>0.36453092986127472</v>
      </c>
      <c r="L122" s="146">
        <f>Tabella34[[#This Row],[sel. region acc. fit]]+Tabella34[[#This Row],[rest of Italy acc. fit]]</f>
        <v>29.680164293220933</v>
      </c>
      <c r="M122" s="77">
        <f>Tabella34[[#This Row],[Italy (fit of selected region + fitted sum of the other regions)]]/(y_l_peak+y_a_peak)</f>
        <v>9.3726345361781083E-3</v>
      </c>
      <c r="N122" s="143">
        <f>Tabella3[[#This Row],[Italy remov. rate fit]]</f>
        <v>3039.990628705968</v>
      </c>
      <c r="O122" s="143">
        <f>Kt*EXP(-0.5*Tabella34[[#This Row],[x_t]]^2)/(psi_t*SQRTPI(2)*(Tabella34[[#This Row],[Day]]-D_bk))</f>
        <v>0</v>
      </c>
      <c r="P122" s="183">
        <f>Tabella34[[#This Row],[Italy velocity]]/Tabella34[[#This Row],[Italy cumul. Fit]]</f>
        <v>3.5487058000605656E-2</v>
      </c>
      <c r="Q122" s="244">
        <f>(LN(Tabella34[[#This Row],[Day]]-D_bk)-phi_t)/psi_t</f>
        <v>97.715883545236665</v>
      </c>
      <c r="R122" s="244">
        <f>EXP(phi_t+psi_t*Tabella34[[#This Row],[x_t_alpha©+plus]])-(Tabella34[[#This Row],[Day]]-D_bk)</f>
        <v>-42.206864168724771</v>
      </c>
      <c r="S122" s="244">
        <f>EXP(phi_t+psi_t*Tabella34[[#This Row],[x_t_alpha©-minus]])-(Tabella34[[#This Row],[Day]]-D_bk)</f>
        <v>-42.921451120368495</v>
      </c>
      <c r="T122" s="244">
        <f>-psi_t+SQRT(psi_t^2-2*Tabella34[[#This Row],[c_t]])</f>
        <v>3.5605969819965346</v>
      </c>
      <c r="U122" s="244">
        <f>-psi_t-SQRT(psi_t^2-2*Tabella34[[#This Row],[c_t]])</f>
        <v>-3.6111156566939067</v>
      </c>
      <c r="V122" s="244">
        <f>phi_t-LN(alpha*Kt/(Tabella34[[#This Row],[Italy velocity]]*psi_t*SQRTPI(2)))</f>
        <v>-6.4288637544323795</v>
      </c>
      <c r="W122" s="244">
        <f>Tabella34[[#This Row],[Italy g.r.]]/Italy_gr_at_lockdown</f>
        <v>8.4645872502675093E-2</v>
      </c>
      <c r="X122" s="244">
        <f>(ACOSH(SQRT(alpha*Kf*psi_f/(Tabella34[[#This Row],[Italy velocity]]*(1+TANH(phi_f)))))+phi_f)/psi_f-(Tabella34[[#This Row],[Day]]-pf)</f>
        <v>43.740389956711198</v>
      </c>
      <c r="Y122" s="244">
        <f>Tabella34[[#This Row],[Italy h.t.]]/Italy_ht_at_lockdown</f>
        <v>0.36831643809671966</v>
      </c>
      <c r="Z122" s="72">
        <f>-2*$BY$48*TANH($BY$48*(Tabella34[[#This Row],[Day]]-$BY$57)-$BY$47)*Tabella34[[#This Row],[Italy velocity]]</f>
        <v>29.807206182807921</v>
      </c>
      <c r="AA122" s="72">
        <f>Tabella34[[#This Row],[Italy acc. fit]]/Itali_acc_at_lockdown</f>
        <v>0.8516264687582572</v>
      </c>
      <c r="AB122" s="77">
        <f>Tabella34[[#This Row],[Italy acc. fit]]/y_f_peak</f>
        <v>9.4356779393288577E-3</v>
      </c>
      <c r="AC122" s="143">
        <f>Tabella34[[#This Row],[Italy (fit of selected region + fitted sum of the other regions)]]*NOT(ISBLANK(Tabella34[[#This Row],[Italy rate data]]))</f>
        <v>29.680164293220933</v>
      </c>
      <c r="AD122" s="143">
        <f>Tabella34[[#This Row],[Italy acc. fit]]*NOT(ISBLANK(Tabella34[[#This Row],[Italy rate data]]))</f>
        <v>29.807206182807921</v>
      </c>
      <c r="AE122" s="77">
        <f>Tabella34[[#This Row],[Italy acc. fit]]+CIf</f>
        <v>1685.0171751065593</v>
      </c>
      <c r="AF122" s="77">
        <f>MAX(Tabella34[[#This Row],[Italy acc. fit]]-CIf,0)</f>
        <v>0</v>
      </c>
      <c r="AG122" s="4">
        <f>Tabella8[[#This Row],[region data]]</f>
        <v>3736</v>
      </c>
      <c r="AH122" s="72">
        <f>(Tabella34[[#This Row],[selected region cumul. data]]-AG121)</f>
        <v>153</v>
      </c>
      <c r="AI122" s="72">
        <f>Tabella34[[#This Row],[selected region rate data]]-AH121</f>
        <v>12</v>
      </c>
      <c r="AJ122" s="77">
        <f>Tabella34[[#This Row],[selected region rate data]]*NOT(ISBLANK(Tabella34[[#This Row],[selected region rate data]]))</f>
        <v>153</v>
      </c>
      <c r="AK122" s="77">
        <f>Tabella8[[#This Row],[region fit]]</f>
        <v>3584.6809039873392</v>
      </c>
      <c r="AL122" s="143">
        <f>(ATANH(alpha*Tabella34[[#This Row],[sel. region cumul. fit]]/Kl-(1-alpha*Tabella34[[#This Row],[sel. region cumul. fit]]/Kl)*TANH(phi_l))+phi_l)/psi_l-(Tabella34[[#This Row],[Day]]-pl)</f>
        <v>24.967521198859913</v>
      </c>
      <c r="AM122" s="77">
        <f>Tabella34[[#This Row],[sel. region cumul. fit]]/Kl</f>
        <v>0.2724773669494413</v>
      </c>
      <c r="AN122" s="143">
        <f>Tabella3[[#This Row],[region fit]]</f>
        <v>133.13212253524847</v>
      </c>
      <c r="AO122" s="186">
        <f>Tabella34[[#This Row],[sel. region velocity]]/Tabella34[[#This Row],[sel. region cumul. fit]]</f>
        <v>3.7139183682196632E-2</v>
      </c>
      <c r="AP122" s="241">
        <f>(LN(Tabella34[[#This Row],[Day]]-pr)-phi_r)/psi_r</f>
        <v>126.88457072736381</v>
      </c>
      <c r="AQ122" s="244">
        <f>EXP(phi_r+psi_r*Tabella34[[#This Row],[x_r_alpha©+plus]])-(Tabella34[[#This Row],[Day]]-pr)</f>
        <v>-35.407596253696404</v>
      </c>
      <c r="AR122" s="244">
        <f>EXP(phi_r+psi_r*Tabella34[[#This Row],[x_r_alpha©-minus]])-(Tabella34[[#This Row],[Day]]-pr)</f>
        <v>-35.865586572404396</v>
      </c>
      <c r="AS122" s="244">
        <f>-psi_r+SQRT(psi_r^2-2*Tabella34[[#This Row],[c_r]])</f>
        <v>3.7677648932755168</v>
      </c>
      <c r="AT122" s="244">
        <f>-psi_r-SQRT(psi_r^2-2*Tabella34[[#This Row],[c_r]])</f>
        <v>-3.8080529029418551</v>
      </c>
      <c r="AU122" s="244">
        <f>phi_r-LN(alpha*Kr/(Tabella34[[#This Row],[sel. region velocity]]*psi_r*SQRTPI(2)))</f>
        <v>-7.1739240197201211</v>
      </c>
      <c r="AV122" s="244">
        <f>(ACOSH(SQRT(alpha*Kl*psi_l/(Tabella34[[#This Row],[sel. region velocity]]*(1+TANH(phi_l)))))+phi_l)/psi_l-(Tabella34[[#This Row],[Day]]-pl)</f>
        <v>63.090517333712242</v>
      </c>
      <c r="AW122" s="72">
        <f>-2*$BY$22*TANH($BY$22*(Tabella34[[#This Row],[Day]]-$BY$31)-$BY$21)*Tabella34[[#This Row],[sel. region velocity]]</f>
        <v>1.6599851289288092</v>
      </c>
      <c r="AX122" s="77">
        <f>Tabella34[[#This Row],[sel. region acc. fit]]/y_l_peak</f>
        <v>1.1274407594307971E-2</v>
      </c>
      <c r="AY122" s="143">
        <f>Tabella34[[#This Row],[sel. region acc. fit]]*NOT(ISBLANK(Tabella34[[#This Row],[selected region rate data]]))</f>
        <v>1.6599851289288092</v>
      </c>
      <c r="AZ122" s="77">
        <f>Tabella34[[#This Row],[sel. region acc. fit]]+CIl</f>
        <v>71.02497150402921</v>
      </c>
      <c r="BA122" s="77">
        <f>MAX(Tabella34[[#This Row],[sel. region acc. fit]]-CIl,0)</f>
        <v>0</v>
      </c>
      <c r="BB122" s="10">
        <f>Tabella8[[#This Row],[rest of Italy ]]</f>
        <v>82731</v>
      </c>
      <c r="BC122" s="10">
        <f>(Tabella34[[#This Row],[rest of Italy cum. Data]]-BB121)</f>
        <v>3189</v>
      </c>
      <c r="BD122" s="10">
        <f>Tabella34[[#This Row],[rest of Italy rate data]]-BC121</f>
        <v>-167</v>
      </c>
      <c r="BE122" s="77">
        <f>Tabella34[[#This Row],[rest of Italy rate data]]*NOT(ISBLANK(Tabella34[[#This Row],[rest of Italy rate data]]))</f>
        <v>3189</v>
      </c>
      <c r="BF122" s="77">
        <f>Tabella8[[#This Row],[rest of Italy fit]]</f>
        <v>82098.960811347657</v>
      </c>
      <c r="BG122" s="78">
        <f>(ATANH(alpha*Tabella34[[#This Row],[rest of Italy cumul. fit]]/Ka-(1-alpha*Tabella34[[#This Row],[rest of Italy cumul. fit]]/Ka)*TANH(phi_a))+phi_a)/psi_a-(Tabella34[[#This Row],[Day]]-pa)</f>
        <v>29.335029985528706</v>
      </c>
      <c r="BH122" s="77">
        <f>Tabella34[[#This Row],[rest of Italy cumul. fit]]/Ka</f>
        <v>0.37007499723953002</v>
      </c>
      <c r="BI122" s="143">
        <f>Tabella3[[#This Row],[rest of Italy fit]]</f>
        <v>2913.3722227370927</v>
      </c>
      <c r="BJ122" s="183">
        <f>Tabella34[[#This Row],[rest of Italy velocity]]/Tabella34[[#This Row],[rest of Italy cumul. fit]]</f>
        <v>3.5486103526104665E-2</v>
      </c>
      <c r="BK122" s="236">
        <f>(LN(Tabella34[[#This Row],[Day]]-po)-phi_o)/psi_o</f>
        <v>95.651364435572049</v>
      </c>
      <c r="BL122" s="244">
        <f>EXP(phi_o+psi_o*Tabella34[[#This Row],[x_o_alpha©+plus]])-(Tabella34[[#This Row],[Day]]-po)</f>
        <v>-42.682677343661439</v>
      </c>
      <c r="BM122" s="244">
        <f>EXP(phi_o+psi_o*Tabella34[[#This Row],[x_o_alpha©-minus]])-(Tabella34[[#This Row],[Day]]-po)</f>
        <v>-43.424966788920166</v>
      </c>
      <c r="BN122" s="244">
        <f>-psi_o+SQRT(psi_o^2-2*Tabella34[[#This Row],[c_o]])</f>
        <v>3.5441061664635352</v>
      </c>
      <c r="BO122" s="244">
        <f>-psi_o-SQRT(psi_o^2-2*Tabella34[[#This Row],[c_o]])</f>
        <v>-3.5954194507311885</v>
      </c>
      <c r="BP122" s="244">
        <f>phi_o-LN(alpha*Ko/(Tabella34[[#This Row],[rest of Italy velocity]]*psi_o*SQRTPI(2)))</f>
        <v>-6.3712741231796706</v>
      </c>
      <c r="BQ122" s="244">
        <f>(ACOSH(SQRT(alpha*Ka*psi_a/(Tabella34[[#This Row],[rest of Italy velocity]]*(1+TANH(phi_a)))))+phi_a)/psi_a-(Tabella34[[#This Row],[Day]]-pa)</f>
        <v>42.722549633807617</v>
      </c>
      <c r="BR122" s="72">
        <f>-2*$BY$35*TANH($BY$35*(Tabella34[[#This Row],[Day]]-$BY$44)-$BY$34)*Tabella34[[#This Row],[rest of Italy velocity]]</f>
        <v>28.020179164292124</v>
      </c>
      <c r="BS122" s="77">
        <f>Tabella34[[#This Row],[rest of Italy acc. fit]]/y_a_peak</f>
        <v>9.2798999913738175E-3</v>
      </c>
      <c r="BT122" s="77">
        <f>Tabella34[[#This Row],[rest of Italy acc. fit]]*NOT(ISBLANK(Tabella34[[#This Row],[rest of Italy rate data]]))</f>
        <v>28.020179164292124</v>
      </c>
      <c r="BU122" s="77">
        <f>Tabella34[[#This Row],[rest of Italy acc. fit]]+CIa</f>
        <v>1662.1541191180936</v>
      </c>
      <c r="BV122" s="77">
        <f>MAX(Tabella34[[#This Row],[rest of Italy acc. fit]]-CIa,0)</f>
        <v>0</v>
      </c>
    </row>
    <row r="123" spans="2:74" x14ac:dyDescent="0.3">
      <c r="B123" s="262">
        <v>43946</v>
      </c>
      <c r="C123" s="4">
        <v>116</v>
      </c>
      <c r="D123" s="10">
        <f>Tabella8[[#This Row],[Italy cumulative]]</f>
        <v>89504</v>
      </c>
      <c r="E123" s="72">
        <f>(Tabella34[[#This Row],[Italy cumul. data]]-D122)</f>
        <v>3037</v>
      </c>
      <c r="F123" s="72">
        <f>Tabella34[[#This Row],[Italy rate data]]-E122</f>
        <v>-305</v>
      </c>
      <c r="G123" s="77">
        <f>Tabella34[[#This Row],[Italy rate data]]*NOT(ISBLANK(Tabella34[[#This Row],[Italy rate data]]))</f>
        <v>3037</v>
      </c>
      <c r="H123" s="143">
        <f>Tabella8[[#This Row],[Italy fit]]</f>
        <v>88719.08397179193</v>
      </c>
      <c r="I123" s="143">
        <f>(ATANH(alpha*Tabella34[[#This Row],[Italy cumul. Fit]]/Kf-(1-alpha*Tabella34[[#This Row],[Italy cumul. Fit]]/Kf)*TANH(phi_f))+phi_f)/psi_f-(Tabella34[[#This Row],[Day]]-pf)</f>
        <v>30.685783015959203</v>
      </c>
      <c r="J123" s="143">
        <f>Tabella34[[#This Row],[Italy d.t.]]/Italy_dt_at_lockdown</f>
        <v>13.519450000728689</v>
      </c>
      <c r="K123" s="77">
        <f>Tabella34[[#This Row],[Italy cumul. Fit]]/Kf</f>
        <v>0.37752801445220147</v>
      </c>
      <c r="L123" s="146">
        <f>Tabella34[[#This Row],[sel. region acc. fit]]+Tabella34[[#This Row],[rest of Italy acc. fit]]</f>
        <v>26.102265681447172</v>
      </c>
      <c r="M123" s="77">
        <f>Tabella34[[#This Row],[Italy (fit of selected region + fitted sum of the other regions)]]/(y_l_peak+y_a_peak)</f>
        <v>8.2427777144854514E-3</v>
      </c>
      <c r="N123" s="143">
        <f>Tabella3[[#This Row],[Italy remov. rate fit]]</f>
        <v>3068.0541005868808</v>
      </c>
      <c r="O123" s="143">
        <f>Kt*EXP(-0.5*Tabella34[[#This Row],[x_t]]^2)/(psi_t*SQRTPI(2)*(Tabella34[[#This Row],[Day]]-D_bk))</f>
        <v>0</v>
      </c>
      <c r="P123" s="183">
        <f>Tabella34[[#This Row],[Italy velocity]]/Tabella34[[#This Row],[Italy cumul. Fit]]</f>
        <v>3.4581670180029847E-2</v>
      </c>
      <c r="Q123" s="244">
        <f>(LN(Tabella34[[#This Row],[Day]]-D_bk)-phi_t)/psi_t</f>
        <v>98.557890033978296</v>
      </c>
      <c r="R123" s="244">
        <f>EXP(phi_t+psi_t*Tabella34[[#This Row],[x_t_alpha©+plus]])-(Tabella34[[#This Row],[Day]]-D_bk)</f>
        <v>-43.207143420476839</v>
      </c>
      <c r="S123" s="244">
        <f>EXP(phi_t+psi_t*Tabella34[[#This Row],[x_t_alpha©-minus]])-(Tabella34[[#This Row],[Day]]-D_bk)</f>
        <v>-43.92121812332708</v>
      </c>
      <c r="T123" s="244">
        <f>-psi_t+SQRT(psi_t^2-2*Tabella34[[#This Row],[c_t]])</f>
        <v>3.5580334743167299</v>
      </c>
      <c r="U123" s="244">
        <f>-psi_t-SQRT(psi_t^2-2*Tabella34[[#This Row],[c_t]])</f>
        <v>-3.6085521490141019</v>
      </c>
      <c r="V123" s="244">
        <f>phi_t-LN(alpha*Kt/(Tabella34[[#This Row],[Italy velocity]]*psi_t*SQRTPI(2)))</f>
        <v>-6.4196746700048735</v>
      </c>
      <c r="W123" s="244">
        <f>Tabella34[[#This Row],[Italy g.r.]]/Italy_gr_at_lockdown</f>
        <v>8.2486286829931338E-2</v>
      </c>
      <c r="X123" s="244">
        <f>(ACOSH(SQRT(alpha*Kf*psi_f/(Tabella34[[#This Row],[Italy velocity]]*(1+TANH(phi_f)))))+phi_f)/psi_f-(Tabella34[[#This Row],[Day]]-pf)</f>
        <v>42.48732222365193</v>
      </c>
      <c r="Y123" s="244">
        <f>Tabella34[[#This Row],[Italy h.t.]]/Italy_ht_at_lockdown</f>
        <v>0.35776496737158253</v>
      </c>
      <c r="Z123" s="72">
        <f>-2*$BY$48*TANH($BY$48*(Tabella34[[#This Row],[Day]]-$BY$57)-$BY$47)*Tabella34[[#This Row],[Italy velocity]]</f>
        <v>26.297049744002368</v>
      </c>
      <c r="AA123" s="72">
        <f>Tabella34[[#This Row],[Italy acc. fit]]/Itali_acc_at_lockdown</f>
        <v>0.75133722613567244</v>
      </c>
      <c r="AB123" s="77">
        <f>Tabella34[[#This Row],[Italy acc. fit]]/y_f_peak</f>
        <v>8.3245135628320782E-3</v>
      </c>
      <c r="AC123" s="143">
        <f>Tabella34[[#This Row],[Italy (fit of selected region + fitted sum of the other regions)]]*NOT(ISBLANK(Tabella34[[#This Row],[Italy rate data]]))</f>
        <v>26.102265681447172</v>
      </c>
      <c r="AD123" s="143">
        <f>Tabella34[[#This Row],[Italy acc. fit]]*NOT(ISBLANK(Tabella34[[#This Row],[Italy rate data]]))</f>
        <v>26.297049744002368</v>
      </c>
      <c r="AE123" s="77">
        <f>Tabella34[[#This Row],[Italy acc. fit]]+CIf</f>
        <v>1681.5070186677538</v>
      </c>
      <c r="AF123" s="77">
        <f>MAX(Tabella34[[#This Row],[Italy acc. fit]]-CIf,0)</f>
        <v>0</v>
      </c>
      <c r="AG123" s="4">
        <f>Tabella8[[#This Row],[region data]]</f>
        <v>3868</v>
      </c>
      <c r="AH123" s="72">
        <f>(Tabella34[[#This Row],[selected region cumul. data]]-AG122)</f>
        <v>132</v>
      </c>
      <c r="AI123" s="72">
        <f>Tabella34[[#This Row],[selected region rate data]]-AH122</f>
        <v>-21</v>
      </c>
      <c r="AJ123" s="77">
        <f>Tabella34[[#This Row],[selected region rate data]]*NOT(ISBLANK(Tabella34[[#This Row],[selected region rate data]]))</f>
        <v>132</v>
      </c>
      <c r="AK123" s="77">
        <f>Tabella8[[#This Row],[region fit]]</f>
        <v>3718.6299948500086</v>
      </c>
      <c r="AL123" s="143">
        <f>(ATANH(alpha*Tabella34[[#This Row],[sel. region cumul. fit]]/Kl-(1-alpha*Tabella34[[#This Row],[sel. region cumul. fit]]/Kl)*TANH(phi_l))+phi_l)/psi_l-(Tabella34[[#This Row],[Day]]-pl)</f>
        <v>25.862553076443689</v>
      </c>
      <c r="AM123" s="77">
        <f>Tabella34[[#This Row],[sel. region cumul. fit]]/Kl</f>
        <v>0.2826590530077272</v>
      </c>
      <c r="AN123" s="143">
        <f>Tabella3[[#This Row],[region fit]]</f>
        <v>134.75284483722771</v>
      </c>
      <c r="AO123" s="186">
        <f>Tabella34[[#This Row],[sel. region velocity]]/Tabella34[[#This Row],[sel. region cumul. fit]]</f>
        <v>3.6237228501853944E-2</v>
      </c>
      <c r="AP123" s="241">
        <f>(LN(Tabella34[[#This Row],[Day]]-pr)-phi_r)/psi_r</f>
        <v>128.15285895563733</v>
      </c>
      <c r="AQ123" s="244">
        <f>EXP(phi_r+psi_r*Tabella34[[#This Row],[x_r_alpha©+plus]])-(Tabella34[[#This Row],[Day]]-pr)</f>
        <v>-36.407804563151949</v>
      </c>
      <c r="AR123" s="244">
        <f>EXP(phi_r+psi_r*Tabella34[[#This Row],[x_r_alpha©-minus]])-(Tabella34[[#This Row],[Day]]-pr)</f>
        <v>-36.86540773414707</v>
      </c>
      <c r="AS123" s="244">
        <f>-psi_r+SQRT(psi_r^2-2*Tabella34[[#This Row],[c_r]])</f>
        <v>3.7645690956010807</v>
      </c>
      <c r="AT123" s="244">
        <f>-psi_r-SQRT(psi_r^2-2*Tabella34[[#This Row],[c_r]])</f>
        <v>-3.8048571052674189</v>
      </c>
      <c r="AU123" s="244">
        <f>phi_r-LN(alpha*Kr/(Tabella34[[#This Row],[sel. region velocity]]*psi_r*SQRTPI(2)))</f>
        <v>-7.1618237358339565</v>
      </c>
      <c r="AV123" s="244">
        <f>(ACOSH(SQRT(alpha*Kl*psi_l/(Tabella34[[#This Row],[sel. region velocity]]*(1+TANH(phi_l)))))+phi_l)/psi_l-(Tabella34[[#This Row],[Day]]-pl)</f>
        <v>61.683732312580887</v>
      </c>
      <c r="AW123" s="72">
        <f>-2*$BY$22*TANH($BY$22*(Tabella34[[#This Row],[Day]]-$BY$31)-$BY$21)*Tabella34[[#This Row],[sel. region velocity]]</f>
        <v>1.5807012729211127</v>
      </c>
      <c r="AX123" s="77">
        <f>Tabella34[[#This Row],[sel. region acc. fit]]/y_l_peak</f>
        <v>1.0735921741211194E-2</v>
      </c>
      <c r="AY123" s="143">
        <f>Tabella34[[#This Row],[sel. region acc. fit]]*NOT(ISBLANK(Tabella34[[#This Row],[selected region rate data]]))</f>
        <v>1.5807012729211127</v>
      </c>
      <c r="AZ123" s="77">
        <f>Tabella34[[#This Row],[sel. region acc. fit]]+CIl</f>
        <v>70.945687648021519</v>
      </c>
      <c r="BA123" s="77">
        <f>MAX(Tabella34[[#This Row],[sel. region acc. fit]]-CIl,0)</f>
        <v>0</v>
      </c>
      <c r="BB123" s="10">
        <f>Tabella8[[#This Row],[rest of Italy ]]</f>
        <v>85636</v>
      </c>
      <c r="BC123" s="10">
        <f>(Tabella34[[#This Row],[rest of Italy cum. Data]]-BB122)</f>
        <v>2905</v>
      </c>
      <c r="BD123" s="10">
        <f>Tabella34[[#This Row],[rest of Italy rate data]]-BC122</f>
        <v>-284</v>
      </c>
      <c r="BE123" s="77">
        <f>Tabella34[[#This Row],[rest of Italy rate data]]*NOT(ISBLANK(Tabella34[[#This Row],[rest of Italy rate data]]))</f>
        <v>2905</v>
      </c>
      <c r="BF123" s="77">
        <f>Tabella8[[#This Row],[rest of Italy fit]]</f>
        <v>85025.765544631198</v>
      </c>
      <c r="BG123" s="78">
        <f>(ATANH(alpha*Tabella34[[#This Row],[rest of Italy cumul. fit]]/Ka-(1-alpha*Tabella34[[#This Row],[rest of Italy cumul. fit]]/Ka)*TANH(phi_a))+phi_a)/psi_a-(Tabella34[[#This Row],[Day]]-pa)</f>
        <v>31.053280440195422</v>
      </c>
      <c r="BH123" s="77">
        <f>Tabella34[[#This Row],[rest of Italy cumul. fit]]/Ka</f>
        <v>0.38326806622464732</v>
      </c>
      <c r="BI123" s="143">
        <f>Tabella3[[#This Row],[rest of Italy fit]]</f>
        <v>2939.6540975559669</v>
      </c>
      <c r="BJ123" s="183">
        <f>Tabella34[[#This Row],[rest of Italy velocity]]/Tabella34[[#This Row],[rest of Italy cumul. fit]]</f>
        <v>3.4573685737800293E-2</v>
      </c>
      <c r="BK123" s="236">
        <f>(LN(Tabella34[[#This Row],[Day]]-po)-phi_o)/psi_o</f>
        <v>96.469923133960549</v>
      </c>
      <c r="BL123" s="244">
        <f>EXP(phi_o+psi_o*Tabella34[[#This Row],[x_o_alpha©+plus]])-(Tabella34[[#This Row],[Day]]-po)</f>
        <v>-43.682963683422024</v>
      </c>
      <c r="BM123" s="244">
        <f>EXP(phi_o+psi_o*Tabella34[[#This Row],[x_o_alpha©-minus]])-(Tabella34[[#This Row],[Day]]-po)</f>
        <v>-44.424728360916156</v>
      </c>
      <c r="BN123" s="244">
        <f>-psi_o+SQRT(psi_o^2-2*Tabella34[[#This Row],[c_o]])</f>
        <v>3.5415895181309778</v>
      </c>
      <c r="BO123" s="244">
        <f>-psi_o-SQRT(psi_o^2-2*Tabella34[[#This Row],[c_o]])</f>
        <v>-3.5929028023986311</v>
      </c>
      <c r="BP123" s="244">
        <f>phi_o-LN(alpha*Ko/(Tabella34[[#This Row],[rest of Italy velocity]]*psi_o*SQRTPI(2)))</f>
        <v>-6.3622934523192036</v>
      </c>
      <c r="BQ123" s="244">
        <f>(ACOSH(SQRT(alpha*Ka*psi_a/(Tabella34[[#This Row],[rest of Italy velocity]]*(1+TANH(phi_a)))))+phi_a)/psi_a-(Tabella34[[#This Row],[Day]]-pa)</f>
        <v>41.478762486590185</v>
      </c>
      <c r="BR123" s="72">
        <f>-2*$BY$35*TANH($BY$35*(Tabella34[[#This Row],[Day]]-$BY$44)-$BY$34)*Tabella34[[#This Row],[rest of Italy velocity]]</f>
        <v>24.521564408526057</v>
      </c>
      <c r="BS123" s="77">
        <f>Tabella34[[#This Row],[rest of Italy acc. fit]]/y_a_peak</f>
        <v>8.1212066492831175E-3</v>
      </c>
      <c r="BT123" s="77">
        <f>Tabella34[[#This Row],[rest of Italy acc. fit]]*NOT(ISBLANK(Tabella34[[#This Row],[rest of Italy rate data]]))</f>
        <v>24.521564408526057</v>
      </c>
      <c r="BU123" s="77">
        <f>Tabella34[[#This Row],[rest of Italy acc. fit]]+CIa</f>
        <v>1658.6555043623275</v>
      </c>
      <c r="BV123" s="77">
        <f>MAX(Tabella34[[#This Row],[rest of Italy acc. fit]]-CIa,0)</f>
        <v>0</v>
      </c>
    </row>
    <row r="124" spans="2:74" x14ac:dyDescent="0.3">
      <c r="B124" s="262">
        <v>43947</v>
      </c>
      <c r="C124" s="4">
        <v>117</v>
      </c>
      <c r="D124" s="10">
        <f>Tabella8[[#This Row],[Italy cumulative]]</f>
        <v>91572</v>
      </c>
      <c r="E124" s="72">
        <f>(Tabella34[[#This Row],[Italy cumul. data]]-D123)</f>
        <v>2068</v>
      </c>
      <c r="F124" s="72">
        <f>Tabella34[[#This Row],[Italy rate data]]-E123</f>
        <v>-969</v>
      </c>
      <c r="G124" s="77">
        <f>Tabella34[[#This Row],[Italy rate data]]*NOT(ISBLANK(Tabella34[[#This Row],[Italy rate data]]))</f>
        <v>2068</v>
      </c>
      <c r="H124" s="143">
        <f>Tabella8[[#This Row],[Italy fit]]</f>
        <v>91799.685221234817</v>
      </c>
      <c r="I124" s="143">
        <f>(ATANH(alpha*Tabella34[[#This Row],[Italy cumul. Fit]]/Kf-(1-alpha*Tabella34[[#This Row],[Italy cumul. Fit]]/Kf)*TANH(phi_f))+phi_f)/psi_f-(Tabella34[[#This Row],[Day]]-pf)</f>
        <v>32.550147867893372</v>
      </c>
      <c r="J124" s="143">
        <f>Tabella34[[#This Row],[Italy d.t.]]/Italy_dt_at_lockdown</f>
        <v>14.340846260544877</v>
      </c>
      <c r="K124" s="77">
        <f>Tabella34[[#This Row],[Italy cumul. Fit]]/Kf</f>
        <v>0.3906369558541542</v>
      </c>
      <c r="L124" s="146">
        <f>Tabella34[[#This Row],[sel. region acc. fit]]+Tabella34[[#This Row],[rest of Italy acc. fit]]</f>
        <v>22.39598540994729</v>
      </c>
      <c r="M124" s="77">
        <f>Tabella34[[#This Row],[Italy (fit of selected region + fitted sum of the other regions)]]/(y_l_peak+y_a_peak)</f>
        <v>7.0723795276617495E-3</v>
      </c>
      <c r="N124" s="143">
        <f>Tabella3[[#This Row],[Italy remov. rate fit]]</f>
        <v>3092.5419395441886</v>
      </c>
      <c r="O124" s="143">
        <f>Kt*EXP(-0.5*Tabella34[[#This Row],[x_t]]^2)/(psi_t*SQRTPI(2)*(Tabella34[[#This Row],[Day]]-D_bk))</f>
        <v>0</v>
      </c>
      <c r="P124" s="183">
        <f>Tabella34[[#This Row],[Italy velocity]]/Tabella34[[#This Row],[Italy cumul. Fit]]</f>
        <v>3.3687936206875269E-2</v>
      </c>
      <c r="Q124" s="244">
        <f>(LN(Tabella34[[#This Row],[Day]]-D_bk)-phi_t)/psi_t</f>
        <v>99.382360601803796</v>
      </c>
      <c r="R124" s="244">
        <f>EXP(phi_t+psi_t*Tabella34[[#This Row],[x_t_alpha©+plus]])-(Tabella34[[#This Row],[Day]]-D_bk)</f>
        <v>-44.207385159783392</v>
      </c>
      <c r="S124" s="244">
        <f>EXP(phi_t+psi_t*Tabella34[[#This Row],[x_t_alpha©-minus]])-(Tabella34[[#This Row],[Day]]-D_bk)</f>
        <v>-44.92101640087489</v>
      </c>
      <c r="T124" s="244">
        <f>-psi_t+SQRT(psi_t^2-2*Tabella34[[#This Row],[c_t]])</f>
        <v>3.5558141936910137</v>
      </c>
      <c r="U124" s="244">
        <f>-psi_t-SQRT(psi_t^2-2*Tabella34[[#This Row],[c_t]])</f>
        <v>-3.6063328683883857</v>
      </c>
      <c r="V124" s="244">
        <f>phi_t-LN(alpha*Kt/(Tabella34[[#This Row],[Italy velocity]]*psi_t*SQRTPI(2)))</f>
        <v>-6.411724800294925</v>
      </c>
      <c r="W124" s="244">
        <f>Tabella34[[#This Row],[Italy g.r.]]/Italy_gr_at_lockdown</f>
        <v>8.0354498617404374E-2</v>
      </c>
      <c r="X124" s="244">
        <f>(ACOSH(SQRT(alpha*Kf*psi_f/(Tabella34[[#This Row],[Italy velocity]]*(1+TANH(phi_f)))))+phi_f)/psi_f-(Tabella34[[#This Row],[Day]]-pf)</f>
        <v>41.267495836653097</v>
      </c>
      <c r="Y124" s="244">
        <f>Tabella34[[#This Row],[Italy h.t.]]/Italy_ht_at_lockdown</f>
        <v>0.34749340576912668</v>
      </c>
      <c r="Z124" s="72">
        <f>-2*$BY$48*TANH($BY$48*(Tabella34[[#This Row],[Day]]-$BY$57)-$BY$47)*Tabella34[[#This Row],[Italy velocity]]</f>
        <v>22.658571026142592</v>
      </c>
      <c r="AA124" s="72">
        <f>Tabella34[[#This Row],[Italy acc. fit]]/Itali_acc_at_lockdown</f>
        <v>0.64738166709605316</v>
      </c>
      <c r="AB124" s="77">
        <f>Tabella34[[#This Row],[Italy acc. fit]]/y_f_peak</f>
        <v>7.1727278785156251E-3</v>
      </c>
      <c r="AC124" s="143">
        <f>Tabella34[[#This Row],[Italy (fit of selected region + fitted sum of the other regions)]]*NOT(ISBLANK(Tabella34[[#This Row],[Italy rate data]]))</f>
        <v>22.39598540994729</v>
      </c>
      <c r="AD124" s="143">
        <f>Tabella34[[#This Row],[Italy acc. fit]]*NOT(ISBLANK(Tabella34[[#This Row],[Italy rate data]]))</f>
        <v>22.658571026142592</v>
      </c>
      <c r="AE124" s="77">
        <f>Tabella34[[#This Row],[Italy acc. fit]]+CIf</f>
        <v>1677.8685399498941</v>
      </c>
      <c r="AF124" s="77">
        <f>MAX(Tabella34[[#This Row],[Italy acc. fit]]-CIf,0)</f>
        <v>0</v>
      </c>
      <c r="AG124" s="4">
        <f>Tabella8[[#This Row],[region data]]</f>
        <v>4008</v>
      </c>
      <c r="AH124" s="72">
        <f>(Tabella34[[#This Row],[selected region cumul. data]]-AG123)</f>
        <v>140</v>
      </c>
      <c r="AI124" s="72">
        <f>Tabella34[[#This Row],[selected region rate data]]-AH123</f>
        <v>8</v>
      </c>
      <c r="AJ124" s="77">
        <f>Tabella34[[#This Row],[selected region rate data]]*NOT(ISBLANK(Tabella34[[#This Row],[selected region rate data]]))</f>
        <v>140</v>
      </c>
      <c r="AK124" s="77">
        <f>Tabella8[[#This Row],[region fit]]</f>
        <v>3854.1594138208616</v>
      </c>
      <c r="AL124" s="143">
        <f>(ATANH(alpha*Tabella34[[#This Row],[sel. region cumul. fit]]/Kl-(1-alpha*Tabella34[[#This Row],[sel. region cumul. fit]]/Kl)*TANH(phi_l))+phi_l)/psi_l-(Tabella34[[#This Row],[Day]]-pl)</f>
        <v>26.812568923119656</v>
      </c>
      <c r="AM124" s="77">
        <f>Tabella34[[#This Row],[sel. region cumul. fit]]/Kl</f>
        <v>0.29296086234988894</v>
      </c>
      <c r="AN124" s="143">
        <f>Tabella3[[#This Row],[region fit]]</f>
        <v>136.29203256364565</v>
      </c>
      <c r="AO124" s="186">
        <f>Tabella34[[#This Row],[sel. region velocity]]/Tabella34[[#This Row],[sel. region cumul. fit]]</f>
        <v>3.5362323643103051E-2</v>
      </c>
      <c r="AP124" s="241">
        <f>(LN(Tabella34[[#This Row],[Day]]-pr)-phi_r)/psi_r</f>
        <v>129.38955002479892</v>
      </c>
      <c r="AQ124" s="244">
        <f>EXP(phi_r+psi_r*Tabella34[[#This Row],[x_r_alpha©+plus]])-(Tabella34[[#This Row],[Day]]-pr)</f>
        <v>-37.408000234376892</v>
      </c>
      <c r="AR124" s="244">
        <f>EXP(phi_r+psi_r*Tabella34[[#This Row],[x_r_alpha©-minus]])-(Tabella34[[#This Row],[Day]]-pr)</f>
        <v>-37.865239725114499</v>
      </c>
      <c r="AS124" s="244">
        <f>-psi_r+SQRT(psi_r^2-2*Tabella34[[#This Row],[c_r]])</f>
        <v>3.7615670010428484</v>
      </c>
      <c r="AT124" s="244">
        <f>-psi_r-SQRT(psi_r^2-2*Tabella34[[#This Row],[c_r]])</f>
        <v>-3.8018550107091866</v>
      </c>
      <c r="AU124" s="244">
        <f>phi_r-LN(alpha*Kr/(Tabella34[[#This Row],[sel. region velocity]]*psi_r*SQRTPI(2)))</f>
        <v>-7.1504661755165406</v>
      </c>
      <c r="AV124" s="244">
        <f>(ACOSH(SQRT(alpha*Kl*psi_l/(Tabella34[[#This Row],[sel. region velocity]]*(1+TANH(phi_l)))))+phi_l)/psi_l-(Tabella34[[#This Row],[Day]]-pl)</f>
        <v>60.300022974044296</v>
      </c>
      <c r="AW124" s="72">
        <f>-2*$BY$22*TANH($BY$22*(Tabella34[[#This Row],[Day]]-$BY$31)-$BY$21)*Tabella34[[#This Row],[sel. region velocity]]</f>
        <v>1.4969407135316095</v>
      </c>
      <c r="AX124" s="77">
        <f>Tabella34[[#This Row],[sel. region acc. fit]]/y_l_peak</f>
        <v>1.0167030688859484E-2</v>
      </c>
      <c r="AY124" s="143">
        <f>Tabella34[[#This Row],[sel. region acc. fit]]*NOT(ISBLANK(Tabella34[[#This Row],[selected region rate data]]))</f>
        <v>1.4969407135316095</v>
      </c>
      <c r="AZ124" s="77">
        <f>Tabella34[[#This Row],[sel. region acc. fit]]+CIl</f>
        <v>70.861927088632015</v>
      </c>
      <c r="BA124" s="77">
        <f>MAX(Tabella34[[#This Row],[sel. region acc. fit]]-CIl,0)</f>
        <v>0</v>
      </c>
      <c r="BB124" s="10">
        <f>Tabella8[[#This Row],[rest of Italy ]]</f>
        <v>87564</v>
      </c>
      <c r="BC124" s="10">
        <f>(Tabella34[[#This Row],[rest of Italy cum. Data]]-BB123)</f>
        <v>1928</v>
      </c>
      <c r="BD124" s="10">
        <f>Tabella34[[#This Row],[rest of Italy rate data]]-BC123</f>
        <v>-977</v>
      </c>
      <c r="BE124" s="77">
        <f>Tabella34[[#This Row],[rest of Italy rate data]]*NOT(ISBLANK(Tabella34[[#This Row],[rest of Italy rate data]]))</f>
        <v>1928</v>
      </c>
      <c r="BF124" s="77">
        <f>Tabella8[[#This Row],[rest of Italy fit]]</f>
        <v>87977.081511443903</v>
      </c>
      <c r="BG124" s="78">
        <f>(ATANH(alpha*Tabella34[[#This Row],[rest of Italy cumul. fit]]/Ka-(1-alpha*Tabella34[[#This Row],[rest of Italy cumul. fit]]/Ka)*TANH(phi_a))+phi_a)/psi_a-(Tabella34[[#This Row],[Day]]-pa)</f>
        <v>33.028093692617929</v>
      </c>
      <c r="BH124" s="77">
        <f>Tabella34[[#This Row],[rest of Italy cumul. fit]]/Ka</f>
        <v>0.39657162375421146</v>
      </c>
      <c r="BI124" s="143">
        <f>Tabella3[[#This Row],[rest of Italy fit]]</f>
        <v>2962.3740353261037</v>
      </c>
      <c r="BJ124" s="183">
        <f>Tabella34[[#This Row],[rest of Italy velocity]]/Tabella34[[#This Row],[rest of Italy cumul. fit]]</f>
        <v>3.3672110786497997E-2</v>
      </c>
      <c r="BK124" s="236">
        <f>(LN(Tabella34[[#This Row],[Day]]-po)-phi_o)/psi_o</f>
        <v>97.271643913250074</v>
      </c>
      <c r="BL124" s="244">
        <f>EXP(phi_o+psi_o*Tabella34[[#This Row],[x_o_alpha©+plus]])-(Tabella34[[#This Row],[Day]]-po)</f>
        <v>-44.683209306652103</v>
      </c>
      <c r="BM124" s="244">
        <f>EXP(phi_o+psi_o*Tabella34[[#This Row],[x_o_alpha©-minus]])-(Tabella34[[#This Row],[Day]]-po)</f>
        <v>-45.424523812019331</v>
      </c>
      <c r="BN124" s="244">
        <f>-psi_o+SQRT(psi_o^2-2*Tabella34[[#This Row],[c_o]])</f>
        <v>3.5394305990601898</v>
      </c>
      <c r="BO124" s="244">
        <f>-psi_o-SQRT(psi_o^2-2*Tabella34[[#This Row],[c_o]])</f>
        <v>-3.5907438833278431</v>
      </c>
      <c r="BP124" s="244">
        <f>phi_o-LN(alpha*Ko/(Tabella34[[#This Row],[rest of Italy velocity]]*psi_o*SQRTPI(2)))</f>
        <v>-6.3545943870193895</v>
      </c>
      <c r="BQ124" s="244">
        <f>(ACOSH(SQRT(alpha*Ka*psi_a/(Tabella34[[#This Row],[rest of Italy velocity]]*(1+TANH(phi_a)))))+phi_a)/psi_a-(Tabella34[[#This Row],[Day]]-pa)</f>
        <v>40.268937934310728</v>
      </c>
      <c r="BR124" s="72">
        <f>-2*$BY$35*TANH($BY$35*(Tabella34[[#This Row],[Day]]-$BY$44)-$BY$34)*Tabella34[[#This Row],[rest of Italy velocity]]</f>
        <v>20.899044696415679</v>
      </c>
      <c r="BS124" s="77">
        <f>Tabella34[[#This Row],[rest of Italy acc. fit]]/y_a_peak</f>
        <v>6.9214776808115544E-3</v>
      </c>
      <c r="BT124" s="77">
        <f>Tabella34[[#This Row],[rest of Italy acc. fit]]*NOT(ISBLANK(Tabella34[[#This Row],[rest of Italy rate data]]))</f>
        <v>20.899044696415679</v>
      </c>
      <c r="BU124" s="77">
        <f>Tabella34[[#This Row],[rest of Italy acc. fit]]+CIa</f>
        <v>1655.0329846502173</v>
      </c>
      <c r="BV124" s="77">
        <f>MAX(Tabella34[[#This Row],[rest of Italy acc. fit]]-CIa,0)</f>
        <v>0</v>
      </c>
    </row>
    <row r="125" spans="2:74" x14ac:dyDescent="0.3">
      <c r="B125" s="262">
        <v>43948</v>
      </c>
      <c r="C125" s="4">
        <v>118</v>
      </c>
      <c r="D125" s="10">
        <f>Tabella8[[#This Row],[Italy cumulative]]</f>
        <v>93601</v>
      </c>
      <c r="E125" s="72">
        <f>(Tabella34[[#This Row],[Italy cumul. data]]-D124)</f>
        <v>2029</v>
      </c>
      <c r="F125" s="72">
        <f>Tabella34[[#This Row],[Italy rate data]]-E124</f>
        <v>-39</v>
      </c>
      <c r="G125" s="77">
        <f>Tabella34[[#This Row],[Italy rate data]]*NOT(ISBLANK(Tabella34[[#This Row],[Italy rate data]]))</f>
        <v>2029</v>
      </c>
      <c r="H125" s="143">
        <f>Tabella8[[#This Row],[Italy fit]]</f>
        <v>94902.935711064769</v>
      </c>
      <c r="I125" s="143">
        <f>(ATANH(alpha*Tabella34[[#This Row],[Italy cumul. Fit]]/Kf-(1-alpha*Tabella34[[#This Row],[Italy cumul. Fit]]/Kf)*TANH(phi_f))+phi_f)/psi_f-(Tabella34[[#This Row],[Day]]-pf)</f>
        <v>34.706153739537115</v>
      </c>
      <c r="J125" s="143">
        <f>Tabella34[[#This Row],[Italy d.t.]]/Italy_dt_at_lockdown</f>
        <v>15.290732843781342</v>
      </c>
      <c r="K125" s="77">
        <f>Tabella34[[#This Row],[Italy cumul. Fit]]/Kf</f>
        <v>0.40384227700180964</v>
      </c>
      <c r="L125" s="146">
        <f>Tabella34[[#This Row],[sel. region acc. fit]]+Tabella34[[#This Row],[rest of Italy acc. fit]]</f>
        <v>18.578549252128617</v>
      </c>
      <c r="M125" s="77">
        <f>Tabella34[[#This Row],[Italy (fit of selected region + fitted sum of the other regions)]]/(y_l_peak+y_a_peak)</f>
        <v>5.8668796652301082E-3</v>
      </c>
      <c r="N125" s="143">
        <f>Tabella3[[#This Row],[Italy remov. rate fit]]</f>
        <v>3113.3339265389827</v>
      </c>
      <c r="O125" s="143">
        <f>Kt*EXP(-0.5*Tabella34[[#This Row],[x_t]]^2)/(psi_t*SQRTPI(2)*(Tabella34[[#This Row],[Day]]-D_bk))</f>
        <v>0</v>
      </c>
      <c r="P125" s="183">
        <f>Tabella34[[#This Row],[Italy velocity]]/Tabella34[[#This Row],[Italy cumul. Fit]]</f>
        <v>3.2805454364632454E-2</v>
      </c>
      <c r="Q125" s="244">
        <f>(LN(Tabella34[[#This Row],[Day]]-D_bk)-phi_t)/psi_t</f>
        <v>100.19001079034082</v>
      </c>
      <c r="R125" s="244">
        <f>EXP(phi_t+psi_t*Tabella34[[#This Row],[x_t_alpha©+plus]])-(Tabella34[[#This Row],[Day]]-D_bk)</f>
        <v>-45.207589022314046</v>
      </c>
      <c r="S125" s="244">
        <f>EXP(phi_t+psi_t*Tabella34[[#This Row],[x_t_alpha©-minus]])-(Tabella34[[#This Row],[Day]]-D_bk)</f>
        <v>-45.920846267602485</v>
      </c>
      <c r="T125" s="244">
        <f>-psi_t+SQRT(psi_t^2-2*Tabella34[[#This Row],[c_t]])</f>
        <v>3.5539425429970222</v>
      </c>
      <c r="U125" s="244">
        <f>-psi_t-SQRT(psi_t^2-2*Tabella34[[#This Row],[c_t]])</f>
        <v>-3.6044612176943942</v>
      </c>
      <c r="V125" s="244">
        <f>phi_t-LN(alpha*Kt/(Tabella34[[#This Row],[Italy velocity]]*psi_t*SQRTPI(2)))</f>
        <v>-6.4050240330734791</v>
      </c>
      <c r="W125" s="244">
        <f>Tabella34[[#This Row],[Italy g.r.]]/Italy_gr_at_lockdown</f>
        <v>7.8249549666630933E-2</v>
      </c>
      <c r="X125" s="244">
        <f>(ACOSH(SQRT(alpha*Kf*psi_f/(Tabella34[[#This Row],[Italy velocity]]*(1+TANH(phi_f)))))+phi_f)/psi_f-(Tabella34[[#This Row],[Day]]-pf)</f>
        <v>40.081557816620773</v>
      </c>
      <c r="Y125" s="244">
        <f>Tabella34[[#This Row],[Italy h.t.]]/Italy_ht_at_lockdown</f>
        <v>0.33750720153605807</v>
      </c>
      <c r="Z125" s="72">
        <f>-2*$BY$48*TANH($BY$48*(Tabella34[[#This Row],[Day]]-$BY$57)-$BY$47)*Tabella34[[#This Row],[Italy velocity]]</f>
        <v>18.908182735465786</v>
      </c>
      <c r="AA125" s="72">
        <f>Tabella34[[#This Row],[Italy acc. fit]]/Itali_acc_at_lockdown</f>
        <v>0.54022872170180869</v>
      </c>
      <c r="AB125" s="77">
        <f>Tabella34[[#This Row],[Italy acc. fit]]/y_f_peak</f>
        <v>5.9855164424211203E-3</v>
      </c>
      <c r="AC125" s="143">
        <f>Tabella34[[#This Row],[Italy (fit of selected region + fitted sum of the other regions)]]*NOT(ISBLANK(Tabella34[[#This Row],[Italy rate data]]))</f>
        <v>18.578549252128617</v>
      </c>
      <c r="AD125" s="143">
        <f>Tabella34[[#This Row],[Italy acc. fit]]*NOT(ISBLANK(Tabella34[[#This Row],[Italy rate data]]))</f>
        <v>18.908182735465786</v>
      </c>
      <c r="AE125" s="77">
        <f>Tabella34[[#This Row],[Italy acc. fit]]+CIf</f>
        <v>1674.1181516592171</v>
      </c>
      <c r="AF125" s="77">
        <f>MAX(Tabella34[[#This Row],[Italy acc. fit]]-CIf,0)</f>
        <v>0</v>
      </c>
      <c r="AG125" s="4">
        <f>Tabella8[[#This Row],[region data]]</f>
        <v>4062</v>
      </c>
      <c r="AH125" s="72">
        <f>(Tabella34[[#This Row],[selected region cumul. data]]-AG124)</f>
        <v>54</v>
      </c>
      <c r="AI125" s="72">
        <f>Tabella34[[#This Row],[selected region rate data]]-AH124</f>
        <v>-86</v>
      </c>
      <c r="AJ125" s="77">
        <f>Tabella34[[#This Row],[selected region rate data]]*NOT(ISBLANK(Tabella34[[#This Row],[selected region rate data]]))</f>
        <v>54</v>
      </c>
      <c r="AK125" s="77">
        <f>Tabella8[[#This Row],[region fit]]</f>
        <v>3991.1854137672908</v>
      </c>
      <c r="AL125" s="143">
        <f>(ATANH(alpha*Tabella34[[#This Row],[sel. region cumul. fit]]/Kl-(1-alpha*Tabella34[[#This Row],[sel. region cumul. fit]]/Kl)*TANH(phi_l))+phi_l)/psi_l-(Tabella34[[#This Row],[Day]]-pl)</f>
        <v>27.824644186627452</v>
      </c>
      <c r="AM125" s="77">
        <f>Tabella34[[#This Row],[sel. region cumul. fit]]/Kl</f>
        <v>0.30337642922154184</v>
      </c>
      <c r="AN125" s="143">
        <f>Tabella3[[#This Row],[region fit]]</f>
        <v>137.74528745252306</v>
      </c>
      <c r="AO125" s="186">
        <f>Tabella34[[#This Row],[sel. region velocity]]/Tabella34[[#This Row],[sel. region cumul. fit]]</f>
        <v>3.4512374939380454E-2</v>
      </c>
      <c r="AP125" s="241">
        <f>(LN(Tabella34[[#This Row],[Day]]-pr)-phi_r)/psi_r</f>
        <v>130.59618011584817</v>
      </c>
      <c r="AQ125" s="244">
        <f>EXP(phi_r+psi_r*Tabella34[[#This Row],[x_r_alpha©+plus]])-(Tabella34[[#This Row],[Day]]-pr)</f>
        <v>-38.408183093290774</v>
      </c>
      <c r="AR125" s="244">
        <f>EXP(phi_r+psi_r*Tabella34[[#This Row],[x_r_alpha©-minus]])-(Tabella34[[#This Row],[Day]]-pr)</f>
        <v>-38.865082698736927</v>
      </c>
      <c r="AS125" s="244">
        <f>-psi_r+SQRT(psi_r^2-2*Tabella34[[#This Row],[c_r]])</f>
        <v>3.7587613158260584</v>
      </c>
      <c r="AT125" s="244">
        <f>-psi_r-SQRT(psi_r^2-2*Tabella34[[#This Row],[c_r]])</f>
        <v>-3.7990493254923967</v>
      </c>
      <c r="AU125" s="244">
        <f>phi_r-LN(alpha*Kr/(Tabella34[[#This Row],[sel. region velocity]]*psi_r*SQRTPI(2)))</f>
        <v>-7.13985982078795</v>
      </c>
      <c r="AV125" s="244">
        <f>(ACOSH(SQRT(alpha*Kl*psi_l/(Tabella34[[#This Row],[sel. region velocity]]*(1+TANH(phi_l)))))+phi_l)/psi_l-(Tabella34[[#This Row],[Day]]-pl)</f>
        <v>58.939994104792447</v>
      </c>
      <c r="AW125" s="72">
        <f>-2*$BY$22*TANH($BY$22*(Tabella34[[#This Row],[Day]]-$BY$31)-$BY$21)*Tabella34[[#This Row],[sel. region velocity]]</f>
        <v>1.4088645590840116</v>
      </c>
      <c r="AX125" s="77">
        <f>Tabella34[[#This Row],[sel. region acc. fit]]/y_l_peak</f>
        <v>9.5688286644701279E-3</v>
      </c>
      <c r="AY125" s="143">
        <f>Tabella34[[#This Row],[sel. region acc. fit]]*NOT(ISBLANK(Tabella34[[#This Row],[selected region rate data]]))</f>
        <v>1.4088645590840116</v>
      </c>
      <c r="AZ125" s="77">
        <f>Tabella34[[#This Row],[sel. region acc. fit]]+CIl</f>
        <v>70.773850934184409</v>
      </c>
      <c r="BA125" s="77">
        <f>MAX(Tabella34[[#This Row],[sel. region acc. fit]]-CIl,0)</f>
        <v>0</v>
      </c>
      <c r="BB125" s="10">
        <f>Tabella8[[#This Row],[rest of Italy ]]</f>
        <v>89539</v>
      </c>
      <c r="BC125" s="10">
        <f>(Tabella34[[#This Row],[rest of Italy cum. Data]]-BB124)</f>
        <v>1975</v>
      </c>
      <c r="BD125" s="10">
        <f>Tabella34[[#This Row],[rest of Italy rate data]]-BC124</f>
        <v>47</v>
      </c>
      <c r="BE125" s="77">
        <f>Tabella34[[#This Row],[rest of Italy rate data]]*NOT(ISBLANK(Tabella34[[#This Row],[rest of Italy rate data]]))</f>
        <v>1975</v>
      </c>
      <c r="BF125" s="77">
        <f>Tabella8[[#This Row],[rest of Italy fit]]</f>
        <v>90949.287614805173</v>
      </c>
      <c r="BG125" s="78">
        <f>(ATANH(alpha*Tabella34[[#This Row],[rest of Italy cumul. fit]]/Ka-(1-alpha*Tabella34[[#This Row],[rest of Italy cumul. fit]]/Ka)*TANH(phi_a))+phi_a)/psi_a-(Tabella34[[#This Row],[Day]]-pa)</f>
        <v>35.333646202627747</v>
      </c>
      <c r="BH125" s="77">
        <f>Tabella34[[#This Row],[rest of Italy cumul. fit]]/Ka</f>
        <v>0.40996934711911792</v>
      </c>
      <c r="BI125" s="143">
        <f>Tabella3[[#This Row],[rest of Italy fit]]</f>
        <v>2981.4165607451923</v>
      </c>
      <c r="BJ125" s="183">
        <f>Tabella34[[#This Row],[rest of Italy velocity]]/Tabella34[[#This Row],[rest of Italy cumul. fit]]</f>
        <v>3.2781087559171411E-2</v>
      </c>
      <c r="BK125" s="236">
        <f>(LN(Tabella34[[#This Row],[Day]]-po)-phi_o)/psi_o</f>
        <v>98.057205553102904</v>
      </c>
      <c r="BL125" s="244">
        <f>EXP(phi_o+psi_o*Tabella34[[#This Row],[x_o_alpha©+plus]])-(Tabella34[[#This Row],[Day]]-po)</f>
        <v>-45.683413830007552</v>
      </c>
      <c r="BM125" s="244">
        <f>EXP(phi_o+psi_o*Tabella34[[#This Row],[x_o_alpha©-minus]])-(Tabella34[[#This Row],[Day]]-po)</f>
        <v>-46.424353472781384</v>
      </c>
      <c r="BN125" s="244">
        <f>-psi_o+SQRT(psi_o^2-2*Tabella34[[#This Row],[c_o]])</f>
        <v>3.5376328383805116</v>
      </c>
      <c r="BO125" s="244">
        <f>-psi_o-SQRT(psi_o^2-2*Tabella34[[#This Row],[c_o]])</f>
        <v>-3.5889461226481649</v>
      </c>
      <c r="BP125" s="244">
        <f>phi_o-LN(alpha*Ko/(Tabella34[[#This Row],[rest of Italy velocity]]*psi_o*SQRTPI(2)))</f>
        <v>-6.3481868293292791</v>
      </c>
      <c r="BQ125" s="244">
        <f>(ACOSH(SQRT(alpha*Ka*psi_a/(Tabella34[[#This Row],[rest of Italy velocity]]*(1+TANH(phi_a)))))+phi_a)/psi_a-(Tabella34[[#This Row],[Day]]-pa)</f>
        <v>39.09371767213257</v>
      </c>
      <c r="BR125" s="72">
        <f>-2*$BY$35*TANH($BY$35*(Tabella34[[#This Row],[Day]]-$BY$44)-$BY$34)*Tabella34[[#This Row],[rest of Italy velocity]]</f>
        <v>17.169684693044605</v>
      </c>
      <c r="BS125" s="77">
        <f>Tabella34[[#This Row],[rest of Italy acc. fit]]/y_a_peak</f>
        <v>5.6863646695708434E-3</v>
      </c>
      <c r="BT125" s="77">
        <f>Tabella34[[#This Row],[rest of Italy acc. fit]]*NOT(ISBLANK(Tabella34[[#This Row],[rest of Italy rate data]]))</f>
        <v>17.169684693044605</v>
      </c>
      <c r="BU125" s="77">
        <f>Tabella34[[#This Row],[rest of Italy acc. fit]]+CIa</f>
        <v>1651.3036246468462</v>
      </c>
      <c r="BV125" s="77">
        <f>MAX(Tabella34[[#This Row],[rest of Italy acc. fit]]-CIa,0)</f>
        <v>0</v>
      </c>
    </row>
    <row r="126" spans="2:74" x14ac:dyDescent="0.3">
      <c r="B126" s="262">
        <v>43949</v>
      </c>
      <c r="C126" s="4">
        <v>119</v>
      </c>
      <c r="D126" s="10">
        <f>Tabella8[[#This Row],[Italy cumulative]]</f>
        <v>96300</v>
      </c>
      <c r="E126" s="72">
        <f>(Tabella34[[#This Row],[Italy cumul. data]]-D125)</f>
        <v>2699</v>
      </c>
      <c r="F126" s="72">
        <f>Tabella34[[#This Row],[Italy rate data]]-E125</f>
        <v>670</v>
      </c>
      <c r="G126" s="77">
        <f>Tabella34[[#This Row],[Italy rate data]]*NOT(ISBLANK(Tabella34[[#This Row],[Italy rate data]]))</f>
        <v>2699</v>
      </c>
      <c r="H126" s="143">
        <f>Tabella8[[#This Row],[Italy fit]]</f>
        <v>98025.086518036347</v>
      </c>
      <c r="I126" s="143">
        <f>(ATANH(alpha*Tabella34[[#This Row],[Italy cumul. Fit]]/Kf-(1-alpha*Tabella34[[#This Row],[Italy cumul. Fit]]/Kf)*TANH(phi_f))+phi_f)/psi_f-(Tabella34[[#This Row],[Day]]-pf)</f>
        <v>37.243621885427814</v>
      </c>
      <c r="J126" s="143">
        <f>Tabella34[[#This Row],[Italy d.t.]]/Italy_dt_at_lockdown</f>
        <v>16.40868292864538</v>
      </c>
      <c r="K126" s="77">
        <f>Tabella34[[#This Row],[Italy cumul. Fit]]/Kf</f>
        <v>0.41712802503039709</v>
      </c>
      <c r="L126" s="146">
        <f>Tabella34[[#This Row],[sel. region acc. fit]]+Tabella34[[#This Row],[rest of Italy acc. fit]]</f>
        <v>14.668355252175399</v>
      </c>
      <c r="M126" s="77">
        <f>Tabella34[[#This Row],[Italy (fit of selected region + fitted sum of the other regions)]]/(y_l_peak+y_a_peak)</f>
        <v>4.6320880055529179E-3</v>
      </c>
      <c r="N126" s="143">
        <f>Tabella3[[#This Row],[Italy remov. rate fit]]</f>
        <v>3130.3268481585264</v>
      </c>
      <c r="O126" s="143">
        <f>Kt*EXP(-0.5*Tabella34[[#This Row],[x_t]]^2)/(psi_t*SQRTPI(2)*(Tabella34[[#This Row],[Day]]-D_bk))</f>
        <v>0</v>
      </c>
      <c r="P126" s="183">
        <f>Tabella34[[#This Row],[Italy velocity]]/Tabella34[[#This Row],[Italy cumul. Fit]]</f>
        <v>3.1933936090763407E-2</v>
      </c>
      <c r="Q126" s="244">
        <f>(LN(Tabella34[[#This Row],[Day]]-D_bk)-phi_t)/psi_t</f>
        <v>100.98151321964872</v>
      </c>
      <c r="R126" s="244">
        <f>EXP(phi_t+psi_t*Tabella34[[#This Row],[x_t_alpha©+plus]])-(Tabella34[[#This Row],[Day]]-D_bk)</f>
        <v>-46.207754698437959</v>
      </c>
      <c r="S126" s="244">
        <f>EXP(phi_t+psi_t*Tabella34[[#This Row],[x_t_alpha©-minus]])-(Tabella34[[#This Row],[Day]]-D_bk)</f>
        <v>-46.92070799090817</v>
      </c>
      <c r="T126" s="244">
        <f>-psi_t+SQRT(psi_t^2-2*Tabella34[[#This Row],[c_t]])</f>
        <v>3.5524214144269326</v>
      </c>
      <c r="U126" s="244">
        <f>-psi_t-SQRT(psi_t^2-2*Tabella34[[#This Row],[c_t]])</f>
        <v>-3.6029400891243046</v>
      </c>
      <c r="V126" s="244">
        <f>phi_t-LN(alpha*Kt/(Tabella34[[#This Row],[Italy velocity]]*psi_t*SQRTPI(2)))</f>
        <v>-6.3995807637512296</v>
      </c>
      <c r="W126" s="244">
        <f>Tabella34[[#This Row],[Italy g.r.]]/Italy_gr_at_lockdown</f>
        <v>7.6170751680829693E-2</v>
      </c>
      <c r="X126" s="244">
        <f>(ACOSH(SQRT(alpha*Kf*psi_f/(Tabella34[[#This Row],[Italy velocity]]*(1+TANH(phi_f)))))+phi_f)/psi_f-(Tabella34[[#This Row],[Day]]-pf)</f>
        <v>38.930068031228402</v>
      </c>
      <c r="Y126" s="244">
        <f>Tabella34[[#This Row],[Italy h.t.]]/Italy_ht_at_lockdown</f>
        <v>0.32781106904432195</v>
      </c>
      <c r="Z126" s="72">
        <f>-2*$BY$48*TANH($BY$48*(Tabella34[[#This Row],[Day]]-$BY$57)-$BY$47)*Tabella34[[#This Row],[Italy velocity]]</f>
        <v>15.063456980484222</v>
      </c>
      <c r="AA126" s="72">
        <f>Tabella34[[#This Row],[Italy acc. fit]]/Itali_acc_at_lockdown</f>
        <v>0.43038044548371096</v>
      </c>
      <c r="AB126" s="77">
        <f>Tabella34[[#This Row],[Italy acc. fit]]/y_f_peak</f>
        <v>4.7684418274250634E-3</v>
      </c>
      <c r="AC126" s="143">
        <f>Tabella34[[#This Row],[Italy (fit of selected region + fitted sum of the other regions)]]*NOT(ISBLANK(Tabella34[[#This Row],[Italy rate data]]))</f>
        <v>14.668355252175399</v>
      </c>
      <c r="AD126" s="143">
        <f>Tabella34[[#This Row],[Italy acc. fit]]*NOT(ISBLANK(Tabella34[[#This Row],[Italy rate data]]))</f>
        <v>15.063456980484222</v>
      </c>
      <c r="AE126" s="77">
        <f>Tabella34[[#This Row],[Italy acc. fit]]+CIf</f>
        <v>1670.2734259042356</v>
      </c>
      <c r="AF126" s="77">
        <f>MAX(Tabella34[[#This Row],[Italy acc. fit]]-CIf,0)</f>
        <v>0</v>
      </c>
      <c r="AG126" s="4">
        <f>Tabella8[[#This Row],[region data]]</f>
        <v>4201</v>
      </c>
      <c r="AH126" s="72">
        <f>(Tabella34[[#This Row],[selected region cumul. data]]-AG125)</f>
        <v>139</v>
      </c>
      <c r="AI126" s="72">
        <f>Tabella34[[#This Row],[selected region rate data]]-AH125</f>
        <v>85</v>
      </c>
      <c r="AJ126" s="77">
        <f>Tabella34[[#This Row],[selected region rate data]]*NOT(ISBLANK(Tabella34[[#This Row],[selected region rate data]]))</f>
        <v>139</v>
      </c>
      <c r="AK126" s="77">
        <f>Tabella8[[#This Row],[region fit]]</f>
        <v>4129.6199340608719</v>
      </c>
      <c r="AL126" s="143">
        <f>(ATANH(alpha*Tabella34[[#This Row],[sel. region cumul. fit]]/Kl-(1-alpha*Tabella34[[#This Row],[sel. region cumul. fit]]/Kl)*TANH(phi_l))+phi_l)/psi_l-(Tabella34[[#This Row],[Day]]-pl)</f>
        <v>28.90702893102781</v>
      </c>
      <c r="AM126" s="77">
        <f>Tabella34[[#This Row],[sel. region cumul. fit]]/Kl</f>
        <v>0.31389905999253925</v>
      </c>
      <c r="AN126" s="143">
        <f>Tabella3[[#This Row],[region fit]]</f>
        <v>139.10838497137388</v>
      </c>
      <c r="AO126" s="186">
        <f>Tabella34[[#This Row],[sel. region velocity]]/Tabella34[[#This Row],[sel. region cumul. fit]]</f>
        <v>3.3685517600304034E-2</v>
      </c>
      <c r="AP126" s="241">
        <f>(LN(Tabella34[[#This Row],[Day]]-pr)-phi_r)/psi_r</f>
        <v>131.77417603493905</v>
      </c>
      <c r="AQ126" s="244">
        <f>EXP(phi_r+psi_r*Tabella34[[#This Row],[x_r_alpha©+plus]])-(Tabella34[[#This Row],[Day]]-pr)</f>
        <v>-39.408352975329883</v>
      </c>
      <c r="AR126" s="244">
        <f>EXP(phi_r+psi_r*Tabella34[[#This Row],[x_r_alpha©-minus]])-(Tabella34[[#This Row],[Day]]-pr)</f>
        <v>-39.864936800080848</v>
      </c>
      <c r="AS126" s="244">
        <f>-psi_r+SQRT(psi_r^2-2*Tabella34[[#This Row],[c_r]])</f>
        <v>3.7561545984421314</v>
      </c>
      <c r="AT126" s="244">
        <f>-psi_r-SQRT(psi_r^2-2*Tabella34[[#This Row],[c_r]])</f>
        <v>-3.7964426081084697</v>
      </c>
      <c r="AU126" s="244">
        <f>phi_r-LN(alpha*Kr/(Tabella34[[#This Row],[sel. region velocity]]*psi_r*SQRTPI(2)))</f>
        <v>-7.1300126800841346</v>
      </c>
      <c r="AV126" s="244">
        <f>(ACOSH(SQRT(alpha*Kl*psi_l/(Tabella34[[#This Row],[sel. region velocity]]*(1+TANH(phi_l)))))+phi_l)/psi_l-(Tabella34[[#This Row],[Day]]-pl)</f>
        <v>57.604231575016797</v>
      </c>
      <c r="AW126" s="72">
        <f>-2*$BY$22*TANH($BY$22*(Tabella34[[#This Row],[Day]]-$BY$31)-$BY$21)*Tabella34[[#This Row],[sel. region velocity]]</f>
        <v>1.3166590969194907</v>
      </c>
      <c r="AX126" s="77">
        <f>Tabella34[[#This Row],[sel. region acc. fit]]/y_l_peak</f>
        <v>8.9425809079404159E-3</v>
      </c>
      <c r="AY126" s="143">
        <f>Tabella34[[#This Row],[sel. region acc. fit]]*NOT(ISBLANK(Tabella34[[#This Row],[selected region rate data]]))</f>
        <v>1.3166590969194907</v>
      </c>
      <c r="AZ126" s="77">
        <f>Tabella34[[#This Row],[sel. region acc. fit]]+CIl</f>
        <v>70.681645472019895</v>
      </c>
      <c r="BA126" s="77">
        <f>MAX(Tabella34[[#This Row],[sel. region acc. fit]]-CIl,0)</f>
        <v>0</v>
      </c>
      <c r="BB126" s="10">
        <f>Tabella8[[#This Row],[rest of Italy ]]</f>
        <v>92099</v>
      </c>
      <c r="BC126" s="10">
        <f>(Tabella34[[#This Row],[rest of Italy cum. Data]]-BB125)</f>
        <v>2560</v>
      </c>
      <c r="BD126" s="10">
        <f>Tabella34[[#This Row],[rest of Italy rate data]]-BC125</f>
        <v>585</v>
      </c>
      <c r="BE126" s="77">
        <f>Tabella34[[#This Row],[rest of Italy rate data]]*NOT(ISBLANK(Tabella34[[#This Row],[rest of Italy rate data]]))</f>
        <v>2560</v>
      </c>
      <c r="BF126" s="77">
        <f>Tabella8[[#This Row],[rest of Italy fit]]</f>
        <v>93938.65601312129</v>
      </c>
      <c r="BG126" s="78">
        <f>(ATANH(alpha*Tabella34[[#This Row],[rest of Italy cumul. fit]]/Ka-(1-alpha*Tabella34[[#This Row],[rest of Italy cumul. fit]]/Ka)*TANH(phi_a))+phi_a)/psi_a-(Tabella34[[#This Row],[Day]]-pa)</f>
        <v>38.080585114850265</v>
      </c>
      <c r="BH126" s="77">
        <f>Tabella34[[#This Row],[rest of Italy cumul. fit]]/Ka</f>
        <v>0.42344443244080526</v>
      </c>
      <c r="BI126" s="143">
        <f>Tabella3[[#This Row],[rest of Italy fit]]</f>
        <v>2996.6838511295782</v>
      </c>
      <c r="BJ126" s="183">
        <f>Tabella34[[#This Row],[rest of Italy velocity]]/Tabella34[[#This Row],[rest of Italy cumul. fit]]</f>
        <v>3.190043352026458E-2</v>
      </c>
      <c r="BK126" s="236">
        <f>(LN(Tabella34[[#This Row],[Day]]-po)-phi_o)/psi_o</f>
        <v>98.827246597820476</v>
      </c>
      <c r="BL126" s="244">
        <f>EXP(phi_o+psi_o*Tabella34[[#This Row],[x_o_alpha©+plus]])-(Tabella34[[#This Row],[Day]]-po)</f>
        <v>-46.68357693190115</v>
      </c>
      <c r="BM126" s="244">
        <f>EXP(phi_o+psi_o*Tabella34[[#This Row],[x_o_alpha©-minus]])-(Tabella34[[#This Row],[Day]]-po)</f>
        <v>-47.424217620542251</v>
      </c>
      <c r="BN126" s="244">
        <f>-psi_o+SQRT(psi_o^2-2*Tabella34[[#This Row],[c_o]])</f>
        <v>3.5361991129953219</v>
      </c>
      <c r="BO126" s="244">
        <f>-psi_o-SQRT(psi_o^2-2*Tabella34[[#This Row],[c_o]])</f>
        <v>-3.5875123972629752</v>
      </c>
      <c r="BP126" s="244">
        <f>phi_o-LN(alpha*Ko/(Tabella34[[#This Row],[rest of Italy velocity]]*psi_o*SQRTPI(2)))</f>
        <v>-6.3430790785305273</v>
      </c>
      <c r="BQ126" s="244">
        <f>(ACOSH(SQRT(alpha*Ka*psi_a/(Tabella34[[#This Row],[rest of Italy velocity]]*(1+TANH(phi_a)))))+phi_a)/psi_a-(Tabella34[[#This Row],[Day]]-pa)</f>
        <v>37.953649464233109</v>
      </c>
      <c r="BR126" s="72">
        <f>-2*$BY$35*TANH($BY$35*(Tabella34[[#This Row],[Day]]-$BY$44)-$BY$34)*Tabella34[[#This Row],[rest of Italy velocity]]</f>
        <v>13.351696155255908</v>
      </c>
      <c r="BS126" s="77">
        <f>Tabella34[[#This Row],[rest of Italy acc. fit]]/y_a_peak</f>
        <v>4.4218991002699147E-3</v>
      </c>
      <c r="BT126" s="77">
        <f>Tabella34[[#This Row],[rest of Italy acc. fit]]*NOT(ISBLANK(Tabella34[[#This Row],[rest of Italy rate data]]))</f>
        <v>13.351696155255908</v>
      </c>
      <c r="BU126" s="77">
        <f>Tabella34[[#This Row],[rest of Italy acc. fit]]+CIa</f>
        <v>1647.4856361090574</v>
      </c>
      <c r="BV126" s="77">
        <f>MAX(Tabella34[[#This Row],[rest of Italy acc. fit]]-CIa,0)</f>
        <v>0</v>
      </c>
    </row>
    <row r="127" spans="2:74" x14ac:dyDescent="0.3">
      <c r="B127" s="262">
        <v>43950</v>
      </c>
      <c r="C127" s="4">
        <v>120</v>
      </c>
      <c r="D127" s="10">
        <f>Tabella8[[#This Row],[Italy cumulative]]</f>
        <v>98934</v>
      </c>
      <c r="E127" s="72">
        <f>(Tabella34[[#This Row],[Italy cumul. data]]-D126)</f>
        <v>2634</v>
      </c>
      <c r="F127" s="72">
        <f>Tabella34[[#This Row],[Italy rate data]]-E126</f>
        <v>-65</v>
      </c>
      <c r="G127" s="77">
        <f>Tabella34[[#This Row],[Italy rate data]]*NOT(ISBLANK(Tabella34[[#This Row],[Italy rate data]]))</f>
        <v>2634</v>
      </c>
      <c r="H127" s="143">
        <f>Tabella8[[#This Row],[Italy fit]]</f>
        <v>101162.29446410119</v>
      </c>
      <c r="I127" s="143">
        <f>(ATANH(alpha*Tabella34[[#This Row],[Italy cumul. Fit]]/Kf-(1-alpha*Tabella34[[#This Row],[Italy cumul. Fit]]/Kf)*TANH(phi_f))+phi_f)/psi_f-(Tabella34[[#This Row],[Day]]-pf)</f>
        <v>40.3001536494546</v>
      </c>
      <c r="J127" s="143">
        <f>Tabella34[[#This Row],[Italy d.t.]]/Italy_dt_at_lockdown</f>
        <v>17.755320501423235</v>
      </c>
      <c r="K127" s="77">
        <f>Tabella34[[#This Row],[Italy cumul. Fit]]/Kf</f>
        <v>0.43047784599088063</v>
      </c>
      <c r="L127" s="146">
        <f>Tabella34[[#This Row],[sel. region acc. fit]]+Tabella34[[#This Row],[rest of Italy acc. fit]]</f>
        <v>10.684790402798855</v>
      </c>
      <c r="M127" s="77">
        <f>Tabella34[[#This Row],[Italy (fit of selected region + fitted sum of the other regions)]]/(y_l_peak+y_a_peak)</f>
        <v>3.3741267248972194E-3</v>
      </c>
      <c r="N127" s="143">
        <f>Tabella3[[#This Row],[Italy remov. rate fit]]</f>
        <v>3143.4355734339365</v>
      </c>
      <c r="O127" s="143">
        <f>Kt*EXP(-0.5*Tabella34[[#This Row],[x_t]]^2)/(psi_t*SQRTPI(2)*(Tabella34[[#This Row],[Day]]-D_bk))</f>
        <v>0</v>
      </c>
      <c r="P127" s="183">
        <f>Tabella34[[#This Row],[Italy velocity]]/Tabella34[[#This Row],[Italy cumul. Fit]]</f>
        <v>3.1073193723867416E-2</v>
      </c>
      <c r="Q127" s="244">
        <f>(LN(Tabella34[[#This Row],[Day]]-D_bk)-phi_t)/psi_t</f>
        <v>101.75750095388371</v>
      </c>
      <c r="R127" s="244">
        <f>EXP(phi_t+psi_t*Tabella34[[#This Row],[x_t_alpha©+plus]])-(Tabella34[[#This Row],[Day]]-D_bk)</f>
        <v>-47.2078819349044</v>
      </c>
      <c r="S127" s="244">
        <f>EXP(phi_t+psi_t*Tabella34[[#This Row],[x_t_alpha©-minus]])-(Tabella34[[#This Row],[Day]]-D_bk)</f>
        <v>-47.920601789526955</v>
      </c>
      <c r="T127" s="244">
        <f>-psi_t+SQRT(psi_t^2-2*Tabella34[[#This Row],[c_t]])</f>
        <v>3.5512531736831656</v>
      </c>
      <c r="U127" s="244">
        <f>-psi_t-SQRT(psi_t^2-2*Tabella34[[#This Row],[c_t]])</f>
        <v>-3.6017718483805377</v>
      </c>
      <c r="V127" s="244">
        <f>phi_t-LN(alpha*Kt/(Tabella34[[#This Row],[Italy velocity]]*psi_t*SQRTPI(2)))</f>
        <v>-6.3954018537220332</v>
      </c>
      <c r="W127" s="244">
        <f>Tabella34[[#This Row],[Italy g.r.]]/Italy_gr_at_lockdown</f>
        <v>7.4117657038701698E-2</v>
      </c>
      <c r="X127" s="244">
        <f>(ACOSH(SQRT(alpha*Kf*psi_f/(Tabella34[[#This Row],[Italy velocity]]*(1+TANH(phi_f)))))+phi_f)/psi_f-(Tabella34[[#This Row],[Day]]-pf)</f>
        <v>37.813491378864342</v>
      </c>
      <c r="Y127" s="244">
        <f>Tabella34[[#This Row],[Italy h.t.]]/Italy_ht_at_lockdown</f>
        <v>0.31840892297594675</v>
      </c>
      <c r="Z127" s="72">
        <f>-2*$BY$48*TANH($BY$48*(Tabella34[[#This Row],[Day]]-$BY$57)-$BY$47)*Tabella34[[#This Row],[Italy velocity]]</f>
        <v>11.142956919067371</v>
      </c>
      <c r="AA127" s="72">
        <f>Tabella34[[#This Row],[Italy acc. fit]]/Itali_acc_at_lockdown</f>
        <v>0.31836720940267554</v>
      </c>
      <c r="AB127" s="77">
        <f>Tabella34[[#This Row],[Italy acc. fit]]/y_f_peak</f>
        <v>3.5273803299545343E-3</v>
      </c>
      <c r="AC127" s="143">
        <f>Tabella34[[#This Row],[Italy (fit of selected region + fitted sum of the other regions)]]*NOT(ISBLANK(Tabella34[[#This Row],[Italy rate data]]))</f>
        <v>10.684790402798855</v>
      </c>
      <c r="AD127" s="143">
        <f>Tabella34[[#This Row],[Italy acc. fit]]*NOT(ISBLANK(Tabella34[[#This Row],[Italy rate data]]))</f>
        <v>11.142956919067371</v>
      </c>
      <c r="AE127" s="77">
        <f>Tabella34[[#This Row],[Italy acc. fit]]+CIf</f>
        <v>1666.3529258428186</v>
      </c>
      <c r="AF127" s="77">
        <f>MAX(Tabella34[[#This Row],[Italy acc. fit]]-CIf,0)</f>
        <v>0</v>
      </c>
      <c r="AG127" s="4">
        <f>Tabella8[[#This Row],[region data]]</f>
        <v>4313</v>
      </c>
      <c r="AH127" s="72">
        <f>(Tabella34[[#This Row],[selected region cumul. data]]-AG126)</f>
        <v>112</v>
      </c>
      <c r="AI127" s="72">
        <f>Tabella34[[#This Row],[selected region rate data]]-AH126</f>
        <v>-27</v>
      </c>
      <c r="AJ127" s="77">
        <f>Tabella34[[#This Row],[selected region rate data]]*NOT(ISBLANK(Tabella34[[#This Row],[selected region rate data]]))</f>
        <v>112</v>
      </c>
      <c r="AK127" s="77">
        <f>Tabella8[[#This Row],[region fit]]</f>
        <v>4269.3707868230831</v>
      </c>
      <c r="AL127" s="143">
        <f>(ATANH(alpha*Tabella34[[#This Row],[sel. region cumul. fit]]/Kl-(1-alpha*Tabella34[[#This Row],[sel. region cumul. fit]]/Kl)*TANH(phi_l))+phi_l)/psi_l-(Tabella34[[#This Row],[Day]]-pl)</f>
        <v>30.069438979549247</v>
      </c>
      <c r="AM127" s="77">
        <f>Tabella34[[#This Row],[sel. region cumul. fit]]/Kl</f>
        <v>0.32452174731380967</v>
      </c>
      <c r="AN127" s="143">
        <f>Tabella3[[#This Row],[region fit]]</f>
        <v>140.37729926636987</v>
      </c>
      <c r="AO127" s="186">
        <f>Tabella34[[#This Row],[sel. region velocity]]/Tabella34[[#This Row],[sel. region cumul. fit]]</f>
        <v>3.2880090832032693E-2</v>
      </c>
      <c r="AP127" s="241">
        <f>(LN(Tabella34[[#This Row],[Day]]-pr)-phi_r)/psi_r</f>
        <v>132.92486535632236</v>
      </c>
      <c r="AQ127" s="244">
        <f>EXP(phi_r+psi_r*Tabella34[[#This Row],[x_r_alpha©+plus]])-(Tabella34[[#This Row],[Day]]-pr)</f>
        <v>-40.408509725962908</v>
      </c>
      <c r="AR127" s="244">
        <f>EXP(phi_r+psi_r*Tabella34[[#This Row],[x_r_alpha©-minus]])-(Tabella34[[#This Row],[Day]]-pr)</f>
        <v>-40.864802165390032</v>
      </c>
      <c r="AS127" s="244">
        <f>-psi_r+SQRT(psi_r^2-2*Tabella34[[#This Row],[c_r]])</f>
        <v>3.7537492515926187</v>
      </c>
      <c r="AT127" s="244">
        <f>-psi_r-SQRT(psi_r^2-2*Tabella34[[#This Row],[c_r]])</f>
        <v>-3.794037261258957</v>
      </c>
      <c r="AU127" s="244">
        <f>phi_r-LN(alpha*Kr/(Tabella34[[#This Row],[sel. region velocity]]*psi_r*SQRTPI(2)))</f>
        <v>-7.1209322649826605</v>
      </c>
      <c r="AV127" s="244">
        <f>(ACOSH(SQRT(alpha*Kl*psi_l/(Tabella34[[#This Row],[sel. region velocity]]*(1+TANH(phi_l)))))+phi_l)/psi_l-(Tabella34[[#This Row],[Day]]-pl)</f>
        <v>56.293298460177837</v>
      </c>
      <c r="AW127" s="72">
        <f>-2*$BY$22*TANH($BY$22*(Tabella34[[#This Row],[Day]]-$BY$31)-$BY$21)*Tabella34[[#This Row],[sel. region velocity]]</f>
        <v>1.220535293686043</v>
      </c>
      <c r="AX127" s="77">
        <f>Tabella34[[#This Row],[sel. region acc. fit]]/y_l_peak</f>
        <v>8.2897202778766475E-3</v>
      </c>
      <c r="AY127" s="143">
        <f>Tabella34[[#This Row],[sel. region acc. fit]]*NOT(ISBLANK(Tabella34[[#This Row],[selected region rate data]]))</f>
        <v>1.220535293686043</v>
      </c>
      <c r="AZ127" s="77">
        <f>Tabella34[[#This Row],[sel. region acc. fit]]+CIl</f>
        <v>70.585521668786441</v>
      </c>
      <c r="BA127" s="77">
        <f>MAX(Tabella34[[#This Row],[sel. region acc. fit]]-CIl,0)</f>
        <v>0</v>
      </c>
      <c r="BB127" s="10">
        <f>Tabella8[[#This Row],[rest of Italy ]]</f>
        <v>94621</v>
      </c>
      <c r="BC127" s="10">
        <f>(Tabella34[[#This Row],[rest of Italy cum. Data]]-BB126)</f>
        <v>2522</v>
      </c>
      <c r="BD127" s="10">
        <f>Tabella34[[#This Row],[rest of Italy rate data]]-BC126</f>
        <v>-38</v>
      </c>
      <c r="BE127" s="77">
        <f>Tabella34[[#This Row],[rest of Italy rate data]]*NOT(ISBLANK(Tabella34[[#This Row],[rest of Italy rate data]]))</f>
        <v>2522</v>
      </c>
      <c r="BF127" s="77">
        <f>Tabella8[[#This Row],[rest of Italy fit]]</f>
        <v>96941.370316694665</v>
      </c>
      <c r="BG127" s="78">
        <f>(ATANH(alpha*Tabella34[[#This Row],[rest of Italy cumul. fit]]/Ka-(1-alpha*Tabella34[[#This Row],[rest of Italy cumul. fit]]/Ka)*TANH(phi_a))+phi_a)/psi_a-(Tabella34[[#This Row],[Day]]-pa)</f>
        <v>41.444778456652514</v>
      </c>
      <c r="BH127" s="77">
        <f>Tabella34[[#This Row],[rest of Italy cumul. fit]]/Ka</f>
        <v>0.43697967669510795</v>
      </c>
      <c r="BI127" s="143">
        <f>Tabella3[[#This Row],[rest of Italy fit]]</f>
        <v>3008.0967937161004</v>
      </c>
      <c r="BJ127" s="183">
        <f>Tabella34[[#This Row],[rest of Italy velocity]]/Tabella34[[#This Row],[rest of Italy cumul. fit]]</f>
        <v>3.1030062643936693E-2</v>
      </c>
      <c r="BK127" s="236">
        <f>(LN(Tabella34[[#This Row],[Day]]-po)-phi_o)/psi_o</f>
        <v>99.582368474815709</v>
      </c>
      <c r="BL127" s="244">
        <f>EXP(phi_o+psi_o*Tabella34[[#This Row],[x_o_alpha©+plus]])-(Tabella34[[#This Row],[Day]]-po)</f>
        <v>-47.683698354310877</v>
      </c>
      <c r="BM127" s="244">
        <f>EXP(phi_o+psi_o*Tabella34[[#This Row],[x_o_alpha©-minus]])-(Tabella34[[#This Row],[Day]]-po)</f>
        <v>-48.424116477848997</v>
      </c>
      <c r="BN127" s="244">
        <f>-psi_o+SQRT(psi_o^2-2*Tabella34[[#This Row],[c_o]])</f>
        <v>3.5351317312931667</v>
      </c>
      <c r="BO127" s="244">
        <f>-psi_o-SQRT(psi_o^2-2*Tabella34[[#This Row],[c_o]])</f>
        <v>-3.5864450155608201</v>
      </c>
      <c r="BP127" s="244">
        <f>phi_o-LN(alpha*Ko/(Tabella34[[#This Row],[rest of Italy velocity]]*psi_o*SQRTPI(2)))</f>
        <v>-6.3392777885236349</v>
      </c>
      <c r="BQ127" s="244">
        <f>(ACOSH(SQRT(alpha*Ka*psi_a/(Tabella34[[#This Row],[rest of Italy velocity]]*(1+TANH(phi_a)))))+phi_a)/psi_a-(Tabella34[[#This Row],[Day]]-pa)</f>
        <v>36.849179168760145</v>
      </c>
      <c r="BR127" s="72">
        <f>-2*$BY$35*TANH($BY$35*(Tabella34[[#This Row],[Day]]-$BY$44)-$BY$34)*Tabella34[[#This Row],[rest of Italy velocity]]</f>
        <v>9.4642551091128126</v>
      </c>
      <c r="BS127" s="77">
        <f>Tabella34[[#This Row],[rest of Italy acc. fit]]/y_a_peak</f>
        <v>3.1344318103911166E-3</v>
      </c>
      <c r="BT127" s="77">
        <f>Tabella34[[#This Row],[rest of Italy acc. fit]]*NOT(ISBLANK(Tabella34[[#This Row],[rest of Italy rate data]]))</f>
        <v>9.4642551091128126</v>
      </c>
      <c r="BU127" s="77">
        <f>Tabella34[[#This Row],[rest of Italy acc. fit]]+CIa</f>
        <v>1643.5981950629143</v>
      </c>
      <c r="BV127" s="77">
        <f>MAX(Tabella34[[#This Row],[rest of Italy acc. fit]]-CIa,0)</f>
        <v>0</v>
      </c>
    </row>
    <row r="128" spans="2:74" x14ac:dyDescent="0.3">
      <c r="B128" s="262">
        <v>43951</v>
      </c>
      <c r="C128" s="4">
        <v>121</v>
      </c>
      <c r="D128" s="10">
        <f>Tabella8[[#This Row],[Italy cumulative]]</f>
        <v>103912</v>
      </c>
      <c r="E128" s="72">
        <f>(Tabella34[[#This Row],[Italy cumul. data]]-D127)</f>
        <v>4978</v>
      </c>
      <c r="F128" s="72">
        <f>Tabella34[[#This Row],[Italy rate data]]-E127</f>
        <v>2344</v>
      </c>
      <c r="G128" s="77">
        <f>Tabella34[[#This Row],[Italy rate data]]*NOT(ISBLANK(Tabella34[[#This Row],[Italy rate data]]))</f>
        <v>4978</v>
      </c>
      <c r="H128" s="143">
        <f>Tabella8[[#This Row],[Italy fit]]</f>
        <v>104310.64066404921</v>
      </c>
      <c r="I128" s="143">
        <f>(ATANH(alpha*Tabella34[[#This Row],[Italy cumul. Fit]]/Kf-(1-alpha*Tabella34[[#This Row],[Italy cumul. Fit]]/Kf)*TANH(phi_f))+phi_f)/psi_f-(Tabella34[[#This Row],[Day]]-pf)</f>
        <v>44.102556164146762</v>
      </c>
      <c r="J128" s="143">
        <f>Tabella34[[#This Row],[Italy d.t.]]/Italy_dt_at_lockdown</f>
        <v>19.430571566494315</v>
      </c>
      <c r="K128" s="77">
        <f>Tabella34[[#This Row],[Italy cumul. Fit]]/Kf</f>
        <v>0.44387506377609148</v>
      </c>
      <c r="L128" s="146">
        <f>Tabella34[[#This Row],[sel. region acc. fit]]+Tabella34[[#This Row],[rest of Italy acc. fit]]</f>
        <v>6.6480292363226843</v>
      </c>
      <c r="M128" s="77">
        <f>Tabella34[[#This Row],[Italy (fit of selected region + fitted sum of the other regions)]]/(y_l_peak+y_a_peak)</f>
        <v>2.0993666949516011E-3</v>
      </c>
      <c r="N128" s="143">
        <f>Tabella3[[#This Row],[Italy remov. rate fit]]</f>
        <v>3152.5939532188831</v>
      </c>
      <c r="O128" s="143">
        <f>Kt*EXP(-0.5*Tabella34[[#This Row],[x_t]]^2)/(psi_t*SQRTPI(2)*(Tabella34[[#This Row],[Day]]-D_bk))</f>
        <v>0</v>
      </c>
      <c r="P128" s="183">
        <f>Tabella34[[#This Row],[Italy velocity]]/Tabella34[[#This Row],[Italy cumul. Fit]]</f>
        <v>3.0223129041766383E-2</v>
      </c>
      <c r="Q128" s="244">
        <f>(LN(Tabella34[[#This Row],[Day]]-D_bk)-phi_t)/psi_t</f>
        <v>102.51857054340125</v>
      </c>
      <c r="R128" s="244">
        <f>EXP(phi_t+psi_t*Tabella34[[#This Row],[x_t_alpha©+plus]])-(Tabella34[[#This Row],[Day]]-D_bk)</f>
        <v>-48.207970536230739</v>
      </c>
      <c r="S128" s="244">
        <f>EXP(phi_t+psi_t*Tabella34[[#This Row],[x_t_alpha©-minus]])-(Tabella34[[#This Row],[Day]]-D_bk)</f>
        <v>-48.920527832315337</v>
      </c>
      <c r="T128" s="244">
        <f>-psi_t+SQRT(psi_t^2-2*Tabella34[[#This Row],[c_t]])</f>
        <v>3.550439646924556</v>
      </c>
      <c r="U128" s="244">
        <f>-psi_t-SQRT(psi_t^2-2*Tabella34[[#This Row],[c_t]])</f>
        <v>-3.6009583216219281</v>
      </c>
      <c r="V128" s="244">
        <f>phi_t-LN(alpha*Kt/(Tabella34[[#This Row],[Italy velocity]]*psi_t*SQRTPI(2)))</f>
        <v>-6.3924925960047005</v>
      </c>
      <c r="W128" s="244">
        <f>Tabella34[[#This Row],[Italy g.r.]]/Italy_gr_at_lockdown</f>
        <v>7.2090031454779727E-2</v>
      </c>
      <c r="X128" s="244">
        <f>(ACOSH(SQRT(alpha*Kf*psi_f/(Tabella34[[#This Row],[Italy velocity]]*(1+TANH(phi_f)))))+phi_f)/psi_f-(Tabella34[[#This Row],[Day]]-pf)</f>
        <v>36.73219108320562</v>
      </c>
      <c r="Y128" s="244">
        <f>Tabella34[[#This Row],[Italy h.t.]]/Italy_ht_at_lockdown</f>
        <v>0.30930382185992794</v>
      </c>
      <c r="Z128" s="72">
        <f>-2*$BY$48*TANH($BY$48*(Tabella34[[#This Row],[Day]]-$BY$57)-$BY$47)*Tabella34[[#This Row],[Italy velocity]]</f>
        <v>7.1660507145285992</v>
      </c>
      <c r="AA128" s="72">
        <f>Tabella34[[#This Row],[Italy acc. fit]]/Itali_acc_at_lockdown</f>
        <v>0.20474238435927364</v>
      </c>
      <c r="AB128" s="77">
        <f>Tabella34[[#This Row],[Italy acc. fit]]/y_f_peak</f>
        <v>2.2684630764955387E-3</v>
      </c>
      <c r="AC128" s="143">
        <f>Tabella34[[#This Row],[Italy (fit of selected region + fitted sum of the other regions)]]*NOT(ISBLANK(Tabella34[[#This Row],[Italy rate data]]))</f>
        <v>6.6480292363226843</v>
      </c>
      <c r="AD128" s="143">
        <f>Tabella34[[#This Row],[Italy acc. fit]]*NOT(ISBLANK(Tabella34[[#This Row],[Italy rate data]]))</f>
        <v>7.1660507145285992</v>
      </c>
      <c r="AE128" s="77">
        <f>Tabella34[[#This Row],[Italy acc. fit]]+CIf</f>
        <v>1662.37601963828</v>
      </c>
      <c r="AF128" s="77">
        <f>MAX(Tabella34[[#This Row],[Italy acc. fit]]-CIf,0)</f>
        <v>0</v>
      </c>
      <c r="AG128" s="4">
        <f>Tabella8[[#This Row],[region data]]</f>
        <v>4442</v>
      </c>
      <c r="AH128" s="72">
        <f>(Tabella34[[#This Row],[selected region cumul. data]]-AG127)</f>
        <v>129</v>
      </c>
      <c r="AI128" s="72">
        <f>Tabella34[[#This Row],[selected region rate data]]-AH127</f>
        <v>17</v>
      </c>
      <c r="AJ128" s="77">
        <f>Tabella34[[#This Row],[selected region rate data]]*NOT(ISBLANK(Tabella34[[#This Row],[selected region rate data]]))</f>
        <v>129</v>
      </c>
      <c r="AK128" s="77">
        <f>Tabella8[[#This Row],[region fit]]</f>
        <v>4410.3418678302087</v>
      </c>
      <c r="AL128" s="143">
        <f>(ATANH(alpha*Tabella34[[#This Row],[sel. region cumul. fit]]/Kl-(1-alpha*Tabella34[[#This Row],[sel. region cumul. fit]]/Kl)*TANH(phi_l))+phi_l)/psi_l-(Tabella34[[#This Row],[Day]]-pl)</f>
        <v>31.323441634250912</v>
      </c>
      <c r="AM128" s="77">
        <f>Tabella34[[#This Row],[sel. region cumul. fit]]/Kl</f>
        <v>0.33523718614857789</v>
      </c>
      <c r="AN128" s="143">
        <f>Tabella3[[#This Row],[region fit]]</f>
        <v>141.54822749136687</v>
      </c>
      <c r="AO128" s="186">
        <f>Tabella34[[#This Row],[sel. region velocity]]/Tabella34[[#This Row],[sel. region cumul. fit]]</f>
        <v>3.2094615731230264E-2</v>
      </c>
      <c r="AP128" s="241">
        <f>(LN(Tabella34[[#This Row],[Day]]-pr)-phi_r)/psi_r</f>
        <v>134.04948541611554</v>
      </c>
      <c r="AQ128" s="244">
        <f>EXP(phi_r+psi_r*Tabella34[[#This Row],[x_r_alpha©+plus]])-(Tabella34[[#This Row],[Day]]-pr)</f>
        <v>-41.408653201183341</v>
      </c>
      <c r="AR128" s="244">
        <f>EXP(phi_r+psi_r*Tabella34[[#This Row],[x_r_alpha©-minus]])-(Tabella34[[#This Row],[Day]]-pr)</f>
        <v>-41.864678921647126</v>
      </c>
      <c r="AS128" s="244">
        <f>-psi_r+SQRT(psi_r^2-2*Tabella34[[#This Row],[c_r]])</f>
        <v>3.7515475144956953</v>
      </c>
      <c r="AT128" s="244">
        <f>-psi_r-SQRT(psi_r^2-2*Tabella34[[#This Row],[c_r]])</f>
        <v>-3.7918355241620336</v>
      </c>
      <c r="AU128" s="244">
        <f>phi_r-LN(alpha*Kr/(Tabella34[[#This Row],[sel. region velocity]]*psi_r*SQRTPI(2)))</f>
        <v>-7.1126255680232804</v>
      </c>
      <c r="AV128" s="244">
        <f>(ACOSH(SQRT(alpha*Kl*psi_l/(Tabella34[[#This Row],[sel. region velocity]]*(1+TANH(phi_l)))))+phi_l)/psi_l-(Tabella34[[#This Row],[Day]]-pl)</f>
        <v>55.007731096726289</v>
      </c>
      <c r="AW128" s="72">
        <f>-2*$BY$22*TANH($BY$22*(Tabella34[[#This Row],[Day]]-$BY$31)-$BY$21)*Tabella34[[#This Row],[sel. region velocity]]</f>
        <v>1.1207280544727434</v>
      </c>
      <c r="AX128" s="77">
        <f>Tabella34[[#This Row],[sel. region acc. fit]]/y_l_peak</f>
        <v>7.6118422197283351E-3</v>
      </c>
      <c r="AY128" s="143">
        <f>Tabella34[[#This Row],[sel. region acc. fit]]*NOT(ISBLANK(Tabella34[[#This Row],[selected region rate data]]))</f>
        <v>1.1207280544727434</v>
      </c>
      <c r="AZ128" s="77">
        <f>Tabella34[[#This Row],[sel. region acc. fit]]+CIl</f>
        <v>70.48571442957315</v>
      </c>
      <c r="BA128" s="77">
        <f>MAX(Tabella34[[#This Row],[sel. region acc. fit]]-CIl,0)</f>
        <v>0</v>
      </c>
      <c r="BB128" s="10">
        <f>Tabella8[[#This Row],[rest of Italy ]]</f>
        <v>99470</v>
      </c>
      <c r="BC128" s="10">
        <f>(Tabella34[[#This Row],[rest of Italy cum. Data]]-BB127)</f>
        <v>4849</v>
      </c>
      <c r="BD128" s="10">
        <f>Tabella34[[#This Row],[rest of Italy rate data]]-BC127</f>
        <v>2327</v>
      </c>
      <c r="BE128" s="77">
        <f>Tabella34[[#This Row],[rest of Italy rate data]]*NOT(ISBLANK(Tabella34[[#This Row],[rest of Italy rate data]]))</f>
        <v>4849</v>
      </c>
      <c r="BF128" s="77">
        <f>Tabella8[[#This Row],[rest of Italy fit]]</f>
        <v>99953.544747012449</v>
      </c>
      <c r="BG128" s="78">
        <f>(ATANH(alpha*Tabella34[[#This Row],[rest of Italy cumul. fit]]/Ka-(1-alpha*Tabella34[[#This Row],[rest of Italy cumul. fit]]/Ka)*TANH(phi_a))+phi_a)/psi_a-(Tabella34[[#This Row],[Day]]-pa)</f>
        <v>45.731511856944479</v>
      </c>
      <c r="BH128" s="77">
        <f>Tabella34[[#This Row],[rest of Italy cumul. fit]]/Ka</f>
        <v>0.45055756407600112</v>
      </c>
      <c r="BI128" s="143">
        <f>Tabella3[[#This Row],[rest of Italy fit]]</f>
        <v>3015.5958509446177</v>
      </c>
      <c r="BJ128" s="183">
        <f>Tabella34[[#This Row],[rest of Italy velocity]]/Tabella34[[#This Row],[rest of Italy cumul. fit]]</f>
        <v>3.0169974047216091E-2</v>
      </c>
      <c r="BK128" s="236">
        <f>(LN(Tabella34[[#This Row],[Day]]-po)-phi_o)/psi_o</f>
        <v>100.32313831669467</v>
      </c>
      <c r="BL128" s="244">
        <f>EXP(phi_o+psi_o*Tabella34[[#This Row],[x_o_alpha©+plus]])-(Tabella34[[#This Row],[Day]]-po)</f>
        <v>-48.683777904244202</v>
      </c>
      <c r="BM128" s="244">
        <f>EXP(phi_o+psi_o*Tabella34[[#This Row],[x_o_alpha©-minus]])-(Tabella34[[#This Row],[Day]]-po)</f>
        <v>-49.424050211175235</v>
      </c>
      <c r="BN128" s="244">
        <f>-psi_o+SQRT(psi_o^2-2*Tabella34[[#This Row],[c_o]])</f>
        <v>3.5344324199565591</v>
      </c>
      <c r="BO128" s="244">
        <f>-psi_o-SQRT(psi_o^2-2*Tabella34[[#This Row],[c_o]])</f>
        <v>-3.5857457042242125</v>
      </c>
      <c r="BP128" s="244">
        <f>phi_o-LN(alpha*Ko/(Tabella34[[#This Row],[rest of Italy velocity]]*psi_o*SQRTPI(2)))</f>
        <v>-6.3367879333650095</v>
      </c>
      <c r="BQ128" s="244">
        <f>(ACOSH(SQRT(alpha*Ka*psi_a/(Tabella34[[#This Row],[rest of Italy velocity]]*(1+TANH(phi_a)))))+phi_a)/psi_a-(Tabella34[[#This Row],[Day]]-pa)</f>
        <v>35.780644042726252</v>
      </c>
      <c r="BR128" s="72">
        <f>-2*$BY$35*TANH($BY$35*(Tabella34[[#This Row],[Day]]-$BY$44)-$BY$34)*Tabella34[[#This Row],[rest of Italy velocity]]</f>
        <v>5.5273011818499409</v>
      </c>
      <c r="BS128" s="77">
        <f>Tabella34[[#This Row],[rest of Italy acc. fit]]/y_a_peak</f>
        <v>1.8305665316778346E-3</v>
      </c>
      <c r="BT128" s="77">
        <f>Tabella34[[#This Row],[rest of Italy acc. fit]]*NOT(ISBLANK(Tabella34[[#This Row],[rest of Italy rate data]]))</f>
        <v>5.5273011818499409</v>
      </c>
      <c r="BU128" s="77">
        <f>Tabella34[[#This Row],[rest of Italy acc. fit]]+CIa</f>
        <v>1639.6612411356514</v>
      </c>
      <c r="BV128" s="77">
        <f>MAX(Tabella34[[#This Row],[rest of Italy acc. fit]]-CIa,0)</f>
        <v>0</v>
      </c>
    </row>
    <row r="129" spans="2:74" x14ac:dyDescent="0.3">
      <c r="B129" s="262">
        <v>43952</v>
      </c>
      <c r="C129" s="4">
        <v>122</v>
      </c>
      <c r="D129" s="10">
        <f>Tabella8[[#This Row],[Italy cumulative]]</f>
        <v>106485</v>
      </c>
      <c r="E129" s="72">
        <f>(Tabella34[[#This Row],[Italy cumul. data]]-D128)</f>
        <v>2573</v>
      </c>
      <c r="F129" s="72">
        <f>Tabella34[[#This Row],[Italy rate data]]-E128</f>
        <v>-2405</v>
      </c>
      <c r="G129" s="77">
        <f>Tabella34[[#This Row],[Italy rate data]]*NOT(ISBLANK(Tabella34[[#This Row],[Italy rate data]]))</f>
        <v>2573</v>
      </c>
      <c r="H129" s="143">
        <f>Tabella8[[#This Row],[Italy fit]]</f>
        <v>107466.14987693875</v>
      </c>
      <c r="I129" s="143">
        <f>(ATANH(alpha*Tabella34[[#This Row],[Italy cumul. Fit]]/Kf-(1-alpha*Tabella34[[#This Row],[Italy cumul. Fit]]/Kf)*TANH(phi_f))+phi_f)/psi_f-(Tabella34[[#This Row],[Day]]-pf)</f>
        <v>49.065929543953501</v>
      </c>
      <c r="J129" s="143">
        <f>Tabella34[[#This Row],[Italy d.t.]]/Italy_dt_at_lockdown</f>
        <v>21.617319683964421</v>
      </c>
      <c r="K129" s="77">
        <f>Tabella34[[#This Row],[Italy cumul. Fit]]/Kf</f>
        <v>0.45730276246723883</v>
      </c>
      <c r="L129" s="146">
        <f>Tabella34[[#This Row],[sel. region acc. fit]]+Tabella34[[#This Row],[rest of Italy acc. fit]]</f>
        <v>2.5788178518136018</v>
      </c>
      <c r="M129" s="77">
        <f>Tabella34[[#This Row],[Italy (fit of selected region + fitted sum of the other regions)]]/(y_l_peak+y_a_peak)</f>
        <v>8.1435928122343306E-4</v>
      </c>
      <c r="N129" s="143">
        <f>Tabella3[[#This Row],[Italy remov. rate fit]]</f>
        <v>3157.755525957964</v>
      </c>
      <c r="O129" s="143">
        <f>Kt*EXP(-0.5*Tabella34[[#This Row],[x_t]]^2)/(psi_t*SQRTPI(2)*(Tabella34[[#This Row],[Day]]-D_bk))</f>
        <v>0</v>
      </c>
      <c r="P129" s="183">
        <f>Tabella34[[#This Row],[Italy velocity]]/Tabella34[[#This Row],[Italy cumul. Fit]]</f>
        <v>2.9383722498423564E-2</v>
      </c>
      <c r="Q129" s="244">
        <f>(LN(Tabella34[[#This Row],[Day]]-D_bk)-phi_t)/psi_t</f>
        <v>103.26528477992036</v>
      </c>
      <c r="R129" s="244">
        <f>EXP(phi_t+psi_t*Tabella34[[#This Row],[x_t_alpha©+plus]])-(Tabella34[[#This Row],[Day]]-D_bk)</f>
        <v>-49.208020365782083</v>
      </c>
      <c r="S129" s="244">
        <f>EXP(phi_t+psi_t*Tabella34[[#This Row],[x_t_alpha©-minus]])-(Tabella34[[#This Row],[Day]]-D_bk)</f>
        <v>-49.920486237306015</v>
      </c>
      <c r="T129" s="244">
        <f>-psi_t+SQRT(psi_t^2-2*Tabella34[[#This Row],[c_t]])</f>
        <v>3.5499821106118805</v>
      </c>
      <c r="U129" s="244">
        <f>-psi_t-SQRT(psi_t^2-2*Tabella34[[#This Row],[c_t]])</f>
        <v>-3.6005007853092525</v>
      </c>
      <c r="V129" s="244">
        <f>phi_t-LN(alpha*Kt/(Tabella34[[#This Row],[Italy velocity]]*psi_t*SQRTPI(2)))</f>
        <v>-6.3908566885459361</v>
      </c>
      <c r="W129" s="244">
        <f>Tabella34[[#This Row],[Italy g.r.]]/Italy_gr_at_lockdown</f>
        <v>7.0087828306677258E-2</v>
      </c>
      <c r="X129" s="244">
        <f>(ACOSH(SQRT(alpha*Kf*psi_f/(Tabella34[[#This Row],[Italy velocity]]*(1+TANH(phi_f)))))+phi_f)/psi_f-(Tabella34[[#This Row],[Day]]-pf)</f>
        <v>35.686423317358262</v>
      </c>
      <c r="Y129" s="244">
        <f>Tabella34[[#This Row],[Italy h.t.]]/Italy_ht_at_lockdown</f>
        <v>0.30049792280474208</v>
      </c>
      <c r="Z129" s="72">
        <f>-2*$BY$48*TANH($BY$48*(Tabella34[[#This Row],[Day]]-$BY$57)-$BY$47)*Tabella34[[#This Row],[Italy velocity]]</f>
        <v>3.1527109136619647</v>
      </c>
      <c r="AA129" s="72">
        <f>Tabella34[[#This Row],[Italy acc. fit]]/Itali_acc_at_lockdown</f>
        <v>9.0076609191443169E-2</v>
      </c>
      <c r="AB129" s="77">
        <f>Tabella34[[#This Row],[Italy acc. fit]]/y_f_peak</f>
        <v>9.980125153185083E-4</v>
      </c>
      <c r="AC129" s="143">
        <f>Tabella34[[#This Row],[Italy (fit of selected region + fitted sum of the other regions)]]*NOT(ISBLANK(Tabella34[[#This Row],[Italy rate data]]))</f>
        <v>2.5788178518136018</v>
      </c>
      <c r="AD129" s="143">
        <f>Tabella34[[#This Row],[Italy acc. fit]]*NOT(ISBLANK(Tabella34[[#This Row],[Italy rate data]]))</f>
        <v>3.1527109136619647</v>
      </c>
      <c r="AE129" s="77">
        <f>Tabella34[[#This Row],[Italy acc. fit]]+CIf</f>
        <v>1658.3626798374135</v>
      </c>
      <c r="AF129" s="77">
        <f>MAX(Tabella34[[#This Row],[Italy acc. fit]]-CIf,0)</f>
        <v>0</v>
      </c>
      <c r="AG129" s="4">
        <f>Tabella8[[#This Row],[region data]]</f>
        <v>4608</v>
      </c>
      <c r="AH129" s="72">
        <f>(Tabella34[[#This Row],[selected region cumul. data]]-AG128)</f>
        <v>166</v>
      </c>
      <c r="AI129" s="72">
        <f>Tabella34[[#This Row],[selected region rate data]]-AH128</f>
        <v>37</v>
      </c>
      <c r="AJ129" s="77">
        <f>Tabella34[[#This Row],[selected region rate data]]*NOT(ISBLANK(Tabella34[[#This Row],[selected region rate data]]))</f>
        <v>166</v>
      </c>
      <c r="AK129" s="77">
        <f>Tabella8[[#This Row],[region fit]]</f>
        <v>4552.4333913365735</v>
      </c>
      <c r="AL129" s="143">
        <f>(ATANH(alpha*Tabella34[[#This Row],[sel. region cumul. fit]]/Kl-(1-alpha*Tabella34[[#This Row],[sel. region cumul. fit]]/Kl)*TANH(phi_l))+phi_l)/psi_l-(Tabella34[[#This Row],[Day]]-pl)</f>
        <v>32.682975595164905</v>
      </c>
      <c r="AM129" s="77">
        <f>Tabella34[[#This Row],[sel. region cumul. fit]]/Kl</f>
        <v>0.34603779162165726</v>
      </c>
      <c r="AN129" s="143">
        <f>Tabella3[[#This Row],[region fit]]</f>
        <v>142.61761327531147</v>
      </c>
      <c r="AO129" s="186">
        <f>Tabella34[[#This Row],[sel. region velocity]]/Tabella34[[#This Row],[sel. region cumul. fit]]</f>
        <v>3.1327775942140604E-2</v>
      </c>
      <c r="AP129" s="241">
        <f>(LN(Tabella34[[#This Row],[Day]]-pr)-phi_r)/psi_r</f>
        <v>135.14919130968215</v>
      </c>
      <c r="AQ129" s="244">
        <f>EXP(phi_r+psi_r*Tabella34[[#This Row],[x_r_alpha©+plus]])-(Tabella34[[#This Row],[Day]]-pr)</f>
        <v>-42.408783267975423</v>
      </c>
      <c r="AR129" s="244">
        <f>EXP(phi_r+psi_r*Tabella34[[#This Row],[x_r_alpha©-minus]])-(Tabella34[[#This Row],[Day]]-pr)</f>
        <v>-42.864567186158645</v>
      </c>
      <c r="AS129" s="244">
        <f>-psi_r+SQRT(psi_r^2-2*Tabella34[[#This Row],[c_r]])</f>
        <v>3.7495514556046361</v>
      </c>
      <c r="AT129" s="244">
        <f>-psi_r-SQRT(psi_r^2-2*Tabella34[[#This Row],[c_r]])</f>
        <v>-3.7898394652709744</v>
      </c>
      <c r="AU129" s="244">
        <f>phi_r-LN(alpha*Kr/(Tabella34[[#This Row],[sel. region velocity]]*psi_r*SQRTPI(2)))</f>
        <v>-7.105099041757339</v>
      </c>
      <c r="AV129" s="244">
        <f>(ACOSH(SQRT(alpha*Kl*psi_l/(Tabella34[[#This Row],[sel. region velocity]]*(1+TANH(phi_l)))))+phi_l)/psi_l-(Tabella34[[#This Row],[Day]]-pl)</f>
        <v>53.748035124566215</v>
      </c>
      <c r="AW129" s="72">
        <f>-2*$BY$22*TANH($BY$22*(Tabella34[[#This Row],[Day]]-$BY$31)-$BY$21)*Tabella34[[#This Row],[sel. region velocity]]</f>
        <v>1.0174952407149762</v>
      </c>
      <c r="AX129" s="77">
        <f>Tabella34[[#This Row],[sel. region acc. fit]]/y_l_peak</f>
        <v>6.9106980955256029E-3</v>
      </c>
      <c r="AY129" s="143">
        <f>Tabella34[[#This Row],[sel. region acc. fit]]*NOT(ISBLANK(Tabella34[[#This Row],[selected region rate data]]))</f>
        <v>1.0174952407149762</v>
      </c>
      <c r="AZ129" s="77">
        <f>Tabella34[[#This Row],[sel. region acc. fit]]+CIl</f>
        <v>70.382481615815379</v>
      </c>
      <c r="BA129" s="77">
        <f>MAX(Tabella34[[#This Row],[sel. region acc. fit]]-CIl,0)</f>
        <v>0</v>
      </c>
      <c r="BB129" s="10">
        <f>Tabella8[[#This Row],[rest of Italy ]]</f>
        <v>101877</v>
      </c>
      <c r="BC129" s="10">
        <f>(Tabella34[[#This Row],[rest of Italy cum. Data]]-BB128)</f>
        <v>2407</v>
      </c>
      <c r="BD129" s="10">
        <f>Tabella34[[#This Row],[rest of Italy rate data]]-BC128</f>
        <v>-2442</v>
      </c>
      <c r="BE129" s="77">
        <f>Tabella34[[#This Row],[rest of Italy rate data]]*NOT(ISBLANK(Tabella34[[#This Row],[rest of Italy rate data]]))</f>
        <v>2407</v>
      </c>
      <c r="BF129" s="77">
        <f>Tabella8[[#This Row],[rest of Italy fit]]</f>
        <v>102971.24405844191</v>
      </c>
      <c r="BG129" s="78">
        <f>(ATANH(alpha*Tabella34[[#This Row],[rest of Italy cumul. fit]]/Ka-(1-alpha*Tabella34[[#This Row],[rest of Italy cumul. fit]]/Ka)*TANH(phi_a))+phi_a)/psi_a-(Tabella34[[#This Row],[Day]]-pa)</f>
        <v>51.545327217228078</v>
      </c>
      <c r="BH129" s="77">
        <f>Tabella34[[#This Row],[rest of Italy cumul. fit]]/Ka</f>
        <v>0.46416035579602283</v>
      </c>
      <c r="BI129" s="143">
        <f>Tabella3[[#This Row],[rest of Italy fit]]</f>
        <v>3019.1417175990341</v>
      </c>
      <c r="BJ129" s="183">
        <f>Tabella34[[#This Row],[rest of Italy velocity]]/Tabella34[[#This Row],[rest of Italy cumul. fit]]</f>
        <v>2.9320241249930934E-2</v>
      </c>
      <c r="BK129" s="236">
        <f>(LN(Tabella34[[#This Row],[Day]]-po)-phi_o)/psi_o</f>
        <v>101.05009152012209</v>
      </c>
      <c r="BL129" s="244">
        <f>EXP(phi_o+psi_o*Tabella34[[#This Row],[x_o_alpha©+plus]])-(Tabella34[[#This Row],[Day]]-po)</f>
        <v>-49.68381545484111</v>
      </c>
      <c r="BM129" s="244">
        <f>EXP(phi_o+psi_o*Tabella34[[#This Row],[x_o_alpha©-minus]])-(Tabella34[[#This Row],[Day]]-po)</f>
        <v>-50.424018929956354</v>
      </c>
      <c r="BN129" s="244">
        <f>-psi_o+SQRT(psi_o^2-2*Tabella34[[#This Row],[c_o]])</f>
        <v>3.5341023140244014</v>
      </c>
      <c r="BO129" s="244">
        <f>-psi_o-SQRT(psi_o^2-2*Tabella34[[#This Row],[c_o]])</f>
        <v>-3.5854155982920548</v>
      </c>
      <c r="BP129" s="244">
        <f>phi_o-LN(alpha*Ko/(Tabella34[[#This Row],[rest of Italy velocity]]*psi_o*SQRTPI(2)))</f>
        <v>-6.3356127813315677</v>
      </c>
      <c r="BQ129" s="244">
        <f>(ACOSH(SQRT(alpha*Ka*psi_a/(Tabella34[[#This Row],[rest of Italy velocity]]*(1+TANH(phi_a)))))+phi_a)/psi_a-(Tabella34[[#This Row],[Day]]-pa)</f>
        <v>34.748267555330713</v>
      </c>
      <c r="BR129" s="72">
        <f>-2*$BY$35*TANH($BY$35*(Tabella34[[#This Row],[Day]]-$BY$44)-$BY$34)*Tabella34[[#This Row],[rest of Italy velocity]]</f>
        <v>1.5613226110986254</v>
      </c>
      <c r="BS129" s="77">
        <f>Tabella34[[#This Row],[rest of Italy acc. fit]]/y_a_peak</f>
        <v>5.1708868813123154E-4</v>
      </c>
      <c r="BT129" s="77">
        <f>Tabella34[[#This Row],[rest of Italy acc. fit]]*NOT(ISBLANK(Tabella34[[#This Row],[rest of Italy rate data]]))</f>
        <v>1.5613226110986254</v>
      </c>
      <c r="BU129" s="77">
        <f>Tabella34[[#This Row],[rest of Italy acc. fit]]+CIa</f>
        <v>1635.6952625649001</v>
      </c>
      <c r="BV129" s="77">
        <f>MAX(Tabella34[[#This Row],[rest of Italy acc. fit]]-CIa,0)</f>
        <v>0</v>
      </c>
    </row>
    <row r="130" spans="2:74" x14ac:dyDescent="0.3">
      <c r="B130" s="262">
        <v>43953</v>
      </c>
      <c r="C130" s="4">
        <v>123</v>
      </c>
      <c r="D130" s="10">
        <f>Tabella8[[#This Row],[Italy cumulative]]</f>
        <v>108624</v>
      </c>
      <c r="E130" s="72">
        <f>(Tabella34[[#This Row],[Italy cumul. data]]-D129)</f>
        <v>2139</v>
      </c>
      <c r="F130" s="72">
        <f>Tabella34[[#This Row],[Italy rate data]]-E129</f>
        <v>-434</v>
      </c>
      <c r="G130" s="77">
        <f>Tabella34[[#This Row],[Italy rate data]]*NOT(ISBLANK(Tabella34[[#This Row],[Italy rate data]]))</f>
        <v>2139</v>
      </c>
      <c r="H130" s="143">
        <f>Tabella8[[#This Row],[Italy fit]]</f>
        <v>110624.81046098692</v>
      </c>
      <c r="I130" s="143">
        <f>(ATANH(alpha*Tabella34[[#This Row],[Italy cumul. Fit]]/Kf-(1-alpha*Tabella34[[#This Row],[Italy cumul. Fit]]/Kf)*TANH(phi_f))+phi_f)/psi_f-(Tabella34[[#This Row],[Day]]-pf)</f>
        <v>56.085433623224745</v>
      </c>
      <c r="J130" s="143">
        <f>Tabella34[[#This Row],[Italy d.t.]]/Italy_dt_at_lockdown</f>
        <v>24.709951681663902</v>
      </c>
      <c r="K130" s="77">
        <f>Tabella34[[#This Row],[Italy cumul. Fit]]/Kf</f>
        <v>0.47074387124833583</v>
      </c>
      <c r="L130" s="146">
        <f>Tabella34[[#This Row],[sel. region acc. fit]]+Tabella34[[#This Row],[rest of Italy acc. fit]]</f>
        <v>-1.5017526876974077</v>
      </c>
      <c r="M130" s="77">
        <f>Tabella34[[#This Row],[Italy (fit of selected region + fitted sum of the other regions)]]/(y_l_peak+y_a_peak)</f>
        <v>-4.7423521535983851E-4</v>
      </c>
      <c r="N130" s="143">
        <f>Tabella3[[#This Row],[Italy remov. rate fit]]</f>
        <v>3158.894016993615</v>
      </c>
      <c r="O130" s="143">
        <f>Kt*EXP(-0.5*Tabella34[[#This Row],[x_t]]^2)/(psi_t*SQRTPI(2)*(Tabella34[[#This Row],[Day]]-D_bk))</f>
        <v>0</v>
      </c>
      <c r="P130" s="183">
        <f>Tabella34[[#This Row],[Italy velocity]]/Tabella34[[#This Row],[Italy cumul. Fit]]</f>
        <v>2.855502308957749E-2</v>
      </c>
      <c r="Q130" s="244">
        <f>(LN(Tabella34[[#This Row],[Day]]-D_bk)-phi_t)/psi_t</f>
        <v>103.9981751966267</v>
      </c>
      <c r="R130" s="244">
        <f>EXP(phi_t+psi_t*Tabella34[[#This Row],[x_t_alpha©+plus]])-(Tabella34[[#This Row],[Day]]-D_bk)</f>
        <v>-50.208031346530149</v>
      </c>
      <c r="S130" s="244">
        <f>EXP(phi_t+psi_t*Tabella34[[#This Row],[x_t_alpha©-minus]])-(Tabella34[[#This Row],[Day]]-D_bk)</f>
        <v>-50.92047707104328</v>
      </c>
      <c r="T130" s="244">
        <f>-psi_t+SQRT(psi_t^2-2*Tabella34[[#This Row],[c_t]])</f>
        <v>3.5498812843697829</v>
      </c>
      <c r="U130" s="244">
        <f>-psi_t-SQRT(psi_t^2-2*Tabella34[[#This Row],[c_t]])</f>
        <v>-3.6003999590671549</v>
      </c>
      <c r="V130" s="244">
        <f>phi_t-LN(alpha*Kt/(Tabella34[[#This Row],[Italy velocity]]*psi_t*SQRTPI(2)))</f>
        <v>-6.3904962154691134</v>
      </c>
      <c r="W130" s="244">
        <f>Tabella34[[#This Row],[Italy g.r.]]/Italy_gr_at_lockdown</f>
        <v>6.8111164461986895E-2</v>
      </c>
      <c r="X130" s="244">
        <f>(ACOSH(SQRT(alpha*Kf*psi_f/(Tabella34[[#This Row],[Italy velocity]]*(1+TANH(phi_f)))))+phi_f)/psi_f-(Tabella34[[#This Row],[Day]]-pf)</f>
        <v>34.676333339725247</v>
      </c>
      <c r="Y130" s="244">
        <f>Tabella34[[#This Row],[Italy h.t.]]/Italy_ht_at_lockdown</f>
        <v>0.2919924489603804</v>
      </c>
      <c r="Z130" s="72">
        <f>-2*$BY$48*TANH($BY$48*(Tabella34[[#This Row],[Day]]-$BY$57)-$BY$47)*Tabella34[[#This Row],[Italy velocity]]</f>
        <v>-0.87669723993003768</v>
      </c>
      <c r="AA130" s="72">
        <f>Tabella34[[#This Row],[Italy acc. fit]]/Itali_acc_at_lockdown</f>
        <v>-2.5048257459377731E-2</v>
      </c>
      <c r="AB130" s="77">
        <f>Tabella34[[#This Row],[Italy acc. fit]]/y_f_peak</f>
        <v>-2.7752459440662301E-4</v>
      </c>
      <c r="AC130" s="143">
        <f>Tabella34[[#This Row],[Italy (fit of selected region + fitted sum of the other regions)]]*NOT(ISBLANK(Tabella34[[#This Row],[Italy rate data]]))</f>
        <v>-1.5017526876974077</v>
      </c>
      <c r="AD130" s="143">
        <f>Tabella34[[#This Row],[Italy acc. fit]]*NOT(ISBLANK(Tabella34[[#This Row],[Italy rate data]]))</f>
        <v>-0.87669723993003768</v>
      </c>
      <c r="AE130" s="77">
        <f>Tabella34[[#This Row],[Italy acc. fit]]+CIf</f>
        <v>1654.3332716838213</v>
      </c>
      <c r="AF130" s="77">
        <f>MAX(Tabella34[[#This Row],[Italy acc. fit]]-CIf,0)</f>
        <v>0</v>
      </c>
      <c r="AG130" s="4">
        <f>Tabella8[[#This Row],[region data]]</f>
        <v>4714</v>
      </c>
      <c r="AH130" s="72">
        <f>(Tabella34[[#This Row],[selected region cumul. data]]-AG129)</f>
        <v>106</v>
      </c>
      <c r="AI130" s="72">
        <f>Tabella34[[#This Row],[selected region rate data]]-AH129</f>
        <v>-60</v>
      </c>
      <c r="AJ130" s="77">
        <f>Tabella34[[#This Row],[selected region rate data]]*NOT(ISBLANK(Tabella34[[#This Row],[selected region rate data]]))</f>
        <v>106</v>
      </c>
      <c r="AK130" s="77">
        <f>Tabella8[[#This Row],[region fit]]</f>
        <v>4695.5421478342996</v>
      </c>
      <c r="AL130" s="143">
        <f>(ATANH(alpha*Tabella34[[#This Row],[sel. region cumul. fit]]/Kl-(1-alpha*Tabella34[[#This Row],[sel. region cumul. fit]]/Kl)*TANH(phi_l))+phi_l)/psi_l-(Tabella34[[#This Row],[Day]]-pl)</f>
        <v>34.16506550937828</v>
      </c>
      <c r="AM130" s="77">
        <f>Tabella34[[#This Row],[sel. region cumul. fit]]/Kl</f>
        <v>0.35691571861218385</v>
      </c>
      <c r="AN130" s="143">
        <f>Tabella3[[#This Row],[region fit]]</f>
        <v>143.58216908823266</v>
      </c>
      <c r="AO130" s="186">
        <f>Tabella34[[#This Row],[sel. region velocity]]/Tabella34[[#This Row],[sel. region cumul. fit]]</f>
        <v>3.0578400654854374E-2</v>
      </c>
      <c r="AP130" s="241">
        <f>(LN(Tabella34[[#This Row],[Day]]-pr)-phi_r)/psi_r</f>
        <v>136.22506302221947</v>
      </c>
      <c r="AQ130" s="244">
        <f>EXP(phi_r+psi_r*Tabella34[[#This Row],[x_r_alpha©+plus]])-(Tabella34[[#This Row],[Day]]-pr)</f>
        <v>-43.408899804750696</v>
      </c>
      <c r="AR130" s="244">
        <f>EXP(phi_r+psi_r*Tabella34[[#This Row],[x_r_alpha©-minus]])-(Tabella34[[#This Row],[Day]]-pr)</f>
        <v>-43.864467066166213</v>
      </c>
      <c r="AS130" s="244">
        <f>-psi_r+SQRT(psi_r^2-2*Tabella34[[#This Row],[c_r]])</f>
        <v>3.7477629657860914</v>
      </c>
      <c r="AT130" s="244">
        <f>-psi_r-SQRT(psi_r^2-2*Tabella34[[#This Row],[c_r]])</f>
        <v>-3.7880509754524296</v>
      </c>
      <c r="AU130" s="244">
        <f>phi_r-LN(alpha*Kr/(Tabella34[[#This Row],[sel. region velocity]]*psi_r*SQRTPI(2)))</f>
        <v>-7.0983585791552466</v>
      </c>
      <c r="AV130" s="244">
        <f>(ACOSH(SQRT(alpha*Kl*psi_l/(Tabella34[[#This Row],[sel. region velocity]]*(1+TANH(phi_l)))))+phi_l)/psi_l-(Tabella34[[#This Row],[Day]]-pl)</f>
        <v>52.514681574450279</v>
      </c>
      <c r="AW130" s="72">
        <f>-2*$BY$22*TANH($BY$22*(Tabella34[[#This Row],[Day]]-$BY$31)-$BY$21)*Tabella34[[#This Row],[sel. region velocity]]</f>
        <v>0.91111645033853106</v>
      </c>
      <c r="AX130" s="77">
        <f>Tabella34[[#This Row],[sel. region acc. fit]]/y_l_peak</f>
        <v>6.1881868987732338E-3</v>
      </c>
      <c r="AY130" s="143">
        <f>Tabella34[[#This Row],[sel. region acc. fit]]*NOT(ISBLANK(Tabella34[[#This Row],[selected region rate data]]))</f>
        <v>0.91111645033853106</v>
      </c>
      <c r="AZ130" s="77">
        <f>Tabella34[[#This Row],[sel. region acc. fit]]+CIl</f>
        <v>70.276102825438926</v>
      </c>
      <c r="BA130" s="77">
        <f>MAX(Tabella34[[#This Row],[sel. region acc. fit]]-CIl,0)</f>
        <v>0</v>
      </c>
      <c r="BB130" s="10">
        <f>Tabella8[[#This Row],[rest of Italy ]]</f>
        <v>103910</v>
      </c>
      <c r="BC130" s="10">
        <f>(Tabella34[[#This Row],[rest of Italy cum. Data]]-BB129)</f>
        <v>2033</v>
      </c>
      <c r="BD130" s="10">
        <f>Tabella34[[#This Row],[rest of Italy rate data]]-BC129</f>
        <v>-374</v>
      </c>
      <c r="BE130" s="77">
        <f>Tabella34[[#This Row],[rest of Italy rate data]]*NOT(ISBLANK(Tabella34[[#This Row],[rest of Italy rate data]]))</f>
        <v>2033</v>
      </c>
      <c r="BF130" s="77">
        <f>Tabella8[[#This Row],[rest of Italy fit]]</f>
        <v>105990.50400766797</v>
      </c>
      <c r="BG130" s="78">
        <f>(ATANH(alpha*Tabella34[[#This Row],[rest of Italy cumul. fit]]/Ka-(1-alpha*Tabella34[[#This Row],[rest of Italy cumul. fit]]/Ka)*TANH(phi_a))+phi_a)/psi_a-(Tabella34[[#This Row],[Day]]-pa)</f>
        <v>60.382200678048378</v>
      </c>
      <c r="BH130" s="77">
        <f>Tabella34[[#This Row],[rest of Italy cumul. fit]]/Ka</f>
        <v>0.47777018235573759</v>
      </c>
      <c r="BI130" s="143">
        <f>Tabella3[[#This Row],[rest of Italy fit]]</f>
        <v>3018.7157574196654</v>
      </c>
      <c r="BJ130" s="183">
        <f>Tabella34[[#This Row],[rest of Italy velocity]]/Tabella34[[#This Row],[rest of Italy cumul. fit]]</f>
        <v>2.8481002007512614E-2</v>
      </c>
      <c r="BK130" s="236">
        <f>(LN(Tabella34[[#This Row],[Day]]-po)-phi_o)/psi_o</f>
        <v>101.76373407039246</v>
      </c>
      <c r="BL130" s="244">
        <f>EXP(phi_o+psi_o*Tabella34[[#This Row],[x_o_alpha©+plus]])-(Tabella34[[#This Row],[Day]]-po)</f>
        <v>-50.683810946102803</v>
      </c>
      <c r="BM130" s="244">
        <f>EXP(phi_o+psi_o*Tabella34[[#This Row],[x_o_alpha©-minus]])-(Tabella34[[#This Row],[Day]]-po)</f>
        <v>-51.424022685952067</v>
      </c>
      <c r="BN130" s="244">
        <f>-psi_o+SQRT(psi_o^2-2*Tabella34[[#This Row],[c_o]])</f>
        <v>3.5341419503266285</v>
      </c>
      <c r="BO130" s="244">
        <f>-psi_o-SQRT(psi_o^2-2*Tabella34[[#This Row],[c_o]])</f>
        <v>-3.5854552345942818</v>
      </c>
      <c r="BP130" s="244">
        <f>phi_o-LN(alpha*Ko/(Tabella34[[#This Row],[rest of Italy velocity]]*psi_o*SQRTPI(2)))</f>
        <v>-6.3357538777989273</v>
      </c>
      <c r="BQ130" s="244">
        <f>(ACOSH(SQRT(alpha*Ka*psi_a/(Tabella34[[#This Row],[rest of Italy velocity]]*(1+TANH(phi_a)))))+phi_a)/psi_a-(Tabella34[[#This Row],[Day]]-pa)</f>
        <v>33.752155892860699</v>
      </c>
      <c r="BR130" s="72">
        <f>-2*$BY$35*TANH($BY$35*(Tabella34[[#This Row],[Day]]-$BY$44)-$BY$34)*Tabella34[[#This Row],[rest of Italy velocity]]</f>
        <v>-2.4128691380359388</v>
      </c>
      <c r="BS130" s="77">
        <f>Tabella34[[#This Row],[rest of Italy acc. fit]]/y_a_peak</f>
        <v>-7.9910924773030556E-4</v>
      </c>
      <c r="BT130" s="77">
        <f>Tabella34[[#This Row],[rest of Italy acc. fit]]*NOT(ISBLANK(Tabella34[[#This Row],[rest of Italy rate data]]))</f>
        <v>-2.4128691380359388</v>
      </c>
      <c r="BU130" s="77">
        <f>Tabella34[[#This Row],[rest of Italy acc. fit]]+CIa</f>
        <v>1631.7210708157656</v>
      </c>
      <c r="BV130" s="77">
        <f>MAX(Tabella34[[#This Row],[rest of Italy acc. fit]]-CIa,0)</f>
        <v>0</v>
      </c>
    </row>
    <row r="131" spans="2:74" x14ac:dyDescent="0.3">
      <c r="B131" s="262">
        <v>43954</v>
      </c>
      <c r="C131" s="4">
        <v>124</v>
      </c>
      <c r="D131" s="10">
        <f>Tabella8[[#This Row],[Italy cumulative]]</f>
        <v>110538</v>
      </c>
      <c r="E131" s="72">
        <f>(Tabella34[[#This Row],[Italy cumul. data]]-D130)</f>
        <v>1914</v>
      </c>
      <c r="F131" s="72">
        <f>Tabella34[[#This Row],[Italy rate data]]-E130</f>
        <v>-225</v>
      </c>
      <c r="G131" s="77">
        <f>Tabella34[[#This Row],[Italy rate data]]*NOT(ISBLANK(Tabella34[[#This Row],[Italy rate data]]))</f>
        <v>1914</v>
      </c>
      <c r="H131" s="143">
        <f>Tabella8[[#This Row],[Italy fit]]</f>
        <v>113782.59472055198</v>
      </c>
      <c r="I131" s="143">
        <f>(ATANH(alpha*Tabella34[[#This Row],[Italy cumul. Fit]]/Kf-(1-alpha*Tabella34[[#This Row],[Italy cumul. Fit]]/Kf)*TANH(phi_f))+phi_f)/psi_f-(Tabella34[[#This Row],[Day]]-pf)</f>
        <v>67.778977661028676</v>
      </c>
      <c r="J131" s="143">
        <f>Tabella34[[#This Row],[Italy d.t.]]/Italy_dt_at_lockdown</f>
        <v>29.861858148192358</v>
      </c>
      <c r="K131" s="77">
        <f>Tabella34[[#This Row],[Italy cumul. Fit]]/Kf</f>
        <v>0.48418125098910336</v>
      </c>
      <c r="L131" s="146">
        <f>Tabella34[[#This Row],[sel. region acc. fit]]+Tabella34[[#This Row],[rest of Italy acc. fit]]</f>
        <v>-5.5724793507748069</v>
      </c>
      <c r="M131" s="77">
        <f>Tabella34[[#This Row],[Italy (fit of selected region + fitted sum of the other regions)]]/(y_l_peak+y_a_peak)</f>
        <v>-1.7597211356117925E-3</v>
      </c>
      <c r="N131" s="143">
        <f>Tabella3[[#This Row],[Italy remov. rate fit]]</f>
        <v>3156.0036222360777</v>
      </c>
      <c r="O131" s="143">
        <f>Kt*EXP(-0.5*Tabella34[[#This Row],[x_t]]^2)/(psi_t*SQRTPI(2)*(Tabella34[[#This Row],[Day]]-D_bk))</f>
        <v>0</v>
      </c>
      <c r="P131" s="183">
        <f>Tabella34[[#This Row],[Italy velocity]]/Tabella34[[#This Row],[Italy cumul. Fit]]</f>
        <v>2.7737138795148469E-2</v>
      </c>
      <c r="Q131" s="244">
        <f>(LN(Tabella34[[#This Row],[Day]]-D_bk)-phi_t)/psi_t</f>
        <v>104.71774434103523</v>
      </c>
      <c r="R131" s="244">
        <f>EXP(phi_t+psi_t*Tabella34[[#This Row],[x_t_alpha©+plus]])-(Tabella34[[#This Row],[Day]]-D_bk)</f>
        <v>-51.208003461482591</v>
      </c>
      <c r="S131" s="244">
        <f>EXP(phi_t+psi_t*Tabella34[[#This Row],[x_t_alpha©-minus]])-(Tabella34[[#This Row],[Day]]-D_bk)</f>
        <v>-51.920500348206986</v>
      </c>
      <c r="T131" s="244">
        <f>-psi_t+SQRT(psi_t^2-2*Tabella34[[#This Row],[c_t]])</f>
        <v>3.5501373269479801</v>
      </c>
      <c r="U131" s="244">
        <f>-psi_t-SQRT(psi_t^2-2*Tabella34[[#This Row],[c_t]])</f>
        <v>-3.6006560016453522</v>
      </c>
      <c r="V131" s="244">
        <f>phi_t-LN(alpha*Kt/(Tabella34[[#This Row],[Italy velocity]]*psi_t*SQRTPI(2)))</f>
        <v>-6.3914116364702167</v>
      </c>
      <c r="W131" s="244">
        <f>Tabella34[[#This Row],[Italy g.r.]]/Italy_gr_at_lockdown</f>
        <v>6.6160297480931496E-2</v>
      </c>
      <c r="X131" s="244">
        <f>(ACOSH(SQRT(alpha*Kf*psi_f/(Tabella34[[#This Row],[Italy velocity]]*(1+TANH(phi_f)))))+phi_f)/psi_f-(Tabella34[[#This Row],[Day]]-pf)</f>
        <v>33.701953276103239</v>
      </c>
      <c r="Y131" s="244">
        <f>Tabella34[[#This Row],[Italy h.t.]]/Italy_ht_at_lockdown</f>
        <v>0.28378767084246953</v>
      </c>
      <c r="Z131" s="72">
        <f>-2*$BY$48*TANH($BY$48*(Tabella34[[#This Row],[Day]]-$BY$57)-$BY$47)*Tabella34[[#This Row],[Italy velocity]]</f>
        <v>-4.9016347359076615</v>
      </c>
      <c r="AA131" s="72">
        <f>Tabella34[[#This Row],[Italy acc. fit]]/Itali_acc_at_lockdown</f>
        <v>-0.14004539223442972</v>
      </c>
      <c r="AB131" s="77">
        <f>Tabella34[[#This Row],[Italy acc. fit]]/y_f_peak</f>
        <v>-1.5516464864435359E-3</v>
      </c>
      <c r="AC131" s="143">
        <f>Tabella34[[#This Row],[Italy (fit of selected region + fitted sum of the other regions)]]*NOT(ISBLANK(Tabella34[[#This Row],[Italy rate data]]))</f>
        <v>-5.5724793507748069</v>
      </c>
      <c r="AD131" s="143">
        <f>Tabella34[[#This Row],[Italy acc. fit]]*NOT(ISBLANK(Tabella34[[#This Row],[Italy rate data]]))</f>
        <v>-4.9016347359076615</v>
      </c>
      <c r="AE131" s="77">
        <f>Tabella34[[#This Row],[Italy acc. fit]]+CIf</f>
        <v>1650.3083341878437</v>
      </c>
      <c r="AF131" s="77">
        <f>MAX(Tabella34[[#This Row],[Italy acc. fit]]-CIf,0)</f>
        <v>0</v>
      </c>
      <c r="AG131" s="4">
        <f>Tabella8[[#This Row],[region data]]</f>
        <v>4808</v>
      </c>
      <c r="AH131" s="72">
        <f>(Tabella34[[#This Row],[selected region cumul. data]]-AG130)</f>
        <v>94</v>
      </c>
      <c r="AI131" s="72">
        <f>Tabella34[[#This Row],[selected region rate data]]-AH130</f>
        <v>-12</v>
      </c>
      <c r="AJ131" s="77">
        <f>Tabella34[[#This Row],[selected region rate data]]*NOT(ISBLANK(Tabella34[[#This Row],[selected region rate data]]))</f>
        <v>94</v>
      </c>
      <c r="AK131" s="77">
        <f>Tabella8[[#This Row],[region fit]]</f>
        <v>4839.5617835302974</v>
      </c>
      <c r="AL131" s="143">
        <f>(ATANH(alpha*Tabella34[[#This Row],[sel. region cumul. fit]]/Kl-(1-alpha*Tabella34[[#This Row],[sel. region cumul. fit]]/Kl)*TANH(phi_l))+phi_l)/psi_l-(Tabella34[[#This Row],[Day]]-pl)</f>
        <v>35.790825899821698</v>
      </c>
      <c r="AM131" s="77">
        <f>Tabella34[[#This Row],[sel. region cumul. fit]]/Kl</f>
        <v>0.36786288299711228</v>
      </c>
      <c r="AN131" s="143">
        <f>Tabella3[[#This Row],[region fit]]</f>
        <v>144.4388972713013</v>
      </c>
      <c r="AO131" s="186">
        <f>Tabella34[[#This Row],[sel. region velocity]]/Tabella34[[#This Row],[sel. region cumul. fit]]</f>
        <v>2.9845449594805666E-2</v>
      </c>
      <c r="AP131" s="241">
        <f>(LN(Tabella34[[#This Row],[Day]]-pr)-phi_r)/psi_r</f>
        <v>137.27811180290209</v>
      </c>
      <c r="AQ131" s="244">
        <f>EXP(phi_r+psi_r*Tabella34[[#This Row],[x_r_alpha©+plus]])-(Tabella34[[#This Row],[Day]]-pr)</f>
        <v>-44.40900270175208</v>
      </c>
      <c r="AR131" s="244">
        <f>EXP(phi_r+psi_r*Tabella34[[#This Row],[x_r_alpha©-minus]])-(Tabella34[[#This Row],[Day]]-pr)</f>
        <v>-44.864378658486494</v>
      </c>
      <c r="AS131" s="244">
        <f>-psi_r+SQRT(psi_r^2-2*Tabella34[[#This Row],[c_r]])</f>
        <v>3.7461837520038674</v>
      </c>
      <c r="AT131" s="244">
        <f>-psi_r-SQRT(psi_r^2-2*Tabella34[[#This Row],[c_r]])</f>
        <v>-3.7864717616702057</v>
      </c>
      <c r="AU131" s="244">
        <f>phi_r-LN(alpha*Kr/(Tabella34[[#This Row],[sel. region velocity]]*psi_r*SQRTPI(2)))</f>
        <v>-7.0924094954951924</v>
      </c>
      <c r="AV131" s="244">
        <f>(ACOSH(SQRT(alpha*Kl*psi_l/(Tabella34[[#This Row],[sel. region velocity]]*(1+TANH(phi_l)))))+phi_l)/psi_l-(Tabella34[[#This Row],[Day]]-pl)</f>
        <v>51.308103062717251</v>
      </c>
      <c r="AW131" s="72">
        <f>-2*$BY$22*TANH($BY$22*(Tabella34[[#This Row],[Day]]-$BY$31)-$BY$21)*Tabella34[[#This Row],[sel. region velocity]]</f>
        <v>0.80189156723509103</v>
      </c>
      <c r="AX131" s="77">
        <f>Tabella34[[#This Row],[sel. region acc. fit]]/y_l_peak</f>
        <v>5.4463454026729176E-3</v>
      </c>
      <c r="AY131" s="143">
        <f>Tabella34[[#This Row],[sel. region acc. fit]]*NOT(ISBLANK(Tabella34[[#This Row],[selected region rate data]]))</f>
        <v>0.80189156723509103</v>
      </c>
      <c r="AZ131" s="77">
        <f>Tabella34[[#This Row],[sel. region acc. fit]]+CIl</f>
        <v>70.166877942335489</v>
      </c>
      <c r="BA131" s="77">
        <f>MAX(Tabella34[[#This Row],[sel. region acc. fit]]-CIl,0)</f>
        <v>0</v>
      </c>
      <c r="BB131" s="10">
        <f>Tabella8[[#This Row],[rest of Italy ]]</f>
        <v>105730</v>
      </c>
      <c r="BC131" s="10">
        <f>(Tabella34[[#This Row],[rest of Italy cum. Data]]-BB130)</f>
        <v>1820</v>
      </c>
      <c r="BD131" s="10">
        <f>Tabella34[[#This Row],[rest of Italy rate data]]-BC130</f>
        <v>-213</v>
      </c>
      <c r="BE131" s="77">
        <f>Tabella34[[#This Row],[rest of Italy rate data]]*NOT(ISBLANK(Tabella34[[#This Row],[rest of Italy rate data]]))</f>
        <v>1820</v>
      </c>
      <c r="BF131" s="77">
        <f>Tabella8[[#This Row],[rest of Italy fit]]</f>
        <v>109007.35214584492</v>
      </c>
      <c r="BG131" s="78">
        <f>(ATANH(alpha*Tabella34[[#This Row],[rest of Italy cumul. fit]]/Ka-(1-alpha*Tabella34[[#This Row],[rest of Italy cumul. fit]]/Ka)*TANH(phi_a))+phi_a)/psi_a-(Tabella34[[#This Row],[Day]]-pa)</f>
        <v>78.334293005065447</v>
      </c>
      <c r="BH131" s="77">
        <f>Tabella34[[#This Row],[rest of Italy cumul. fit]]/Ka</f>
        <v>0.49136913726788795</v>
      </c>
      <c r="BI131" s="143">
        <f>Tabella3[[#This Row],[rest of Italy fit]]</f>
        <v>3014.3202108897863</v>
      </c>
      <c r="BJ131" s="183">
        <f>Tabella34[[#This Row],[rest of Italy velocity]]/Tabella34[[#This Row],[rest of Italy cumul. fit]]</f>
        <v>2.765244867939565E-2</v>
      </c>
      <c r="BK131" s="236">
        <f>(LN(Tabella34[[#This Row],[Day]]-po)-phi_o)/psi_o</f>
        <v>102.464544656987</v>
      </c>
      <c r="BL131" s="244">
        <f>EXP(phi_o+psi_o*Tabella34[[#This Row],[x_o_alpha©+plus]])-(Tabella34[[#This Row],[Day]]-po)</f>
        <v>-51.683764385237332</v>
      </c>
      <c r="BM131" s="244">
        <f>EXP(phi_o+psi_o*Tabella34[[#This Row],[x_o_alpha©-minus]])-(Tabella34[[#This Row],[Day]]-po)</f>
        <v>-52.424061472944068</v>
      </c>
      <c r="BN131" s="244">
        <f>-psi_o+SQRT(psi_o^2-2*Tabella34[[#This Row],[c_o]])</f>
        <v>3.534551264369965</v>
      </c>
      <c r="BO131" s="244">
        <f>-psi_o-SQRT(psi_o^2-2*Tabella34[[#This Row],[c_o]])</f>
        <v>-3.5858645486376184</v>
      </c>
      <c r="BP131" s="244">
        <f>phi_o-LN(alpha*Ko/(Tabella34[[#This Row],[rest of Italy velocity]]*psi_o*SQRTPI(2)))</f>
        <v>-6.3372110371232644</v>
      </c>
      <c r="BQ131" s="244">
        <f>(ACOSH(SQRT(alpha*Ka*psi_a/(Tabella34[[#This Row],[rest of Italy velocity]]*(1+TANH(phi_a)))))+phi_a)/psi_a-(Tabella34[[#This Row],[Day]]-pa)</f>
        <v>32.792296281555878</v>
      </c>
      <c r="BR131" s="72">
        <f>-2*$BY$35*TANH($BY$35*(Tabella34[[#This Row],[Day]]-$BY$44)-$BY$34)*Tabella34[[#This Row],[rest of Italy velocity]]</f>
        <v>-6.3743709180098982</v>
      </c>
      <c r="BS131" s="77">
        <f>Tabella34[[#This Row],[rest of Italy acc. fit]]/y_a_peak</f>
        <v>-2.111104439419025E-3</v>
      </c>
      <c r="BT131" s="77">
        <f>Tabella34[[#This Row],[rest of Italy acc. fit]]*NOT(ISBLANK(Tabella34[[#This Row],[rest of Italy rate data]]))</f>
        <v>-6.3743709180098982</v>
      </c>
      <c r="BU131" s="77">
        <f>Tabella34[[#This Row],[rest of Italy acc. fit]]+CIa</f>
        <v>1627.7595690357916</v>
      </c>
      <c r="BV131" s="77">
        <f>MAX(Tabella34[[#This Row],[rest of Italy acc. fit]]-CIa,0)</f>
        <v>0</v>
      </c>
    </row>
    <row r="132" spans="2:74" x14ac:dyDescent="0.3">
      <c r="B132" s="262">
        <v>43955</v>
      </c>
      <c r="C132" s="4">
        <v>125</v>
      </c>
      <c r="D132" s="10">
        <f>Tabella8[[#This Row],[Italy cumulative]]</f>
        <v>111958</v>
      </c>
      <c r="E132" s="72">
        <f>(Tabella34[[#This Row],[Italy cumul. data]]-D131)</f>
        <v>1420</v>
      </c>
      <c r="F132" s="72">
        <f>Tabella34[[#This Row],[Italy rate data]]-E131</f>
        <v>-494</v>
      </c>
      <c r="G132" s="77">
        <f>Tabella34[[#This Row],[Italy rate data]]*NOT(ISBLANK(Tabella34[[#This Row],[Italy rate data]]))</f>
        <v>1420</v>
      </c>
      <c r="H132" s="143">
        <f>Tabella8[[#This Row],[Italy fit]]</f>
        <v>116935.47942661433</v>
      </c>
      <c r="I132" s="143">
        <f>(ATANH(alpha*Tabella34[[#This Row],[Italy cumul. Fit]]/Kf-(1-alpha*Tabella34[[#This Row],[Italy cumul. Fit]]/Kf)*TANH(phi_f))+phi_f)/psi_f-(Tabella34[[#This Row],[Day]]-pf)</f>
        <v>104.59577051852942</v>
      </c>
      <c r="J132" s="143">
        <f>Tabella34[[#This Row],[Italy d.t.]]/Italy_dt_at_lockdown</f>
        <v>46.082490027303869</v>
      </c>
      <c r="K132" s="77">
        <f>Tabella34[[#This Row],[Italy cumul. Fit]]/Kf</f>
        <v>0.49759778156616485</v>
      </c>
      <c r="L132" s="146">
        <f>Tabella34[[#This Row],[sel. region acc. fit]]+Tabella34[[#This Row],[rest of Italy acc. fit]]</f>
        <v>-9.6122821062061803</v>
      </c>
      <c r="M132" s="77">
        <f>Tabella34[[#This Row],[Italy (fit of selected region + fitted sum of the other regions)]]/(y_l_peak+y_a_peak)</f>
        <v>-3.0354416623189768E-3</v>
      </c>
      <c r="N132" s="143">
        <f>Tabella3[[#This Row],[Italy remov. rate fit]]</f>
        <v>3149.099070953017</v>
      </c>
      <c r="O132" s="143">
        <f>Kt*EXP(-0.5*Tabella34[[#This Row],[x_t]]^2)/(psi_t*SQRTPI(2)*(Tabella34[[#This Row],[Day]]-D_bk))</f>
        <v>0</v>
      </c>
      <c r="P132" s="183">
        <f>Tabella34[[#This Row],[Italy velocity]]/Tabella34[[#This Row],[Italy cumul. Fit]]</f>
        <v>2.6930227561339157E-2</v>
      </c>
      <c r="Q132" s="244">
        <f>(LN(Tabella34[[#This Row],[Day]]-D_bk)-phi_t)/psi_t</f>
        <v>105.4244678449559</v>
      </c>
      <c r="R132" s="244">
        <f>EXP(phi_t+psi_t*Tabella34[[#This Row],[x_t_alpha©+plus]])-(Tabella34[[#This Row],[Day]]-D_bk)</f>
        <v>-52.207936753777929</v>
      </c>
      <c r="S132" s="244">
        <f>EXP(phi_t+psi_t*Tabella34[[#This Row],[x_t_alpha©-minus]])-(Tabella34[[#This Row],[Day]]-D_bk)</f>
        <v>-52.9205560315295</v>
      </c>
      <c r="T132" s="244">
        <f>-psi_t+SQRT(psi_t^2-2*Tabella34[[#This Row],[c_t]])</f>
        <v>3.5507498353288831</v>
      </c>
      <c r="U132" s="244">
        <f>-psi_t-SQRT(psi_t^2-2*Tabella34[[#This Row],[c_t]])</f>
        <v>-3.6012685100262551</v>
      </c>
      <c r="V132" s="244">
        <f>phi_t-LN(alpha*Kt/(Tabella34[[#This Row],[Italy velocity]]*psi_t*SQRTPI(2)))</f>
        <v>-6.3936017844754094</v>
      </c>
      <c r="W132" s="244">
        <f>Tabella34[[#This Row],[Italy g.r.]]/Italy_gr_at_lockdown</f>
        <v>6.4235604106326213E-2</v>
      </c>
      <c r="X132" s="244">
        <f>(ACOSH(SQRT(alpha*Kf*psi_f/(Tabella34[[#This Row],[Italy velocity]]*(1+TANH(phi_f)))))+phi_f)/psi_f-(Tabella34[[#This Row],[Day]]-pf)</f>
        <v>32.763201626537835</v>
      </c>
      <c r="Y132" s="244">
        <f>Tabella34[[#This Row],[Italy h.t.]]/Italy_ht_at_lockdown</f>
        <v>0.27588290217974071</v>
      </c>
      <c r="Z132" s="72">
        <f>-2*$BY$48*TANH($BY$48*(Tabella34[[#This Row],[Day]]-$BY$57)-$BY$47)*Tabella34[[#This Row],[Italy velocity]]</f>
        <v>-8.9016109459008561</v>
      </c>
      <c r="AA132" s="72">
        <f>Tabella34[[#This Row],[Italy acc. fit]]/Itali_acc_at_lockdown</f>
        <v>-0.25432935410396984</v>
      </c>
      <c r="AB132" s="77">
        <f>Tabella34[[#This Row],[Italy acc. fit]]/y_f_peak</f>
        <v>-2.8178667102041243E-3</v>
      </c>
      <c r="AC132" s="143">
        <f>Tabella34[[#This Row],[Italy (fit of selected region + fitted sum of the other regions)]]*NOT(ISBLANK(Tabella34[[#This Row],[Italy rate data]]))</f>
        <v>-9.6122821062061803</v>
      </c>
      <c r="AD132" s="143">
        <f>Tabella34[[#This Row],[Italy acc. fit]]*NOT(ISBLANK(Tabella34[[#This Row],[Italy rate data]]))</f>
        <v>-8.9016109459008561</v>
      </c>
      <c r="AE132" s="77">
        <f>Tabella34[[#This Row],[Italy acc. fit]]+CIf</f>
        <v>1646.3083579778506</v>
      </c>
      <c r="AF132" s="77">
        <f>MAX(Tabella34[[#This Row],[Italy acc. fit]]-CIf,0)</f>
        <v>0</v>
      </c>
      <c r="AG132" s="4">
        <f>Tabella8[[#This Row],[region data]]</f>
        <v>4904</v>
      </c>
      <c r="AH132" s="72">
        <f>(Tabella34[[#This Row],[selected region cumul. data]]-AG131)</f>
        <v>96</v>
      </c>
      <c r="AI132" s="72">
        <f>Tabella34[[#This Row],[selected region rate data]]-AH131</f>
        <v>2</v>
      </c>
      <c r="AJ132" s="77">
        <f>Tabella34[[#This Row],[selected region rate data]]*NOT(ISBLANK(Tabella34[[#This Row],[selected region rate data]]))</f>
        <v>96</v>
      </c>
      <c r="AK132" s="77">
        <f>Tabella8[[#This Row],[region fit]]</f>
        <v>4984.3831000909086</v>
      </c>
      <c r="AL132" s="143">
        <f>(ATANH(alpha*Tabella34[[#This Row],[sel. region cumul. fit]]/Kl-(1-alpha*Tabella34[[#This Row],[sel. region cumul. fit]]/Kl)*TANH(phi_l))+phi_l)/psi_l-(Tabella34[[#This Row],[Day]]-pl)</f>
        <v>37.58690780303597</v>
      </c>
      <c r="AM132" s="77">
        <f>Tabella34[[#This Row],[sel. region cumul. fit]]/Kl</f>
        <v>0.37887098443528883</v>
      </c>
      <c r="AN132" s="143">
        <f>Tabella3[[#This Row],[region fit]]</f>
        <v>145.18510950534807</v>
      </c>
      <c r="AO132" s="186">
        <f>Tabella34[[#This Row],[sel. region velocity]]/Tabella34[[#This Row],[sel. region cumul. fit]]</f>
        <v>2.9127999712281361E-2</v>
      </c>
      <c r="AP132" s="241">
        <f>(LN(Tabella34[[#This Row],[Day]]-pr)-phi_r)/psi_r</f>
        <v>138.30928587688072</v>
      </c>
      <c r="AQ132" s="244">
        <f>EXP(phi_r+psi_r*Tabella34[[#This Row],[x_r_alpha©+plus]])-(Tabella34[[#This Row],[Day]]-pr)</f>
        <v>-45.409091861422858</v>
      </c>
      <c r="AR132" s="244">
        <f>EXP(phi_r+psi_r*Tabella34[[#This Row],[x_r_alpha©-minus]])-(Tabella34[[#This Row],[Day]]-pr)</f>
        <v>-45.864302049182427</v>
      </c>
      <c r="AS132" s="244">
        <f>-psi_r+SQRT(psi_r^2-2*Tabella34[[#This Row],[c_r]])</f>
        <v>3.7448153315513006</v>
      </c>
      <c r="AT132" s="244">
        <f>-psi_r-SQRT(psi_r^2-2*Tabella34[[#This Row],[c_r]])</f>
        <v>-3.7851033412176389</v>
      </c>
      <c r="AU132" s="244">
        <f>phi_r-LN(alpha*Kr/(Tabella34[[#This Row],[sel. region velocity]]*psi_r*SQRTPI(2)))</f>
        <v>-7.0872565118489339</v>
      </c>
      <c r="AV132" s="244">
        <f>(ACOSH(SQRT(alpha*Kl*psi_l/(Tabella34[[#This Row],[sel. region velocity]]*(1+TANH(phi_l)))))+phi_l)/psi_l-(Tabella34[[#This Row],[Day]]-pl)</f>
        <v>50.128690158515354</v>
      </c>
      <c r="AW132" s="72">
        <f>-2*$BY$22*TANH($BY$22*(Tabella34[[#This Row],[Day]]-$BY$31)-$BY$21)*Tabella34[[#This Row],[sel. region velocity]]</f>
        <v>0.69013909079410196</v>
      </c>
      <c r="AX132" s="77">
        <f>Tabella34[[#This Row],[sel. region acc. fit]]/y_l_peak</f>
        <v>4.6873368145164363E-3</v>
      </c>
      <c r="AY132" s="143">
        <f>Tabella34[[#This Row],[sel. region acc. fit]]*NOT(ISBLANK(Tabella34[[#This Row],[selected region rate data]]))</f>
        <v>0.69013909079410196</v>
      </c>
      <c r="AZ132" s="77">
        <f>Tabella34[[#This Row],[sel. region acc. fit]]+CIl</f>
        <v>70.055125465894506</v>
      </c>
      <c r="BA132" s="77">
        <f>MAX(Tabella34[[#This Row],[sel. region acc. fit]]-CIl,0)</f>
        <v>0</v>
      </c>
      <c r="BB132" s="10">
        <f>Tabella8[[#This Row],[rest of Italy ]]</f>
        <v>107054</v>
      </c>
      <c r="BC132" s="10">
        <f>(Tabella34[[#This Row],[rest of Italy cum. Data]]-BB131)</f>
        <v>1324</v>
      </c>
      <c r="BD132" s="10">
        <f>Tabella34[[#This Row],[rest of Italy rate data]]-BC131</f>
        <v>-496</v>
      </c>
      <c r="BE132" s="77">
        <f>Tabella34[[#This Row],[rest of Italy rate data]]*NOT(ISBLANK(Tabella34[[#This Row],[rest of Italy rate data]]))</f>
        <v>1324</v>
      </c>
      <c r="BF132" s="77">
        <f>Tabella8[[#This Row],[rest of Italy fit]]</f>
        <v>112017.82870228343</v>
      </c>
      <c r="BG132" s="78" t="e">
        <f>(ATANH(alpha*Tabella34[[#This Row],[rest of Italy cumul. fit]]/Ka-(1-alpha*Tabella34[[#This Row],[rest of Italy cumul. fit]]/Ka)*TANH(phi_a))+phi_a)/psi_a-(Tabella34[[#This Row],[Day]]-pa)</f>
        <v>#NUM!</v>
      </c>
      <c r="BH132" s="77">
        <f>Tabella34[[#This Row],[rest of Italy cumul. fit]]/Ka</f>
        <v>0.50493937119415777</v>
      </c>
      <c r="BI132" s="143">
        <f>Tabella3[[#This Row],[rest of Italy fit]]</f>
        <v>3005.9781702290234</v>
      </c>
      <c r="BJ132" s="183">
        <f>Tabella34[[#This Row],[rest of Italy velocity]]/Tabella34[[#This Row],[rest of Italy cumul. fit]]</f>
        <v>2.6834819109181215E-2</v>
      </c>
      <c r="BK132" s="236">
        <f>(LN(Tabella34[[#This Row],[Day]]-po)-phi_o)/psi_o</f>
        <v>103.15297660227122</v>
      </c>
      <c r="BL132" s="244">
        <f>EXP(phi_o+psi_o*Tabella34[[#This Row],[x_o_alpha©+plus]])-(Tabella34[[#This Row],[Day]]-po)</f>
        <v>-52.683675846618044</v>
      </c>
      <c r="BM132" s="244">
        <f>EXP(phi_o+psi_o*Tabella34[[#This Row],[x_o_alpha©-minus]])-(Tabella34[[#This Row],[Day]]-po)</f>
        <v>-53.424135226772393</v>
      </c>
      <c r="BN132" s="244">
        <f>-psi_o+SQRT(psi_o^2-2*Tabella34[[#This Row],[c_o]])</f>
        <v>3.5353295907123701</v>
      </c>
      <c r="BO132" s="244">
        <f>-psi_o-SQRT(psi_o^2-2*Tabella34[[#This Row],[c_o]])</f>
        <v>-3.5866428749800234</v>
      </c>
      <c r="BP132" s="244">
        <f>phi_o-LN(alpha*Ko/(Tabella34[[#This Row],[rest of Italy velocity]]*psi_o*SQRTPI(2)))</f>
        <v>-6.3399823436172831</v>
      </c>
      <c r="BQ132" s="244">
        <f>(ACOSH(SQRT(alpha*Ka*psi_a/(Tabella34[[#This Row],[rest of Italy velocity]]*(1+TANH(phi_a)))))+phi_a)/psi_a-(Tabella34[[#This Row],[Day]]-pa)</f>
        <v>31.868557189919258</v>
      </c>
      <c r="BR132" s="72">
        <f>-2*$BY$35*TANH($BY$35*(Tabella34[[#This Row],[Day]]-$BY$44)-$BY$34)*Tabella34[[#This Row],[rest of Italy velocity]]</f>
        <v>-10.302421197000282</v>
      </c>
      <c r="BS132" s="77">
        <f>Tabella34[[#This Row],[rest of Italy acc. fit]]/y_a_peak</f>
        <v>-3.4120209516364684E-3</v>
      </c>
      <c r="BT132" s="77">
        <f>Tabella34[[#This Row],[rest of Italy acc. fit]]*NOT(ISBLANK(Tabella34[[#This Row],[rest of Italy rate data]]))</f>
        <v>-10.302421197000282</v>
      </c>
      <c r="BU132" s="77">
        <f>Tabella34[[#This Row],[rest of Italy acc. fit]]+CIa</f>
        <v>1623.8315187568012</v>
      </c>
      <c r="BV132" s="77">
        <f>MAX(Tabella34[[#This Row],[rest of Italy acc. fit]]-CIa,0)</f>
        <v>0</v>
      </c>
    </row>
    <row r="133" spans="2:74" x14ac:dyDescent="0.3">
      <c r="B133" s="262">
        <v>43956</v>
      </c>
      <c r="C133" s="4">
        <v>126</v>
      </c>
      <c r="D133" s="10">
        <f>Tabella8[[#This Row],[Italy cumulative]]</f>
        <v>114546</v>
      </c>
      <c r="E133" s="72">
        <f>(Tabella34[[#This Row],[Italy cumul. data]]-D132)</f>
        <v>2588</v>
      </c>
      <c r="F133" s="72">
        <f>Tabella34[[#This Row],[Italy rate data]]-E132</f>
        <v>1168</v>
      </c>
      <c r="G133" s="121">
        <f>Tabella34[[#This Row],[Italy rate data]]*NOT(ISBLANK(Tabella34[[#This Row],[Italy rate data]]))</f>
        <v>2588</v>
      </c>
      <c r="H133" s="143">
        <f>Tabella8[[#This Row],[Italy fit]]</f>
        <v>120079.46628895003</v>
      </c>
      <c r="I133" s="143" t="e">
        <f>(ATANH(alpha*Tabella34[[#This Row],[Italy cumul. Fit]]/Kf-(1-alpha*Tabella34[[#This Row],[Italy cumul. Fit]]/Kf)*TANH(phi_f))+phi_f)/psi_f-(Tabella34[[#This Row],[Day]]-pf)</f>
        <v>#NUM!</v>
      </c>
      <c r="J133" s="143" t="e">
        <f>Tabella34[[#This Row],[Italy d.t.]]/Italy_dt_at_lockdown</f>
        <v>#NUM!</v>
      </c>
      <c r="K133" s="77">
        <f>Tabella34[[#This Row],[Italy cumul. Fit]]/Kf</f>
        <v>0.51097644897867778</v>
      </c>
      <c r="L133" s="146">
        <f>Tabella34[[#This Row],[sel. region acc. fit]]+Tabella34[[#This Row],[rest of Italy acc. fit]]</f>
        <v>-13.600436390327998</v>
      </c>
      <c r="M133" s="77">
        <f>Tabella34[[#This Row],[Italy (fit of selected region + fitted sum of the other regions)]]/(y_l_peak+y_a_peak)</f>
        <v>-4.29485223059216E-3</v>
      </c>
      <c r="N133" s="143">
        <f>Tabella3[[#This Row],[Italy remov. rate fit]]</f>
        <v>3138.2154665152402</v>
      </c>
      <c r="O133" s="143">
        <f>Kt*EXP(-0.5*Tabella34[[#This Row],[x_t]]^2)/(psi_t*SQRTPI(2)*(Tabella34[[#This Row],[Day]]-D_bk))</f>
        <v>0</v>
      </c>
      <c r="P133" s="183">
        <f>Tabella34[[#This Row],[Italy velocity]]/Tabella34[[#This Row],[Italy cumul. Fit]]</f>
        <v>2.6134488797307599E-2</v>
      </c>
      <c r="Q133" s="244">
        <f>(LN(Tabella34[[#This Row],[Day]]-D_bk)-phi_t)/psi_t</f>
        <v>106.11879631291654</v>
      </c>
      <c r="R133" s="244">
        <f>EXP(phi_t+psi_t*Tabella34[[#This Row],[x_t_alpha©+plus]])-(Tabella34[[#This Row],[Day]]-D_bk)</f>
        <v>-53.207831326444769</v>
      </c>
      <c r="S133" s="244">
        <f>EXP(phi_t+psi_t*Tabella34[[#This Row],[x_t_alpha©-minus]])-(Tabella34[[#This Row],[Day]]-D_bk)</f>
        <v>-53.9206440320065</v>
      </c>
      <c r="T133" s="244">
        <f>-psi_t+SQRT(psi_t^2-2*Tabella34[[#This Row],[c_t]])</f>
        <v>3.5517178469920747</v>
      </c>
      <c r="U133" s="244">
        <f>-psi_t-SQRT(psi_t^2-2*Tabella34[[#This Row],[c_t]])</f>
        <v>-3.6022365216894467</v>
      </c>
      <c r="V133" s="244">
        <f>phi_t-LN(alpha*Kt/(Tabella34[[#This Row],[Italy velocity]]*psi_t*SQRTPI(2)))</f>
        <v>-6.3970638715855301</v>
      </c>
      <c r="W133" s="244">
        <f>Tabella34[[#This Row],[Italy g.r.]]/Italy_gr_at_lockdown</f>
        <v>6.2337559980929796E-2</v>
      </c>
      <c r="X133" s="244">
        <f>(ACOSH(SQRT(alpha*Kf*psi_f/(Tabella34[[#This Row],[Italy velocity]]*(1+TANH(phi_f)))))+phi_f)/psi_f-(Tabella34[[#This Row],[Day]]-pf)</f>
        <v>31.859884514527536</v>
      </c>
      <c r="Y133" s="244">
        <f>Tabella34[[#This Row],[Italy h.t.]]/Italy_ht_at_lockdown</f>
        <v>0.26827651043296569</v>
      </c>
      <c r="Z133" s="72">
        <f>-2*$BY$48*TANH($BY$48*(Tabella34[[#This Row],[Day]]-$BY$57)-$BY$47)*Tabella34[[#This Row],[Italy velocity]]</f>
        <v>-12.856404875223943</v>
      </c>
      <c r="AA133" s="72">
        <f>Tabella34[[#This Row],[Italy acc. fit]]/Itali_acc_at_lockdown</f>
        <v>-0.36732240578549907</v>
      </c>
      <c r="AB133" s="77">
        <f>Tabella34[[#This Row],[Italy acc. fit]]/y_f_peak</f>
        <v>-4.069784169513967E-3</v>
      </c>
      <c r="AC133" s="143">
        <f>Tabella34[[#This Row],[Italy (fit of selected region + fitted sum of the other regions)]]*NOT(ISBLANK(Tabella34[[#This Row],[Italy rate data]]))</f>
        <v>-13.600436390327998</v>
      </c>
      <c r="AD133" s="143">
        <f>Tabella34[[#This Row],[Italy acc. fit]]*NOT(ISBLANK(Tabella34[[#This Row],[Italy rate data]]))</f>
        <v>-12.856404875223943</v>
      </c>
      <c r="AE133" s="77">
        <f>Tabella34[[#This Row],[Italy acc. fit]]+CIf</f>
        <v>1642.3535640485275</v>
      </c>
      <c r="AF133" s="77">
        <f>MAX(Tabella34[[#This Row],[Italy acc. fit]]-CIf,0)</f>
        <v>0</v>
      </c>
      <c r="AG133" s="4">
        <f>Tabella8[[#This Row],[region data]]</f>
        <v>5048</v>
      </c>
      <c r="AH133" s="72">
        <f>(Tabella34[[#This Row],[selected region cumul. data]]-AG132)</f>
        <v>144</v>
      </c>
      <c r="AI133" s="72">
        <f>Tabella34[[#This Row],[selected region rate data]]-AH132</f>
        <v>48</v>
      </c>
      <c r="AJ133" s="121">
        <f>Tabella34[[#This Row],[selected region rate data]]*NOT(ISBLANK(Tabella34[[#This Row],[selected region rate data]]))</f>
        <v>144</v>
      </c>
      <c r="AK133" s="77">
        <f>Tabella8[[#This Row],[region fit]]</f>
        <v>5129.8943729848661</v>
      </c>
      <c r="AL133" s="143">
        <f>(ATANH(alpha*Tabella34[[#This Row],[sel. region cumul. fit]]/Kl-(1-alpha*Tabella34[[#This Row],[sel. region cumul. fit]]/Kl)*TANH(phi_l))+phi_l)/psi_l-(Tabella34[[#This Row],[Day]]-pl)</f>
        <v>39.587645463733438</v>
      </c>
      <c r="AM133" s="77">
        <f>Tabella34[[#This Row],[sel. region cumul. fit]]/Kl</f>
        <v>0.38993153056521213</v>
      </c>
      <c r="AN133" s="143">
        <f>Tabella3[[#This Row],[region fit]]</f>
        <v>145.81844450475072</v>
      </c>
      <c r="AO133" s="186">
        <f>Tabella34[[#This Row],[sel. region velocity]]/Tabella34[[#This Row],[sel. region cumul. fit]]</f>
        <v>2.8425233328908721E-2</v>
      </c>
      <c r="AP133" s="241">
        <f>(LN(Tabella34[[#This Row],[Day]]-pr)-phi_r)/psi_r</f>
        <v>139.31947557599923</v>
      </c>
      <c r="AQ133" s="244">
        <f>EXP(phi_r+psi_r*Tabella34[[#This Row],[x_r_alpha©+plus]])-(Tabella34[[#This Row],[Day]]-pr)</f>
        <v>-46.409167198738025</v>
      </c>
      <c r="AR133" s="244">
        <f>EXP(phi_r+psi_r*Tabella34[[#This Row],[x_r_alpha©-minus]])-(Tabella34[[#This Row],[Day]]-pr)</f>
        <v>-46.86423731326795</v>
      </c>
      <c r="AS133" s="244">
        <f>-psi_r+SQRT(psi_r^2-2*Tabella34[[#This Row],[c_r]])</f>
        <v>3.7436590268721801</v>
      </c>
      <c r="AT133" s="244">
        <f>-psi_r-SQRT(psi_r^2-2*Tabella34[[#This Row],[c_r]])</f>
        <v>-3.7839470365385184</v>
      </c>
      <c r="AU133" s="244">
        <f>phi_r-LN(alpha*Kr/(Tabella34[[#This Row],[sel. region velocity]]*psi_r*SQRTPI(2)))</f>
        <v>-7.0829037402718305</v>
      </c>
      <c r="AV133" s="244">
        <f>(ACOSH(SQRT(alpha*Kl*psi_l/(Tabella34[[#This Row],[sel. region velocity]]*(1+TANH(phi_l)))))+phi_l)/psi_l-(Tabella34[[#This Row],[Day]]-pl)</f>
        <v>48.97678798962248</v>
      </c>
      <c r="AW133" s="72">
        <f>-2*$BY$22*TANH($BY$22*(Tabella34[[#This Row],[Day]]-$BY$31)-$BY$21)*Tabella34[[#This Row],[sel. region velocity]]</f>
        <v>0.57619425977809036</v>
      </c>
      <c r="AX133" s="77">
        <f>Tabella34[[#This Row],[sel. region acc. fit]]/y_l_peak</f>
        <v>3.9134380332857561E-3</v>
      </c>
      <c r="AY133" s="143">
        <f>Tabella34[[#This Row],[sel. region acc. fit]]*NOT(ISBLANK(Tabella34[[#This Row],[selected region rate data]]))</f>
        <v>0.57619425977809036</v>
      </c>
      <c r="AZ133" s="77">
        <f>Tabella34[[#This Row],[sel. region acc. fit]]+CIl</f>
        <v>69.941180634878492</v>
      </c>
      <c r="BA133" s="77">
        <f>MAX(Tabella34[[#This Row],[sel. region acc. fit]]-CIl,0)</f>
        <v>0</v>
      </c>
      <c r="BB133" s="10">
        <f>Tabella8[[#This Row],[rest of Italy ]]</f>
        <v>109498</v>
      </c>
      <c r="BC133" s="10">
        <f>(Tabella34[[#This Row],[rest of Italy cum. Data]]-BB132)</f>
        <v>2444</v>
      </c>
      <c r="BD133" s="10">
        <f>Tabella34[[#This Row],[rest of Italy rate data]]-BC132</f>
        <v>1120</v>
      </c>
      <c r="BE133" s="77">
        <f>Tabella34[[#This Row],[rest of Italy rate data]]*NOT(ISBLANK(Tabella34[[#This Row],[rest of Italy rate data]]))</f>
        <v>2444</v>
      </c>
      <c r="BF133" s="77">
        <f>Tabella8[[#This Row],[rest of Italy fit]]</f>
        <v>115018.00732674834</v>
      </c>
      <c r="BG133" s="78" t="e">
        <f>(ATANH(alpha*Tabella34[[#This Row],[rest of Italy cumul. fit]]/Ka-(1-alpha*Tabella34[[#This Row],[rest of Italy cumul. fit]]/Ka)*TANH(phi_a))+phi_a)/psi_a-(Tabella34[[#This Row],[Day]]-pa)</f>
        <v>#NUM!</v>
      </c>
      <c r="BH133" s="77">
        <f>Tabella34[[#This Row],[rest of Italy cumul. fit]]/Ka</f>
        <v>0.51846318544459935</v>
      </c>
      <c r="BI133" s="143">
        <f>Tabella3[[#This Row],[rest of Italy fit]]</f>
        <v>2993.7333220717123</v>
      </c>
      <c r="BJ133" s="183">
        <f>Tabella34[[#This Row],[rest of Italy velocity]]/Tabella34[[#This Row],[rest of Italy cumul. fit]]</f>
        <v>2.60283880033409E-2</v>
      </c>
      <c r="BK133" s="236">
        <f>(LN(Tabella34[[#This Row],[Day]]-po)-phi_o)/psi_o</f>
        <v>103.82945962279514</v>
      </c>
      <c r="BL133" s="244">
        <f>EXP(phi_o+psi_o*Tabella34[[#This Row],[x_o_alpha©+plus]])-(Tabella34[[#This Row],[Day]]-po)</f>
        <v>-53.68354547135533</v>
      </c>
      <c r="BM133" s="244">
        <f>EXP(phi_o+psi_o*Tabella34[[#This Row],[x_o_alpha©-minus]])-(Tabella34[[#This Row],[Day]]-po)</f>
        <v>-54.424243825710029</v>
      </c>
      <c r="BN133" s="244">
        <f>-psi_o+SQRT(psi_o^2-2*Tabella34[[#This Row],[c_o]])</f>
        <v>3.536475666821647</v>
      </c>
      <c r="BO133" s="244">
        <f>-psi_o-SQRT(psi_o^2-2*Tabella34[[#This Row],[c_o]])</f>
        <v>-3.5877889510893004</v>
      </c>
      <c r="BP133" s="244">
        <f>phi_o-LN(alpha*Ko/(Tabella34[[#This Row],[rest of Italy velocity]]*psi_o*SQRTPI(2)))</f>
        <v>-6.3440641616094364</v>
      </c>
      <c r="BQ133" s="244">
        <f>(ACOSH(SQRT(alpha*Ka*psi_a/(Tabella34[[#This Row],[rest of Italy velocity]]*(1+TANH(phi_a)))))+phi_a)/psi_a-(Tabella34[[#This Row],[Day]]-pa)</f>
        <v>30.980690403029541</v>
      </c>
      <c r="BR133" s="72">
        <f>-2*$BY$35*TANH($BY$35*(Tabella34[[#This Row],[Day]]-$BY$44)-$BY$34)*Tabella34[[#This Row],[rest of Italy velocity]]</f>
        <v>-14.176630650106087</v>
      </c>
      <c r="BS133" s="77">
        <f>Tabella34[[#This Row],[rest of Italy acc. fit]]/y_a_peak</f>
        <v>-4.6951061189245196E-3</v>
      </c>
      <c r="BT133" s="77">
        <f>Tabella34[[#This Row],[rest of Italy acc. fit]]*NOT(ISBLANK(Tabella34[[#This Row],[rest of Italy rate data]]))</f>
        <v>-14.176630650106087</v>
      </c>
      <c r="BU133" s="77">
        <f>Tabella34[[#This Row],[rest of Italy acc. fit]]+CIa</f>
        <v>1619.9573093036954</v>
      </c>
      <c r="BV133" s="77">
        <f>MAX(Tabella34[[#This Row],[rest of Italy acc. fit]]-CIa,0)</f>
        <v>0</v>
      </c>
    </row>
    <row r="134" spans="2:74" x14ac:dyDescent="0.3">
      <c r="B134" s="262">
        <v>43957</v>
      </c>
      <c r="C134" s="4">
        <v>127</v>
      </c>
      <c r="D134" s="10">
        <f>Tabella8[[#This Row],[Italy cumulative]]</f>
        <v>122929</v>
      </c>
      <c r="E134" s="72">
        <f>(Tabella34[[#This Row],[Italy cumul. data]]-D133)</f>
        <v>8383</v>
      </c>
      <c r="F134" s="72">
        <f>Tabella34[[#This Row],[Italy rate data]]-E133</f>
        <v>5795</v>
      </c>
      <c r="G134" s="121">
        <f>Tabella34[[#This Row],[Italy rate data]]*NOT(ISBLANK(Tabella34[[#This Row],[Italy rate data]]))</f>
        <v>8383</v>
      </c>
      <c r="H134" s="143">
        <f>Tabella8[[#This Row],[Italy fit]]</f>
        <v>123210.60215908688</v>
      </c>
      <c r="I134" s="143" t="e">
        <f>(ATANH(alpha*Tabella34[[#This Row],[Italy cumul. Fit]]/Kf-(1-alpha*Tabella34[[#This Row],[Italy cumul. Fit]]/Kf)*TANH(phi_f))+phi_f)/psi_f-(Tabella34[[#This Row],[Day]]-pf)</f>
        <v>#NUM!</v>
      </c>
      <c r="J134" s="143" t="e">
        <f>Tabella34[[#This Row],[Italy d.t.]]/Italy_dt_at_lockdown</f>
        <v>#NUM!</v>
      </c>
      <c r="K134" s="77">
        <f>Tabella34[[#This Row],[Italy cumul. Fit]]/Kf</f>
        <v>0.52430043131835868</v>
      </c>
      <c r="L134" s="146">
        <f>Tabella34[[#This Row],[sel. region acc. fit]]+Tabella34[[#This Row],[rest of Italy acc. fit]]</f>
        <v>-17.516798674129511</v>
      </c>
      <c r="M134" s="77">
        <f>Tabella34[[#This Row],[Italy (fit of selected region + fitted sum of the other regions)]]/(y_l_peak+y_a_peak)</f>
        <v>-5.5315917592115276E-3</v>
      </c>
      <c r="N134" s="143">
        <f>Tabella3[[#This Row],[Italy remov. rate fit]]</f>
        <v>3123.4079080476035</v>
      </c>
      <c r="O134" s="143">
        <f>Kt*EXP(-0.5*Tabella34[[#This Row],[x_t]]^2)/(psi_t*SQRTPI(2)*(Tabella34[[#This Row],[Day]]-D_bk))</f>
        <v>0</v>
      </c>
      <c r="P134" s="183">
        <f>Tabella34[[#This Row],[Italy velocity]]/Tabella34[[#This Row],[Italy cumul. Fit]]</f>
        <v>2.5350155370677651E-2</v>
      </c>
      <c r="Q134" s="244">
        <f>(LN(Tabella34[[#This Row],[Day]]-D_bk)-phi_t)/psi_t</f>
        <v>106.80115704782042</v>
      </c>
      <c r="R134" s="244">
        <f>EXP(phi_t+psi_t*Tabella34[[#This Row],[x_t_alpha©+plus]])-(Tabella34[[#This Row],[Day]]-D_bk)</f>
        <v>-54.207687341828283</v>
      </c>
      <c r="S134" s="244">
        <f>EXP(phi_t+psi_t*Tabella34[[#This Row],[x_t_alpha©-minus]])-(Tabella34[[#This Row],[Day]]-D_bk)</f>
        <v>-54.92076420939928</v>
      </c>
      <c r="T134" s="244">
        <f>-psi_t+SQRT(psi_t^2-2*Tabella34[[#This Row],[c_t]])</f>
        <v>3.5530398453091703</v>
      </c>
      <c r="U134" s="244">
        <f>-psi_t-SQRT(psi_t^2-2*Tabella34[[#This Row],[c_t]])</f>
        <v>-3.6035585200065423</v>
      </c>
      <c r="V134" s="244">
        <f>phi_t-LN(alpha*Kt/(Tabella34[[#This Row],[Italy velocity]]*psi_t*SQRTPI(2)))</f>
        <v>-6.4017935032432938</v>
      </c>
      <c r="W134" s="244">
        <f>Tabella34[[#This Row],[Italy g.r.]]/Italy_gr_at_lockdown</f>
        <v>6.0466720554652985E-2</v>
      </c>
      <c r="X134" s="244">
        <f>(ACOSH(SQRT(alpha*Kf*psi_f/(Tabella34[[#This Row],[Italy velocity]]*(1+TANH(phi_f)))))+phi_f)/psi_f-(Tabella34[[#This Row],[Day]]-pf)</f>
        <v>30.991698634108147</v>
      </c>
      <c r="Y134" s="244">
        <f>Tabella34[[#This Row],[Italy h.t.]]/Italy_ht_at_lockdown</f>
        <v>0.26096594161091358</v>
      </c>
      <c r="Z134" s="72">
        <f>-2*$BY$48*TANH($BY$48*(Tabella34[[#This Row],[Day]]-$BY$57)-$BY$47)*Tabella34[[#This Row],[Italy velocity]]</f>
        <v>-16.746281427321136</v>
      </c>
      <c r="AA134" s="72">
        <f>Tabella34[[#This Row],[Italy acc. fit]]/Itali_acc_at_lockdown</f>
        <v>-0.47846069266992292</v>
      </c>
      <c r="AB134" s="77">
        <f>Tabella34[[#This Row],[Italy acc. fit]]/y_f_peak</f>
        <v>-5.3011515826231455E-3</v>
      </c>
      <c r="AC134" s="143">
        <f>Tabella34[[#This Row],[Italy (fit of selected region + fitted sum of the other regions)]]*NOT(ISBLANK(Tabella34[[#This Row],[Italy rate data]]))</f>
        <v>-17.516798674129511</v>
      </c>
      <c r="AD134" s="143">
        <f>Tabella34[[#This Row],[Italy acc. fit]]*NOT(ISBLANK(Tabella34[[#This Row],[Italy rate data]]))</f>
        <v>-16.746281427321136</v>
      </c>
      <c r="AE134" s="77">
        <f>Tabella34[[#This Row],[Italy acc. fit]]+CIf</f>
        <v>1638.4636874964303</v>
      </c>
      <c r="AF134" s="77">
        <f>MAX(Tabella34[[#This Row],[Italy acc. fit]]-CIf,0)</f>
        <v>0</v>
      </c>
      <c r="AG134" s="4">
        <f>Tabella8[[#This Row],[region data]]</f>
        <v>5245</v>
      </c>
      <c r="AH134" s="72">
        <f>(Tabella34[[#This Row],[selected region cumul. data]]-AG133)</f>
        <v>197</v>
      </c>
      <c r="AI134" s="72">
        <f>Tabella34[[#This Row],[selected region rate data]]-AH133</f>
        <v>53</v>
      </c>
      <c r="AJ134" s="121">
        <f>Tabella34[[#This Row],[selected region rate data]]*NOT(ISBLANK(Tabella34[[#This Row],[selected region rate data]]))</f>
        <v>197</v>
      </c>
      <c r="AK134" s="77">
        <f>Tabella8[[#This Row],[region fit]]</f>
        <v>5275.9816865499697</v>
      </c>
      <c r="AL134" s="143">
        <f>(ATANH(alpha*Tabella34[[#This Row],[sel. region cumul. fit]]/Kl-(1-alpha*Tabella34[[#This Row],[sel. region cumul. fit]]/Kl)*TANH(phi_l))+phi_l)/psi_l-(Tabella34[[#This Row],[Day]]-pl)</f>
        <v>41.838353841680075</v>
      </c>
      <c r="AM134" s="77">
        <f>Tabella34[[#This Row],[sel. region cumul. fit]]/Kl</f>
        <v>0.40103586247399098</v>
      </c>
      <c r="AN134" s="143">
        <f>Tabella3[[#This Row],[region fit]]</f>
        <v>146.33688373960536</v>
      </c>
      <c r="AO134" s="186">
        <f>Tabella34[[#This Row],[sel. region velocity]]/Tabella34[[#This Row],[sel. region cumul. fit]]</f>
        <v>2.7736427537772002E-2</v>
      </c>
      <c r="AP134" s="241">
        <f>(LN(Tabella34[[#This Row],[Day]]-pr)-phi_r)/psi_r</f>
        <v>140.30951795780129</v>
      </c>
      <c r="AQ134" s="244">
        <f>EXP(phi_r+psi_r*Tabella34[[#This Row],[x_r_alpha©+plus]])-(Tabella34[[#This Row],[Day]]-pr)</f>
        <v>-47.409228641495574</v>
      </c>
      <c r="AR134" s="244">
        <f>EXP(phi_r+psi_r*Tabella34[[#This Row],[x_r_alpha©-minus]])-(Tabella34[[#This Row],[Day]]-pr)</f>
        <v>-47.864184514448368</v>
      </c>
      <c r="AS134" s="244">
        <f>-psi_r+SQRT(psi_r^2-2*Tabella34[[#This Row],[c_r]])</f>
        <v>3.7427159610066383</v>
      </c>
      <c r="AT134" s="244">
        <f>-psi_r-SQRT(psi_r^2-2*Tabella34[[#This Row],[c_r]])</f>
        <v>-3.7830039706729766</v>
      </c>
      <c r="AU134" s="244">
        <f>phi_r-LN(alpha*Kr/(Tabella34[[#This Row],[sel. region velocity]]*psi_r*SQRTPI(2)))</f>
        <v>-7.0793546707946193</v>
      </c>
      <c r="AV134" s="244">
        <f>(ACOSH(SQRT(alpha*Kl*psi_l/(Tabella34[[#This Row],[sel. region velocity]]*(1+TANH(phi_l)))))+phi_l)/psi_l-(Tabella34[[#This Row],[Day]]-pl)</f>
        <v>47.852693151973597</v>
      </c>
      <c r="AW134" s="72">
        <f>-2*$BY$22*TANH($BY$22*(Tabella34[[#This Row],[Day]]-$BY$31)-$BY$21)*Tabella34[[#This Row],[sel. region velocity]]</f>
        <v>0.46040698824020621</v>
      </c>
      <c r="AX134" s="77">
        <f>Tabella34[[#This Row],[sel. region acc. fit]]/y_l_peak</f>
        <v>3.1270256306678377E-3</v>
      </c>
      <c r="AY134" s="143">
        <f>Tabella34[[#This Row],[sel. region acc. fit]]*NOT(ISBLANK(Tabella34[[#This Row],[selected region rate data]]))</f>
        <v>0.46040698824020621</v>
      </c>
      <c r="AZ134" s="77">
        <f>Tabella34[[#This Row],[sel. region acc. fit]]+CIl</f>
        <v>69.825393363340609</v>
      </c>
      <c r="BA134" s="77">
        <f>MAX(Tabella34[[#This Row],[sel. region acc. fit]]-CIl,0)</f>
        <v>0</v>
      </c>
      <c r="BB134" s="10">
        <f>Tabella8[[#This Row],[rest of Italy ]]</f>
        <v>117684</v>
      </c>
      <c r="BC134" s="10">
        <f>(Tabella34[[#This Row],[rest of Italy cum. Data]]-BB133)</f>
        <v>8186</v>
      </c>
      <c r="BD134" s="10">
        <f>Tabella34[[#This Row],[rest of Italy rate data]]-BC133</f>
        <v>5742</v>
      </c>
      <c r="BE134" s="77">
        <f>Tabella34[[#This Row],[rest of Italy rate data]]*NOT(ISBLANK(Tabella34[[#This Row],[rest of Italy rate data]]))</f>
        <v>8186</v>
      </c>
      <c r="BF134" s="77">
        <f>Tabella8[[#This Row],[rest of Italy fit]]</f>
        <v>118004.01546014078</v>
      </c>
      <c r="BG134" s="78" t="e">
        <f>(ATANH(alpha*Tabella34[[#This Row],[rest of Italy cumul. fit]]/Ka-(1-alpha*Tabella34[[#This Row],[rest of Italy cumul. fit]]/Ka)*TANH(phi_a))+phi_a)/psi_a-(Tabella34[[#This Row],[Day]]-pa)</f>
        <v>#NUM!</v>
      </c>
      <c r="BH134" s="77">
        <f>Tabella34[[#This Row],[rest of Italy cumul. fit]]/Ka</f>
        <v>0.53192312380193951</v>
      </c>
      <c r="BI134" s="143">
        <f>Tabella3[[#This Row],[rest of Italy fit]]</f>
        <v>2977.6494627397196</v>
      </c>
      <c r="BJ134" s="183">
        <f>Tabella34[[#This Row],[rest of Italy velocity]]/Tabella34[[#This Row],[rest of Italy cumul. fit]]</f>
        <v>2.5233458803319328E-2</v>
      </c>
      <c r="BK134" s="236">
        <f>(LN(Tabella34[[#This Row],[Day]]-po)-phi_o)/psi_o</f>
        <v>104.49440144033396</v>
      </c>
      <c r="BL134" s="244">
        <f>EXP(phi_o+psi_o*Tabella34[[#This Row],[x_o_alpha©+plus]])-(Tabella34[[#This Row],[Day]]-po)</f>
        <v>-54.683373466486792</v>
      </c>
      <c r="BM134" s="244">
        <f>EXP(phi_o+psi_o*Tabella34[[#This Row],[x_o_alpha©-minus]])-(Tabella34[[#This Row],[Day]]-po)</f>
        <v>-55.424387091171312</v>
      </c>
      <c r="BN134" s="244">
        <f>-psi_o+SQRT(psi_o^2-2*Tabella34[[#This Row],[c_o]])</f>
        <v>3.537987640371691</v>
      </c>
      <c r="BO134" s="244">
        <f>-psi_o-SQRT(psi_o^2-2*Tabella34[[#This Row],[c_o]])</f>
        <v>-3.5893009246393444</v>
      </c>
      <c r="BP134" s="244">
        <f>phi_o-LN(alpha*Ko/(Tabella34[[#This Row],[rest of Italy velocity]]*psi_o*SQRTPI(2)))</f>
        <v>-6.3494511544743411</v>
      </c>
      <c r="BQ134" s="244">
        <f>(ACOSH(SQRT(alpha*Ka*psi_a/(Tabella34[[#This Row],[rest of Italy velocity]]*(1+TANH(phi_a)))))+phi_a)/psi_a-(Tabella34[[#This Row],[Day]]-pa)</f>
        <v>30.12833489297077</v>
      </c>
      <c r="BR134" s="72">
        <f>-2*$BY$35*TANH($BY$35*(Tabella34[[#This Row],[Day]]-$BY$44)-$BY$34)*Tabella34[[#This Row],[rest of Italy velocity]]</f>
        <v>-17.977205662369716</v>
      </c>
      <c r="BS134" s="77">
        <f>Tabella34[[#This Row],[rest of Italy acc. fit]]/y_a_peak</f>
        <v>-5.9538045668083303E-3</v>
      </c>
      <c r="BT134" s="77">
        <f>Tabella34[[#This Row],[rest of Italy acc. fit]]*NOT(ISBLANK(Tabella34[[#This Row],[rest of Italy rate data]]))</f>
        <v>-17.977205662369716</v>
      </c>
      <c r="BU134" s="77">
        <f>Tabella34[[#This Row],[rest of Italy acc. fit]]+CIa</f>
        <v>1616.1567342914318</v>
      </c>
      <c r="BV134" s="77">
        <f>MAX(Tabella34[[#This Row],[rest of Italy acc. fit]]-CIa,0)</f>
        <v>0</v>
      </c>
    </row>
    <row r="135" spans="2:74" x14ac:dyDescent="0.3">
      <c r="B135" s="262">
        <v>43958</v>
      </c>
      <c r="C135" s="4">
        <v>128</v>
      </c>
      <c r="D135" s="10">
        <f>Tabella8[[#This Row],[Italy cumulative]]</f>
        <v>126234</v>
      </c>
      <c r="E135" s="72">
        <f>(Tabella34[[#This Row],[Italy cumul. data]]-D134)</f>
        <v>3305</v>
      </c>
      <c r="F135" s="72">
        <f>Tabella34[[#This Row],[Italy rate data]]-E134</f>
        <v>-5078</v>
      </c>
      <c r="G135" s="121">
        <f>Tabella34[[#This Row],[Italy rate data]]*NOT(ISBLANK(Tabella34[[#This Row],[Italy rate data]]))</f>
        <v>3305</v>
      </c>
      <c r="H135" s="143">
        <f>Tabella8[[#This Row],[Italy fit]]</f>
        <v>126324.99874810832</v>
      </c>
      <c r="I135" s="143" t="e">
        <f>(ATANH(alpha*Tabella34[[#This Row],[Italy cumul. Fit]]/Kf-(1-alpha*Tabella34[[#This Row],[Italy cumul. Fit]]/Kf)*TANH(phi_f))+phi_f)/psi_f-(Tabella34[[#This Row],[Day]]-pf)</f>
        <v>#NUM!</v>
      </c>
      <c r="J135" s="143" t="e">
        <f>Tabella34[[#This Row],[Italy d.t.]]/Italy_dt_at_lockdown</f>
        <v>#NUM!</v>
      </c>
      <c r="K135" s="77">
        <f>Tabella34[[#This Row],[Italy cumul. Fit]]/Kf</f>
        <v>0.53755318267503194</v>
      </c>
      <c r="L135" s="146">
        <f>Tabella34[[#This Row],[sel. region acc. fit]]+Tabella34[[#This Row],[rest of Italy acc. fit]]</f>
        <v>-21.342020933605674</v>
      </c>
      <c r="M135" s="77">
        <f>Tabella34[[#This Row],[Italy (fit of selected region + fitted sum of the other regions)]]/(y_l_peak+y_a_peak)</f>
        <v>-6.739550377753015E-3</v>
      </c>
      <c r="N135" s="143">
        <f>Tabella3[[#This Row],[Italy remov. rate fit]]</f>
        <v>3104.7508999636379</v>
      </c>
      <c r="O135" s="143">
        <f>Kt*EXP(-0.5*Tabella34[[#This Row],[x_t]]^2)/(psi_t*SQRTPI(2)*(Tabella34[[#This Row],[Day]]-D_bk))</f>
        <v>0</v>
      </c>
      <c r="P135" s="183">
        <f>Tabella34[[#This Row],[Italy velocity]]/Tabella34[[#This Row],[Italy cumul. Fit]]</f>
        <v>2.4577486093267271E-2</v>
      </c>
      <c r="Q135" s="244">
        <f>(LN(Tabella34[[#This Row],[Day]]-D_bk)-phi_t)/psi_t</f>
        <v>107.47195563038844</v>
      </c>
      <c r="R135" s="244">
        <f>EXP(phi_t+psi_t*Tabella34[[#This Row],[x_t_alpha©+plus]])-(Tabella34[[#This Row],[Day]]-D_bk)</f>
        <v>-55.207505020690512</v>
      </c>
      <c r="S135" s="244">
        <f>EXP(phi_t+psi_t*Tabella34[[#This Row],[x_t_alpha©-minus]])-(Tabella34[[#This Row],[Day]]-D_bk)</f>
        <v>-55.920916373022571</v>
      </c>
      <c r="T135" s="244">
        <f>-psi_t+SQRT(psi_t^2-2*Tabella34[[#This Row],[c_t]])</f>
        <v>3.5547137680062226</v>
      </c>
      <c r="U135" s="244">
        <f>-psi_t-SQRT(psi_t^2-2*Tabella34[[#This Row],[c_t]])</f>
        <v>-3.6052324427035947</v>
      </c>
      <c r="V135" s="244">
        <f>phi_t-LN(alpha*Kt/(Tabella34[[#This Row],[Italy velocity]]*psi_t*SQRTPI(2)))</f>
        <v>-6.4077847004705859</v>
      </c>
      <c r="W135" s="244">
        <f>Tabella34[[#This Row],[Italy g.r.]]/Italy_gr_at_lockdown</f>
        <v>5.8623703161064127E-2</v>
      </c>
      <c r="X135" s="244">
        <f>(ACOSH(SQRT(alpha*Kf*psi_f/(Tabella34[[#This Row],[Italy velocity]]*(1+TANH(phi_f)))))+phi_f)/psi_f-(Tabella34[[#This Row],[Day]]-pf)</f>
        <v>30.158235791119168</v>
      </c>
      <c r="Y135" s="244">
        <f>Tabella34[[#This Row],[Italy h.t.]]/Italy_ht_at_lockdown</f>
        <v>0.25394775851013474</v>
      </c>
      <c r="Z135" s="72">
        <f>-2*$BY$48*TANH($BY$48*(Tabella34[[#This Row],[Day]]-$BY$57)-$BY$47)*Tabella34[[#This Row],[Italy velocity]]</f>
        <v>-20.552198731219264</v>
      </c>
      <c r="AA135" s="72">
        <f>Tabella34[[#This Row],[Italy acc. fit]]/Itali_acc_at_lockdown</f>
        <v>-0.58720016640745709</v>
      </c>
      <c r="AB135" s="77">
        <f>Tabella34[[#This Row],[Italy acc. fit]]/y_f_peak</f>
        <v>-6.5059411131499732E-3</v>
      </c>
      <c r="AC135" s="143">
        <f>Tabella34[[#This Row],[Italy (fit of selected region + fitted sum of the other regions)]]*NOT(ISBLANK(Tabella34[[#This Row],[Italy rate data]]))</f>
        <v>-21.342020933605674</v>
      </c>
      <c r="AD135" s="143">
        <f>Tabella34[[#This Row],[Italy acc. fit]]*NOT(ISBLANK(Tabella34[[#This Row],[Italy rate data]]))</f>
        <v>-20.552198731219264</v>
      </c>
      <c r="AE135" s="77">
        <f>Tabella34[[#This Row],[Italy acc. fit]]+CIf</f>
        <v>1634.6577701925321</v>
      </c>
      <c r="AF135" s="77">
        <f>MAX(Tabella34[[#This Row],[Italy acc. fit]]-CIf,0)</f>
        <v>0</v>
      </c>
      <c r="AG135" s="4">
        <f>Tabella8[[#This Row],[region data]]</f>
        <v>5397</v>
      </c>
      <c r="AH135" s="72">
        <f>(Tabella34[[#This Row],[selected region cumul. data]]-AG134)</f>
        <v>152</v>
      </c>
      <c r="AI135" s="72">
        <f>Tabella34[[#This Row],[selected region rate data]]-AH134</f>
        <v>-45</v>
      </c>
      <c r="AJ135" s="121">
        <f>Tabella34[[#This Row],[selected region rate data]]*NOT(ISBLANK(Tabella34[[#This Row],[selected region rate data]]))</f>
        <v>152</v>
      </c>
      <c r="AK135" s="77">
        <f>Tabella8[[#This Row],[region fit]]</f>
        <v>5422.5292837210991</v>
      </c>
      <c r="AL135" s="143">
        <f>(ATANH(alpha*Tabella34[[#This Row],[sel. region cumul. fit]]/Kl-(1-alpha*Tabella34[[#This Row],[sel. region cumul. fit]]/Kl)*TANH(phi_l))+phi_l)/psi_l-(Tabella34[[#This Row],[Day]]-pl)</f>
        <v>44.400607416052168</v>
      </c>
      <c r="AM135" s="77">
        <f>Tabella34[[#This Row],[sel. region cumul. fit]]/Kl</f>
        <v>0.41217518128073344</v>
      </c>
      <c r="AN135" s="143">
        <f>Tabella3[[#This Row],[region fit]]</f>
        <v>146.73876500841192</v>
      </c>
      <c r="AO135" s="186">
        <f>Tabella34[[#This Row],[sel. region velocity]]/Tabella34[[#This Row],[sel. region cumul. fit]]</f>
        <v>2.7060944686630711E-2</v>
      </c>
      <c r="AP135" s="241">
        <f>(LN(Tabella34[[#This Row],[Day]]-pr)-phi_r)/psi_r</f>
        <v>141.28020097287288</v>
      </c>
      <c r="AQ135" s="244">
        <f>EXP(phi_r+psi_r*Tabella34[[#This Row],[x_r_alpha©+plus]])-(Tabella34[[#This Row],[Day]]-pr)</f>
        <v>-48.409276130565743</v>
      </c>
      <c r="AR135" s="244">
        <f>EXP(phi_r+psi_r*Tabella34[[#This Row],[x_r_alpha©-minus]])-(Tabella34[[#This Row],[Day]]-pr)</f>
        <v>-48.864143704898176</v>
      </c>
      <c r="AS135" s="244">
        <f>-psi_r+SQRT(psi_r^2-2*Tabella34[[#This Row],[c_r]])</f>
        <v>3.7419870536943822</v>
      </c>
      <c r="AT135" s="244">
        <f>-psi_r-SQRT(psi_r^2-2*Tabella34[[#This Row],[c_r]])</f>
        <v>-3.7822750633607205</v>
      </c>
      <c r="AU135" s="244">
        <f>phi_r-LN(alpha*Kr/(Tabella34[[#This Row],[sel. region velocity]]*psi_r*SQRTPI(2)))</f>
        <v>-7.0766121603034575</v>
      </c>
      <c r="AV135" s="244">
        <f>(ACOSH(SQRT(alpha*Kl*psi_l/(Tabella34[[#This Row],[sel. region velocity]]*(1+TANH(phi_l)))))+phi_l)/psi_l-(Tabella34[[#This Row],[Day]]-pl)</f>
        <v>46.756650984897533</v>
      </c>
      <c r="AW135" s="72">
        <f>-2*$BY$22*TANH($BY$22*(Tabella34[[#This Row],[Day]]-$BY$31)-$BY$21)*Tabella34[[#This Row],[sel. region velocity]]</f>
        <v>0.3431396343655958</v>
      </c>
      <c r="AX135" s="77">
        <f>Tabella34[[#This Row],[sel. region acc. fit]]/y_l_peak</f>
        <v>2.330560697309384E-3</v>
      </c>
      <c r="AY135" s="143">
        <f>Tabella34[[#This Row],[sel. region acc. fit]]*NOT(ISBLANK(Tabella34[[#This Row],[selected region rate data]]))</f>
        <v>0.3431396343655958</v>
      </c>
      <c r="AZ135" s="77">
        <f>Tabella34[[#This Row],[sel. region acc. fit]]+CIl</f>
        <v>69.708126009466</v>
      </c>
      <c r="BA135" s="77">
        <f>MAX(Tabella34[[#This Row],[sel. region acc. fit]]-CIl,0)</f>
        <v>0</v>
      </c>
      <c r="BB135" s="10">
        <f>Tabella8[[#This Row],[rest of Italy ]]</f>
        <v>120837</v>
      </c>
      <c r="BC135" s="10">
        <f>(Tabella34[[#This Row],[rest of Italy cum. Data]]-BB134)</f>
        <v>3153</v>
      </c>
      <c r="BD135" s="10">
        <f>Tabella34[[#This Row],[rest of Italy rate data]]-BC134</f>
        <v>-5033</v>
      </c>
      <c r="BE135" s="77">
        <f>Tabella34[[#This Row],[rest of Italy rate data]]*NOT(ISBLANK(Tabella34[[#This Row],[rest of Italy rate data]]))</f>
        <v>3153</v>
      </c>
      <c r="BF135" s="77">
        <f>Tabella8[[#This Row],[rest of Italy fit]]</f>
        <v>120972.05411041038</v>
      </c>
      <c r="BG135" s="78" t="e">
        <f>(ATANH(alpha*Tabella34[[#This Row],[rest of Italy cumul. fit]]/Ka-(1-alpha*Tabella34[[#This Row],[rest of Italy cumul. fit]]/Ka)*TANH(phi_a))+phi_a)/psi_a-(Tabella34[[#This Row],[Day]]-pa)</f>
        <v>#NUM!</v>
      </c>
      <c r="BH135" s="77">
        <f>Tabella34[[#This Row],[rest of Italy cumul. fit]]/Ka</f>
        <v>0.54530206166485973</v>
      </c>
      <c r="BI135" s="143">
        <f>Tabella3[[#This Row],[rest of Italy fit]]</f>
        <v>2957.8097953079623</v>
      </c>
      <c r="BJ135" s="183">
        <f>Tabella34[[#This Row],[rest of Italy velocity]]/Tabella34[[#This Row],[rest of Italy cumul. fit]]</f>
        <v>2.4450356051724055E-2</v>
      </c>
      <c r="BK135" s="236">
        <f>(LN(Tabella34[[#This Row],[Day]]-po)-phi_o)/psi_o</f>
        <v>105.14818925779406</v>
      </c>
      <c r="BL135" s="244">
        <f>EXP(phi_o+psi_o*Tabella34[[#This Row],[x_o_alpha©+plus]])-(Tabella34[[#This Row],[Day]]-po)</f>
        <v>-55.683160103795508</v>
      </c>
      <c r="BM135" s="244">
        <f>EXP(phi_o+psi_o*Tabella34[[#This Row],[x_o_alpha©-minus]])-(Tabella34[[#This Row],[Day]]-po)</f>
        <v>-56.424564788745521</v>
      </c>
      <c r="BN135" s="244">
        <f>-psi_o+SQRT(psi_o^2-2*Tabella34[[#This Row],[c_o]])</f>
        <v>3.5398630798888115</v>
      </c>
      <c r="BO135" s="244">
        <f>-psi_o-SQRT(psi_o^2-2*Tabella34[[#This Row],[c_o]])</f>
        <v>-3.5911763641564649</v>
      </c>
      <c r="BP135" s="244">
        <f>phi_o-LN(alpha*Ko/(Tabella34[[#This Row],[rest of Italy velocity]]*psi_o*SQRTPI(2)))</f>
        <v>-6.3561363124234038</v>
      </c>
      <c r="BQ135" s="244">
        <f>(ACOSH(SQRT(alpha*Ka*psi_a/(Tabella34[[#This Row],[rest of Italy velocity]]*(1+TANH(phi_a)))))+phi_a)/psi_a-(Tabella34[[#This Row],[Day]]-pa)</f>
        <v>29.311022346015363</v>
      </c>
      <c r="BR135" s="72">
        <f>-2*$BY$35*TANH($BY$35*(Tabella34[[#This Row],[Day]]-$BY$44)-$BY$34)*Tabella34[[#This Row],[rest of Italy velocity]]</f>
        <v>-21.68516056797127</v>
      </c>
      <c r="BS135" s="77">
        <f>Tabella34[[#This Row],[rest of Italy acc. fit]]/y_a_peak</f>
        <v>-7.1818285025137991E-3</v>
      </c>
      <c r="BT135" s="77">
        <f>Tabella34[[#This Row],[rest of Italy acc. fit]]*NOT(ISBLANK(Tabella34[[#This Row],[rest of Italy rate data]]))</f>
        <v>-21.68516056797127</v>
      </c>
      <c r="BU135" s="77">
        <f>Tabella34[[#This Row],[rest of Italy acc. fit]]+CIa</f>
        <v>1612.4487793858302</v>
      </c>
      <c r="BV135" s="77">
        <f>MAX(Tabella34[[#This Row],[rest of Italy acc. fit]]-CIa,0)</f>
        <v>0</v>
      </c>
    </row>
    <row r="136" spans="2:74" x14ac:dyDescent="0.3">
      <c r="B136" s="262">
        <v>43959</v>
      </c>
      <c r="C136" s="4">
        <v>129</v>
      </c>
      <c r="D136" s="10">
        <f>Tabella8[[#This Row],[Italy cumulative]]</f>
        <v>129224</v>
      </c>
      <c r="E136" s="72">
        <f>(Tabella34[[#This Row],[Italy cumul. data]]-D135)</f>
        <v>2990</v>
      </c>
      <c r="F136" s="72">
        <f>Tabella34[[#This Row],[Italy rate data]]-E135</f>
        <v>-315</v>
      </c>
      <c r="G136" s="121">
        <f>Tabella34[[#This Row],[Italy rate data]]*NOT(ISBLANK(Tabella34[[#This Row],[Italy rate data]]))</f>
        <v>2990</v>
      </c>
      <c r="H136" s="143">
        <f>Tabella8[[#This Row],[Italy fit]]</f>
        <v>129418.85165228606</v>
      </c>
      <c r="I136" s="143" t="e">
        <f>(ATANH(alpha*Tabella34[[#This Row],[Italy cumul. Fit]]/Kf-(1-alpha*Tabella34[[#This Row],[Italy cumul. Fit]]/Kf)*TANH(phi_f))+phi_f)/psi_f-(Tabella34[[#This Row],[Day]]-pf)</f>
        <v>#NUM!</v>
      </c>
      <c r="J136" s="143" t="e">
        <f>Tabella34[[#This Row],[Italy d.t.]]/Italy_dt_at_lockdown</f>
        <v>#NUM!</v>
      </c>
      <c r="K136" s="77">
        <f>Tabella34[[#This Row],[Italy cumul. Fit]]/Kf</f>
        <v>0.5507185140967672</v>
      </c>
      <c r="L136" s="146">
        <f>Tabella34[[#This Row],[sel. region acc. fit]]+Tabella34[[#This Row],[rest of Italy acc. fit]]</f>
        <v>-25.057750147814065</v>
      </c>
      <c r="M136" s="77">
        <f>Tabella34[[#This Row],[Italy (fit of selected region + fitted sum of the other regions)]]/(y_l_peak+y_a_peak)</f>
        <v>-7.9129324256458546E-3</v>
      </c>
      <c r="N136" s="143">
        <f>Tabella3[[#This Row],[Italy remov. rate fit]]</f>
        <v>3082.3375601958464</v>
      </c>
      <c r="O136" s="143">
        <f>Kt*EXP(-0.5*Tabella34[[#This Row],[x_t]]^2)/(psi_t*SQRTPI(2)*(Tabella34[[#This Row],[Day]]-D_bk))</f>
        <v>0</v>
      </c>
      <c r="P136" s="183">
        <f>Tabella34[[#This Row],[Italy velocity]]/Tabella34[[#This Row],[Italy cumul. Fit]]</f>
        <v>2.3816758693526854E-2</v>
      </c>
      <c r="Q136" s="244">
        <f>(LN(Tabella34[[#This Row],[Day]]-D_bk)-phi_t)/psi_t</f>
        <v>108.13157736700458</v>
      </c>
      <c r="R136" s="244">
        <f>EXP(phi_t+psi_t*Tabella34[[#This Row],[x_t_alpha©+plus]])-(Tabella34[[#This Row],[Day]]-D_bk)</f>
        <v>-56.207284640994899</v>
      </c>
      <c r="S136" s="244">
        <f>EXP(phi_t+psi_t*Tabella34[[#This Row],[x_t_alpha©-minus]])-(Tabella34[[#This Row],[Day]]-D_bk)</f>
        <v>-56.921100282808801</v>
      </c>
      <c r="T136" s="244">
        <f>-psi_t+SQRT(psi_t^2-2*Tabella34[[#This Row],[c_t]])</f>
        <v>3.5567370185956815</v>
      </c>
      <c r="U136" s="244">
        <f>-psi_t-SQRT(psi_t^2-2*Tabella34[[#This Row],[c_t]])</f>
        <v>-3.6072556932930535</v>
      </c>
      <c r="V136" s="244">
        <f>phi_t-LN(alpha*Kt/(Tabella34[[#This Row],[Italy velocity]]*psi_t*SQRTPI(2)))</f>
        <v>-6.4150299299377167</v>
      </c>
      <c r="W136" s="244">
        <f>Tabella34[[#This Row],[Italy g.r.]]/Italy_gr_at_lockdown</f>
        <v>5.6809170254824896E-2</v>
      </c>
      <c r="X136" s="244">
        <f>(ACOSH(SQRT(alpha*Kf*psi_f/(Tabella34[[#This Row],[Italy velocity]]*(1+TANH(phi_f)))))+phi_f)/psi_f-(Tabella34[[#This Row],[Day]]-pf)</f>
        <v>29.358988882225532</v>
      </c>
      <c r="Y136" s="244">
        <f>Tabella34[[#This Row],[Italy h.t.]]/Italy_ht_at_lockdown</f>
        <v>0.24721769106137964</v>
      </c>
      <c r="Z136" s="72">
        <f>-2*$BY$48*TANH($BY$48*(Tabella34[[#This Row],[Day]]-$BY$57)-$BY$47)*Tabella34[[#This Row],[Italy velocity]]</f>
        <v>-24.256002832420652</v>
      </c>
      <c r="AA136" s="72">
        <f>Tabella34[[#This Row],[Italy acc. fit]]/Itali_acc_at_lockdown</f>
        <v>-0.6930221474523558</v>
      </c>
      <c r="AB136" s="77">
        <f>Tabella34[[#This Row],[Italy acc. fit]]/y_f_peak</f>
        <v>-7.678406000834039E-3</v>
      </c>
      <c r="AC136" s="143">
        <f>Tabella34[[#This Row],[Italy (fit of selected region + fitted sum of the other regions)]]*NOT(ISBLANK(Tabella34[[#This Row],[Italy rate data]]))</f>
        <v>-25.057750147814065</v>
      </c>
      <c r="AD136" s="143">
        <f>Tabella34[[#This Row],[Italy acc. fit]]*NOT(ISBLANK(Tabella34[[#This Row],[Italy rate data]]))</f>
        <v>-24.256002832420652</v>
      </c>
      <c r="AE136" s="77">
        <f>Tabella34[[#This Row],[Italy acc. fit]]+CIf</f>
        <v>1630.9539660913308</v>
      </c>
      <c r="AF136" s="77">
        <f>MAX(Tabella34[[#This Row],[Italy acc. fit]]-CIf,0)</f>
        <v>0</v>
      </c>
      <c r="AG136" s="4">
        <f>Tabella8[[#This Row],[region data]]</f>
        <v>5547</v>
      </c>
      <c r="AH136" s="72">
        <f>(Tabella34[[#This Row],[selected region cumul. data]]-AG135)</f>
        <v>150</v>
      </c>
      <c r="AI136" s="72">
        <f>Tabella34[[#This Row],[selected region rate data]]-AH135</f>
        <v>-2</v>
      </c>
      <c r="AJ136" s="121">
        <f>Tabella34[[#This Row],[selected region rate data]]*NOT(ISBLANK(Tabella34[[#This Row],[selected region rate data]]))</f>
        <v>150</v>
      </c>
      <c r="AK136" s="77">
        <f>Tabella8[[#This Row],[region fit]]</f>
        <v>5569.4199281904339</v>
      </c>
      <c r="AL136" s="143">
        <f>(ATANH(alpha*Tabella34[[#This Row],[sel. region cumul. fit]]/Kl-(1-alpha*Tabella34[[#This Row],[sel. region cumul. fit]]/Kl)*TANH(phi_l))+phi_l)/psi_l-(Tabella34[[#This Row],[Day]]-pl)</f>
        <v>47.361126748536336</v>
      </c>
      <c r="AM136" s="77">
        <f>Tabella34[[#This Row],[sel. region cumul. fit]]/Kl</f>
        <v>0.42334057566492828</v>
      </c>
      <c r="AN136" s="143">
        <f>Tabella3[[#This Row],[region fit]]</f>
        <v>147.02279370585268</v>
      </c>
      <c r="AO136" s="186">
        <f>Tabella34[[#This Row],[sel. region velocity]]/Tabella34[[#This Row],[sel. region cumul. fit]]</f>
        <v>2.6398223800951925E-2</v>
      </c>
      <c r="AP136" s="241">
        <f>(LN(Tabella34[[#This Row],[Day]]-pr)-phi_r)/psi_r</f>
        <v>142.23226723250477</v>
      </c>
      <c r="AQ136" s="244">
        <f>EXP(phi_r+psi_r*Tabella34[[#This Row],[x_r_alpha©+plus]])-(Tabella34[[#This Row],[Day]]-pr)</f>
        <v>-49.409309620096437</v>
      </c>
      <c r="AR136" s="244">
        <f>EXP(phi_r+psi_r*Tabella34[[#This Row],[x_r_alpha©-minus]])-(Tabella34[[#This Row],[Day]]-pr)</f>
        <v>-49.864114925077928</v>
      </c>
      <c r="AS136" s="244">
        <f>-psi_r+SQRT(psi_r^2-2*Tabella34[[#This Row],[c_r]])</f>
        <v>3.7414730181632887</v>
      </c>
      <c r="AT136" s="244">
        <f>-psi_r-SQRT(psi_r^2-2*Tabella34[[#This Row],[c_r]])</f>
        <v>-3.781761027829627</v>
      </c>
      <c r="AU136" s="244">
        <f>phi_r-LN(alpha*Kr/(Tabella34[[#This Row],[sel. region velocity]]*psi_r*SQRTPI(2)))</f>
        <v>-7.0746784233830082</v>
      </c>
      <c r="AV136" s="244">
        <f>(ACOSH(SQRT(alpha*Kl*psi_l/(Tabella34[[#This Row],[sel. region velocity]]*(1+TANH(phi_l)))))+phi_l)/psi_l-(Tabella34[[#This Row],[Day]]-pl)</f>
        <v>45.688853268820466</v>
      </c>
      <c r="AW136" s="72">
        <f>-2*$BY$22*TANH($BY$22*(Tabella34[[#This Row],[Day]]-$BY$31)-$BY$21)*Tabella34[[#This Row],[sel. region velocity]]</f>
        <v>0.22476462599658911</v>
      </c>
      <c r="AX136" s="77">
        <f>Tabella34[[#This Row],[sel. region acc. fit]]/y_l_peak</f>
        <v>1.5265727156863059E-3</v>
      </c>
      <c r="AY136" s="143">
        <f>Tabella34[[#This Row],[sel. region acc. fit]]*NOT(ISBLANK(Tabella34[[#This Row],[selected region rate data]]))</f>
        <v>0.22476462599658911</v>
      </c>
      <c r="AZ136" s="77">
        <f>Tabella34[[#This Row],[sel. region acc. fit]]+CIl</f>
        <v>69.589751001096985</v>
      </c>
      <c r="BA136" s="77">
        <f>MAX(Tabella34[[#This Row],[sel. region acc. fit]]-CIl,0)</f>
        <v>0</v>
      </c>
      <c r="BB136" s="10">
        <f>Tabella8[[#This Row],[rest of Italy ]]</f>
        <v>123677</v>
      </c>
      <c r="BC136" s="10">
        <f>(Tabella34[[#This Row],[rest of Italy cum. Data]]-BB135)</f>
        <v>2840</v>
      </c>
      <c r="BD136" s="10">
        <f>Tabella34[[#This Row],[rest of Italy rate data]]-BC135</f>
        <v>-313</v>
      </c>
      <c r="BE136" s="77">
        <f>Tabella34[[#This Row],[rest of Italy rate data]]*NOT(ISBLANK(Tabella34[[#This Row],[rest of Italy rate data]]))</f>
        <v>2840</v>
      </c>
      <c r="BF136" s="77">
        <f>Tabella8[[#This Row],[rest of Italy fit]]</f>
        <v>123918.4168217799</v>
      </c>
      <c r="BG136" s="78" t="e">
        <f>(ATANH(alpha*Tabella34[[#This Row],[rest of Italy cumul. fit]]/Ka-(1-alpha*Tabella34[[#This Row],[rest of Italy cumul. fit]]/Ka)*TANH(phi_a))+phi_a)/psi_a-(Tabella34[[#This Row],[Day]]-pa)</f>
        <v>#NUM!</v>
      </c>
      <c r="BH136" s="77">
        <f>Tabella34[[#This Row],[rest of Italy cumul. fit]]/Ka</f>
        <v>0.5585832915549952</v>
      </c>
      <c r="BI136" s="143">
        <f>Tabella3[[#This Row],[rest of Italy fit]]</f>
        <v>2934.3160216839369</v>
      </c>
      <c r="BJ136" s="183">
        <f>Tabella34[[#This Row],[rest of Italy velocity]]/Tabella34[[#This Row],[rest of Italy cumul. fit]]</f>
        <v>2.3679418257127067E-2</v>
      </c>
      <c r="BK136" s="236">
        <f>(LN(Tabella34[[#This Row],[Day]]-po)-phi_o)/psi_o</f>
        <v>105.7911911133622</v>
      </c>
      <c r="BL136" s="244">
        <f>EXP(phi_o+psi_o*Tabella34[[#This Row],[x_o_alpha©+plus]])-(Tabella34[[#This Row],[Day]]-po)</f>
        <v>-56.682905718270476</v>
      </c>
      <c r="BM136" s="244">
        <f>EXP(phi_o+psi_o*Tabella34[[#This Row],[x_o_alpha©-minus]])-(Tabella34[[#This Row],[Day]]-po)</f>
        <v>-57.424776629543246</v>
      </c>
      <c r="BN136" s="244">
        <f>-psi_o+SQRT(psi_o^2-2*Tabella34[[#This Row],[c_o]])</f>
        <v>3.5420989886212957</v>
      </c>
      <c r="BO136" s="244">
        <f>-psi_o-SQRT(psi_o^2-2*Tabella34[[#This Row],[c_o]])</f>
        <v>-3.593412272888949</v>
      </c>
      <c r="BP136" s="244">
        <f>phi_o-LN(alpha*Ko/(Tabella34[[#This Row],[rest of Italy velocity]]*psi_o*SQRTPI(2)))</f>
        <v>-6.3641109887496494</v>
      </c>
      <c r="BQ136" s="244">
        <f>(ACOSH(SQRT(alpha*Ka*psi_a/(Tabella34[[#This Row],[rest of Italy velocity]]*(1+TANH(phi_a)))))+phi_a)/psi_a-(Tabella34[[#This Row],[Day]]-pa)</f>
        <v>28.528184152634253</v>
      </c>
      <c r="BR136" s="72">
        <f>-2*$BY$35*TANH($BY$35*(Tabella34[[#This Row],[Day]]-$BY$44)-$BY$34)*Tabella34[[#This Row],[rest of Italy velocity]]</f>
        <v>-25.282514773810654</v>
      </c>
      <c r="BS136" s="77">
        <f>Tabella34[[#This Row],[rest of Italy acc. fit]]/y_a_peak</f>
        <v>-8.3732229996010855E-3</v>
      </c>
      <c r="BT136" s="77">
        <f>Tabella34[[#This Row],[rest of Italy acc. fit]]*NOT(ISBLANK(Tabella34[[#This Row],[rest of Italy rate data]]))</f>
        <v>-25.282514773810654</v>
      </c>
      <c r="BU136" s="77">
        <f>Tabella34[[#This Row],[rest of Italy acc. fit]]+CIa</f>
        <v>1608.8514251799909</v>
      </c>
      <c r="BV136" s="77">
        <f>MAX(Tabella34[[#This Row],[rest of Italy acc. fit]]-CIa,0)</f>
        <v>0</v>
      </c>
    </row>
    <row r="137" spans="2:74" x14ac:dyDescent="0.3">
      <c r="B137" s="262">
        <v>43960</v>
      </c>
      <c r="C137" s="4">
        <v>130</v>
      </c>
      <c r="D137" s="10">
        <f>Tabella8[[#This Row],[Italy cumulative]]</f>
        <v>133426</v>
      </c>
      <c r="E137" s="72">
        <f>(Tabella34[[#This Row],[Italy cumul. data]]-D136)</f>
        <v>4202</v>
      </c>
      <c r="F137" s="72">
        <f>Tabella34[[#This Row],[Italy rate data]]-E136</f>
        <v>1212</v>
      </c>
      <c r="G137" s="121">
        <f>Tabella34[[#This Row],[Italy rate data]]*NOT(ISBLANK(Tabella34[[#This Row],[Italy rate data]]))</f>
        <v>4202</v>
      </c>
      <c r="H137" s="143">
        <f>Tabella8[[#This Row],[Italy fit]]</f>
        <v>132488.45849213048</v>
      </c>
      <c r="I137" s="143" t="e">
        <f>(ATANH(alpha*Tabella34[[#This Row],[Italy cumul. Fit]]/Kf-(1-alpha*Tabella34[[#This Row],[Italy cumul. Fit]]/Kf)*TANH(phi_f))+phi_f)/psi_f-(Tabella34[[#This Row],[Day]]-pf)</f>
        <v>#NUM!</v>
      </c>
      <c r="J137" s="143" t="e">
        <f>Tabella34[[#This Row],[Italy d.t.]]/Italy_dt_at_lockdown</f>
        <v>#NUM!</v>
      </c>
      <c r="K137" s="77">
        <f>Tabella34[[#This Row],[Italy cumul. Fit]]/Kf</f>
        <v>0.56378067077732785</v>
      </c>
      <c r="L137" s="146">
        <f>Tabella34[[#This Row],[sel. region acc. fit]]+Tabella34[[#This Row],[rest of Italy acc. fit]]</f>
        <v>-28.646809375597865</v>
      </c>
      <c r="M137" s="77">
        <f>Tabella34[[#This Row],[Italy (fit of selected region + fitted sum of the other regions)]]/(y_l_peak+y_a_peak)</f>
        <v>-9.0463136339971311E-3</v>
      </c>
      <c r="N137" s="143">
        <f>Tabella3[[#This Row],[Italy remov. rate fit]]</f>
        <v>3056.2786414660745</v>
      </c>
      <c r="O137" s="143">
        <f>Kt*EXP(-0.5*Tabella34[[#This Row],[x_t]]^2)/(psi_t*SQRTPI(2)*(Tabella34[[#This Row],[Day]]-D_bk))</f>
        <v>0</v>
      </c>
      <c r="P137" s="183">
        <f>Tabella34[[#This Row],[Italy velocity]]/Tabella34[[#This Row],[Italy cumul. Fit]]</f>
        <v>2.3068263275533626E-2</v>
      </c>
      <c r="Q137" s="244">
        <f>(LN(Tabella34[[#This Row],[Day]]-D_bk)-phi_t)/psi_t</f>
        <v>108.78038861890775</v>
      </c>
      <c r="R137" s="244">
        <f>EXP(phi_t+psi_t*Tabella34[[#This Row],[x_t_alpha©+plus]])-(Tabella34[[#This Row],[Day]]-D_bk)</f>
        <v>-57.207026536388902</v>
      </c>
      <c r="S137" s="244">
        <f>EXP(phi_t+psi_t*Tabella34[[#This Row],[x_t_alpha©-minus]])-(Tabella34[[#This Row],[Day]]-D_bk)</f>
        <v>-57.921315650636458</v>
      </c>
      <c r="T137" s="244">
        <f>-psi_t+SQRT(psi_t^2-2*Tabella34[[#This Row],[c_t]])</f>
        <v>3.5591064806467152</v>
      </c>
      <c r="U137" s="244">
        <f>-psi_t-SQRT(psi_t^2-2*Tabella34[[#This Row],[c_t]])</f>
        <v>-3.6096251553440872</v>
      </c>
      <c r="V137" s="244">
        <f>phi_t-LN(alpha*Kt/(Tabella34[[#This Row],[Italy velocity]]*psi_t*SQRTPI(2)))</f>
        <v>-6.4235201415452732</v>
      </c>
      <c r="W137" s="244">
        <f>Tabella34[[#This Row],[Italy g.r.]]/Italy_gr_at_lockdown</f>
        <v>5.5023813809689043E-2</v>
      </c>
      <c r="X137" s="244">
        <f>(ACOSH(SQRT(alpha*Kf*psi_f/(Tabella34[[#This Row],[Italy velocity]]*(1+TANH(phi_f)))))+phi_f)/psi_f-(Tabella34[[#This Row],[Day]]-pf)</f>
        <v>28.593359112083178</v>
      </c>
      <c r="Y137" s="244">
        <f>Tabella34[[#This Row],[Italy h.t.]]/Italy_ht_at_lockdown</f>
        <v>0.24077069710182131</v>
      </c>
      <c r="Z137" s="72">
        <f>-2*$BY$48*TANH($BY$48*(Tabella34[[#This Row],[Day]]-$BY$57)-$BY$47)*Tabella34[[#This Row],[Italy velocity]]</f>
        <v>-27.840606397543649</v>
      </c>
      <c r="AA137" s="72">
        <f>Tabella34[[#This Row],[Italy acc. fit]]/Itali_acc_at_lockdown</f>
        <v>-0.79543843086185917</v>
      </c>
      <c r="AB137" s="77">
        <f>Tabella34[[#This Row],[Italy acc. fit]]/y_f_peak</f>
        <v>-8.8131371317301324E-3</v>
      </c>
      <c r="AC137" s="143">
        <f>Tabella34[[#This Row],[Italy (fit of selected region + fitted sum of the other regions)]]*NOT(ISBLANK(Tabella34[[#This Row],[Italy rate data]]))</f>
        <v>-28.646809375597865</v>
      </c>
      <c r="AD137" s="143">
        <f>Tabella34[[#This Row],[Italy acc. fit]]*NOT(ISBLANK(Tabella34[[#This Row],[Italy rate data]]))</f>
        <v>-27.840606397543649</v>
      </c>
      <c r="AE137" s="77">
        <f>Tabella34[[#This Row],[Italy acc. fit]]+CIf</f>
        <v>1627.3693625262076</v>
      </c>
      <c r="AF137" s="77">
        <f>MAX(Tabella34[[#This Row],[Italy acc. fit]]-CIf,0)</f>
        <v>0</v>
      </c>
      <c r="AG137" s="4">
        <f>Tabella8[[#This Row],[region data]]</f>
        <v>5756</v>
      </c>
      <c r="AH137" s="72">
        <f>(Tabella34[[#This Row],[selected region cumul. data]]-AG136)</f>
        <v>209</v>
      </c>
      <c r="AI137" s="72">
        <f>Tabella34[[#This Row],[selected region rate data]]-AH136</f>
        <v>59</v>
      </c>
      <c r="AJ137" s="121">
        <f>Tabella34[[#This Row],[selected region rate data]]*NOT(ISBLANK(Tabella34[[#This Row],[selected region rate data]]))</f>
        <v>209</v>
      </c>
      <c r="AK137" s="77">
        <f>Tabella8[[#This Row],[region fit]]</f>
        <v>5716.5352766275328</v>
      </c>
      <c r="AL137" s="143">
        <f>(ATANH(alpha*Tabella34[[#This Row],[sel. region cumul. fit]]/Kl-(1-alpha*Tabella34[[#This Row],[sel. region cumul. fit]]/Kl)*TANH(phi_l))+phi_l)/psi_l-(Tabella34[[#This Row],[Day]]-pl)</f>
        <v>50.847707497893026</v>
      </c>
      <c r="AM137" s="77">
        <f>Tabella34[[#This Row],[sel. region cumul. fit]]/Kl</f>
        <v>0.43452305015949266</v>
      </c>
      <c r="AN137" s="143">
        <f>Tabella3[[#This Row],[region fit]]</f>
        <v>147.18805165528795</v>
      </c>
      <c r="AO137" s="186">
        <f>Tabella34[[#This Row],[sel. region velocity]]/Tabella34[[#This Row],[sel. region cumul. fit]]</f>
        <v>2.5747772826151694E-2</v>
      </c>
      <c r="AP137" s="241">
        <f>(LN(Tabella34[[#This Row],[Day]]-pr)-phi_r)/psi_r</f>
        <v>143.16641742180866</v>
      </c>
      <c r="AQ137" s="244">
        <f>EXP(phi_r+psi_r*Tabella34[[#This Row],[x_r_alpha©+plus]])-(Tabella34[[#This Row],[Day]]-pr)</f>
        <v>-50.409329077673291</v>
      </c>
      <c r="AR137" s="244">
        <f>EXP(phi_r+psi_r*Tabella34[[#This Row],[x_r_alpha©-minus]])-(Tabella34[[#This Row],[Day]]-pr)</f>
        <v>-50.864098203591539</v>
      </c>
      <c r="AS137" s="244">
        <f>-psi_r+SQRT(psi_r^2-2*Tabella34[[#This Row],[c_r]])</f>
        <v>3.7411743586266324</v>
      </c>
      <c r="AT137" s="244">
        <f>-psi_r-SQRT(psi_r^2-2*Tabella34[[#This Row],[c_r]])</f>
        <v>-3.7814623682929707</v>
      </c>
      <c r="AU137" s="244">
        <f>phi_r-LN(alpha*Kr/(Tabella34[[#This Row],[sel. region velocity]]*psi_r*SQRTPI(2)))</f>
        <v>-7.0735550251846009</v>
      </c>
      <c r="AV137" s="244">
        <f>(ACOSH(SQRT(alpha*Kl*psi_l/(Tabella34[[#This Row],[sel. region velocity]]*(1+TANH(phi_l)))))+phi_l)/psi_l-(Tabella34[[#This Row],[Day]]-pl)</f>
        <v>44.649436394888895</v>
      </c>
      <c r="AW137" s="72">
        <f>-2*$BY$22*TANH($BY$22*(Tabella34[[#This Row],[Day]]-$BY$31)-$BY$21)*Tabella34[[#This Row],[sel. region velocity]]</f>
        <v>0.10566196910622178</v>
      </c>
      <c r="AX137" s="77">
        <f>Tabella34[[#This Row],[sel. region acc. fit]]/y_l_peak</f>
        <v>7.1764263797318058E-4</v>
      </c>
      <c r="AY137" s="143">
        <f>Tabella34[[#This Row],[sel. region acc. fit]]*NOT(ISBLANK(Tabella34[[#This Row],[selected region rate data]]))</f>
        <v>0.10566196910622178</v>
      </c>
      <c r="AZ137" s="77">
        <f>Tabella34[[#This Row],[sel. region acc. fit]]+CIl</f>
        <v>69.470648344206623</v>
      </c>
      <c r="BA137" s="77">
        <f>MAX(Tabella34[[#This Row],[sel. region acc. fit]]-CIl,0)</f>
        <v>0</v>
      </c>
      <c r="BB137" s="10">
        <f>Tabella8[[#This Row],[rest of Italy ]]</f>
        <v>127670</v>
      </c>
      <c r="BC137" s="10">
        <f>(Tabella34[[#This Row],[rest of Italy cum. Data]]-BB136)</f>
        <v>3993</v>
      </c>
      <c r="BD137" s="10">
        <f>Tabella34[[#This Row],[rest of Italy rate data]]-BC136</f>
        <v>1153</v>
      </c>
      <c r="BE137" s="77">
        <f>Tabella34[[#This Row],[rest of Italy rate data]]*NOT(ISBLANK(Tabella34[[#This Row],[rest of Italy rate data]]))</f>
        <v>3993</v>
      </c>
      <c r="BF137" s="77">
        <f>Tabella8[[#This Row],[rest of Italy fit]]</f>
        <v>126839.50764044405</v>
      </c>
      <c r="BG137" s="78" t="e">
        <f>(ATANH(alpha*Tabella34[[#This Row],[rest of Italy cumul. fit]]/Ka-(1-alpha*Tabella34[[#This Row],[rest of Italy cumul. fit]]/Ka)*TANH(phi_a))+phi_a)/psi_a-(Tabella34[[#This Row],[Day]]-pa)</f>
        <v>#NUM!</v>
      </c>
      <c r="BH137" s="77">
        <f>Tabella34[[#This Row],[rest of Italy cumul. fit]]/Ka</f>
        <v>0.57175060410037071</v>
      </c>
      <c r="BI137" s="143">
        <f>Tabella3[[#This Row],[rest of Italy fit]]</f>
        <v>2907.2872465679857</v>
      </c>
      <c r="BJ137" s="183">
        <f>Tabella34[[#This Row],[rest of Italy velocity]]/Tabella34[[#This Row],[rest of Italy cumul. fit]]</f>
        <v>2.2920991264089141E-2</v>
      </c>
      <c r="BK137" s="236">
        <f>(LN(Tabella34[[#This Row],[Day]]-po)-phi_o)/psi_o</f>
        <v>106.42375712475626</v>
      </c>
      <c r="BL137" s="244">
        <f>EXP(phi_o+psi_o*Tabella34[[#This Row],[x_o_alpha©+plus]])-(Tabella34[[#This Row],[Day]]-po)</f>
        <v>-57.682610706227138</v>
      </c>
      <c r="BM137" s="244">
        <f>EXP(phi_o+psi_o*Tabella34[[#This Row],[x_o_alpha©-minus]])-(Tabella34[[#This Row],[Day]]-po)</f>
        <v>-58.425022271839659</v>
      </c>
      <c r="BN137" s="244">
        <f>-psi_o+SQRT(psi_o^2-2*Tabella34[[#This Row],[c_o]])</f>
        <v>3.5446918214686418</v>
      </c>
      <c r="BO137" s="244">
        <f>-psi_o-SQRT(psi_o^2-2*Tabella34[[#This Row],[c_o]])</f>
        <v>-3.5960051057362952</v>
      </c>
      <c r="BP137" s="244">
        <f>phi_o-LN(alpha*Ko/(Tabella34[[#This Row],[rest of Italy velocity]]*psi_o*SQRTPI(2)))</f>
        <v>-6.3733649441314615</v>
      </c>
      <c r="BQ137" s="244">
        <f>(ACOSH(SQRT(alpha*Ka*psi_a/(Tabella34[[#This Row],[rest of Italy velocity]]*(1+TANH(phi_a)))))+phi_a)/psi_a-(Tabella34[[#This Row],[Day]]-pa)</f>
        <v>27.779159623847832</v>
      </c>
      <c r="BR137" s="72">
        <f>-2*$BY$35*TANH($BY$35*(Tabella34[[#This Row],[Day]]-$BY$44)-$BY$34)*Tabella34[[#This Row],[rest of Italy velocity]]</f>
        <v>-28.752471344704087</v>
      </c>
      <c r="BS137" s="77">
        <f>Tabella34[[#This Row],[rest of Italy acc. fit]]/y_a_peak</f>
        <v>-9.5224251429384503E-3</v>
      </c>
      <c r="BT137" s="77">
        <f>Tabella34[[#This Row],[rest of Italy acc. fit]]*NOT(ISBLANK(Tabella34[[#This Row],[rest of Italy rate data]]))</f>
        <v>-28.752471344704087</v>
      </c>
      <c r="BU137" s="77">
        <f>Tabella34[[#This Row],[rest of Italy acc. fit]]+CIa</f>
        <v>1605.3814686090973</v>
      </c>
      <c r="BV137" s="77">
        <f>MAX(Tabella34[[#This Row],[rest of Italy acc. fit]]-CIa,0)</f>
        <v>0</v>
      </c>
    </row>
    <row r="138" spans="2:74" x14ac:dyDescent="0.3">
      <c r="B138" s="262">
        <v>43961</v>
      </c>
      <c r="C138" s="4">
        <v>131</v>
      </c>
      <c r="D138" s="10">
        <f>Tabella8[[#This Row],[Italy cumulative]]</f>
        <v>135746</v>
      </c>
      <c r="E138" s="72">
        <f>(Tabella34[[#This Row],[Italy cumul. data]]-D137)</f>
        <v>2320</v>
      </c>
      <c r="F138" s="72">
        <f>Tabella34[[#This Row],[Italy rate data]]-E137</f>
        <v>-1882</v>
      </c>
      <c r="G138" s="121">
        <f>Tabella34[[#This Row],[Italy rate data]]*NOT(ISBLANK(Tabella34[[#This Row],[Italy rate data]]))</f>
        <v>2320</v>
      </c>
      <c r="H138" s="143">
        <f>Tabella8[[#This Row],[Italy fit]]</f>
        <v>135530.23598639676</v>
      </c>
      <c r="I138" s="143" t="e">
        <f>(ATANH(alpha*Tabella34[[#This Row],[Italy cumul. Fit]]/Kf-(1-alpha*Tabella34[[#This Row],[Italy cumul. Fit]]/Kf)*TANH(phi_f))+phi_f)/psi_f-(Tabella34[[#This Row],[Day]]-pf)</f>
        <v>#NUM!</v>
      </c>
      <c r="J138" s="143" t="e">
        <f>Tabella34[[#This Row],[Italy d.t.]]/Italy_dt_at_lockdown</f>
        <v>#NUM!</v>
      </c>
      <c r="K138" s="77">
        <f>Tabella34[[#This Row],[Italy cumul. Fit]]/Kf</f>
        <v>0.57672440471151565</v>
      </c>
      <c r="L138" s="146">
        <f>Tabella34[[#This Row],[sel. region acc. fit]]+Tabella34[[#This Row],[rest of Italy acc. fit]]</f>
        <v>-32.093357476901041</v>
      </c>
      <c r="M138" s="77">
        <f>Tabella34[[#This Row],[Italy (fit of selected region + fitted sum of the other regions)]]/(y_l_peak+y_a_peak)</f>
        <v>-1.0134691563638559E-2</v>
      </c>
      <c r="N138" s="143">
        <f>Tabella3[[#This Row],[Italy remov. rate fit]]</f>
        <v>3026.70138307855</v>
      </c>
      <c r="O138" s="143">
        <f>Kt*EXP(-0.5*Tabella34[[#This Row],[x_t]]^2)/(psi_t*SQRTPI(2)*(Tabella34[[#This Row],[Day]]-D_bk))</f>
        <v>0</v>
      </c>
      <c r="P138" s="183">
        <f>Tabella34[[#This Row],[Italy velocity]]/Tabella34[[#This Row],[Italy cumul. Fit]]</f>
        <v>2.2332296266217241E-2</v>
      </c>
      <c r="Q138" s="244">
        <f>(LN(Tabella34[[#This Row],[Day]]-D_bk)-phi_t)/psi_t</f>
        <v>109.4187380242094</v>
      </c>
      <c r="R138" s="244">
        <f>EXP(phi_t+psi_t*Tabella34[[#This Row],[x_t_alpha©+plus]])-(Tabella34[[#This Row],[Day]]-D_bk)</f>
        <v>-58.206731094401803</v>
      </c>
      <c r="S138" s="244">
        <f>EXP(phi_t+psi_t*Tabella34[[#This Row],[x_t_alpha©-minus]])-(Tabella34[[#This Row],[Day]]-D_bk)</f>
        <v>-58.92156214190743</v>
      </c>
      <c r="T138" s="244">
        <f>-psi_t+SQRT(psi_t^2-2*Tabella34[[#This Row],[c_t]])</f>
        <v>3.5618185347319993</v>
      </c>
      <c r="U138" s="244">
        <f>-psi_t-SQRT(psi_t^2-2*Tabella34[[#This Row],[c_t]])</f>
        <v>-3.6123372094293713</v>
      </c>
      <c r="V138" s="244">
        <f>phi_t-LN(alpha*Kt/(Tabella34[[#This Row],[Italy velocity]]*psi_t*SQRTPI(2)))</f>
        <v>-6.4332448131238014</v>
      </c>
      <c r="W138" s="244">
        <f>Tabella34[[#This Row],[Italy g.r.]]/Italy_gr_at_lockdown</f>
        <v>5.3268340881059494E-2</v>
      </c>
      <c r="X138" s="244">
        <f>(ACOSH(SQRT(alpha*Kf*psi_f/(Tabella34[[#This Row],[Italy velocity]]*(1+TANH(phi_f)))))+phi_f)/psi_f-(Tabella34[[#This Row],[Day]]-pf)</f>
        <v>27.860664217535501</v>
      </c>
      <c r="Y138" s="244">
        <f>Tabella34[[#This Row],[Italy h.t.]]/Italy_ht_at_lockdown</f>
        <v>0.23460103162699292</v>
      </c>
      <c r="Z138" s="72">
        <f>-2*$BY$48*TANH($BY$48*(Tabella34[[#This Row],[Day]]-$BY$57)-$BY$47)*Tabella34[[#This Row],[Italy velocity]]</f>
        <v>-31.290148518960475</v>
      </c>
      <c r="AA138" s="72">
        <f>Tabella34[[#This Row],[Italy acc. fit]]/Itali_acc_at_lockdown</f>
        <v>-0.89399585210013299</v>
      </c>
      <c r="AB138" s="77">
        <f>Tabella34[[#This Row],[Italy acc. fit]]/y_f_peak</f>
        <v>-9.9051136254751839E-3</v>
      </c>
      <c r="AC138" s="143">
        <f>Tabella34[[#This Row],[Italy (fit of selected region + fitted sum of the other regions)]]*NOT(ISBLANK(Tabella34[[#This Row],[Italy rate data]]))</f>
        <v>-32.093357476901041</v>
      </c>
      <c r="AD138" s="143">
        <f>Tabella34[[#This Row],[Italy acc. fit]]*NOT(ISBLANK(Tabella34[[#This Row],[Italy rate data]]))</f>
        <v>-31.290148518960475</v>
      </c>
      <c r="AE138" s="77">
        <f>Tabella34[[#This Row],[Italy acc. fit]]+CIf</f>
        <v>1623.9198204047909</v>
      </c>
      <c r="AF138" s="77">
        <f>MAX(Tabella34[[#This Row],[Italy acc. fit]]-CIf,0)</f>
        <v>0</v>
      </c>
      <c r="AG138" s="4">
        <f>Tabella8[[#This Row],[region data]]</f>
        <v>5888</v>
      </c>
      <c r="AH138" s="72">
        <f>(Tabella34[[#This Row],[selected region cumul. data]]-AG137)</f>
        <v>132</v>
      </c>
      <c r="AI138" s="72">
        <f>Tabella34[[#This Row],[selected region rate data]]-AH137</f>
        <v>-77</v>
      </c>
      <c r="AJ138" s="121">
        <f>Tabella34[[#This Row],[selected region rate data]]*NOT(ISBLANK(Tabella34[[#This Row],[selected region rate data]]))</f>
        <v>132</v>
      </c>
      <c r="AK138" s="77">
        <f>Tabella8[[#This Row],[region fit]]</f>
        <v>5863.7562584701736</v>
      </c>
      <c r="AL138" s="143">
        <f>(ATANH(alpha*Tabella34[[#This Row],[sel. region cumul. fit]]/Kl-(1-alpha*Tabella34[[#This Row],[sel. region cumul. fit]]/Kl)*TANH(phi_l))+phi_l)/psi_l-(Tabella34[[#This Row],[Day]]-pl)</f>
        <v>55.060173875187189</v>
      </c>
      <c r="AM138" s="77">
        <f>Tabella34[[#This Row],[sel. region cumul. fit]]/Kl</f>
        <v>0.44571355401928503</v>
      </c>
      <c r="AN138" s="143">
        <f>Tabella3[[#This Row],[region fit]]</f>
        <v>147.23400340293139</v>
      </c>
      <c r="AO138" s="186">
        <f>Tabella34[[#This Row],[sel. region velocity]]/Tabella34[[#This Row],[sel. region cumul. fit]]</f>
        <v>2.5109161587378814E-2</v>
      </c>
      <c r="AP138" s="241">
        <f>(LN(Tabella34[[#This Row],[Day]]-pr)-phi_r)/psi_r</f>
        <v>144.08331339758556</v>
      </c>
      <c r="AQ138" s="244">
        <f>EXP(phi_r+psi_r*Tabella34[[#This Row],[x_r_alpha©+plus]])-(Tabella34[[#This Row],[Day]]-pr)</f>
        <v>-51.409334484433231</v>
      </c>
      <c r="AR138" s="244">
        <f>EXP(phi_r+psi_r*Tabella34[[#This Row],[x_r_alpha©-minus]])-(Tabella34[[#This Row],[Day]]-pr)</f>
        <v>-51.864093557085013</v>
      </c>
      <c r="AS138" s="244">
        <f>-psi_r+SQRT(psi_r^2-2*Tabella34[[#This Row],[c_r]])</f>
        <v>3.7410913685072114</v>
      </c>
      <c r="AT138" s="244">
        <f>-psi_r-SQRT(psi_r^2-2*Tabella34[[#This Row],[c_r]])</f>
        <v>-3.7813793781735496</v>
      </c>
      <c r="AU138" s="244">
        <f>phi_r-LN(alpha*Kr/(Tabella34[[#This Row],[sel. region velocity]]*psi_r*SQRTPI(2)))</f>
        <v>-7.0732428763681172</v>
      </c>
      <c r="AV138" s="244">
        <f>(ACOSH(SQRT(alpha*Kl*psi_l/(Tabella34[[#This Row],[sel. region velocity]]*(1+TANH(phi_l)))))+phi_l)/psi_l-(Tabella34[[#This Row],[Day]]-pl)</f>
        <v>43.638480046785887</v>
      </c>
      <c r="AW138" s="72">
        <f>-2*$BY$22*TANH($BY$22*(Tabella34[[#This Row],[Day]]-$BY$31)-$BY$21)*Tabella34[[#This Row],[sel. region velocity]]</f>
        <v>-1.3783332446551055E-2</v>
      </c>
      <c r="AX138" s="77">
        <f>Tabella34[[#This Row],[sel. region acc. fit]]/y_l_peak</f>
        <v>-9.3614638650736477E-5</v>
      </c>
      <c r="AY138" s="143">
        <f>Tabella34[[#This Row],[sel. region acc. fit]]*NOT(ISBLANK(Tabella34[[#This Row],[selected region rate data]]))</f>
        <v>-1.3783332446551055E-2</v>
      </c>
      <c r="AZ138" s="77">
        <f>Tabella34[[#This Row],[sel. region acc. fit]]+CIl</f>
        <v>69.35120304265385</v>
      </c>
      <c r="BA138" s="77">
        <f>MAX(Tabella34[[#This Row],[sel. region acc. fit]]-CIl,0)</f>
        <v>0</v>
      </c>
      <c r="BB138" s="10">
        <f>Tabella8[[#This Row],[rest of Italy ]]</f>
        <v>129858</v>
      </c>
      <c r="BC138" s="10">
        <f>(Tabella34[[#This Row],[rest of Italy cum. Data]]-BB137)</f>
        <v>2188</v>
      </c>
      <c r="BD138" s="10">
        <f>Tabella34[[#This Row],[rest of Italy rate data]]-BC137</f>
        <v>-1805</v>
      </c>
      <c r="BE138" s="77">
        <f>Tabella34[[#This Row],[rest of Italy rate data]]*NOT(ISBLANK(Tabella34[[#This Row],[rest of Italy rate data]]))</f>
        <v>2188</v>
      </c>
      <c r="BF138" s="77">
        <f>Tabella8[[#This Row],[rest of Italy fit]]</f>
        <v>129731.85789839989</v>
      </c>
      <c r="BG138" s="78" t="e">
        <f>(ATANH(alpha*Tabella34[[#This Row],[rest of Italy cumul. fit]]/Ka-(1-alpha*Tabella34[[#This Row],[rest of Italy cumul. fit]]/Ka)*TANH(phi_a))+phi_a)/psi_a-(Tabella34[[#This Row],[Day]]-pa)</f>
        <v>#NUM!</v>
      </c>
      <c r="BH138" s="77">
        <f>Tabella34[[#This Row],[rest of Italy cumul. fit]]/Ka</f>
        <v>0.58478836369136433</v>
      </c>
      <c r="BI138" s="143">
        <f>Tabella3[[#This Row],[rest of Italy fit]]</f>
        <v>2876.8587133317696</v>
      </c>
      <c r="BJ138" s="183">
        <f>Tabella34[[#This Row],[rest of Italy velocity]]/Tabella34[[#This Row],[rest of Italy cumul. fit]]</f>
        <v>2.2175422135592902E-2</v>
      </c>
      <c r="BK138" s="236">
        <f>(LN(Tabella34[[#This Row],[Day]]-po)-phi_o)/psi_o</f>
        <v>107.04622063410935</v>
      </c>
      <c r="BL138" s="244">
        <f>EXP(phi_o+psi_o*Tabella34[[#This Row],[x_o_alpha©+plus]])-(Tabella34[[#This Row],[Day]]-po)</f>
        <v>-58.682275523109922</v>
      </c>
      <c r="BM138" s="244">
        <f>EXP(phi_o+psi_o*Tabella34[[#This Row],[x_o_alpha©-minus]])-(Tabella34[[#This Row],[Day]]-po)</f>
        <v>-59.425301322995438</v>
      </c>
      <c r="BN138" s="244">
        <f>-psi_o+SQRT(psi_o^2-2*Tabella34[[#This Row],[c_o]])</f>
        <v>3.5476375047734554</v>
      </c>
      <c r="BO138" s="244">
        <f>-psi_o-SQRT(psi_o^2-2*Tabella34[[#This Row],[c_o]])</f>
        <v>-3.5989507890411088</v>
      </c>
      <c r="BP138" s="244">
        <f>phi_o-LN(alpha*Ko/(Tabella34[[#This Row],[rest of Italy velocity]]*psi_o*SQRTPI(2)))</f>
        <v>-6.3838863985181291</v>
      </c>
      <c r="BQ138" s="244">
        <f>(ACOSH(SQRT(alpha*Ka*psi_a/(Tabella34[[#This Row],[rest of Italy velocity]]*(1+TANH(phi_a)))))+phi_a)/psi_a-(Tabella34[[#This Row],[Day]]-pa)</f>
        <v>27.063205168812019</v>
      </c>
      <c r="BR138" s="72">
        <f>-2*$BY$35*TANH($BY$35*(Tabella34[[#This Row],[Day]]-$BY$44)-$BY$34)*Tabella34[[#This Row],[rest of Italy velocity]]</f>
        <v>-32.07957414445449</v>
      </c>
      <c r="BS138" s="77">
        <f>Tabella34[[#This Row],[rest of Italy acc. fit]]/y_a_peak</f>
        <v>-1.06243160716749E-2</v>
      </c>
      <c r="BT138" s="77">
        <f>Tabella34[[#This Row],[rest of Italy acc. fit]]*NOT(ISBLANK(Tabella34[[#This Row],[rest of Italy rate data]]))</f>
        <v>-32.07957414445449</v>
      </c>
      <c r="BU138" s="77">
        <f>Tabella34[[#This Row],[rest of Italy acc. fit]]+CIa</f>
        <v>1602.054365809347</v>
      </c>
      <c r="BV138" s="77">
        <f>MAX(Tabella34[[#This Row],[rest of Italy acc. fit]]-CIa,0)</f>
        <v>0</v>
      </c>
    </row>
    <row r="139" spans="2:74" x14ac:dyDescent="0.3">
      <c r="B139" s="262">
        <v>43962</v>
      </c>
      <c r="C139" s="4">
        <v>132</v>
      </c>
      <c r="D139" s="10">
        <f>Tabella8[[#This Row],[Italy cumulative]]</f>
        <v>137326</v>
      </c>
      <c r="E139" s="72">
        <f>(Tabella34[[#This Row],[Italy cumul. data]]-D138)</f>
        <v>1580</v>
      </c>
      <c r="F139" s="72">
        <f>Tabella34[[#This Row],[Italy rate data]]-E138</f>
        <v>-740</v>
      </c>
      <c r="G139" s="121">
        <f>Tabella34[[#This Row],[Italy rate data]]*NOT(ISBLANK(Tabella34[[#This Row],[Italy rate data]]))</f>
        <v>1580</v>
      </c>
      <c r="H139" s="143">
        <f>Tabella8[[#This Row],[Italy fit]]</f>
        <v>138540.73580144349</v>
      </c>
      <c r="I139" s="143" t="e">
        <f>(ATANH(alpha*Tabella34[[#This Row],[Italy cumul. Fit]]/Kf-(1-alpha*Tabella34[[#This Row],[Italy cumul. Fit]]/Kf)*TANH(phi_f))+phi_f)/psi_f-(Tabella34[[#This Row],[Day]]-pf)</f>
        <v>#NUM!</v>
      </c>
      <c r="J139" s="143" t="e">
        <f>Tabella34[[#This Row],[Italy d.t.]]/Italy_dt_at_lockdown</f>
        <v>#NUM!</v>
      </c>
      <c r="K139" s="77">
        <f>Tabella34[[#This Row],[Italy cumul. Fit]]/Kf</f>
        <v>0.58953504213924957</v>
      </c>
      <c r="L139" s="146">
        <f>Tabella34[[#This Row],[sel. region acc. fit]]+Tabella34[[#This Row],[rest of Italy acc. fit]]</f>
        <v>-35.383025127845698</v>
      </c>
      <c r="M139" s="77">
        <f>Tabella34[[#This Row],[Italy (fit of selected region + fitted sum of the other regions)]]/(y_l_peak+y_a_peak)</f>
        <v>-1.1173528557031959E-2</v>
      </c>
      <c r="N139" s="143">
        <f>Tabella3[[#This Row],[Italy remov. rate fit]]</f>
        <v>2993.7482133843482</v>
      </c>
      <c r="O139" s="143">
        <f>Kt*EXP(-0.5*Tabella34[[#This Row],[x_t]]^2)/(psi_t*SQRTPI(2)*(Tabella34[[#This Row],[Day]]-D_bk))</f>
        <v>0</v>
      </c>
      <c r="P139" s="183">
        <f>Tabella34[[#This Row],[Italy velocity]]/Tabella34[[#This Row],[Italy cumul. Fit]]</f>
        <v>2.1609154853017287E-2</v>
      </c>
      <c r="Q139" s="244">
        <f>(LN(Tabella34[[#This Row],[Day]]-D_bk)-phi_t)/psi_t</f>
        <v>110.04695762294341</v>
      </c>
      <c r="R139" s="244">
        <f>EXP(phi_t+psi_t*Tabella34[[#This Row],[x_t_alpha©+plus]])-(Tabella34[[#This Row],[Day]]-D_bk)</f>
        <v>-59.206398754377851</v>
      </c>
      <c r="S139" s="244">
        <f>EXP(phi_t+psi_t*Tabella34[[#This Row],[x_t_alpha©-minus]])-(Tabella34[[#This Row],[Day]]-D_bk)</f>
        <v>-59.921839377355589</v>
      </c>
      <c r="T139" s="244">
        <f>-psi_t+SQRT(psi_t^2-2*Tabella34[[#This Row],[c_t]])</f>
        <v>3.5648690778615086</v>
      </c>
      <c r="U139" s="244">
        <f>-psi_t-SQRT(psi_t^2-2*Tabella34[[#This Row],[c_t]])</f>
        <v>-3.6153877525588807</v>
      </c>
      <c r="V139" s="244">
        <f>phi_t-LN(alpha*Kt/(Tabella34[[#This Row],[Italy velocity]]*psi_t*SQRTPI(2)))</f>
        <v>-6.4441920017881849</v>
      </c>
      <c r="W139" s="244">
        <f>Tabella34[[#This Row],[Italy g.r.]]/Italy_gr_at_lockdown</f>
        <v>5.1543460338353393E-2</v>
      </c>
      <c r="X139" s="244">
        <f>(ACOSH(SQRT(alpha*Kf*psi_f/(Tabella34[[#This Row],[Italy velocity]]*(1+TANH(phi_f)))))+phi_f)/psi_f-(Tabella34[[#This Row],[Day]]-pf)</f>
        <v>27.160147449011248</v>
      </c>
      <c r="Y139" s="244">
        <f>Tabella34[[#This Row],[Italy h.t.]]/Italy_ht_at_lockdown</f>
        <v>0.22870232241874797</v>
      </c>
      <c r="Z139" s="72">
        <f>-2*$BY$48*TANH($BY$48*(Tabella34[[#This Row],[Day]]-$BY$57)-$BY$47)*Tabella34[[#This Row],[Italy velocity]]</f>
        <v>-34.590133210992235</v>
      </c>
      <c r="AA139" s="72">
        <f>Tabella34[[#This Row],[Italy acc. fit]]/Itali_acc_at_lockdown</f>
        <v>-0.98828024403527037</v>
      </c>
      <c r="AB139" s="77">
        <f>Tabella34[[#This Row],[Italy acc. fit]]/y_f_peak</f>
        <v>-1.0949746677219778E-2</v>
      </c>
      <c r="AC139" s="143">
        <f>Tabella34[[#This Row],[Italy (fit of selected region + fitted sum of the other regions)]]*NOT(ISBLANK(Tabella34[[#This Row],[Italy rate data]]))</f>
        <v>-35.383025127845698</v>
      </c>
      <c r="AD139" s="143">
        <f>Tabella34[[#This Row],[Italy acc. fit]]*NOT(ISBLANK(Tabella34[[#This Row],[Italy rate data]]))</f>
        <v>-34.590133210992235</v>
      </c>
      <c r="AE139" s="77">
        <f>Tabella34[[#This Row],[Italy acc. fit]]+CIf</f>
        <v>1620.6198357127591</v>
      </c>
      <c r="AF139" s="77">
        <f>MAX(Tabella34[[#This Row],[Italy acc. fit]]-CIf,0)</f>
        <v>0</v>
      </c>
      <c r="AG139" s="4">
        <f>Tabella8[[#This Row],[region data]]</f>
        <v>5988</v>
      </c>
      <c r="AH139" s="72">
        <f>(Tabella34[[#This Row],[selected region cumul. data]]-AG138)</f>
        <v>100</v>
      </c>
      <c r="AI139" s="72">
        <f>Tabella34[[#This Row],[selected region rate data]]-AH138</f>
        <v>-32</v>
      </c>
      <c r="AJ139" s="121">
        <f>Tabella34[[#This Row],[selected region rate data]]*NOT(ISBLANK(Tabella34[[#This Row],[selected region rate data]]))</f>
        <v>100</v>
      </c>
      <c r="AK139" s="77">
        <f>Tabella8[[#This Row],[region fit]]</f>
        <v>6010.9634607081543</v>
      </c>
      <c r="AL139" s="143">
        <f>(ATANH(alpha*Tabella34[[#This Row],[sel. region cumul. fit]]/Kl-(1-alpha*Tabella34[[#This Row],[sel. region cumul. fit]]/Kl)*TANH(phi_l))+phi_l)/psi_l-(Tabella34[[#This Row],[Day]]-pl)</f>
        <v>60.33740735671546</v>
      </c>
      <c r="AM139" s="77">
        <f>Tabella34[[#This Row],[sel. region cumul. fit]]/Kl</f>
        <v>0.45690301046914161</v>
      </c>
      <c r="AN139" s="143">
        <f>Tabella3[[#This Row],[region fit]]</f>
        <v>147.16049989983387</v>
      </c>
      <c r="AO139" s="186">
        <f>Tabella34[[#This Row],[sel. region velocity]]/Tabella34[[#This Row],[sel. region cumul. fit]]</f>
        <v>2.4482015381024597E-2</v>
      </c>
      <c r="AP139" s="241">
        <f>(LN(Tabella34[[#This Row],[Day]]-pr)-phi_r)/psi_r</f>
        <v>144.98358100525442</v>
      </c>
      <c r="AQ139" s="244">
        <f>EXP(phi_r+psi_r*Tabella34[[#This Row],[x_r_alpha©+plus]])-(Tabella34[[#This Row],[Day]]-pr)</f>
        <v>-52.409325835130765</v>
      </c>
      <c r="AR139" s="244">
        <f>EXP(phi_r+psi_r*Tabella34[[#This Row],[x_r_alpha©-minus]])-(Tabella34[[#This Row],[Day]]-pr)</f>
        <v>-52.864100990187367</v>
      </c>
      <c r="AS139" s="244">
        <f>-psi_r+SQRT(psi_r^2-2*Tabella34[[#This Row],[c_r]])</f>
        <v>3.7412241294013944</v>
      </c>
      <c r="AT139" s="244">
        <f>-psi_r-SQRT(psi_r^2-2*Tabella34[[#This Row],[c_r]])</f>
        <v>-3.7815121390677326</v>
      </c>
      <c r="AU139" s="244">
        <f>phi_r-LN(alpha*Kr/(Tabella34[[#This Row],[sel. region velocity]]*psi_r*SQRTPI(2)))</f>
        <v>-7.0737422301522423</v>
      </c>
      <c r="AV139" s="244">
        <f>(ACOSH(SQRT(alpha*Kl*psi_l/(Tabella34[[#This Row],[sel. region velocity]]*(1+TANH(phi_l)))))+phi_l)/psi_l-(Tabella34[[#This Row],[Day]]-pl)</f>
        <v>42.656006424264802</v>
      </c>
      <c r="AW139" s="72">
        <f>-2*$BY$22*TANH($BY$22*(Tabella34[[#This Row],[Day]]-$BY$31)-$BY$21)*Tabella34[[#This Row],[sel. region velocity]]</f>
        <v>-0.13318391596475271</v>
      </c>
      <c r="AX139" s="77">
        <f>Tabella34[[#This Row],[sel. region acc. fit]]/y_l_peak</f>
        <v>-9.0456819607874896E-4</v>
      </c>
      <c r="AY139" s="143">
        <f>Tabella34[[#This Row],[sel. region acc. fit]]*NOT(ISBLANK(Tabella34[[#This Row],[selected region rate data]]))</f>
        <v>-0.13318391596475271</v>
      </c>
      <c r="AZ139" s="77">
        <f>Tabella34[[#This Row],[sel. region acc. fit]]+CIl</f>
        <v>69.23180245913565</v>
      </c>
      <c r="BA139" s="77">
        <f>MAX(Tabella34[[#This Row],[sel. region acc. fit]]-CIl,0)</f>
        <v>0</v>
      </c>
      <c r="BB139" s="10">
        <f>Tabella8[[#This Row],[rest of Italy ]]</f>
        <v>131338</v>
      </c>
      <c r="BC139" s="10">
        <f>(Tabella34[[#This Row],[rest of Italy cum. Data]]-BB138)</f>
        <v>1480</v>
      </c>
      <c r="BD139" s="10">
        <f>Tabella34[[#This Row],[rest of Italy rate data]]-BC138</f>
        <v>-708</v>
      </c>
      <c r="BE139" s="77">
        <f>Tabella34[[#This Row],[rest of Italy rate data]]*NOT(ISBLANK(Tabella34[[#This Row],[rest of Italy rate data]]))</f>
        <v>1480</v>
      </c>
      <c r="BF139" s="77">
        <f>Tabella8[[#This Row],[rest of Italy fit]]</f>
        <v>132592.1416584613</v>
      </c>
      <c r="BG139" s="78" t="e">
        <f>(ATANH(alpha*Tabella34[[#This Row],[rest of Italy cumul. fit]]/Ka-(1-alpha*Tabella34[[#This Row],[rest of Italy cumul. fit]]/Ka)*TANH(phi_a))+phi_a)/psi_a-(Tabella34[[#This Row],[Day]]-pa)</f>
        <v>#NUM!</v>
      </c>
      <c r="BH139" s="77">
        <f>Tabella34[[#This Row],[rest of Italy cumul. fit]]/Ka</f>
        <v>0.59768157810173106</v>
      </c>
      <c r="BI139" s="143">
        <f>Tabella3[[#This Row],[rest of Italy fit]]</f>
        <v>2843.1803944705348</v>
      </c>
      <c r="BJ139" s="183">
        <f>Tabella34[[#This Row],[rest of Italy velocity]]/Tabella34[[#This Row],[rest of Italy cumul. fit]]</f>
        <v>2.1443053554366497E-2</v>
      </c>
      <c r="BK139" s="236">
        <f>(LN(Tabella34[[#This Row],[Day]]-po)-phi_o)/psi_o</f>
        <v>107.65889926286053</v>
      </c>
      <c r="BL139" s="244">
        <f>EXP(phi_o+psi_o*Tabella34[[#This Row],[x_o_alpha©+plus]])-(Tabella34[[#This Row],[Day]]-po)</f>
        <v>-59.681900681001707</v>
      </c>
      <c r="BM139" s="244">
        <f>EXP(phi_o+psi_o*Tabella34[[#This Row],[x_o_alpha©-minus]])-(Tabella34[[#This Row],[Day]]-po)</f>
        <v>-60.425613341633188</v>
      </c>
      <c r="BN139" s="244">
        <f>-psi_o+SQRT(psi_o^2-2*Tabella34[[#This Row],[c_o]])</f>
        <v>3.5509314587493574</v>
      </c>
      <c r="BO139" s="244">
        <f>-psi_o-SQRT(psi_o^2-2*Tabella34[[#This Row],[c_o]])</f>
        <v>-3.6022447430170108</v>
      </c>
      <c r="BP139" s="244">
        <f>phi_o-LN(alpha*Ko/(Tabella34[[#This Row],[rest of Italy velocity]]*psi_o*SQRTPI(2)))</f>
        <v>-6.3956620900468</v>
      </c>
      <c r="BQ139" s="244">
        <f>(ACOSH(SQRT(alpha*Ka*psi_a/(Tabella34[[#This Row],[rest of Italy velocity]]*(1+TANH(phi_a)))))+phi_a)/psi_a-(Tabella34[[#This Row],[Day]]-pa)</f>
        <v>26.379504154551924</v>
      </c>
      <c r="BR139" s="72">
        <f>-2*$BY$35*TANH($BY$35*(Tabella34[[#This Row],[Day]]-$BY$44)-$BY$34)*Tabella34[[#This Row],[rest of Italy velocity]]</f>
        <v>-35.249841211880948</v>
      </c>
      <c r="BS139" s="77">
        <f>Tabella34[[#This Row],[rest of Italy acc. fit]]/y_a_peak</f>
        <v>-1.1674265151556408E-2</v>
      </c>
      <c r="BT139" s="77">
        <f>Tabella34[[#This Row],[rest of Italy acc. fit]]*NOT(ISBLANK(Tabella34[[#This Row],[rest of Italy rate data]]))</f>
        <v>-35.249841211880948</v>
      </c>
      <c r="BU139" s="77">
        <f>Tabella34[[#This Row],[rest of Italy acc. fit]]+CIa</f>
        <v>1598.8840987419205</v>
      </c>
      <c r="BV139" s="77">
        <f>MAX(Tabella34[[#This Row],[rest of Italy acc. fit]]-CIa,0)</f>
        <v>0</v>
      </c>
    </row>
    <row r="140" spans="2:74" x14ac:dyDescent="0.3">
      <c r="B140" s="262">
        <v>43963</v>
      </c>
      <c r="C140" s="4">
        <v>133</v>
      </c>
      <c r="D140" s="10">
        <f>Tabella8[[#This Row],[Italy cumulative]]</f>
        <v>139950</v>
      </c>
      <c r="E140" s="72">
        <f>(Tabella34[[#This Row],[Italy cumul. data]]-D139)</f>
        <v>2624</v>
      </c>
      <c r="F140" s="72">
        <f>Tabella34[[#This Row],[Italy rate data]]-E139</f>
        <v>1044</v>
      </c>
      <c r="G140" s="121">
        <f>Tabella34[[#This Row],[Italy rate data]]*NOT(ISBLANK(Tabella34[[#This Row],[Italy rate data]]))</f>
        <v>2624</v>
      </c>
      <c r="H140" s="143">
        <f>Tabella8[[#This Row],[Italy fit]]</f>
        <v>141516.65903760181</v>
      </c>
      <c r="I140" s="143" t="e">
        <f>(ATANH(alpha*Tabella34[[#This Row],[Italy cumul. Fit]]/Kf-(1-alpha*Tabella34[[#This Row],[Italy cumul. Fit]]/Kf)*TANH(phi_f))+phi_f)/psi_f-(Tabella34[[#This Row],[Day]]-pf)</f>
        <v>#NUM!</v>
      </c>
      <c r="J140" s="143" t="e">
        <f>Tabella34[[#This Row],[Italy d.t.]]/Italy_dt_at_lockdown</f>
        <v>#NUM!</v>
      </c>
      <c r="K140" s="77">
        <f>Tabella34[[#This Row],[Italy cumul. Fit]]/Kf</f>
        <v>0.60219854518968952</v>
      </c>
      <c r="L140" s="146">
        <f>Tabella34[[#This Row],[sel. region acc. fit]]+Tabella34[[#This Row],[rest of Italy acc. fit]]</f>
        <v>-38.503025408059621</v>
      </c>
      <c r="M140" s="77">
        <f>Tabella34[[#This Row],[Italy (fit of selected region + fitted sum of the other regions)]]/(y_l_peak+y_a_peak)</f>
        <v>-1.2158786660400933E-2</v>
      </c>
      <c r="N140" s="143">
        <f>Tabella3[[#This Row],[Italy remov. rate fit]]</f>
        <v>2957.5753251999417</v>
      </c>
      <c r="O140" s="143">
        <f>Kt*EXP(-0.5*Tabella34[[#This Row],[x_t]]^2)/(psi_t*SQRTPI(2)*(Tabella34[[#This Row],[Day]]-D_bk))</f>
        <v>0</v>
      </c>
      <c r="P140" s="183">
        <f>Tabella34[[#This Row],[Italy velocity]]/Tabella34[[#This Row],[Italy cumul. Fit]]</f>
        <v>2.0899131913608111E-2</v>
      </c>
      <c r="Q140" s="244">
        <f>(LN(Tabella34[[#This Row],[Day]]-D_bk)-phi_t)/psi_t</f>
        <v>110.6653638942372</v>
      </c>
      <c r="R140" s="244">
        <f>EXP(phi_t+psi_t*Tabella34[[#This Row],[x_t_alpha©+plus]])-(Tabella34[[#This Row],[Day]]-D_bk)</f>
        <v>-60.206030005167214</v>
      </c>
      <c r="S140" s="244">
        <f>EXP(phi_t+psi_t*Tabella34[[#This Row],[x_t_alpha©-minus]])-(Tabella34[[#This Row],[Day]]-D_bk)</f>
        <v>-60.922146935066714</v>
      </c>
      <c r="T140" s="244">
        <f>-psi_t+SQRT(psi_t^2-2*Tabella34[[#This Row],[c_t]])</f>
        <v>3.568253545189787</v>
      </c>
      <c r="U140" s="244">
        <f>-psi_t-SQRT(psi_t^2-2*Tabella34[[#This Row],[c_t]])</f>
        <v>-3.618772219887159</v>
      </c>
      <c r="V140" s="244">
        <f>phi_t-LN(alpha*Kt/(Tabella34[[#This Row],[Italy velocity]]*psi_t*SQRTPI(2)))</f>
        <v>-6.4563484014233357</v>
      </c>
      <c r="W140" s="244">
        <f>Tabella34[[#This Row],[Italy g.r.]]/Italy_gr_at_lockdown</f>
        <v>4.9849870771075708E-2</v>
      </c>
      <c r="X140" s="244">
        <f>(ACOSH(SQRT(alpha*Kf*psi_f/(Tabella34[[#This Row],[Italy velocity]]*(1+TANH(phi_f)))))+phi_f)/psi_f-(Tabella34[[#This Row],[Day]]-pf)</f>
        <v>26.490987053404965</v>
      </c>
      <c r="Y140" s="244">
        <f>Tabella34[[#This Row],[Italy h.t.]]/Italy_ht_at_lockdown</f>
        <v>0.22306764989596031</v>
      </c>
      <c r="Z140" s="72">
        <f>-2*$BY$48*TANH($BY$48*(Tabella34[[#This Row],[Day]]-$BY$57)-$BY$47)*Tabella34[[#This Row],[Italy velocity]]</f>
        <v>-37.727544744998376</v>
      </c>
      <c r="AA140" s="72">
        <f>Tabella34[[#This Row],[Italy acc. fit]]/Itali_acc_at_lockdown</f>
        <v>-1.0779197321966321</v>
      </c>
      <c r="AB140" s="77">
        <f>Tabella34[[#This Row],[Italy acc. fit]]/y_f_peak</f>
        <v>-1.1942916067750995E-2</v>
      </c>
      <c r="AC140" s="143">
        <f>Tabella34[[#This Row],[Italy (fit of selected region + fitted sum of the other regions)]]*NOT(ISBLANK(Tabella34[[#This Row],[Italy rate data]]))</f>
        <v>-38.503025408059621</v>
      </c>
      <c r="AD140" s="143">
        <f>Tabella34[[#This Row],[Italy acc. fit]]*NOT(ISBLANK(Tabella34[[#This Row],[Italy rate data]]))</f>
        <v>-37.727544744998376</v>
      </c>
      <c r="AE140" s="77">
        <f>Tabella34[[#This Row],[Italy acc. fit]]+CIf</f>
        <v>1617.482424178753</v>
      </c>
      <c r="AF140" s="77">
        <f>MAX(Tabella34[[#This Row],[Italy acc. fit]]-CIf,0)</f>
        <v>0</v>
      </c>
      <c r="AG140" s="4">
        <f>Tabella8[[#This Row],[region data]]</f>
        <v>6084</v>
      </c>
      <c r="AH140" s="72">
        <f>(Tabella34[[#This Row],[selected region cumul. data]]-AG139)</f>
        <v>96</v>
      </c>
      <c r="AI140" s="72">
        <f>Tabella34[[#This Row],[selected region rate data]]-AH139</f>
        <v>-4</v>
      </c>
      <c r="AJ140" s="121">
        <f>Tabella34[[#This Row],[selected region rate data]]*NOT(ISBLANK(Tabella34[[#This Row],[selected region rate data]]))</f>
        <v>96</v>
      </c>
      <c r="AK140" s="77">
        <f>Tabella8[[#This Row],[region fit]]</f>
        <v>6158.0375150236268</v>
      </c>
      <c r="AL140" s="143">
        <f>(ATANH(alpha*Tabella34[[#This Row],[sel. region cumul. fit]]/Kl-(1-alpha*Tabella34[[#This Row],[sel. region cumul. fit]]/Kl)*TANH(phi_l))+phi_l)/psi_l-(Tabella34[[#This Row],[Day]]-pl)</f>
        <v>67.326720454539952</v>
      </c>
      <c r="AM140" s="77">
        <f>Tabella34[[#This Row],[sel. region cumul. fit]]/Kl</f>
        <v>0.46808234613103644</v>
      </c>
      <c r="AN140" s="143">
        <f>Tabella3[[#This Row],[region fit]]</f>
        <v>146.96777952829211</v>
      </c>
      <c r="AO140" s="186">
        <f>Tabella34[[#This Row],[sel. region velocity]]/Tabella34[[#This Row],[sel. region cumul. fit]]</f>
        <v>2.3866009125429667E-2</v>
      </c>
      <c r="AP140" s="241">
        <f>(LN(Tabella34[[#This Row],[Day]]-pr)-phi_r)/psi_r</f>
        <v>145.86781264487013</v>
      </c>
      <c r="AQ140" s="244">
        <f>EXP(phi_r+psi_r*Tabella34[[#This Row],[x_r_alpha©+plus]])-(Tabella34[[#This Row],[Day]]-pr)</f>
        <v>-53.409303138156403</v>
      </c>
      <c r="AR140" s="244">
        <f>EXP(phi_r+psi_r*Tabella34[[#This Row],[x_r_alpha©-minus]])-(Tabella34[[#This Row],[Day]]-pr)</f>
        <v>-53.864120495494205</v>
      </c>
      <c r="AS140" s="244">
        <f>-psi_r+SQRT(psi_r^2-2*Tabella34[[#This Row],[c_r]])</f>
        <v>3.7415725107907121</v>
      </c>
      <c r="AT140" s="244">
        <f>-psi_r-SQRT(psi_r^2-2*Tabella34[[#This Row],[c_r]])</f>
        <v>-3.7818605204570503</v>
      </c>
      <c r="AU140" s="244">
        <f>phi_r-LN(alpha*Kr/(Tabella34[[#This Row],[sel. region velocity]]*psi_r*SQRTPI(2)))</f>
        <v>-7.0750526814933776</v>
      </c>
      <c r="AV140" s="244">
        <f>(ACOSH(SQRT(alpha*Kl*psi_l/(Tabella34[[#This Row],[sel. region velocity]]*(1+TANH(phi_l)))))+phi_l)/psi_l-(Tabella34[[#This Row],[Day]]-pl)</f>
        <v>41.701980025992043</v>
      </c>
      <c r="AW140" s="72">
        <f>-2*$BY$22*TANH($BY$22*(Tabella34[[#This Row],[Day]]-$BY$31)-$BY$21)*Tabella34[[#This Row],[sel. region velocity]]</f>
        <v>-0.25215272679452516</v>
      </c>
      <c r="AX140" s="77">
        <f>Tabella34[[#This Row],[sel. region acc. fit]]/y_l_peak</f>
        <v>-1.7125892083937927E-3</v>
      </c>
      <c r="AY140" s="143">
        <f>Tabella34[[#This Row],[sel. region acc. fit]]*NOT(ISBLANK(Tabella34[[#This Row],[selected region rate data]]))</f>
        <v>-0.25215272679452516</v>
      </c>
      <c r="AZ140" s="77">
        <f>Tabella34[[#This Row],[sel. region acc. fit]]+CIl</f>
        <v>69.11283364830588</v>
      </c>
      <c r="BA140" s="77">
        <f>MAX(Tabella34[[#This Row],[sel. region acc. fit]]-CIl,0)</f>
        <v>0</v>
      </c>
      <c r="BB140" s="10">
        <f>Tabella8[[#This Row],[rest of Italy ]]</f>
        <v>133866</v>
      </c>
      <c r="BC140" s="10">
        <f>(Tabella34[[#This Row],[rest of Italy cum. Data]]-BB139)</f>
        <v>2528</v>
      </c>
      <c r="BD140" s="10">
        <f>Tabella34[[#This Row],[rest of Italy rate data]]-BC139</f>
        <v>1048</v>
      </c>
      <c r="BE140" s="77">
        <f>Tabella34[[#This Row],[rest of Italy rate data]]*NOT(ISBLANK(Tabella34[[#This Row],[rest of Italy rate data]]))</f>
        <v>2528</v>
      </c>
      <c r="BF140" s="77">
        <f>Tabella8[[#This Row],[rest of Italy fit]]</f>
        <v>135417.18968722245</v>
      </c>
      <c r="BG140" s="78" t="e">
        <f>(ATANH(alpha*Tabella34[[#This Row],[rest of Italy cumul. fit]]/Ka-(1-alpha*Tabella34[[#This Row],[rest of Italy cumul. fit]]/Ka)*TANH(phi_a))+phi_a)/psi_a-(Tabella34[[#This Row],[Day]]-pa)</f>
        <v>#NUM!</v>
      </c>
      <c r="BH140" s="77">
        <f>Tabella34[[#This Row],[rest of Italy cumul. fit]]/Ka</f>
        <v>0.61041596147410637</v>
      </c>
      <c r="BI140" s="143">
        <f>Tabella3[[#This Row],[rest of Italy fit]]</f>
        <v>2806.4154612932894</v>
      </c>
      <c r="BJ140" s="183">
        <f>Tabella34[[#This Row],[rest of Italy velocity]]/Tabella34[[#This Row],[rest of Italy cumul. fit]]</f>
        <v>2.0724218747821897E-2</v>
      </c>
      <c r="BK140" s="236">
        <f>(LN(Tabella34[[#This Row],[Day]]-po)-phi_o)/psi_o</f>
        <v>108.26209588500944</v>
      </c>
      <c r="BL140" s="244">
        <f>EXP(phi_o+psi_o*Tabella34[[#This Row],[x_o_alpha©+plus]])-(Tabella34[[#This Row],[Day]]-po)</f>
        <v>-60.68148674586817</v>
      </c>
      <c r="BM140" s="244">
        <f>EXP(phi_o+psi_o*Tabella34[[#This Row],[x_o_alpha©-minus]])-(Tabella34[[#This Row],[Day]]-po)</f>
        <v>-61.425957840044873</v>
      </c>
      <c r="BN140" s="244">
        <f>-psi_o+SQRT(psi_o^2-2*Tabella34[[#This Row],[c_o]])</f>
        <v>3.5545686222929702</v>
      </c>
      <c r="BO140" s="244">
        <f>-psi_o-SQRT(psi_o^2-2*Tabella34[[#This Row],[c_o]])</f>
        <v>-3.6058819065606236</v>
      </c>
      <c r="BP140" s="244">
        <f>phi_o-LN(alpha*Ko/(Tabella34[[#This Row],[rest of Italy velocity]]*psi_o*SQRTPI(2)))</f>
        <v>-6.4086773403771726</v>
      </c>
      <c r="BQ140" s="244">
        <f>(ACOSH(SQRT(alpha*Ka*psi_a/(Tabella34[[#This Row],[rest of Italy velocity]]*(1+TANH(phi_a)))))+phi_a)/psi_a-(Tabella34[[#This Row],[Day]]-pa)</f>
        <v>25.727177168915887</v>
      </c>
      <c r="BR140" s="72">
        <f>-2*$BY$35*TANH($BY$35*(Tabella34[[#This Row],[Day]]-$BY$44)-$BY$34)*Tabella34[[#This Row],[rest of Italy velocity]]</f>
        <v>-38.250872681265093</v>
      </c>
      <c r="BS140" s="77">
        <f>Tabella34[[#This Row],[rest of Italy acc. fit]]/y_a_peak</f>
        <v>-1.2668165716701279E-2</v>
      </c>
      <c r="BT140" s="77">
        <f>Tabella34[[#This Row],[rest of Italy acc. fit]]*NOT(ISBLANK(Tabella34[[#This Row],[rest of Italy rate data]]))</f>
        <v>-38.250872681265093</v>
      </c>
      <c r="BU140" s="77">
        <f>Tabella34[[#This Row],[rest of Italy acc. fit]]+CIa</f>
        <v>1595.8830672725364</v>
      </c>
      <c r="BV140" s="77">
        <f>MAX(Tabella34[[#This Row],[rest of Italy acc. fit]]-CIa,0)</f>
        <v>0</v>
      </c>
    </row>
    <row r="141" spans="2:74" x14ac:dyDescent="0.3">
      <c r="B141" s="262">
        <v>43964</v>
      </c>
      <c r="C141" s="4">
        <v>134</v>
      </c>
      <c r="D141" s="10">
        <f>Tabella8[[#This Row],[Italy cumulative]]</f>
        <v>143647</v>
      </c>
      <c r="E141" s="72">
        <f>(Tabella34[[#This Row],[Italy cumul. data]]-D140)</f>
        <v>3697</v>
      </c>
      <c r="F141" s="72">
        <f>Tabella34[[#This Row],[Italy rate data]]-E140</f>
        <v>1073</v>
      </c>
      <c r="G141" s="121">
        <f>Tabella34[[#This Row],[Italy rate data]]*NOT(ISBLANK(Tabella34[[#This Row],[Italy rate data]]))</f>
        <v>3697</v>
      </c>
      <c r="H141" s="143">
        <f>Tabella8[[#This Row],[Italy fit]]</f>
        <v>144454.86923732565</v>
      </c>
      <c r="I141" s="143" t="e">
        <f>(ATANH(alpha*Tabella34[[#This Row],[Italy cumul. Fit]]/Kf-(1-alpha*Tabella34[[#This Row],[Italy cumul. Fit]]/Kf)*TANH(phi_f))+phi_f)/psi_f-(Tabella34[[#This Row],[Day]]-pf)</f>
        <v>#NUM!</v>
      </c>
      <c r="J141" s="143" t="e">
        <f>Tabella34[[#This Row],[Italy d.t.]]/Italy_dt_at_lockdown</f>
        <v>#NUM!</v>
      </c>
      <c r="K141" s="77">
        <f>Tabella34[[#This Row],[Italy cumul. Fit]]/Kf</f>
        <v>0.6147015672350663</v>
      </c>
      <c r="L141" s="146">
        <f>Tabella34[[#This Row],[sel. region acc. fit]]+Tabella34[[#This Row],[rest of Italy acc. fit]]</f>
        <v>-41.442237890983222</v>
      </c>
      <c r="M141" s="77">
        <f>Tabella34[[#This Row],[Italy (fit of selected region + fitted sum of the other regions)]]/(y_l_peak+y_a_peak)</f>
        <v>-1.3086954178426015E-2</v>
      </c>
      <c r="N141" s="143">
        <f>Tabella3[[#This Row],[Italy remov. rate fit]]</f>
        <v>2918.3511480237794</v>
      </c>
      <c r="O141" s="143">
        <f>Kt*EXP(-0.5*Tabella34[[#This Row],[x_t]]^2)/(psi_t*SQRTPI(2)*(Tabella34[[#This Row],[Day]]-D_bk))</f>
        <v>0</v>
      </c>
      <c r="P141" s="183">
        <f>Tabella34[[#This Row],[Italy velocity]]/Tabella34[[#This Row],[Italy cumul. Fit]]</f>
        <v>2.0202511437874795E-2</v>
      </c>
      <c r="Q141" s="244">
        <f>(LN(Tabella34[[#This Row],[Day]]-D_bk)-phi_t)/psi_t</f>
        <v>111.27425871371464</v>
      </c>
      <c r="R141" s="244">
        <f>EXP(phi_t+psi_t*Tabella34[[#This Row],[x_t_alpha©+plus]])-(Tabella34[[#This Row],[Day]]-D_bk)</f>
        <v>-61.20562538259955</v>
      </c>
      <c r="S141" s="244">
        <f>EXP(phi_t+psi_t*Tabella34[[#This Row],[x_t_alpha©-minus]])-(Tabella34[[#This Row],[Day]]-D_bk)</f>
        <v>-61.922484352687782</v>
      </c>
      <c r="T141" s="244">
        <f>-psi_t+SQRT(psi_t^2-2*Tabella34[[#This Row],[c_t]])</f>
        <v>3.57196693376304</v>
      </c>
      <c r="U141" s="244">
        <f>-psi_t-SQRT(psi_t^2-2*Tabella34[[#This Row],[c_t]])</f>
        <v>-3.622485608460412</v>
      </c>
      <c r="V141" s="244">
        <f>phi_t-LN(alpha*Kt/(Tabella34[[#This Row],[Italy velocity]]*psi_t*SQRTPI(2)))</f>
        <v>-6.4696994057265389</v>
      </c>
      <c r="W141" s="244">
        <f>Tabella34[[#This Row],[Italy g.r.]]/Italy_gr_at_lockdown</f>
        <v>4.8188249569040061E-2</v>
      </c>
      <c r="X141" s="244">
        <f>(ACOSH(SQRT(alpha*Kf*psi_f/(Tabella34[[#This Row],[Italy velocity]]*(1+TANH(phi_f)))))+phi_f)/psi_f-(Tabella34[[#This Row],[Day]]-pf)</f>
        <v>25.85230600874452</v>
      </c>
      <c r="Y141" s="244">
        <f>Tabella34[[#This Row],[Italy h.t.]]/Italy_ht_at_lockdown</f>
        <v>0.21768962908539974</v>
      </c>
      <c r="Z141" s="72">
        <f>-2*$BY$48*TANH($BY$48*(Tabella34[[#This Row],[Day]]-$BY$57)-$BY$47)*Tabella34[[#This Row],[Italy velocity]]</f>
        <v>-40.690938556780317</v>
      </c>
      <c r="AA141" s="72">
        <f>Tabella34[[#This Row],[Italy acc. fit]]/Itali_acc_at_lockdown</f>
        <v>-1.1625873321048561</v>
      </c>
      <c r="AB141" s="77">
        <f>Tabella34[[#This Row],[Italy acc. fit]]/y_f_peak</f>
        <v>-1.2880998940861798E-2</v>
      </c>
      <c r="AC141" s="143">
        <f>Tabella34[[#This Row],[Italy (fit of selected region + fitted sum of the other regions)]]*NOT(ISBLANK(Tabella34[[#This Row],[Italy rate data]]))</f>
        <v>-41.442237890983222</v>
      </c>
      <c r="AD141" s="143">
        <f>Tabella34[[#This Row],[Italy acc. fit]]*NOT(ISBLANK(Tabella34[[#This Row],[Italy rate data]]))</f>
        <v>-40.690938556780317</v>
      </c>
      <c r="AE141" s="77">
        <f>Tabella34[[#This Row],[Italy acc. fit]]+CIf</f>
        <v>1614.519030366971</v>
      </c>
      <c r="AF141" s="77">
        <f>MAX(Tabella34[[#This Row],[Italy acc. fit]]-CIf,0)</f>
        <v>0</v>
      </c>
      <c r="AG141" s="4">
        <f>Tabella8[[#This Row],[region data]]</f>
        <v>6212</v>
      </c>
      <c r="AH141" s="72">
        <f>(Tabella34[[#This Row],[selected region cumul. data]]-AG140)</f>
        <v>128</v>
      </c>
      <c r="AI141" s="72">
        <f>Tabella34[[#This Row],[selected region rate data]]-AH140</f>
        <v>32</v>
      </c>
      <c r="AJ141" s="121">
        <f>Tabella34[[#This Row],[selected region rate data]]*NOT(ISBLANK(Tabella34[[#This Row],[selected region rate data]]))</f>
        <v>128</v>
      </c>
      <c r="AK141" s="77">
        <f>Tabella8[[#This Row],[region fit]]</f>
        <v>6304.8594846236765</v>
      </c>
      <c r="AL141" s="143">
        <f>(ATANH(alpha*Tabella34[[#This Row],[sel. region cumul. fit]]/Kl-(1-alpha*Tabella34[[#This Row],[sel. region cumul. fit]]/Kl)*TANH(phi_l))+phi_l)/psi_l-(Tabella34[[#This Row],[Day]]-pl)</f>
        <v>77.529571841112499</v>
      </c>
      <c r="AM141" s="77">
        <f>Tabella34[[#This Row],[sel. region cumul. fit]]/Kl</f>
        <v>0.47924252042784848</v>
      </c>
      <c r="AN141" s="143">
        <f>Tabella3[[#This Row],[region fit]]</f>
        <v>146.6564664605672</v>
      </c>
      <c r="AO141" s="186">
        <f>Tabella34[[#This Row],[sel. region velocity]]/Tabella34[[#This Row],[sel. region cumul. fit]]</f>
        <v>2.326086200941254E-2</v>
      </c>
      <c r="AP141" s="241">
        <f>(LN(Tabella34[[#This Row],[Day]]-pr)-phi_r)/psi_r</f>
        <v>146.73656961258197</v>
      </c>
      <c r="AQ141" s="244">
        <f>EXP(phi_r+psi_r*Tabella34[[#This Row],[x_r_alpha©+plus]])-(Tabella34[[#This Row],[Day]]-pr)</f>
        <v>-54.409266415507162</v>
      </c>
      <c r="AR141" s="244">
        <f>EXP(phi_r+psi_r*Tabella34[[#This Row],[x_r_alpha©-minus]])-(Tabella34[[#This Row],[Day]]-pr)</f>
        <v>-54.86415205359399</v>
      </c>
      <c r="AS141" s="244">
        <f>-psi_r+SQRT(psi_r^2-2*Tabella34[[#This Row],[c_r]])</f>
        <v>3.7421361705031173</v>
      </c>
      <c r="AT141" s="244">
        <f>-psi_r-SQRT(psi_r^2-2*Tabella34[[#This Row],[c_r]])</f>
        <v>-3.7824241801694556</v>
      </c>
      <c r="AU141" s="244">
        <f>phi_r-LN(alpha*Kr/(Tabella34[[#This Row],[sel. region velocity]]*psi_r*SQRTPI(2)))</f>
        <v>-7.0771731683988603</v>
      </c>
      <c r="AV141" s="244">
        <f>(ACOSH(SQRT(alpha*Kl*psi_l/(Tabella34[[#This Row],[sel. region velocity]]*(1+TANH(phi_l)))))+phi_l)/psi_l-(Tabella34[[#This Row],[Day]]-pl)</f>
        <v>40.776307996645457</v>
      </c>
      <c r="AW141" s="72">
        <f>-2*$BY$22*TANH($BY$22*(Tabella34[[#This Row],[Day]]-$BY$31)-$BY$21)*Tabella34[[#This Row],[sel. region velocity]]</f>
        <v>-0.3703056815685824</v>
      </c>
      <c r="AX141" s="77">
        <f>Tabella34[[#This Row],[sel. region acc. fit]]/y_l_peak</f>
        <v>-2.5150690302788033E-3</v>
      </c>
      <c r="AY141" s="143">
        <f>Tabella34[[#This Row],[sel. region acc. fit]]*NOT(ISBLANK(Tabella34[[#This Row],[selected region rate data]]))</f>
        <v>-0.3703056815685824</v>
      </c>
      <c r="AZ141" s="77">
        <f>Tabella34[[#This Row],[sel. region acc. fit]]+CIl</f>
        <v>68.994680693531819</v>
      </c>
      <c r="BA141" s="77">
        <f>MAX(Tabella34[[#This Row],[sel. region acc. fit]]-CIl,0)</f>
        <v>0</v>
      </c>
      <c r="BB141" s="10">
        <f>Tabella8[[#This Row],[rest of Italy ]]</f>
        <v>137435</v>
      </c>
      <c r="BC141" s="10">
        <f>(Tabella34[[#This Row],[rest of Italy cum. Data]]-BB140)</f>
        <v>3569</v>
      </c>
      <c r="BD141" s="10">
        <f>Tabella34[[#This Row],[rest of Italy rate data]]-BC140</f>
        <v>1041</v>
      </c>
      <c r="BE141" s="77">
        <f>Tabella34[[#This Row],[rest of Italy rate data]]*NOT(ISBLANK(Tabella34[[#This Row],[rest of Italy rate data]]))</f>
        <v>3569</v>
      </c>
      <c r="BF141" s="77">
        <f>Tabella8[[#This Row],[rest of Italy fit]]</f>
        <v>138204.00184813639</v>
      </c>
      <c r="BG141" s="78" t="e">
        <f>(ATANH(alpha*Tabella34[[#This Row],[rest of Italy cumul. fit]]/Ka-(1-alpha*Tabella34[[#This Row],[rest of Italy cumul. fit]]/Ka)*TANH(phi_a))+phi_a)/psi_a-(Tabella34[[#This Row],[Day]]-pa)</f>
        <v>#NUM!</v>
      </c>
      <c r="BH141" s="77">
        <f>Tabella34[[#This Row],[rest of Italy cumul. fit]]/Ka</f>
        <v>0.62297799018391153</v>
      </c>
      <c r="BI141" s="143">
        <f>Tabella3[[#This Row],[rest of Italy fit]]</f>
        <v>2766.7386588801064</v>
      </c>
      <c r="BJ141" s="183">
        <f>Tabella34[[#This Row],[rest of Italy velocity]]/Tabella34[[#This Row],[rest of Italy cumul. fit]]</f>
        <v>2.0019236938741469E-2</v>
      </c>
      <c r="BK141" s="236">
        <f>(LN(Tabella34[[#This Row],[Day]]-po)-phi_o)/psi_o</f>
        <v>108.85609952620089</v>
      </c>
      <c r="BL141" s="244">
        <f>EXP(phi_o+psi_o*Tabella34[[#This Row],[x_o_alpha©+plus]])-(Tabella34[[#This Row],[Day]]-po)</f>
        <v>-61.681034334567009</v>
      </c>
      <c r="BM141" s="244">
        <f>EXP(phi_o+psi_o*Tabella34[[#This Row],[x_o_alpha©-minus]])-(Tabella34[[#This Row],[Day]]-po)</f>
        <v>-62.426334286803595</v>
      </c>
      <c r="BN141" s="244">
        <f>-psi_o+SQRT(psi_o^2-2*Tabella34[[#This Row],[c_o]])</f>
        <v>3.5585434799074731</v>
      </c>
      <c r="BO141" s="244">
        <f>-psi_o-SQRT(psi_o^2-2*Tabella34[[#This Row],[c_o]])</f>
        <v>-3.6098567641751265</v>
      </c>
      <c r="BP141" s="244">
        <f>phi_o-LN(alpha*Ko/(Tabella34[[#This Row],[rest of Italy velocity]]*psi_o*SQRTPI(2)))</f>
        <v>-6.4229161257776433</v>
      </c>
      <c r="BQ141" s="244">
        <f>(ACOSH(SQRT(alpha*Ka*psi_a/(Tabella34[[#This Row],[rest of Italy velocity]]*(1+TANH(phi_a)))))+phi_a)/psi_a-(Tabella34[[#This Row],[Day]]-pa)</f>
        <v>25.105292420612344</v>
      </c>
      <c r="BR141" s="72">
        <f>-2*$BY$35*TANH($BY$35*(Tabella34[[#This Row],[Day]]-$BY$44)-$BY$34)*Tabella34[[#This Row],[rest of Italy velocity]]</f>
        <v>-41.071932209414641</v>
      </c>
      <c r="BS141" s="77">
        <f>Tabella34[[#This Row],[rest of Italy acc. fit]]/y_a_peak</f>
        <v>-1.3602462037129583E-2</v>
      </c>
      <c r="BT141" s="77">
        <f>Tabella34[[#This Row],[rest of Italy acc. fit]]*NOT(ISBLANK(Tabella34[[#This Row],[rest of Italy rate data]]))</f>
        <v>-41.071932209414641</v>
      </c>
      <c r="BU141" s="77">
        <f>Tabella34[[#This Row],[rest of Italy acc. fit]]+CIa</f>
        <v>1593.0620077443868</v>
      </c>
      <c r="BV141" s="77">
        <f>MAX(Tabella34[[#This Row],[rest of Italy acc. fit]]-CIa,0)</f>
        <v>0</v>
      </c>
    </row>
    <row r="142" spans="2:74" x14ac:dyDescent="0.3">
      <c r="B142" s="262">
        <v>43965</v>
      </c>
      <c r="C142" s="4">
        <v>135</v>
      </c>
      <c r="D142" s="10">
        <f>Tabella8[[#This Row],[Italy cumulative]]</f>
        <v>146656</v>
      </c>
      <c r="E142" s="72">
        <f>(Tabella34[[#This Row],[Italy cumul. data]]-D141)</f>
        <v>3009</v>
      </c>
      <c r="F142" s="72">
        <f>Tabella34[[#This Row],[Italy rate data]]-E141</f>
        <v>-688</v>
      </c>
      <c r="G142" s="121">
        <f>Tabella34[[#This Row],[Italy rate data]]*NOT(ISBLANK(Tabella34[[#This Row],[Italy rate data]]))</f>
        <v>3009</v>
      </c>
      <c r="H142" s="143">
        <f>Tabella8[[#This Row],[Italy fit]]</f>
        <v>147352.40382427152</v>
      </c>
      <c r="I142" s="143" t="e">
        <f>(ATANH(alpha*Tabella34[[#This Row],[Italy cumul. Fit]]/Kf-(1-alpha*Tabella34[[#This Row],[Italy cumul. Fit]]/Kf)*TANH(phi_f))+phi_f)/psi_f-(Tabella34[[#This Row],[Day]]-pf)</f>
        <v>#NUM!</v>
      </c>
      <c r="J142" s="143" t="e">
        <f>Tabella34[[#This Row],[Italy d.t.]]/Italy_dt_at_lockdown</f>
        <v>#NUM!</v>
      </c>
      <c r="K142" s="77">
        <f>Tabella34[[#This Row],[Italy cumul. Fit]]/Kf</f>
        <v>0.62703150156761711</v>
      </c>
      <c r="L142" s="146">
        <f>Tabella34[[#This Row],[sel. region acc. fit]]+Tabella34[[#This Row],[rest of Italy acc. fit]]</f>
        <v>-44.191265820102117</v>
      </c>
      <c r="M142" s="77">
        <f>Tabella34[[#This Row],[Italy (fit of selected region + fitted sum of the other regions)]]/(y_l_peak+y_a_peak)</f>
        <v>-1.3955063729802823E-2</v>
      </c>
      <c r="N142" s="143">
        <f>Tabella3[[#This Row],[Italy remov. rate fit]]</f>
        <v>2876.2547418634704</v>
      </c>
      <c r="O142" s="143">
        <f>Kt*EXP(-0.5*Tabella34[[#This Row],[x_t]]^2)/(psi_t*SQRTPI(2)*(Tabella34[[#This Row],[Day]]-D_bk))</f>
        <v>0</v>
      </c>
      <c r="P142" s="183">
        <f>Tabella34[[#This Row],[Italy velocity]]/Tabella34[[#This Row],[Italy cumul. Fit]]</f>
        <v>1.95195644401812E-2</v>
      </c>
      <c r="Q142" s="244">
        <f>(LN(Tabella34[[#This Row],[Day]]-D_bk)-phi_t)/psi_t</f>
        <v>111.87393023838119</v>
      </c>
      <c r="R142" s="244">
        <f>EXP(phi_t+psi_t*Tabella34[[#This Row],[x_t_alpha©+plus]])-(Tabella34[[#This Row],[Day]]-D_bk)</f>
        <v>-62.205185466766672</v>
      </c>
      <c r="S142" s="244">
        <f>EXP(phi_t+psi_t*Tabella34[[#This Row],[x_t_alpha©-minus]])-(Tabella34[[#This Row],[Day]]-D_bk)</f>
        <v>-62.922851129802474</v>
      </c>
      <c r="T142" s="244">
        <f>-psi_t+SQRT(psi_t^2-2*Tabella34[[#This Row],[c_t]])</f>
        <v>3.5760038280564181</v>
      </c>
      <c r="U142" s="244">
        <f>-psi_t-SQRT(psi_t^2-2*Tabella34[[#This Row],[c_t]])</f>
        <v>-3.6265225027537902</v>
      </c>
      <c r="V142" s="244">
        <f>phi_t-LN(alpha*Kt/(Tabella34[[#This Row],[Italy velocity]]*psi_t*SQRTPI(2)))</f>
        <v>-6.4842291761901478</v>
      </c>
      <c r="W142" s="244">
        <f>Tabella34[[#This Row],[Italy g.r.]]/Italy_gr_at_lockdown</f>
        <v>4.6559243172063731E-2</v>
      </c>
      <c r="X142" s="244">
        <f>(ACOSH(SQRT(alpha*Kf*psi_f/(Tabella34[[#This Row],[Italy velocity]]*(1+TANH(phi_f)))))+phi_f)/psi_f-(Tabella34[[#This Row],[Day]]-pf)</f>
        <v>25.243181777215213</v>
      </c>
      <c r="Y142" s="244">
        <f>Tabella34[[#This Row],[Italy h.t.]]/Italy_ht_at_lockdown</f>
        <v>0.21256049174717961</v>
      </c>
      <c r="Z142" s="72">
        <f>-2*$BY$48*TANH($BY$48*(Tabella34[[#This Row],[Day]]-$BY$57)-$BY$47)*Tabella34[[#This Row],[Italy velocity]]</f>
        <v>-43.470507055648433</v>
      </c>
      <c r="AA142" s="72">
        <f>Tabella34[[#This Row],[Italy acc. fit]]/Itali_acc_at_lockdown</f>
        <v>-1.2420028295132668</v>
      </c>
      <c r="AB142" s="77">
        <f>Tabella34[[#This Row],[Italy acc. fit]]/y_f_peak</f>
        <v>-1.3760890635667817E-2</v>
      </c>
      <c r="AC142" s="143">
        <f>Tabella34[[#This Row],[Italy (fit of selected region + fitted sum of the other regions)]]*NOT(ISBLANK(Tabella34[[#This Row],[Italy rate data]]))</f>
        <v>-44.191265820102117</v>
      </c>
      <c r="AD142" s="143">
        <f>Tabella34[[#This Row],[Italy acc. fit]]*NOT(ISBLANK(Tabella34[[#This Row],[Italy rate data]]))</f>
        <v>-43.470507055648433</v>
      </c>
      <c r="AE142" s="77">
        <f>Tabella34[[#This Row],[Italy acc. fit]]+CIf</f>
        <v>1611.739461868103</v>
      </c>
      <c r="AF142" s="77">
        <f>MAX(Tabella34[[#This Row],[Italy acc. fit]]-CIf,0)</f>
        <v>0</v>
      </c>
      <c r="AG142" s="4">
        <f>Tabella8[[#This Row],[region data]]</f>
        <v>6335</v>
      </c>
      <c r="AH142" s="72">
        <f>(Tabella34[[#This Row],[selected region cumul. data]]-AG141)</f>
        <v>123</v>
      </c>
      <c r="AI142" s="72">
        <f>Tabella34[[#This Row],[selected region rate data]]-AH141</f>
        <v>-5</v>
      </c>
      <c r="AJ142" s="121">
        <f>Tabella34[[#This Row],[selected region rate data]]*NOT(ISBLANK(Tabella34[[#This Row],[selected region rate data]]))</f>
        <v>123</v>
      </c>
      <c r="AK142" s="77">
        <f>Tabella8[[#This Row],[region fit]]</f>
        <v>6451.31124810454</v>
      </c>
      <c r="AL142" s="143">
        <f>(ATANH(alpha*Tabella34[[#This Row],[sel. region cumul. fit]]/Kl-(1-alpha*Tabella34[[#This Row],[sel. region cumul. fit]]/Kl)*TANH(phi_l))+phi_l)/psi_l-(Tabella34[[#This Row],[Day]]-pl)</f>
        <v>96.115979695031598</v>
      </c>
      <c r="AM142" s="77">
        <f>Tabella34[[#This Row],[sel. region cumul. fit]]/Kl</f>
        <v>0.49037455476149888</v>
      </c>
      <c r="AN142" s="143">
        <f>Tabella3[[#This Row],[region fit]]</f>
        <v>146.22756636928099</v>
      </c>
      <c r="AO142" s="186">
        <f>Tabella34[[#This Row],[sel. region velocity]]/Tabella34[[#This Row],[sel. region cumul. fit]]</f>
        <v>2.2666332586610841E-2</v>
      </c>
      <c r="AP142" s="241">
        <f>(LN(Tabella34[[#This Row],[Day]]-pr)-phi_r)/psi_r</f>
        <v>147.59038424070886</v>
      </c>
      <c r="AQ142" s="244">
        <f>EXP(phi_r+psi_r*Tabella34[[#This Row],[x_r_alpha©+plus]])-(Tabella34[[#This Row],[Day]]-pr)</f>
        <v>-55.409215702709332</v>
      </c>
      <c r="AR142" s="244">
        <f>EXP(phi_r+psi_r*Tabella34[[#This Row],[x_r_alpha©-minus]])-(Tabella34[[#This Row],[Day]]-pr)</f>
        <v>-55.86419563313693</v>
      </c>
      <c r="AS142" s="244">
        <f>-psi_r+SQRT(psi_r^2-2*Tabella34[[#This Row],[c_r]])</f>
        <v>3.7429145559205144</v>
      </c>
      <c r="AT142" s="244">
        <f>-psi_r-SQRT(psi_r^2-2*Tabella34[[#This Row],[c_r]])</f>
        <v>-3.7832025655868526</v>
      </c>
      <c r="AU142" s="244">
        <f>phi_r-LN(alpha*Kr/(Tabella34[[#This Row],[sel. region velocity]]*psi_r*SQRTPI(2)))</f>
        <v>-7.0801019753654328</v>
      </c>
      <c r="AV142" s="244">
        <f>(ACOSH(SQRT(alpha*Kl*psi_l/(Tabella34[[#This Row],[sel. region velocity]]*(1+TANH(phi_l)))))+phi_l)/psi_l-(Tabella34[[#This Row],[Day]]-pl)</f>
        <v>39.878841030367667</v>
      </c>
      <c r="AW142" s="72">
        <f>-2*$BY$22*TANH($BY$22*(Tabella34[[#This Row],[Day]]-$BY$31)-$BY$21)*Tabella34[[#This Row],[sel. region velocity]]</f>
        <v>-0.48726429640662916</v>
      </c>
      <c r="AX142" s="77">
        <f>Tabella34[[#This Row],[sel. region acc. fit]]/y_l_peak</f>
        <v>-3.3094370474192549E-3</v>
      </c>
      <c r="AY142" s="143">
        <f>Tabella34[[#This Row],[sel. region acc. fit]]*NOT(ISBLANK(Tabella34[[#This Row],[selected region rate data]]))</f>
        <v>-0.48726429640662916</v>
      </c>
      <c r="AZ142" s="77">
        <f>Tabella34[[#This Row],[sel. region acc. fit]]+CIl</f>
        <v>68.877722078693765</v>
      </c>
      <c r="BA142" s="77">
        <f>MAX(Tabella34[[#This Row],[sel. region acc. fit]]-CIl,0)</f>
        <v>0</v>
      </c>
      <c r="BB142" s="10">
        <f>Tabella8[[#This Row],[rest of Italy ]]</f>
        <v>140321</v>
      </c>
      <c r="BC142" s="10">
        <f>(Tabella34[[#This Row],[rest of Italy cum. Data]]-BB141)</f>
        <v>2886</v>
      </c>
      <c r="BD142" s="10">
        <f>Tabella34[[#This Row],[rest of Italy rate data]]-BC141</f>
        <v>-683</v>
      </c>
      <c r="BE142" s="77">
        <f>Tabella34[[#This Row],[rest of Italy rate data]]*NOT(ISBLANK(Tabella34[[#This Row],[rest of Italy rate data]]))</f>
        <v>2886</v>
      </c>
      <c r="BF142" s="77">
        <f>Tabella8[[#This Row],[rest of Italy fit]]</f>
        <v>140949.75783331352</v>
      </c>
      <c r="BG142" s="78" t="e">
        <f>(ATANH(alpha*Tabella34[[#This Row],[rest of Italy cumul. fit]]/Ka-(1-alpha*Tabella34[[#This Row],[rest of Italy cumul. fit]]/Ka)*TANH(phi_a))+phi_a)/psi_a-(Tabella34[[#This Row],[Day]]-pa)</f>
        <v>#NUM!</v>
      </c>
      <c r="BH142" s="77">
        <f>Tabella34[[#This Row],[rest of Italy cumul. fit]]/Ka</f>
        <v>0.63535495121475571</v>
      </c>
      <c r="BI142" s="143">
        <f>Tabella3[[#This Row],[rest of Italy fit]]</f>
        <v>2724.3346130464734</v>
      </c>
      <c r="BJ142" s="183">
        <f>Tabella34[[#This Row],[rest of Italy velocity]]/Tabella34[[#This Row],[rest of Italy cumul. fit]]</f>
        <v>1.9328409320633653E-2</v>
      </c>
      <c r="BK142" s="236">
        <f>(LN(Tabella34[[#This Row],[Day]]-po)-phi_o)/psi_o</f>
        <v>109.44118619532013</v>
      </c>
      <c r="BL142" s="244">
        <f>EXP(phi_o+psi_o*Tabella34[[#This Row],[x_o_alpha©+plus]])-(Tabella34[[#This Row],[Day]]-po)</f>
        <v>-62.680544111654008</v>
      </c>
      <c r="BM142" s="244">
        <f>EXP(phi_o+psi_o*Tabella34[[#This Row],[x_o_alpha©-minus]])-(Tabella34[[#This Row],[Day]]-po)</f>
        <v>-63.426742109551768</v>
      </c>
      <c r="BN142" s="244">
        <f>-psi_o+SQRT(psi_o^2-2*Tabella34[[#This Row],[c_o]])</f>
        <v>3.5628500904495475</v>
      </c>
      <c r="BO142" s="244">
        <f>-psi_o-SQRT(psi_o^2-2*Tabella34[[#This Row],[c_o]])</f>
        <v>-3.6141633747172008</v>
      </c>
      <c r="BP142" s="244">
        <f>phi_o-LN(alpha*Ko/(Tabella34[[#This Row],[rest of Italy velocity]]*psi_o*SQRTPI(2)))</f>
        <v>-6.4383611532553111</v>
      </c>
      <c r="BQ142" s="244">
        <f>(ACOSH(SQRT(alpha*Ka*psi_a/(Tabella34[[#This Row],[rest of Italy velocity]]*(1+TANH(phi_a)))))+phi_a)/psi_a-(Tabella34[[#This Row],[Day]]-pa)</f>
        <v>24.512876033354331</v>
      </c>
      <c r="BR142" s="72">
        <f>-2*$BY$35*TANH($BY$35*(Tabella34[[#This Row],[Day]]-$BY$44)-$BY$34)*Tabella34[[#This Row],[rest of Italy velocity]]</f>
        <v>-43.704001523695489</v>
      </c>
      <c r="BS142" s="77">
        <f>Tabella34[[#This Row],[rest of Italy acc. fit]]/y_a_peak</f>
        <v>-1.4474167384325111E-2</v>
      </c>
      <c r="BT142" s="77">
        <f>Tabella34[[#This Row],[rest of Italy acc. fit]]*NOT(ISBLANK(Tabella34[[#This Row],[rest of Italy rate data]]))</f>
        <v>-43.704001523695489</v>
      </c>
      <c r="BU142" s="77">
        <f>Tabella34[[#This Row],[rest of Italy acc. fit]]+CIa</f>
        <v>1590.4299384301059</v>
      </c>
      <c r="BV142" s="77">
        <f>MAX(Tabella34[[#This Row],[rest of Italy acc. fit]]-CIa,0)</f>
        <v>0</v>
      </c>
    </row>
    <row r="143" spans="2:74" x14ac:dyDescent="0.3">
      <c r="B143" s="262">
        <v>43966</v>
      </c>
      <c r="C143" s="4">
        <v>136</v>
      </c>
      <c r="D143" s="10">
        <f>Tabella8[[#This Row],[Italy cumulative]]</f>
        <v>151815</v>
      </c>
      <c r="E143" s="72">
        <f>(Tabella34[[#This Row],[Italy cumul. data]]-D142)</f>
        <v>5159</v>
      </c>
      <c r="F143" s="72">
        <f>Tabella34[[#This Row],[Italy rate data]]-E142</f>
        <v>2150</v>
      </c>
      <c r="G143" s="121">
        <f>Tabella34[[#This Row],[Italy rate data]]*NOT(ISBLANK(Tabella34[[#This Row],[Italy rate data]]))</f>
        <v>5159</v>
      </c>
      <c r="H143" s="143">
        <f>Tabella8[[#This Row],[Italy fit]]</f>
        <v>150206.48390750558</v>
      </c>
      <c r="I143" s="143" t="e">
        <f>(ATANH(alpha*Tabella34[[#This Row],[Italy cumul. Fit]]/Kf-(1-alpha*Tabella34[[#This Row],[Italy cumul. Fit]]/Kf)*TANH(phi_f))+phi_f)/psi_f-(Tabella34[[#This Row],[Day]]-pf)</f>
        <v>#NUM!</v>
      </c>
      <c r="J143" s="143" t="e">
        <f>Tabella34[[#This Row],[Italy d.t.]]/Italy_dt_at_lockdown</f>
        <v>#NUM!</v>
      </c>
      <c r="K143" s="77">
        <f>Tabella34[[#This Row],[Italy cumul. Fit]]/Kf</f>
        <v>0.63917652311961504</v>
      </c>
      <c r="L143" s="146">
        <f>Tabella34[[#This Row],[sel. region acc. fit]]+Tabella34[[#This Row],[rest of Italy acc. fit]]</f>
        <v>-46.74246658452094</v>
      </c>
      <c r="M143" s="77">
        <f>Tabella34[[#This Row],[Italy (fit of selected region + fitted sum of the other regions)]]/(y_l_peak+y_a_peak)</f>
        <v>-1.4760701871057226E-2</v>
      </c>
      <c r="N143" s="143">
        <f>Tabella3[[#This Row],[Italy remov. rate fit]]</f>
        <v>2831.4741378621507</v>
      </c>
      <c r="O143" s="143">
        <f>Kt*EXP(-0.5*Tabella34[[#This Row],[x_t]]^2)/(psi_t*SQRTPI(2)*(Tabella34[[#This Row],[Day]]-D_bk))</f>
        <v>0</v>
      </c>
      <c r="P143" s="183">
        <f>Tabella34[[#This Row],[Italy velocity]]/Tabella34[[#This Row],[Italy cumul. Fit]]</f>
        <v>1.8850545357321065E-2</v>
      </c>
      <c r="Q143" s="244">
        <f>(LN(Tabella34[[#This Row],[Day]]-D_bk)-phi_t)/psi_t</f>
        <v>112.46465372548477</v>
      </c>
      <c r="R143" s="244">
        <f>EXP(phi_t+psi_t*Tabella34[[#This Row],[x_t_alpha©+plus]])-(Tabella34[[#This Row],[Day]]-D_bk)</f>
        <v>-63.204710879141821</v>
      </c>
      <c r="S143" s="244">
        <f>EXP(phi_t+psi_t*Tabella34[[#This Row],[x_t_alpha©-minus]])-(Tabella34[[#This Row],[Day]]-D_bk)</f>
        <v>-63.923246730448234</v>
      </c>
      <c r="T143" s="244">
        <f>-psi_t+SQRT(psi_t^2-2*Tabella34[[#This Row],[c_t]])</f>
        <v>3.5803584270401854</v>
      </c>
      <c r="U143" s="244">
        <f>-psi_t-SQRT(psi_t^2-2*Tabella34[[#This Row],[c_t]])</f>
        <v>-3.6308771017375574</v>
      </c>
      <c r="V143" s="244">
        <f>phi_t-LN(alpha*Kt/(Tabella34[[#This Row],[Italy velocity]]*psi_t*SQRTPI(2)))</f>
        <v>-6.4999207143766533</v>
      </c>
      <c r="W143" s="244">
        <f>Tabella34[[#This Row],[Italy g.r.]]/Italy_gr_at_lockdown</f>
        <v>4.4963458478143224E-2</v>
      </c>
      <c r="X143" s="244">
        <f>(ACOSH(SQRT(alpha*Kf*psi_f/(Tabella34[[#This Row],[Italy velocity]]*(1+TANH(phi_f)))))+phi_f)/psi_f-(Tabella34[[#This Row],[Day]]-pf)</f>
        <v>24.662655867433926</v>
      </c>
      <c r="Y143" s="244">
        <f>Tabella34[[#This Row],[Italy h.t.]]/Italy_ht_at_lockdown</f>
        <v>0.2076721668939922</v>
      </c>
      <c r="Z143" s="72">
        <f>-2*$BY$48*TANH($BY$48*(Tabella34[[#This Row],[Day]]-$BY$57)-$BY$47)*Tabella34[[#This Row],[Italy velocity]]</f>
        <v>-46.058120250447828</v>
      </c>
      <c r="AA143" s="72">
        <f>Tabella34[[#This Row],[Italy acc. fit]]/Itali_acc_at_lockdown</f>
        <v>-1.3159339411405722</v>
      </c>
      <c r="AB143" s="77">
        <f>Tabella34[[#This Row],[Italy acc. fit]]/y_f_peak</f>
        <v>-1.45800175470577E-2</v>
      </c>
      <c r="AC143" s="143">
        <f>Tabella34[[#This Row],[Italy (fit of selected region + fitted sum of the other regions)]]*NOT(ISBLANK(Tabella34[[#This Row],[Italy rate data]]))</f>
        <v>-46.74246658452094</v>
      </c>
      <c r="AD143" s="143">
        <f>Tabella34[[#This Row],[Italy acc. fit]]*NOT(ISBLANK(Tabella34[[#This Row],[Italy rate data]]))</f>
        <v>-46.058120250447828</v>
      </c>
      <c r="AE143" s="77">
        <f>Tabella34[[#This Row],[Italy acc. fit]]+CIf</f>
        <v>1609.1518486733034</v>
      </c>
      <c r="AF143" s="77">
        <f>MAX(Tabella34[[#This Row],[Italy acc. fit]]-CIf,0)</f>
        <v>0</v>
      </c>
      <c r="AG143" s="4">
        <f>Tabella8[[#This Row],[region data]]</f>
        <v>6457</v>
      </c>
      <c r="AH143" s="72">
        <f>(Tabella34[[#This Row],[selected region cumul. data]]-AG142)</f>
        <v>122</v>
      </c>
      <c r="AI143" s="72">
        <f>Tabella34[[#This Row],[selected region rate data]]-AH142</f>
        <v>-1</v>
      </c>
      <c r="AJ143" s="121">
        <f>Tabella34[[#This Row],[selected region rate data]]*NOT(ISBLANK(Tabella34[[#This Row],[selected region rate data]]))</f>
        <v>122</v>
      </c>
      <c r="AK143" s="77">
        <f>Tabella8[[#This Row],[region fit]]</f>
        <v>6597.2758777218451</v>
      </c>
      <c r="AL143" s="143" t="e">
        <f>(ATANH(alpha*Tabella34[[#This Row],[sel. region cumul. fit]]/Kl-(1-alpha*Tabella34[[#This Row],[sel. region cumul. fit]]/Kl)*TANH(phi_l))+phi_l)/psi_l-(Tabella34[[#This Row],[Day]]-pl)</f>
        <v>#NUM!</v>
      </c>
      <c r="AM143" s="77">
        <f>Tabella34[[#This Row],[sel. region cumul. fit]]/Kl</f>
        <v>0.50146956126588094</v>
      </c>
      <c r="AN143" s="143">
        <f>Tabella3[[#This Row],[region fit]]</f>
        <v>145.68245953999801</v>
      </c>
      <c r="AO143" s="186">
        <f>Tabella34[[#This Row],[sel. region velocity]]/Tabella34[[#This Row],[sel. region cumul. fit]]</f>
        <v>2.2082214271491814E-2</v>
      </c>
      <c r="AP143" s="241">
        <f>(LN(Tabella34[[#This Row],[Day]]-pr)-phi_r)/psi_r</f>
        <v>148.42976185686578</v>
      </c>
      <c r="AQ143" s="244">
        <f>EXP(phi_r+psi_r*Tabella34[[#This Row],[x_r_alpha©+plus]])-(Tabella34[[#This Row],[Day]]-pr)</f>
        <v>-56.409151048694099</v>
      </c>
      <c r="AR143" s="244">
        <f>EXP(phi_r+psi_r*Tabella34[[#This Row],[x_r_alpha©-minus]])-(Tabella34[[#This Row],[Day]]-pr)</f>
        <v>-56.864251190945858</v>
      </c>
      <c r="AS143" s="244">
        <f>-psi_r+SQRT(psi_r^2-2*Tabella34[[#This Row],[c_r]])</f>
        <v>3.7439069059236831</v>
      </c>
      <c r="AT143" s="244">
        <f>-psi_r-SQRT(psi_r^2-2*Tabella34[[#This Row],[c_r]])</f>
        <v>-3.7841949155900214</v>
      </c>
      <c r="AU143" s="244">
        <f>phi_r-LN(alpha*Kr/(Tabella34[[#This Row],[sel. region velocity]]*psi_r*SQRTPI(2)))</f>
        <v>-7.083836738919385</v>
      </c>
      <c r="AV143" s="244">
        <f>(ACOSH(SQRT(alpha*Kl*psi_l/(Tabella34[[#This Row],[sel. region velocity]]*(1+TANH(phi_l)))))+phi_l)/psi_l-(Tabella34[[#This Row],[Day]]-pl)</f>
        <v>39.009374810148216</v>
      </c>
      <c r="AW143" s="72">
        <f>-2*$BY$22*TANH($BY$22*(Tabella34[[#This Row],[Day]]-$BY$31)-$BY$21)*Tabella34[[#This Row],[sel. region velocity]]</f>
        <v>-0.60265824929780176</v>
      </c>
      <c r="AX143" s="77">
        <f>Tabella34[[#This Row],[sel. region acc. fit]]/y_l_peak</f>
        <v>-4.0931780798783759E-3</v>
      </c>
      <c r="AY143" s="143">
        <f>Tabella34[[#This Row],[sel. region acc. fit]]*NOT(ISBLANK(Tabella34[[#This Row],[selected region rate data]]))</f>
        <v>-0.60265824929780176</v>
      </c>
      <c r="AZ143" s="77">
        <f>Tabella34[[#This Row],[sel. region acc. fit]]+CIl</f>
        <v>68.762328125802597</v>
      </c>
      <c r="BA143" s="77">
        <f>MAX(Tabella34[[#This Row],[sel. region acc. fit]]-CIl,0)</f>
        <v>0</v>
      </c>
      <c r="BB143" s="10">
        <f>Tabella8[[#This Row],[rest of Italy ]]</f>
        <v>145358</v>
      </c>
      <c r="BC143" s="10">
        <f>(Tabella34[[#This Row],[rest of Italy cum. Data]]-BB142)</f>
        <v>5037</v>
      </c>
      <c r="BD143" s="10">
        <f>Tabella34[[#This Row],[rest of Italy rate data]]-BC142</f>
        <v>2151</v>
      </c>
      <c r="BE143" s="77">
        <f>Tabella34[[#This Row],[rest of Italy rate data]]*NOT(ISBLANK(Tabella34[[#This Row],[rest of Italy rate data]]))</f>
        <v>5037</v>
      </c>
      <c r="BF143" s="77">
        <f>Tabella8[[#This Row],[rest of Italy fit]]</f>
        <v>143651.82617947177</v>
      </c>
      <c r="BG143" s="78" t="e">
        <f>(ATANH(alpha*Tabella34[[#This Row],[rest of Italy cumul. fit]]/Ka-(1-alpha*Tabella34[[#This Row],[rest of Italy cumul. fit]]/Ka)*TANH(phi_a))+phi_a)/psi_a-(Tabella34[[#This Row],[Day]]-pa)</f>
        <v>#NUM!</v>
      </c>
      <c r="BH143" s="77">
        <f>Tabella34[[#This Row],[rest of Italy cumul. fit]]/Ka</f>
        <v>0.64753498279936161</v>
      </c>
      <c r="BI143" s="143">
        <f>Tabella3[[#This Row],[rest of Italy fit]]</f>
        <v>2679.396096122658</v>
      </c>
      <c r="BJ143" s="183">
        <f>Tabella34[[#This Row],[rest of Italy velocity]]/Tabella34[[#This Row],[rest of Italy cumul. fit]]</f>
        <v>1.8652015553043841E-2</v>
      </c>
      <c r="BK143" s="236">
        <f>(LN(Tabella34[[#This Row],[Day]]-po)-phi_o)/psi_o</f>
        <v>110.01761965458881</v>
      </c>
      <c r="BL143" s="244">
        <f>EXP(phi_o+psi_o*Tabella34[[#This Row],[x_o_alpha©+plus]])-(Tabella34[[#This Row],[Day]]-po)</f>
        <v>-63.680016786018903</v>
      </c>
      <c r="BM143" s="244">
        <f>EXP(phi_o+psi_o*Tabella34[[#This Row],[x_o_alpha©-minus]])-(Tabella34[[#This Row],[Day]]-po)</f>
        <v>-64.427180697936407</v>
      </c>
      <c r="BN143" s="244">
        <f>-psi_o+SQRT(psi_o^2-2*Tabella34[[#This Row],[c_o]])</f>
        <v>3.5674821174009206</v>
      </c>
      <c r="BO143" s="244">
        <f>-psi_o-SQRT(psi_o^2-2*Tabella34[[#This Row],[c_o]])</f>
        <v>-3.6187954016685739</v>
      </c>
      <c r="BP143" s="244">
        <f>phi_o-LN(alpha*Ko/(Tabella34[[#This Row],[rest of Italy velocity]]*psi_o*SQRTPI(2)))</f>
        <v>-6.4549939409926598</v>
      </c>
      <c r="BQ143" s="244">
        <f>(ACOSH(SQRT(alpha*Ka*psi_a/(Tabella34[[#This Row],[rest of Italy velocity]]*(1+TANH(phi_a)))))+phi_a)/psi_a-(Tabella34[[#This Row],[Day]]-pa)</f>
        <v>23.948922021976884</v>
      </c>
      <c r="BR143" s="72">
        <f>-2*$BY$35*TANH($BY$35*(Tabella34[[#This Row],[Day]]-$BY$44)-$BY$34)*Tabella34[[#This Row],[rest of Italy velocity]]</f>
        <v>-46.139808335223137</v>
      </c>
      <c r="BS143" s="77">
        <f>Tabella34[[#This Row],[rest of Italy acc. fit]]/y_a_peak</f>
        <v>-1.5280873275702475E-2</v>
      </c>
      <c r="BT143" s="77">
        <f>Tabella34[[#This Row],[rest of Italy acc. fit]]*NOT(ISBLANK(Tabella34[[#This Row],[rest of Italy rate data]]))</f>
        <v>-46.139808335223137</v>
      </c>
      <c r="BU143" s="77">
        <f>Tabella34[[#This Row],[rest of Italy acc. fit]]+CIa</f>
        <v>1587.9941316185784</v>
      </c>
      <c r="BV143" s="77">
        <f>MAX(Tabella34[[#This Row],[rest of Italy acc. fit]]-CIa,0)</f>
        <v>0</v>
      </c>
    </row>
    <row r="144" spans="2:74" x14ac:dyDescent="0.3">
      <c r="B144" s="262">
        <v>43967</v>
      </c>
      <c r="C144" s="4">
        <v>137</v>
      </c>
      <c r="D144" s="10">
        <f>Tabella8[[#This Row],[Italy cumulative]]</f>
        <v>154573</v>
      </c>
      <c r="E144" s="72">
        <f>(Tabella34[[#This Row],[Italy cumul. data]]-D143)</f>
        <v>2758</v>
      </c>
      <c r="F144" s="72">
        <f>Tabella34[[#This Row],[Italy rate data]]-E143</f>
        <v>-2401</v>
      </c>
      <c r="G144" s="121">
        <f>Tabella34[[#This Row],[Italy rate data]]*NOT(ISBLANK(Tabella34[[#This Row],[Italy rate data]]))</f>
        <v>2758</v>
      </c>
      <c r="H144" s="143">
        <f>Tabella8[[#This Row],[Italy fit]]</f>
        <v>153014.52241017277</v>
      </c>
      <c r="I144" s="143" t="e">
        <f>(ATANH(alpha*Tabella34[[#This Row],[Italy cumul. Fit]]/Kf-(1-alpha*Tabella34[[#This Row],[Italy cumul. Fit]]/Kf)*TANH(phi_f))+phi_f)/psi_f-(Tabella34[[#This Row],[Day]]-pf)</f>
        <v>#NUM!</v>
      </c>
      <c r="J144" s="143" t="e">
        <f>Tabella34[[#This Row],[Italy d.t.]]/Italy_dt_at_lockdown</f>
        <v>#NUM!</v>
      </c>
      <c r="K144" s="77">
        <f>Tabella34[[#This Row],[Italy cumul. Fit]]/Kf</f>
        <v>0.65112562305345045</v>
      </c>
      <c r="L144" s="146">
        <f>Tabella34[[#This Row],[sel. region acc. fit]]+Tabella34[[#This Row],[rest of Italy acc. fit]]</f>
        <v>-49.089956296440683</v>
      </c>
      <c r="M144" s="77">
        <f>Tabella34[[#This Row],[Italy (fit of selected region + fitted sum of the other regions)]]/(y_l_peak+y_a_peak)</f>
        <v>-1.5502010542056974E-2</v>
      </c>
      <c r="N144" s="143">
        <f>Tabella3[[#This Row],[Italy remov. rate fit]]</f>
        <v>2784.2046507154732</v>
      </c>
      <c r="O144" s="143">
        <f>Kt*EXP(-0.5*Tabella34[[#This Row],[x_t]]^2)/(psi_t*SQRTPI(2)*(Tabella34[[#This Row],[Day]]-D_bk))</f>
        <v>0</v>
      </c>
      <c r="P144" s="183">
        <f>Tabella34[[#This Row],[Italy velocity]]/Tabella34[[#This Row],[Italy cumul. Fit]]</f>
        <v>1.8195688924559049E-2</v>
      </c>
      <c r="Q144" s="244">
        <f>(LN(Tabella34[[#This Row],[Day]]-D_bk)-phi_t)/psi_t</f>
        <v>113.0466922911767</v>
      </c>
      <c r="R144" s="244">
        <f>EXP(phi_t+psi_t*Tabella34[[#This Row],[x_t_alpha©+plus]])-(Tabella34[[#This Row],[Day]]-D_bk)</f>
        <v>-64.204202279564257</v>
      </c>
      <c r="S144" s="244">
        <f>EXP(phi_t+psi_t*Tabella34[[#This Row],[x_t_alpha©-minus]])-(Tabella34[[#This Row],[Day]]-D_bk)</f>
        <v>-64.923670585750088</v>
      </c>
      <c r="T144" s="244">
        <f>-psi_t+SQRT(psi_t^2-2*Tabella34[[#This Row],[c_t]])</f>
        <v>3.5850245725061458</v>
      </c>
      <c r="U144" s="244">
        <f>-psi_t-SQRT(psi_t^2-2*Tabella34[[#This Row],[c_t]])</f>
        <v>-3.6355432472035178</v>
      </c>
      <c r="V144" s="244">
        <f>phi_t-LN(alpha*Kt/(Tabella34[[#This Row],[Italy velocity]]*psi_t*SQRTPI(2)))</f>
        <v>-6.5167559378166988</v>
      </c>
      <c r="W144" s="244">
        <f>Tabella34[[#This Row],[Italy g.r.]]/Italy_gr_at_lockdown</f>
        <v>4.3401455391998855E-2</v>
      </c>
      <c r="X144" s="244">
        <f>(ACOSH(SQRT(alpha*Kf*psi_f/(Tabella34[[#This Row],[Italy velocity]]*(1+TANH(phi_f)))))+phi_f)/psi_f-(Tabella34[[#This Row],[Day]]-pf)</f>
        <v>24.109743026819473</v>
      </c>
      <c r="Y144" s="244">
        <f>Tabella34[[#This Row],[Italy h.t.]]/Italy_ht_at_lockdown</f>
        <v>0.20301635819556496</v>
      </c>
      <c r="Z144" s="72">
        <f>-2*$BY$48*TANH($BY$48*(Tabella34[[#This Row],[Day]]-$BY$57)-$BY$47)*Tabella34[[#This Row],[Italy velocity]]</f>
        <v>-48.447341665456072</v>
      </c>
      <c r="AA144" s="72">
        <f>Tabella34[[#This Row],[Italy acc. fit]]/Itali_acc_at_lockdown</f>
        <v>-1.3841967694065322</v>
      </c>
      <c r="AB144" s="77">
        <f>Tabella34[[#This Row],[Italy acc. fit]]/y_f_peak</f>
        <v>-1.5336342163980979E-2</v>
      </c>
      <c r="AC144" s="143">
        <f>Tabella34[[#This Row],[Italy (fit of selected region + fitted sum of the other regions)]]*NOT(ISBLANK(Tabella34[[#This Row],[Italy rate data]]))</f>
        <v>-49.089956296440683</v>
      </c>
      <c r="AD144" s="143">
        <f>Tabella34[[#This Row],[Italy acc. fit]]*NOT(ISBLANK(Tabella34[[#This Row],[Italy rate data]]))</f>
        <v>-48.447341665456072</v>
      </c>
      <c r="AE144" s="77">
        <f>Tabella34[[#This Row],[Italy acc. fit]]+CIf</f>
        <v>1606.7626272582952</v>
      </c>
      <c r="AF144" s="77">
        <f>MAX(Tabella34[[#This Row],[Italy acc. fit]]-CIf,0)</f>
        <v>0</v>
      </c>
      <c r="AG144" s="4">
        <f>Tabella8[[#This Row],[region data]]</f>
        <v>6578</v>
      </c>
      <c r="AH144" s="72">
        <f>(Tabella34[[#This Row],[selected region cumul. data]]-AG143)</f>
        <v>121</v>
      </c>
      <c r="AI144" s="72">
        <f>Tabella34[[#This Row],[selected region rate data]]-AH143</f>
        <v>-1</v>
      </c>
      <c r="AJ144" s="121">
        <f>Tabella34[[#This Row],[selected region rate data]]*NOT(ISBLANK(Tabella34[[#This Row],[selected region rate data]]))</f>
        <v>121</v>
      </c>
      <c r="AK144" s="77">
        <f>Tabella8[[#This Row],[region fit]]</f>
        <v>6742.6380095069053</v>
      </c>
      <c r="AL144" s="143" t="e">
        <f>(ATANH(alpha*Tabella34[[#This Row],[sel. region cumul. fit]]/Kl-(1-alpha*Tabella34[[#This Row],[sel. region cumul. fit]]/Kl)*TANH(phi_l))+phi_l)/psi_l-(Tabella34[[#This Row],[Day]]-pl)</f>
        <v>#NUM!</v>
      </c>
      <c r="AM144" s="77">
        <f>Tabella34[[#This Row],[sel. region cumul. fit]]/Kl</f>
        <v>0.51251877093999554</v>
      </c>
      <c r="AN144" s="143">
        <f>Tabella3[[#This Row],[region fit]]</f>
        <v>145.02289146672842</v>
      </c>
      <c r="AO144" s="186">
        <f>Tabella34[[#This Row],[sel. region velocity]]/Tabella34[[#This Row],[sel. region cumul. fit]]</f>
        <v>2.1508331199487613E-2</v>
      </c>
      <c r="AP144" s="241">
        <f>(LN(Tabella34[[#This Row],[Day]]-pr)-phi_r)/psi_r</f>
        <v>149.25518258019531</v>
      </c>
      <c r="AQ144" s="244">
        <f>EXP(phi_r+psi_r*Tabella34[[#This Row],[x_r_alpha©+plus]])-(Tabella34[[#This Row],[Day]]-pr)</f>
        <v>-57.409072515626896</v>
      </c>
      <c r="AR144" s="244">
        <f>EXP(phi_r+psi_r*Tabella34[[#This Row],[x_r_alpha©-minus]])-(Tabella34[[#This Row],[Day]]-pr)</f>
        <v>-57.86431867216838</v>
      </c>
      <c r="AS144" s="244">
        <f>-psi_r+SQRT(psi_r^2-2*Tabella34[[#This Row],[c_r]])</f>
        <v>3.7451122535603405</v>
      </c>
      <c r="AT144" s="244">
        <f>-psi_r-SQRT(psi_r^2-2*Tabella34[[#This Row],[c_r]])</f>
        <v>-3.7854002632266788</v>
      </c>
      <c r="AU144" s="244">
        <f>phi_r-LN(alpha*Kr/(Tabella34[[#This Row],[sel. region velocity]]*psi_r*SQRTPI(2)))</f>
        <v>-7.0883744552203867</v>
      </c>
      <c r="AV144" s="244">
        <f>(ACOSH(SQRT(alpha*Kl*psi_l/(Tabella34[[#This Row],[sel. region velocity]]*(1+TANH(phi_l)))))+phi_l)/psi_l-(Tabella34[[#This Row],[Day]]-pl)</f>
        <v>38.167651951010228</v>
      </c>
      <c r="AW144" s="72">
        <f>-2*$BY$22*TANH($BY$22*(Tabella34[[#This Row],[Day]]-$BY$31)-$BY$21)*Tabella34[[#This Row],[sel. region velocity]]</f>
        <v>-0.71612784706934074</v>
      </c>
      <c r="AX144" s="77">
        <f>Tabella34[[#This Row],[sel. region acc. fit]]/y_l_peak</f>
        <v>-4.863849137434202E-3</v>
      </c>
      <c r="AY144" s="143">
        <f>Tabella34[[#This Row],[sel. region acc. fit]]*NOT(ISBLANK(Tabella34[[#This Row],[selected region rate data]]))</f>
        <v>-0.71612784706934074</v>
      </c>
      <c r="AZ144" s="77">
        <f>Tabella34[[#This Row],[sel. region acc. fit]]+CIl</f>
        <v>68.648858528031056</v>
      </c>
      <c r="BA144" s="77">
        <f>MAX(Tabella34[[#This Row],[sel. region acc. fit]]-CIl,0)</f>
        <v>0</v>
      </c>
      <c r="BB144" s="10">
        <f>Tabella8[[#This Row],[rest of Italy ]]</f>
        <v>147995</v>
      </c>
      <c r="BC144" s="10">
        <f>(Tabella34[[#This Row],[rest of Italy cum. Data]]-BB143)</f>
        <v>2637</v>
      </c>
      <c r="BD144" s="10">
        <f>Tabella34[[#This Row],[rest of Italy rate data]]-BC143</f>
        <v>-2400</v>
      </c>
      <c r="BE144" s="77">
        <f>Tabella34[[#This Row],[rest of Italy rate data]]*NOT(ISBLANK(Tabella34[[#This Row],[rest of Italy rate data]]))</f>
        <v>2637</v>
      </c>
      <c r="BF144" s="77">
        <f>Tabella8[[#This Row],[rest of Italy fit]]</f>
        <v>146307.77154005514</v>
      </c>
      <c r="BG144" s="78" t="e">
        <f>(ATANH(alpha*Tabella34[[#This Row],[rest of Italy cumul. fit]]/Ka-(1-alpha*Tabella34[[#This Row],[rest of Italy cumul. fit]]/Ka)*TANH(phi_a))+phi_a)/psi_a-(Tabella34[[#This Row],[Day]]-pa)</f>
        <v>#NUM!</v>
      </c>
      <c r="BH144" s="77">
        <f>Tabella34[[#This Row],[rest of Italy cumul. fit]]/Ka</f>
        <v>0.65950710719987382</v>
      </c>
      <c r="BI144" s="143">
        <f>Tabella3[[#This Row],[rest of Italy fit]]</f>
        <v>2632.1222778136394</v>
      </c>
      <c r="BJ144" s="183">
        <f>Tabella34[[#This Row],[rest of Italy velocity]]/Tabella34[[#This Row],[rest of Italy cumul. fit]]</f>
        <v>1.7990310768235814E-2</v>
      </c>
      <c r="BK144" s="236">
        <f>(LN(Tabella34[[#This Row],[Day]]-po)-phi_o)/psi_o</f>
        <v>110.58565213353934</v>
      </c>
      <c r="BL144" s="244">
        <f>EXP(phi_o+psi_o*Tabella34[[#This Row],[x_o_alpha©+plus]])-(Tabella34[[#This Row],[Day]]-po)</f>
        <v>-64.679453107384816</v>
      </c>
      <c r="BM144" s="244">
        <f>EXP(phi_o+psi_o*Tabella34[[#This Row],[x_o_alpha©-minus]])-(Tabella34[[#This Row],[Day]]-po)</f>
        <v>-65.427649406662013</v>
      </c>
      <c r="BN144" s="244">
        <f>-psi_o+SQRT(psi_o^2-2*Tabella34[[#This Row],[c_o]])</f>
        <v>3.5724328603600983</v>
      </c>
      <c r="BO144" s="244">
        <f>-psi_o-SQRT(psi_o^2-2*Tabella34[[#This Row],[c_o]])</f>
        <v>-3.6237461446277517</v>
      </c>
      <c r="BP144" s="244">
        <f>phi_o-LN(alpha*Ko/(Tabella34[[#This Row],[rest of Italy velocity]]*psi_o*SQRTPI(2)))</f>
        <v>-6.4727949023356981</v>
      </c>
      <c r="BQ144" s="244">
        <f>(ACOSH(SQRT(alpha*Ka*psi_a/(Tabella34[[#This Row],[rest of Italy velocity]]*(1+TANH(phi_a)))))+phi_a)/psi_a-(Tabella34[[#This Row],[Day]]-pa)</f>
        <v>23.412401774087186</v>
      </c>
      <c r="BR144" s="72">
        <f>-2*$BY$35*TANH($BY$35*(Tabella34[[#This Row],[Day]]-$BY$44)-$BY$34)*Tabella34[[#This Row],[rest of Italy velocity]]</f>
        <v>-48.373828449371345</v>
      </c>
      <c r="BS144" s="77">
        <f>Tabella34[[#This Row],[rest of Italy acc. fit]]/y_a_peak</f>
        <v>-1.6020750173578714E-2</v>
      </c>
      <c r="BT144" s="77">
        <f>Tabella34[[#This Row],[rest of Italy acc. fit]]*NOT(ISBLANK(Tabella34[[#This Row],[rest of Italy rate data]]))</f>
        <v>-48.373828449371345</v>
      </c>
      <c r="BU144" s="77">
        <f>Tabella34[[#This Row],[rest of Italy acc. fit]]+CIa</f>
        <v>1585.7601115044301</v>
      </c>
      <c r="BV144" s="77">
        <f>MAX(Tabella34[[#This Row],[rest of Italy acc. fit]]-CIa,0)</f>
        <v>0</v>
      </c>
    </row>
    <row r="145" spans="2:74" x14ac:dyDescent="0.3">
      <c r="B145" s="262">
        <v>43968</v>
      </c>
      <c r="C145" s="4">
        <v>138</v>
      </c>
      <c r="D145" s="10">
        <f>Tabella8[[#This Row],[Italy cumulative]]</f>
        <v>157084</v>
      </c>
      <c r="E145" s="72">
        <f>(Tabella34[[#This Row],[Italy cumul. data]]-D144)</f>
        <v>2511</v>
      </c>
      <c r="F145" s="72">
        <f>Tabella34[[#This Row],[Italy rate data]]-E144</f>
        <v>-247</v>
      </c>
      <c r="G145" s="121">
        <f>Tabella34[[#This Row],[Italy rate data]]*NOT(ISBLANK(Tabella34[[#This Row],[Italy rate data]]))</f>
        <v>2511</v>
      </c>
      <c r="H145" s="143">
        <f>Tabella8[[#This Row],[Italy fit]]</f>
        <v>155774.13050662907</v>
      </c>
      <c r="I145" s="143" t="e">
        <f>(ATANH(alpha*Tabella34[[#This Row],[Italy cumul. Fit]]/Kf-(1-alpha*Tabella34[[#This Row],[Italy cumul. Fit]]/Kf)*TANH(phi_f))+phi_f)/psi_f-(Tabella34[[#This Row],[Day]]-pf)</f>
        <v>#NUM!</v>
      </c>
      <c r="J145" s="143" t="e">
        <f>Tabella34[[#This Row],[Italy d.t.]]/Italy_dt_at_lockdown</f>
        <v>#NUM!</v>
      </c>
      <c r="K145" s="77">
        <f>Tabella34[[#This Row],[Italy cumul. Fit]]/Kf</f>
        <v>0.66286863615368274</v>
      </c>
      <c r="L145" s="146">
        <f>Tabella34[[#This Row],[sel. region acc. fit]]+Tabella34[[#This Row],[rest of Italy acc. fit]]</f>
        <v>-51.229589804250708</v>
      </c>
      <c r="M145" s="77">
        <f>Tabella34[[#This Row],[Italy (fit of selected region + fitted sum of the other regions)]]/(y_l_peak+y_a_peak)</f>
        <v>-1.6177680754389478E-2</v>
      </c>
      <c r="N145" s="143">
        <f>Tabella3[[#This Row],[Italy remov. rate fit]]</f>
        <v>2734.6471871368508</v>
      </c>
      <c r="O145" s="143">
        <f>Kt*EXP(-0.5*Tabella34[[#This Row],[x_t]]^2)/(psi_t*SQRTPI(2)*(Tabella34[[#This Row],[Day]]-D_bk))</f>
        <v>0</v>
      </c>
      <c r="P145" s="183">
        <f>Tabella34[[#This Row],[Italy velocity]]/Tabella34[[#This Row],[Italy cumul. Fit]]</f>
        <v>1.7555207519007632E-2</v>
      </c>
      <c r="Q145" s="244">
        <f>(LN(Tabella34[[#This Row],[Day]]-D_bk)-phi_t)/psi_t</f>
        <v>113.62029761420683</v>
      </c>
      <c r="R145" s="244">
        <f>EXP(phi_t+psi_t*Tabella34[[#This Row],[x_t_alpha©+plus]])-(Tabella34[[#This Row],[Day]]-D_bk)</f>
        <v>-65.203660363117663</v>
      </c>
      <c r="S145" s="244">
        <f>EXP(phi_t+psi_t*Tabella34[[#This Row],[x_t_alpha©-minus]])-(Tabella34[[#This Row],[Day]]-D_bk)</f>
        <v>-65.924122096645519</v>
      </c>
      <c r="T145" s="244">
        <f>-psi_t+SQRT(psi_t^2-2*Tabella34[[#This Row],[c_t]])</f>
        <v>3.5899957783826419</v>
      </c>
      <c r="U145" s="244">
        <f>-psi_t-SQRT(psi_t^2-2*Tabella34[[#This Row],[c_t]])</f>
        <v>-3.640514453080014</v>
      </c>
      <c r="V145" s="244">
        <f>phi_t-LN(alpha*Kt/(Tabella34[[#This Row],[Italy velocity]]*psi_t*SQRTPI(2)))</f>
        <v>-6.5347157588491207</v>
      </c>
      <c r="W145" s="244">
        <f>Tabella34[[#This Row],[Italy g.r.]]/Italy_gr_at_lockdown</f>
        <v>4.1873740488336961E-2</v>
      </c>
      <c r="X145" s="244">
        <f>(ACOSH(SQRT(alpha*Kf*psi_f/(Tabella34[[#This Row],[Italy velocity]]*(1+TANH(phi_f)))))+phi_f)/psi_f-(Tabella34[[#This Row],[Day]]-pf)</f>
        <v>23.583439918059725</v>
      </c>
      <c r="Y145" s="244">
        <f>Tabella34[[#This Row],[Italy h.t.]]/Italy_ht_at_lockdown</f>
        <v>0.19858461703894825</v>
      </c>
      <c r="Z145" s="72">
        <f>-2*$BY$48*TANH($BY$48*(Tabella34[[#This Row],[Day]]-$BY$57)-$BY$47)*Tabella34[[#This Row],[Italy velocity]]</f>
        <v>-50.633420532198727</v>
      </c>
      <c r="AA145" s="72">
        <f>Tabella34[[#This Row],[Italy acc. fit]]/Itali_acc_at_lockdown</f>
        <v>-1.4466555793430669</v>
      </c>
      <c r="AB145" s="77">
        <f>Tabella34[[#This Row],[Italy acc. fit]]/y_f_peak</f>
        <v>-1.6028360597713086E-2</v>
      </c>
      <c r="AC145" s="143">
        <f>Tabella34[[#This Row],[Italy (fit of selected region + fitted sum of the other regions)]]*NOT(ISBLANK(Tabella34[[#This Row],[Italy rate data]]))</f>
        <v>-51.229589804250708</v>
      </c>
      <c r="AD145" s="143">
        <f>Tabella34[[#This Row],[Italy acc. fit]]*NOT(ISBLANK(Tabella34[[#This Row],[Italy rate data]]))</f>
        <v>-50.633420532198727</v>
      </c>
      <c r="AE145" s="77">
        <f>Tabella34[[#This Row],[Italy acc. fit]]+CIf</f>
        <v>1604.5765483915527</v>
      </c>
      <c r="AF145" s="77">
        <f>MAX(Tabella34[[#This Row],[Italy acc. fit]]-CIf,0)</f>
        <v>0</v>
      </c>
      <c r="AG145" s="4">
        <f>Tabella8[[#This Row],[region data]]</f>
        <v>6703</v>
      </c>
      <c r="AH145" s="72">
        <f>(Tabella34[[#This Row],[selected region cumul. data]]-AG144)</f>
        <v>125</v>
      </c>
      <c r="AI145" s="72">
        <f>Tabella34[[#This Row],[selected region rate data]]-AH144</f>
        <v>4</v>
      </c>
      <c r="AJ145" s="121">
        <f>Tabella34[[#This Row],[selected region rate data]]*NOT(ISBLANK(Tabella34[[#This Row],[selected region rate data]]))</f>
        <v>125</v>
      </c>
      <c r="AK145" s="77">
        <f>Tabella8[[#This Row],[region fit]]</f>
        <v>6887.2842027644974</v>
      </c>
      <c r="AL145" s="143" t="e">
        <f>(ATANH(alpha*Tabella34[[#This Row],[sel. region cumul. fit]]/Kl-(1-alpha*Tabella34[[#This Row],[sel. region cumul. fit]]/Kl)*TANH(phi_l))+phi_l)/psi_l-(Tabella34[[#This Row],[Day]]-pl)</f>
        <v>#NUM!</v>
      </c>
      <c r="AM145" s="77">
        <f>Tabella34[[#This Row],[sel. region cumul. fit]]/Kl</f>
        <v>0.52351356097395618</v>
      </c>
      <c r="AN145" s="143">
        <f>Tabella3[[#This Row],[region fit]]</f>
        <v>144.2509610398769</v>
      </c>
      <c r="AO145" s="186">
        <f>Tabella34[[#This Row],[sel. region velocity]]/Tabella34[[#This Row],[sel. region cumul. fit]]</f>
        <v>2.0944534419238253E-2</v>
      </c>
      <c r="AP145" s="241">
        <f>(LN(Tabella34[[#This Row],[Day]]-pr)-phi_r)/psi_r</f>
        <v>150.06710297069262</v>
      </c>
      <c r="AQ145" s="244">
        <f>EXP(phi_r+psi_r*Tabella34[[#This Row],[x_r_alpha©+plus]])-(Tabella34[[#This Row],[Day]]-pr)</f>
        <v>-58.408980178691721</v>
      </c>
      <c r="AR145" s="244">
        <f>EXP(phi_r+psi_r*Tabella34[[#This Row],[x_r_alpha©-minus]])-(Tabella34[[#This Row],[Day]]-pr)</f>
        <v>-58.864398010469145</v>
      </c>
      <c r="AS145" s="244">
        <f>-psi_r+SQRT(psi_r^2-2*Tabella34[[#This Row],[c_r]])</f>
        <v>3.7465294294169071</v>
      </c>
      <c r="AT145" s="244">
        <f>-psi_r-SQRT(psi_r^2-2*Tabella34[[#This Row],[c_r]])</f>
        <v>-3.7868174390832454</v>
      </c>
      <c r="AU145" s="244">
        <f>phi_r-LN(alpha*Kr/(Tabella34[[#This Row],[sel. region velocity]]*psi_r*SQRTPI(2)))</f>
        <v>-7.0937114896772728</v>
      </c>
      <c r="AV145" s="244">
        <f>(ACOSH(SQRT(alpha*Kl*psi_l/(Tabella34[[#This Row],[sel. region velocity]]*(1+TANH(phi_l)))))+phi_l)/psi_l-(Tabella34[[#This Row],[Day]]-pl)</f>
        <v>37.353364404457849</v>
      </c>
      <c r="AW145" s="72">
        <f>-2*$BY$22*TANH($BY$22*(Tabella34[[#This Row],[Day]]-$BY$31)-$BY$21)*Tabella34[[#This Row],[sel. region velocity]]</f>
        <v>-0.82732636904391466</v>
      </c>
      <c r="AX145" s="77">
        <f>Tabella34[[#This Row],[sel. region acc. fit]]/y_l_peak</f>
        <v>-5.6190953374016511E-3</v>
      </c>
      <c r="AY145" s="143">
        <f>Tabella34[[#This Row],[sel. region acc. fit]]*NOT(ISBLANK(Tabella34[[#This Row],[selected region rate data]]))</f>
        <v>-0.82732636904391466</v>
      </c>
      <c r="AZ145" s="77">
        <f>Tabella34[[#This Row],[sel. region acc. fit]]+CIl</f>
        <v>68.537660006056484</v>
      </c>
      <c r="BA145" s="77">
        <f>MAX(Tabella34[[#This Row],[sel. region acc. fit]]-CIl,0)</f>
        <v>0</v>
      </c>
      <c r="BB145" s="10">
        <f>Tabella8[[#This Row],[rest of Italy ]]</f>
        <v>150381</v>
      </c>
      <c r="BC145" s="10">
        <f>(Tabella34[[#This Row],[rest of Italy cum. Data]]-BB144)</f>
        <v>2386</v>
      </c>
      <c r="BD145" s="10">
        <f>Tabella34[[#This Row],[rest of Italy rate data]]-BC144</f>
        <v>-251</v>
      </c>
      <c r="BE145" s="77">
        <f>Tabella34[[#This Row],[rest of Italy rate data]]*NOT(ISBLANK(Tabella34[[#This Row],[rest of Italy rate data]]))</f>
        <v>2386</v>
      </c>
      <c r="BF145" s="77">
        <f>Tabella8[[#This Row],[rest of Italy fit]]</f>
        <v>148915.360211297</v>
      </c>
      <c r="BG145" s="78" t="e">
        <f>(ATANH(alpha*Tabella34[[#This Row],[rest of Italy cumul. fit]]/Ka-(1-alpha*Tabella34[[#This Row],[rest of Italy cumul. fit]]/Ka)*TANH(phi_a))+phi_a)/psi_a-(Tabella34[[#This Row],[Day]]-pa)</f>
        <v>#NUM!</v>
      </c>
      <c r="BH145" s="77">
        <f>Tabella34[[#This Row],[rest of Italy cumul. fit]]/Ka</f>
        <v>0.67126125561752681</v>
      </c>
      <c r="BI145" s="143">
        <f>Tabella3[[#This Row],[rest of Italy fit]]</f>
        <v>2582.7169863027798</v>
      </c>
      <c r="BJ145" s="183">
        <f>Tabella34[[#This Row],[rest of Italy velocity]]/Tabella34[[#This Row],[rest of Italy cumul. fit]]</f>
        <v>1.7343523076720532E-2</v>
      </c>
      <c r="BK145" s="236">
        <f>(LN(Tabella34[[#This Row],[Day]]-po)-phi_o)/psi_o</f>
        <v>111.14552499170556</v>
      </c>
      <c r="BL145" s="244">
        <f>EXP(phi_o+psi_o*Tabella34[[#This Row],[x_o_alpha©+plus]])-(Tabella34[[#This Row],[Day]]-po)</f>
        <v>-65.678853862704926</v>
      </c>
      <c r="BM145" s="244">
        <f>EXP(phi_o+psi_o*Tabella34[[#This Row],[x_o_alpha©-minus]])-(Tabella34[[#This Row],[Day]]-po)</f>
        <v>-66.428147558631281</v>
      </c>
      <c r="BN145" s="244">
        <f>-psi_o+SQRT(psi_o^2-2*Tabella34[[#This Row],[c_o]])</f>
        <v>3.5776952874491323</v>
      </c>
      <c r="BO145" s="244">
        <f>-psi_o-SQRT(psi_o^2-2*Tabella34[[#This Row],[c_o]])</f>
        <v>-3.6290085717167857</v>
      </c>
      <c r="BP145" s="244">
        <f>phi_o-LN(alpha*Ko/(Tabella34[[#This Row],[rest of Italy velocity]]*psi_o*SQRTPI(2)))</f>
        <v>-6.4917434325718251</v>
      </c>
      <c r="BQ145" s="244">
        <f>(ACOSH(SQRT(alpha*Ka*psi_a/(Tabella34[[#This Row],[rest of Italy velocity]]*(1+TANH(phi_a)))))+phi_a)/psi_a-(Tabella34[[#This Row],[Day]]-pa)</f>
        <v>22.902272898664293</v>
      </c>
      <c r="BR145" s="72">
        <f>-2*$BY$35*TANH($BY$35*(Tabella34[[#This Row],[Day]]-$BY$44)-$BY$34)*Tabella34[[#This Row],[rest of Italy velocity]]</f>
        <v>-50.402263435206791</v>
      </c>
      <c r="BS145" s="77">
        <f>Tabella34[[#This Row],[rest of Italy acc. fit]]/y_a_peak</f>
        <v>-1.6692540089595555E-2</v>
      </c>
      <c r="BT145" s="77">
        <f>Tabella34[[#This Row],[rest of Italy acc. fit]]*NOT(ISBLANK(Tabella34[[#This Row],[rest of Italy rate data]]))</f>
        <v>-50.402263435206791</v>
      </c>
      <c r="BU145" s="77">
        <f>Tabella34[[#This Row],[rest of Italy acc. fit]]+CIa</f>
        <v>1583.7316765185947</v>
      </c>
      <c r="BV145" s="77">
        <f>MAX(Tabella34[[#This Row],[rest of Italy acc. fit]]-CIa,0)</f>
        <v>0</v>
      </c>
    </row>
    <row r="146" spans="2:74" x14ac:dyDescent="0.3">
      <c r="B146" s="262">
        <v>43969</v>
      </c>
      <c r="C146" s="4">
        <v>139</v>
      </c>
      <c r="D146" s="10">
        <f>Tabella8[[#This Row],[Italy cumulative]]</f>
        <v>159333</v>
      </c>
      <c r="E146" s="72">
        <f>(Tabella34[[#This Row],[Italy cumul. data]]-D145)</f>
        <v>2249</v>
      </c>
      <c r="F146" s="72">
        <f>Tabella34[[#This Row],[Italy rate data]]-E145</f>
        <v>-262</v>
      </c>
      <c r="G146" s="121">
        <f>Tabella34[[#This Row],[Italy rate data]]*NOT(ISBLANK(Tabella34[[#This Row],[Italy rate data]]))</f>
        <v>2249</v>
      </c>
      <c r="H146" s="143">
        <f>Tabella8[[#This Row],[Italy fit]]</f>
        <v>158483.12237572542</v>
      </c>
      <c r="I146" s="143" t="e">
        <f>(ATANH(alpha*Tabella34[[#This Row],[Italy cumul. Fit]]/Kf-(1-alpha*Tabella34[[#This Row],[Italy cumul. Fit]]/Kf)*TANH(phi_f))+phi_f)/psi_f-(Tabella34[[#This Row],[Day]]-pf)</f>
        <v>#NUM!</v>
      </c>
      <c r="J146" s="143" t="e">
        <f>Tabella34[[#This Row],[Italy d.t.]]/Italy_dt_at_lockdown</f>
        <v>#NUM!</v>
      </c>
      <c r="K146" s="77">
        <f>Tabella34[[#This Row],[Italy cumul. Fit]]/Kf</f>
        <v>0.67439626105378059</v>
      </c>
      <c r="L146" s="146">
        <f>Tabella34[[#This Row],[sel. region acc. fit]]+Tabella34[[#This Row],[rest of Italy acc. fit]]</f>
        <v>-53.158917934832523</v>
      </c>
      <c r="M146" s="77">
        <f>Tabella34[[#This Row],[Italy (fit of selected region + fitted sum of the other regions)]]/(y_l_peak+y_a_peak)</f>
        <v>-1.6786939089001907E-2</v>
      </c>
      <c r="N146" s="143">
        <f>Tabella3[[#This Row],[Italy remov. rate fit]]</f>
        <v>2683.0065734096224</v>
      </c>
      <c r="O146" s="143">
        <f>Kt*EXP(-0.5*Tabella34[[#This Row],[x_t]]^2)/(psi_t*SQRTPI(2)*(Tabella34[[#This Row],[Day]]-D_bk))</f>
        <v>0</v>
      </c>
      <c r="P146" s="183">
        <f>Tabella34[[#This Row],[Italy velocity]]/Tabella34[[#This Row],[Italy cumul. Fit]]</f>
        <v>1.6929288956390311E-2</v>
      </c>
      <c r="Q146" s="244">
        <f>(LN(Tabella34[[#This Row],[Day]]-D_bk)-phi_t)/psi_t</f>
        <v>114.18571058936355</v>
      </c>
      <c r="R146" s="244">
        <f>EXP(phi_t+psi_t*Tabella34[[#This Row],[x_t_alpha©+plus]])-(Tabella34[[#This Row],[Day]]-D_bk)</f>
        <v>-66.203085856931395</v>
      </c>
      <c r="S146" s="244">
        <f>EXP(phi_t+psi_t*Tabella34[[#This Row],[x_t_alpha©-minus]])-(Tabella34[[#This Row],[Day]]-D_bk)</f>
        <v>-66.924600636675464</v>
      </c>
      <c r="T146" s="244">
        <f>-psi_t+SQRT(psi_t^2-2*Tabella34[[#This Row],[c_t]])</f>
        <v>3.5952652607675009</v>
      </c>
      <c r="U146" s="244">
        <f>-psi_t-SQRT(psi_t^2-2*Tabella34[[#This Row],[c_t]])</f>
        <v>-3.6457839354648729</v>
      </c>
      <c r="V146" s="244">
        <f>phi_t-LN(alpha*Kt/(Tabella34[[#This Row],[Italy velocity]]*psi_t*SQRTPI(2)))</f>
        <v>-6.553780165720541</v>
      </c>
      <c r="W146" s="244">
        <f>Tabella34[[#This Row],[Italy g.r.]]/Italy_gr_at_lockdown</f>
        <v>4.0380761756556513E-2</v>
      </c>
      <c r="X146" s="244">
        <f>(ACOSH(SQRT(alpha*Kf*psi_f/(Tabella34[[#This Row],[Italy velocity]]*(1+TANH(phi_f)))))+phi_f)/psi_f-(Tabella34[[#This Row],[Day]]-pf)</f>
        <v>23.082733167795581</v>
      </c>
      <c r="Y146" s="244">
        <f>Tabella34[[#This Row],[Italy h.t.]]/Italy_ht_at_lockdown</f>
        <v>0.1943684103025477</v>
      </c>
      <c r="Z146" s="72">
        <f>-2*$BY$48*TANH($BY$48*(Tabella34[[#This Row],[Day]]-$BY$57)-$BY$47)*Tabella34[[#This Row],[Italy velocity]]</f>
        <v>-52.613261698476322</v>
      </c>
      <c r="AA146" s="72">
        <f>Tabella34[[#This Row],[Italy acc. fit]]/Itali_acc_at_lockdown</f>
        <v>-1.5032219388602399</v>
      </c>
      <c r="AB146" s="77">
        <f>Tabella34[[#This Row],[Italy acc. fit]]/y_f_peak</f>
        <v>-1.665509305634906E-2</v>
      </c>
      <c r="AC146" s="143">
        <f>Tabella34[[#This Row],[Italy (fit of selected region + fitted sum of the other regions)]]*NOT(ISBLANK(Tabella34[[#This Row],[Italy rate data]]))</f>
        <v>-53.158917934832523</v>
      </c>
      <c r="AD146" s="143">
        <f>Tabella34[[#This Row],[Italy acc. fit]]*NOT(ISBLANK(Tabella34[[#This Row],[Italy rate data]]))</f>
        <v>-52.613261698476322</v>
      </c>
      <c r="AE146" s="77">
        <f>Tabella34[[#This Row],[Italy acc. fit]]+CIf</f>
        <v>1602.5967072252752</v>
      </c>
      <c r="AF146" s="77">
        <f>MAX(Tabella34[[#This Row],[Italy acc. fit]]-CIf,0)</f>
        <v>0</v>
      </c>
      <c r="AG146" s="4">
        <f>Tabella8[[#This Row],[region data]]</f>
        <v>6852</v>
      </c>
      <c r="AH146" s="72">
        <f>(Tabella34[[#This Row],[selected region cumul. data]]-AG145)</f>
        <v>149</v>
      </c>
      <c r="AI146" s="72">
        <f>Tabella34[[#This Row],[selected region rate data]]-AH145</f>
        <v>24</v>
      </c>
      <c r="AJ146" s="121">
        <f>Tabella34[[#This Row],[selected region rate data]]*NOT(ISBLANK(Tabella34[[#This Row],[selected region rate data]]))</f>
        <v>149</v>
      </c>
      <c r="AK146" s="77">
        <f>Tabella8[[#This Row],[region fit]]</f>
        <v>7031.1032866105488</v>
      </c>
      <c r="AL146" s="143" t="e">
        <f>(ATANH(alpha*Tabella34[[#This Row],[sel. region cumul. fit]]/Kl-(1-alpha*Tabella34[[#This Row],[sel. region cumul. fit]]/Kl)*TANH(phi_l))+phi_l)/psi_l-(Tabella34[[#This Row],[Day]]-pl)</f>
        <v>#NUM!</v>
      </c>
      <c r="AM146" s="77">
        <f>Tabella34[[#This Row],[sel. region cumul. fit]]/Kl</f>
        <v>0.534445481089876</v>
      </c>
      <c r="AN146" s="143">
        <f>Tabella3[[#This Row],[region fit]]</f>
        <v>143.3691064630097</v>
      </c>
      <c r="AO146" s="186">
        <f>Tabella34[[#This Row],[sel. region velocity]]/Tabella34[[#This Row],[sel. region cumul. fit]]</f>
        <v>2.039069838954435E-2</v>
      </c>
      <c r="AP146" s="241">
        <f>(LN(Tabella34[[#This Row],[Day]]-pr)-phi_r)/psi_r</f>
        <v>150.86595754580915</v>
      </c>
      <c r="AQ146" s="244">
        <f>EXP(phi_r+psi_r*Tabella34[[#This Row],[x_r_alpha©+plus]])-(Tabella34[[#This Row],[Day]]-pr)</f>
        <v>-59.408874125832057</v>
      </c>
      <c r="AR146" s="244">
        <f>EXP(phi_r+psi_r*Tabella34[[#This Row],[x_r_alpha©-minus]])-(Tabella34[[#This Row],[Day]]-pr)</f>
        <v>-59.864489128260779</v>
      </c>
      <c r="AS146" s="244">
        <f>-psi_r+SQRT(psi_r^2-2*Tabella34[[#This Row],[c_r]])</f>
        <v>3.7481570656695764</v>
      </c>
      <c r="AT146" s="244">
        <f>-psi_r-SQRT(psi_r^2-2*Tabella34[[#This Row],[c_r]])</f>
        <v>-3.7884450753359147</v>
      </c>
      <c r="AU146" s="244">
        <f>phi_r-LN(alpha*Kr/(Tabella34[[#This Row],[sel. region velocity]]*psi_r*SQRTPI(2)))</f>
        <v>-7.0998435885107094</v>
      </c>
      <c r="AV146" s="244">
        <f>(ACOSH(SQRT(alpha*Kl*psi_l/(Tabella34[[#This Row],[sel. region velocity]]*(1+TANH(phi_l)))))+phi_l)/psi_l-(Tabella34[[#This Row],[Day]]-pl)</f>
        <v>36.566156272872007</v>
      </c>
      <c r="AW146" s="72">
        <f>-2*$BY$22*TANH($BY$22*(Tabella34[[#This Row],[Day]]-$BY$31)-$BY$21)*Tabella34[[#This Row],[sel. region velocity]]</f>
        <v>-0.9359222616623103</v>
      </c>
      <c r="AX146" s="77">
        <f>Tabella34[[#This Row],[sel. region acc. fit]]/y_l_peak</f>
        <v>-6.3566648102303443E-3</v>
      </c>
      <c r="AY146" s="143">
        <f>Tabella34[[#This Row],[sel. region acc. fit]]*NOT(ISBLANK(Tabella34[[#This Row],[selected region rate data]]))</f>
        <v>-0.9359222616623103</v>
      </c>
      <c r="AZ146" s="77">
        <f>Tabella34[[#This Row],[sel. region acc. fit]]+CIl</f>
        <v>68.429064113438088</v>
      </c>
      <c r="BA146" s="77">
        <f>MAX(Tabella34[[#This Row],[sel. region acc. fit]]-CIl,0)</f>
        <v>0</v>
      </c>
      <c r="BB146" s="10">
        <f>Tabella8[[#This Row],[rest of Italy ]]</f>
        <v>152481</v>
      </c>
      <c r="BC146" s="10">
        <f>(Tabella34[[#This Row],[rest of Italy cum. Data]]-BB145)</f>
        <v>2100</v>
      </c>
      <c r="BD146" s="10">
        <f>Tabella34[[#This Row],[rest of Italy rate data]]-BC145</f>
        <v>-286</v>
      </c>
      <c r="BE146" s="77">
        <f>Tabella34[[#This Row],[rest of Italy rate data]]*NOT(ISBLANK(Tabella34[[#This Row],[rest of Italy rate data]]))</f>
        <v>2100</v>
      </c>
      <c r="BF146" s="77">
        <f>Tabella8[[#This Row],[rest of Italy fit]]</f>
        <v>151472.56393440609</v>
      </c>
      <c r="BG146" s="78" t="e">
        <f>(ATANH(alpha*Tabella34[[#This Row],[rest of Italy cumul. fit]]/Ka-(1-alpha*Tabella34[[#This Row],[rest of Italy cumul. fit]]/Ka)*TANH(phi_a))+phi_a)/psi_a-(Tabella34[[#This Row],[Day]]-pa)</f>
        <v>#NUM!</v>
      </c>
      <c r="BH146" s="77">
        <f>Tabella34[[#This Row],[rest of Italy cumul. fit]]/Ka</f>
        <v>0.6827882853316436</v>
      </c>
      <c r="BI146" s="143">
        <f>Tabella3[[#This Row],[rest of Italy fit]]</f>
        <v>2531.3870031655447</v>
      </c>
      <c r="BJ146" s="183">
        <f>Tabella34[[#This Row],[rest of Italy velocity]]/Tabella34[[#This Row],[rest of Italy cumul. fit]]</f>
        <v>1.6711851555254193E-2</v>
      </c>
      <c r="BK146" s="236">
        <f>(LN(Tabella34[[#This Row],[Day]]-po)-phi_o)/psi_o</f>
        <v>111.69746933438722</v>
      </c>
      <c r="BL146" s="244">
        <f>EXP(phi_o+psi_o*Tabella34[[#This Row],[x_o_alpha©+plus]])-(Tabella34[[#This Row],[Day]]-po)</f>
        <v>-66.678219872489862</v>
      </c>
      <c r="BM146" s="244">
        <f>EXP(phi_o+psi_o*Tabella34[[#This Row],[x_o_alpha©-minus]])-(Tabella34[[#This Row],[Day]]-po)</f>
        <v>-67.428674448144321</v>
      </c>
      <c r="BN146" s="244">
        <f>-psi_o+SQRT(psi_o^2-2*Tabella34[[#This Row],[c_o]])</f>
        <v>3.5832620683341427</v>
      </c>
      <c r="BO146" s="244">
        <f>-psi_o-SQRT(psi_o^2-2*Tabella34[[#This Row],[c_o]])</f>
        <v>-3.6345753526017961</v>
      </c>
      <c r="BP146" s="244">
        <f>phi_o-LN(alpha*Ko/(Tabella34[[#This Row],[rest of Italy velocity]]*psi_o*SQRTPI(2)))</f>
        <v>-6.5118179977401045</v>
      </c>
      <c r="BQ146" s="244">
        <f>(ACOSH(SQRT(alpha*Ka*psi_a/(Tabella34[[#This Row],[rest of Italy velocity]]*(1+TANH(phi_a)))))+phi_a)/psi_a-(Tabella34[[#This Row],[Day]]-pa)</f>
        <v>22.417487340684559</v>
      </c>
      <c r="BR146" s="72">
        <f>-2*$BY$35*TANH($BY$35*(Tabella34[[#This Row],[Day]]-$BY$44)-$BY$34)*Tabella34[[#This Row],[rest of Italy velocity]]</f>
        <v>-52.22299567317021</v>
      </c>
      <c r="BS146" s="77">
        <f>Tabella34[[#This Row],[rest of Italy acc. fit]]/y_a_peak</f>
        <v>-1.7295541697126413E-2</v>
      </c>
      <c r="BT146" s="77">
        <f>Tabella34[[#This Row],[rest of Italy acc. fit]]*NOT(ISBLANK(Tabella34[[#This Row],[rest of Italy rate data]]))</f>
        <v>-52.22299567317021</v>
      </c>
      <c r="BU146" s="77">
        <f>Tabella34[[#This Row],[rest of Italy acc. fit]]+CIa</f>
        <v>1581.9109442806312</v>
      </c>
      <c r="BV146" s="77">
        <f>MAX(Tabella34[[#This Row],[rest of Italy acc. fit]]-CIa,0)</f>
        <v>0</v>
      </c>
    </row>
    <row r="147" spans="2:74" x14ac:dyDescent="0.3">
      <c r="B147" s="262">
        <v>43970</v>
      </c>
      <c r="C147" s="4">
        <v>140</v>
      </c>
      <c r="D147" s="10">
        <f>Tabella8[[#This Row],[Italy cumulative]]</f>
        <v>161570</v>
      </c>
      <c r="E147" s="72">
        <f>(Tabella34[[#This Row],[Italy cumul. data]]-D146)</f>
        <v>2237</v>
      </c>
      <c r="F147" s="72">
        <f>Tabella34[[#This Row],[Italy rate data]]-E146</f>
        <v>-12</v>
      </c>
      <c r="G147" s="121">
        <f>Tabella34[[#This Row],[Italy rate data]]*NOT(ISBLANK(Tabella34[[#This Row],[Italy rate data]]))</f>
        <v>2237</v>
      </c>
      <c r="H147" s="143">
        <f>Tabella8[[#This Row],[Italy fit]]</f>
        <v>161139.51830018082</v>
      </c>
      <c r="I147" s="143" t="e">
        <f>(ATANH(alpha*Tabella34[[#This Row],[Italy cumul. Fit]]/Kf-(1-alpha*Tabella34[[#This Row],[Italy cumul. Fit]]/Kf)*TANH(phi_f))+phi_f)/psi_f-(Tabella34[[#This Row],[Day]]-pf)</f>
        <v>#NUM!</v>
      </c>
      <c r="J147" s="143" t="e">
        <f>Tabella34[[#This Row],[Italy d.t.]]/Italy_dt_at_lockdown</f>
        <v>#NUM!</v>
      </c>
      <c r="K147" s="77">
        <f>Tabella34[[#This Row],[Italy cumul. Fit]]/Kf</f>
        <v>0.68570007342494332</v>
      </c>
      <c r="L147" s="146">
        <f>Tabella34[[#This Row],[sel. region acc. fit]]+Tabella34[[#This Row],[rest of Italy acc. fit]]</f>
        <v>-54.877124137789473</v>
      </c>
      <c r="M147" s="77">
        <f>Tabella34[[#This Row],[Italy (fit of selected region + fitted sum of the other regions)]]/(y_l_peak+y_a_peak)</f>
        <v>-1.7329527689220268E-2</v>
      </c>
      <c r="N147" s="143">
        <f>Tabella3[[#This Row],[Italy remov. rate fit]]</f>
        <v>2629.4899234239533</v>
      </c>
      <c r="O147" s="143">
        <f>Kt*EXP(-0.5*Tabella34[[#This Row],[x_t]]^2)/(psi_t*SQRTPI(2)*(Tabella34[[#This Row],[Day]]-D_bk))</f>
        <v>0</v>
      </c>
      <c r="P147" s="183">
        <f>Tabella34[[#This Row],[Italy velocity]]/Tabella34[[#This Row],[Italy cumul. Fit]]</f>
        <v>1.6318094724135729E-2</v>
      </c>
      <c r="Q147" s="244">
        <f>(LN(Tabella34[[#This Row],[Day]]-D_bk)-phi_t)/psi_t</f>
        <v>114.74316193490489</v>
      </c>
      <c r="R147" s="244">
        <f>EXP(phi_t+psi_t*Tabella34[[#This Row],[x_t_alpha©+plus]])-(Tabella34[[#This Row],[Day]]-D_bk)</f>
        <v>-67.202479516932414</v>
      </c>
      <c r="S147" s="244">
        <f>EXP(phi_t+psi_t*Tabella34[[#This Row],[x_t_alpha©-minus]])-(Tabella34[[#This Row],[Day]]-D_bk)</f>
        <v>-67.925105554816383</v>
      </c>
      <c r="T147" s="244">
        <f>-psi_t+SQRT(psi_t^2-2*Tabella34[[#This Row],[c_t]])</f>
        <v>3.6008259684132331</v>
      </c>
      <c r="U147" s="244">
        <f>-psi_t-SQRT(psi_t^2-2*Tabella34[[#This Row],[c_t]])</f>
        <v>-3.6513446431106051</v>
      </c>
      <c r="V147" s="244">
        <f>phi_t-LN(alpha*Kt/(Tabella34[[#This Row],[Italy velocity]]*psi_t*SQRTPI(2)))</f>
        <v>-6.5739283052696074</v>
      </c>
      <c r="W147" s="244">
        <f>Tabella34[[#This Row],[Italy g.r.]]/Italy_gr_at_lockdown</f>
        <v>3.8922904386218607E-2</v>
      </c>
      <c r="X147" s="244">
        <f>(ACOSH(SQRT(alpha*Kf*psi_f/(Tabella34[[#This Row],[Italy velocity]]*(1+TANH(phi_f)))))+phi_f)/psi_f-(Tabella34[[#This Row],[Day]]-pf)</f>
        <v>22.606606708836068</v>
      </c>
      <c r="Y147" s="244">
        <f>Tabella34[[#This Row],[Italy h.t.]]/Italy_ht_at_lockdown</f>
        <v>0.1903591821813278</v>
      </c>
      <c r="Z147" s="72">
        <f>-2*$BY$48*TANH($BY$48*(Tabella34[[#This Row],[Day]]-$BY$57)-$BY$47)*Tabella34[[#This Row],[Italy velocity]]</f>
        <v>-54.385375082982009</v>
      </c>
      <c r="AA147" s="72">
        <f>Tabella34[[#This Row],[Italy acc. fit]]/Itali_acc_at_lockdown</f>
        <v>-1.5538532746060327</v>
      </c>
      <c r="AB147" s="77">
        <f>Tabella34[[#This Row],[Italy acc. fit]]/y_f_peak</f>
        <v>-1.7216067844312045E-2</v>
      </c>
      <c r="AC147" s="143">
        <f>Tabella34[[#This Row],[Italy (fit of selected region + fitted sum of the other regions)]]*NOT(ISBLANK(Tabella34[[#This Row],[Italy rate data]]))</f>
        <v>-54.877124137789473</v>
      </c>
      <c r="AD147" s="143">
        <f>Tabella34[[#This Row],[Italy acc. fit]]*NOT(ISBLANK(Tabella34[[#This Row],[Italy rate data]]))</f>
        <v>-54.385375082982009</v>
      </c>
      <c r="AE147" s="77">
        <f>Tabella34[[#This Row],[Italy acc. fit]]+CIf</f>
        <v>1600.8245938407695</v>
      </c>
      <c r="AF147" s="77">
        <f>MAX(Tabella34[[#This Row],[Italy acc. fit]]-CIf,0)</f>
        <v>0</v>
      </c>
      <c r="AG147" s="4">
        <f>Tabella8[[#This Row],[region data]]</f>
        <v>6993</v>
      </c>
      <c r="AH147" s="72">
        <f>(Tabella34[[#This Row],[selected region cumul. data]]-AG146)</f>
        <v>141</v>
      </c>
      <c r="AI147" s="72">
        <f>Tabella34[[#This Row],[selected region rate data]]-AH146</f>
        <v>-8</v>
      </c>
      <c r="AJ147" s="121">
        <f>Tabella34[[#This Row],[selected region rate data]]*NOT(ISBLANK(Tabella34[[#This Row],[selected region rate data]]))</f>
        <v>141</v>
      </c>
      <c r="AK147" s="77">
        <f>Tabella8[[#This Row],[region fit]]</f>
        <v>7173.9866913570713</v>
      </c>
      <c r="AL147" s="143" t="e">
        <f>(ATANH(alpha*Tabella34[[#This Row],[sel. region cumul. fit]]/Kl-(1-alpha*Tabella34[[#This Row],[sel. region cumul. fit]]/Kl)*TANH(phi_l))+phi_l)/psi_l-(Tabella34[[#This Row],[Day]]-pl)</f>
        <v>#NUM!</v>
      </c>
      <c r="AM147" s="77">
        <f>Tabella34[[#This Row],[sel. region cumul. fit]]/Kl</f>
        <v>0.54530627873097093</v>
      </c>
      <c r="AN147" s="143">
        <f>Tabella3[[#This Row],[region fit]]</f>
        <v>142.38008905927174</v>
      </c>
      <c r="AO147" s="186">
        <f>Tabella34[[#This Row],[sel. region velocity]]/Tabella34[[#This Row],[sel. region cumul. fit]]</f>
        <v>1.9846717757478628E-2</v>
      </c>
      <c r="AP147" s="241">
        <f>(LN(Tabella34[[#This Row],[Day]]-pr)-phi_r)/psi_r</f>
        <v>151.6521601769492</v>
      </c>
      <c r="AQ147" s="244">
        <f>EXP(phi_r+psi_r*Tabella34[[#This Row],[x_r_alpha©+plus]])-(Tabella34[[#This Row],[Day]]-pr)</f>
        <v>-60.40875445745008</v>
      </c>
      <c r="AR147" s="244">
        <f>EXP(phi_r+psi_r*Tabella34[[#This Row],[x_r_alpha©-minus]])-(Tabella34[[#This Row],[Day]]-pr)</f>
        <v>-60.864591936971969</v>
      </c>
      <c r="AS147" s="244">
        <f>-psi_r+SQRT(psi_r^2-2*Tabella34[[#This Row],[c_r]])</f>
        <v>3.7499936007856323</v>
      </c>
      <c r="AT147" s="244">
        <f>-psi_r-SQRT(psi_r^2-2*Tabella34[[#This Row],[c_r]])</f>
        <v>-3.7902816104519705</v>
      </c>
      <c r="AU147" s="244">
        <f>phi_r-LN(alpha*Kr/(Tabella34[[#This Row],[sel. region velocity]]*psi_r*SQRTPI(2)))</f>
        <v>-7.1067658921851757</v>
      </c>
      <c r="AV147" s="244">
        <f>(ACOSH(SQRT(alpha*Kl*psi_l/(Tabella34[[#This Row],[sel. region velocity]]*(1+TANH(phi_l)))))+phi_l)/psi_l-(Tabella34[[#This Row],[Day]]-pl)</f>
        <v>35.805626975699127</v>
      </c>
      <c r="AW147" s="72">
        <f>-2*$BY$22*TANH($BY$22*(Tabella34[[#This Row],[Day]]-$BY$31)-$BY$21)*Tabella34[[#This Row],[sel. region velocity]]</f>
        <v>-1.0416011609448002</v>
      </c>
      <c r="AX147" s="77">
        <f>Tabella34[[#This Row],[sel. region acc. fit]]/y_l_peak</f>
        <v>-7.0744224358046566E-3</v>
      </c>
      <c r="AY147" s="143">
        <f>Tabella34[[#This Row],[sel. region acc. fit]]*NOT(ISBLANK(Tabella34[[#This Row],[selected region rate data]]))</f>
        <v>-1.0416011609448002</v>
      </c>
      <c r="AZ147" s="77">
        <f>Tabella34[[#This Row],[sel. region acc. fit]]+CIl</f>
        <v>68.323385214155607</v>
      </c>
      <c r="BA147" s="77">
        <f>MAX(Tabella34[[#This Row],[sel. region acc. fit]]-CIl,0)</f>
        <v>0</v>
      </c>
      <c r="BB147" s="10">
        <f>Tabella8[[#This Row],[rest of Italy ]]</f>
        <v>154577</v>
      </c>
      <c r="BC147" s="10">
        <f>(Tabella34[[#This Row],[rest of Italy cum. Data]]-BB146)</f>
        <v>2096</v>
      </c>
      <c r="BD147" s="10">
        <f>Tabella34[[#This Row],[rest of Italy rate data]]-BC146</f>
        <v>-4</v>
      </c>
      <c r="BE147" s="77">
        <f>Tabella34[[#This Row],[rest of Italy rate data]]*NOT(ISBLANK(Tabella34[[#This Row],[rest of Italy rate data]]))</f>
        <v>2096</v>
      </c>
      <c r="BF147" s="77">
        <f>Tabella8[[#This Row],[rest of Italy fit]]</f>
        <v>153977.56201864473</v>
      </c>
      <c r="BG147" s="78" t="e">
        <f>(ATANH(alpha*Tabella34[[#This Row],[rest of Italy cumul. fit]]/Ka-(1-alpha*Tabella34[[#This Row],[rest of Italy cumul. fit]]/Ka)*TANH(phi_a))+phi_a)/psi_a-(Tabella34[[#This Row],[Day]]-pa)</f>
        <v>#NUM!</v>
      </c>
      <c r="BH147" s="77">
        <f>Tabella34[[#This Row],[rest of Italy cumul. fit]]/Ka</f>
        <v>0.69407998926977077</v>
      </c>
      <c r="BI147" s="143">
        <f>Tabella3[[#This Row],[rest of Italy fit]]</f>
        <v>2478.3404136448971</v>
      </c>
      <c r="BJ147" s="183">
        <f>Tabella34[[#This Row],[rest of Italy velocity]]/Tabella34[[#This Row],[rest of Italy cumul. fit]]</f>
        <v>1.609546469728363E-2</v>
      </c>
      <c r="BK147" s="236">
        <f>(LN(Tabella34[[#This Row],[Day]]-po)-phi_o)/psi_o</f>
        <v>112.24170658542037</v>
      </c>
      <c r="BL147" s="244">
        <f>EXP(phi_o+psi_o*Tabella34[[#This Row],[x_o_alpha©+plus]])-(Tabella34[[#This Row],[Day]]-po)</f>
        <v>-67.677551987098099</v>
      </c>
      <c r="BM147" s="244">
        <f>EXP(phi_o+psi_o*Tabella34[[#This Row],[x_o_alpha©-minus]])-(Tabella34[[#This Row],[Day]]-po)</f>
        <v>-68.42922934412789</v>
      </c>
      <c r="BN147" s="244">
        <f>-psi_o+SQRT(psi_o^2-2*Tabella34[[#This Row],[c_o]])</f>
        <v>3.5891256075664448</v>
      </c>
      <c r="BO147" s="244">
        <f>-psi_o-SQRT(psi_o^2-2*Tabella34[[#This Row],[c_o]])</f>
        <v>-3.6404388918340982</v>
      </c>
      <c r="BP147" s="244">
        <f>phi_o-LN(alpha*Ko/(Tabella34[[#This Row],[rest of Italy velocity]]*psi_o*SQRTPI(2)))</f>
        <v>-6.5329962247312867</v>
      </c>
      <c r="BQ147" s="244">
        <f>(ACOSH(SQRT(alpha*Ka*psi_a/(Tabella34[[#This Row],[rest of Italy velocity]]*(1+TANH(phi_a)))))+phi_a)/psi_a-(Tabella34[[#This Row],[Day]]-pa)</f>
        <v>21.956998696406032</v>
      </c>
      <c r="BR147" s="72">
        <f>-2*$BY$35*TANH($BY$35*(Tabella34[[#This Row],[Day]]-$BY$44)-$BY$34)*Tabella34[[#This Row],[rest of Italy velocity]]</f>
        <v>-53.835522976844672</v>
      </c>
      <c r="BS147" s="77">
        <f>Tabella34[[#This Row],[rest of Italy acc. fit]]/y_a_peak</f>
        <v>-1.7829588678900478E-2</v>
      </c>
      <c r="BT147" s="77">
        <f>Tabella34[[#This Row],[rest of Italy acc. fit]]*NOT(ISBLANK(Tabella34[[#This Row],[rest of Italy rate data]]))</f>
        <v>-53.835522976844672</v>
      </c>
      <c r="BU147" s="77">
        <f>Tabella34[[#This Row],[rest of Italy acc. fit]]+CIa</f>
        <v>1580.2984169769568</v>
      </c>
      <c r="BV147" s="77">
        <f>MAX(Tabella34[[#This Row],[rest of Italy acc. fit]]-CIa,0)</f>
        <v>0</v>
      </c>
    </row>
    <row r="148" spans="2:74" x14ac:dyDescent="0.3">
      <c r="B148" s="262">
        <v>43971</v>
      </c>
      <c r="C148" s="4">
        <v>141</v>
      </c>
      <c r="D148" s="10">
        <f>Tabella8[[#This Row],[Italy cumulative]]</f>
        <v>164612</v>
      </c>
      <c r="E148" s="72">
        <f>(Tabella34[[#This Row],[Italy cumul. data]]-D147)</f>
        <v>3042</v>
      </c>
      <c r="F148" s="72">
        <f>Tabella34[[#This Row],[Italy rate data]]-E147</f>
        <v>805</v>
      </c>
      <c r="G148" s="121">
        <f>Tabella34[[#This Row],[Italy rate data]]*NOT(ISBLANK(Tabella34[[#This Row],[Italy rate data]]))</f>
        <v>3042</v>
      </c>
      <c r="H148" s="143">
        <f>Tabella8[[#This Row],[Italy fit]]</f>
        <v>163741.54616241201</v>
      </c>
      <c r="I148" s="143" t="e">
        <f>(ATANH(alpha*Tabella34[[#This Row],[Italy cumul. Fit]]/Kf-(1-alpha*Tabella34[[#This Row],[Italy cumul. Fit]]/Kf)*TANH(phi_f))+phi_f)/psi_f-(Tabella34[[#This Row],[Day]]-pf)</f>
        <v>#NUM!</v>
      </c>
      <c r="J148" s="143" t="e">
        <f>Tabella34[[#This Row],[Italy d.t.]]/Italy_dt_at_lockdown</f>
        <v>#NUM!</v>
      </c>
      <c r="K148" s="77">
        <f>Tabella34[[#This Row],[Italy cumul. Fit]]/Kf</f>
        <v>0.69677253234133363</v>
      </c>
      <c r="L148" s="146">
        <f>Tabella34[[#This Row],[sel. region acc. fit]]+Tabella34[[#This Row],[rest of Italy acc. fit]]</f>
        <v>-56.38494299698305</v>
      </c>
      <c r="M148" s="77">
        <f>Tabella34[[#This Row],[Italy (fit of selected region + fitted sum of the other regions)]]/(y_l_peak+y_a_peak)</f>
        <v>-1.7805678527684672E-2</v>
      </c>
      <c r="N148" s="143">
        <f>Tabella3[[#This Row],[Italy remov. rate fit]]</f>
        <v>2574.3050666054237</v>
      </c>
      <c r="O148" s="143">
        <f>Kt*EXP(-0.5*Tabella34[[#This Row],[x_t]]^2)/(psi_t*SQRTPI(2)*(Tabella34[[#This Row],[Day]]-D_bk))</f>
        <v>0</v>
      </c>
      <c r="P148" s="183">
        <f>Tabella34[[#This Row],[Italy velocity]]/Tabella34[[#This Row],[Italy cumul. Fit]]</f>
        <v>1.5721758630836559E-2</v>
      </c>
      <c r="Q148" s="244">
        <f>(LN(Tabella34[[#This Row],[Day]]-D_bk)-phi_t)/psi_t</f>
        <v>115.29287275781415</v>
      </c>
      <c r="R148" s="244">
        <f>EXP(phi_t+psi_t*Tabella34[[#This Row],[x_t_alpha©+plus]])-(Tabella34[[#This Row],[Day]]-D_bk)</f>
        <v>-68.201842124575492</v>
      </c>
      <c r="S148" s="244">
        <f>EXP(phi_t+psi_t*Tabella34[[#This Row],[x_t_alpha©-minus]])-(Tabella34[[#This Row],[Day]]-D_bk)</f>
        <v>-68.925636178329569</v>
      </c>
      <c r="T148" s="244">
        <f>-psi_t+SQRT(psi_t^2-2*Tabella34[[#This Row],[c_t]])</f>
        <v>3.606670613407247</v>
      </c>
      <c r="U148" s="244">
        <f>-psi_t-SQRT(psi_t^2-2*Tabella34[[#This Row],[c_t]])</f>
        <v>-3.6571892881046191</v>
      </c>
      <c r="V148" s="244">
        <f>phi_t-LN(alpha*Kt/(Tabella34[[#This Row],[Italy velocity]]*psi_t*SQRTPI(2)))</f>
        <v>-6.595138566537349</v>
      </c>
      <c r="W148" s="244">
        <f>Tabella34[[#This Row],[Italy g.r.]]/Italy_gr_at_lockdown</f>
        <v>3.7500487545654271E-2</v>
      </c>
      <c r="X148" s="244">
        <f>(ACOSH(SQRT(alpha*Kf*psi_f/(Tabella34[[#This Row],[Italy velocity]]*(1+TANH(phi_f)))))+phi_f)/psi_f-(Tabella34[[#This Row],[Day]]-pf)</f>
        <v>22.154048368008347</v>
      </c>
      <c r="Y148" s="244">
        <f>Tabella34[[#This Row],[Italy h.t.]]/Italy_ht_at_lockdown</f>
        <v>0.18654840965987585</v>
      </c>
      <c r="Z148" s="72">
        <f>-2*$BY$48*TANH($BY$48*(Tabella34[[#This Row],[Day]]-$BY$57)-$BY$47)*Tabella34[[#This Row],[Italy velocity]]</f>
        <v>-55.949806815852511</v>
      </c>
      <c r="AA148" s="72">
        <f>Tabella34[[#This Row],[Italy acc. fit]]/Itali_acc_at_lockdown</f>
        <v>-1.5985509045719808</v>
      </c>
      <c r="AB148" s="77">
        <f>Tabella34[[#This Row],[Italy acc. fit]]/y_f_peak</f>
        <v>-1.7711299564416905E-2</v>
      </c>
      <c r="AC148" s="143">
        <f>Tabella34[[#This Row],[Italy (fit of selected region + fitted sum of the other regions)]]*NOT(ISBLANK(Tabella34[[#This Row],[Italy rate data]]))</f>
        <v>-56.38494299698305</v>
      </c>
      <c r="AD148" s="143">
        <f>Tabella34[[#This Row],[Italy acc. fit]]*NOT(ISBLANK(Tabella34[[#This Row],[Italy rate data]]))</f>
        <v>-55.949806815852511</v>
      </c>
      <c r="AE148" s="77">
        <f>Tabella34[[#This Row],[Italy acc. fit]]+CIf</f>
        <v>1599.2601621078989</v>
      </c>
      <c r="AF148" s="77">
        <f>MAX(Tabella34[[#This Row],[Italy acc. fit]]-CIf,0)</f>
        <v>0</v>
      </c>
      <c r="AG148" s="4">
        <f>Tabella8[[#This Row],[region data]]</f>
        <v>7111</v>
      </c>
      <c r="AH148" s="72">
        <f>(Tabella34[[#This Row],[selected region cumul. data]]-AG147)</f>
        <v>118</v>
      </c>
      <c r="AI148" s="72">
        <f>Tabella34[[#This Row],[selected region rate data]]-AH147</f>
        <v>-23</v>
      </c>
      <c r="AJ148" s="121">
        <f>Tabella34[[#This Row],[selected region rate data]]*NOT(ISBLANK(Tabella34[[#This Row],[selected region rate data]]))</f>
        <v>118</v>
      </c>
      <c r="AK148" s="77">
        <f>Tabella8[[#This Row],[region fit]]</f>
        <v>7315.8287627235677</v>
      </c>
      <c r="AL148" s="143" t="e">
        <f>(ATANH(alpha*Tabella34[[#This Row],[sel. region cumul. fit]]/Kl-(1-alpha*Tabella34[[#This Row],[sel. region cumul. fit]]/Kl)*TANH(phi_l))+phi_l)/psi_l-(Tabella34[[#This Row],[Day]]-pl)</f>
        <v>#NUM!</v>
      </c>
      <c r="AM148" s="77">
        <f>Tabella34[[#This Row],[sel. region cumul. fit]]/Kl</f>
        <v>0.55608792294527398</v>
      </c>
      <c r="AN148" s="143">
        <f>Tabella3[[#This Row],[region fit]]</f>
        <v>141.28697514995775</v>
      </c>
      <c r="AO148" s="186">
        <f>Tabella34[[#This Row],[sel. region velocity]]/Tabella34[[#This Row],[sel. region cumul. fit]]</f>
        <v>1.9312504397295222E-2</v>
      </c>
      <c r="AP148" s="241">
        <f>(LN(Tabella34[[#This Row],[Day]]-pr)-phi_r)/psi_r</f>
        <v>152.42610537709533</v>
      </c>
      <c r="AQ148" s="244">
        <f>EXP(phi_r+psi_r*Tabella34[[#This Row],[x_r_alpha©+plus]])-(Tabella34[[#This Row],[Day]]-pr)</f>
        <v>-61.408621286066499</v>
      </c>
      <c r="AR148" s="244">
        <f>EXP(phi_r+psi_r*Tabella34[[#This Row],[x_r_alpha©-minus]])-(Tabella34[[#This Row],[Day]]-pr)</f>
        <v>-61.864706337350611</v>
      </c>
      <c r="AS148" s="244">
        <f>-psi_r+SQRT(psi_r^2-2*Tabella34[[#This Row],[c_r]])</f>
        <v>3.752037284841677</v>
      </c>
      <c r="AT148" s="244">
        <f>-psi_r-SQRT(psi_r^2-2*Tabella34[[#This Row],[c_r]])</f>
        <v>-3.7923252945080153</v>
      </c>
      <c r="AU148" s="244">
        <f>phi_r-LN(alpha*Kr/(Tabella34[[#This Row],[sel. region velocity]]*psi_r*SQRTPI(2)))</f>
        <v>-7.1144729506211339</v>
      </c>
      <c r="AV148" s="244">
        <f>(ACOSH(SQRT(alpha*Kl*psi_l/(Tabella34[[#This Row],[sel. region velocity]]*(1+TANH(phi_l)))))+phi_l)/psi_l-(Tabella34[[#This Row],[Day]]-pl)</f>
        <v>35.07133470452348</v>
      </c>
      <c r="AW148" s="72">
        <f>-2*$BY$22*TANH($BY$22*(Tabella34[[#This Row],[Day]]-$BY$31)-$BY$21)*Tabella34[[#This Row],[sel. region velocity]]</f>
        <v>-1.1440677226195461</v>
      </c>
      <c r="AX148" s="77">
        <f>Tabella34[[#This Row],[sel. region acc. fit]]/y_l_peak</f>
        <v>-7.77036227344276E-3</v>
      </c>
      <c r="AY148" s="143">
        <f>Tabella34[[#This Row],[sel. region acc. fit]]*NOT(ISBLANK(Tabella34[[#This Row],[selected region rate data]]))</f>
        <v>-1.1440677226195461</v>
      </c>
      <c r="AZ148" s="77">
        <f>Tabella34[[#This Row],[sel. region acc. fit]]+CIl</f>
        <v>68.220918652480862</v>
      </c>
      <c r="BA148" s="77">
        <f>MAX(Tabella34[[#This Row],[sel. region acc. fit]]-CIl,0)</f>
        <v>0</v>
      </c>
      <c r="BB148" s="10">
        <f>Tabella8[[#This Row],[rest of Italy ]]</f>
        <v>157501</v>
      </c>
      <c r="BC148" s="10">
        <f>(Tabella34[[#This Row],[rest of Italy cum. Data]]-BB147)</f>
        <v>2924</v>
      </c>
      <c r="BD148" s="10">
        <f>Tabella34[[#This Row],[rest of Italy rate data]]-BC147</f>
        <v>828</v>
      </c>
      <c r="BE148" s="77">
        <f>Tabella34[[#This Row],[rest of Italy rate data]]*NOT(ISBLANK(Tabella34[[#This Row],[rest of Italy rate data]]))</f>
        <v>2924</v>
      </c>
      <c r="BF148" s="77">
        <f>Tabella8[[#This Row],[rest of Italy fit]]</f>
        <v>156428.74185046984</v>
      </c>
      <c r="BG148" s="78" t="e">
        <f>(ATANH(alpha*Tabella34[[#This Row],[rest of Italy cumul. fit]]/Ka-(1-alpha*Tabella34[[#This Row],[rest of Italy cumul. fit]]/Ka)*TANH(phi_a))+phi_a)/psi_a-(Tabella34[[#This Row],[Day]]-pa)</f>
        <v>#NUM!</v>
      </c>
      <c r="BH148" s="77">
        <f>Tabella34[[#This Row],[rest of Italy cumul. fit]]/Ka</f>
        <v>0.70512909830271842</v>
      </c>
      <c r="BI148" s="143">
        <f>Tabella3[[#This Row],[rest of Italy fit]]</f>
        <v>2423.7850314919651</v>
      </c>
      <c r="BJ148" s="183">
        <f>Tabella34[[#This Row],[rest of Italy velocity]]/Tabella34[[#This Row],[rest of Italy cumul. fit]]</f>
        <v>1.5494499302493017E-2</v>
      </c>
      <c r="BK148" s="236">
        <f>(LN(Tabella34[[#This Row],[Day]]-po)-phi_o)/psi_o</f>
        <v>112.77844902050646</v>
      </c>
      <c r="BL148" s="244">
        <f>EXP(phi_o+psi_o*Tabella34[[#This Row],[x_o_alpha©+plus]])-(Tabella34[[#This Row],[Day]]-po)</f>
        <v>-68.676851083020765</v>
      </c>
      <c r="BM148" s="244">
        <f>EXP(phi_o+psi_o*Tabella34[[#This Row],[x_o_alpha©-minus]])-(Tabella34[[#This Row],[Day]]-po)</f>
        <v>-69.429811493367254</v>
      </c>
      <c r="BN148" s="244">
        <f>-psi_o+SQRT(psi_o^2-2*Tabella34[[#This Row],[c_o]])</f>
        <v>3.5952780779631079</v>
      </c>
      <c r="BO148" s="244">
        <f>-psi_o-SQRT(psi_o^2-2*Tabella34[[#This Row],[c_o]])</f>
        <v>-3.6465913622307613</v>
      </c>
      <c r="BP148" s="244">
        <f>phi_o-LN(alpha*Ko/(Tabella34[[#This Row],[rest of Italy velocity]]*psi_o*SQRTPI(2)))</f>
        <v>-6.5552549919589413</v>
      </c>
      <c r="BQ148" s="244">
        <f>(ACOSH(SQRT(alpha*Ka*psi_a/(Tabella34[[#This Row],[rest of Italy velocity]]*(1+TANH(phi_a)))))+phi_a)/psi_a-(Tabella34[[#This Row],[Day]]-pa)</f>
        <v>21.519768696008811</v>
      </c>
      <c r="BR148" s="72">
        <f>-2*$BY$35*TANH($BY$35*(Tabella34[[#This Row],[Day]]-$BY$44)-$BY$34)*Tabella34[[#This Row],[rest of Italy velocity]]</f>
        <v>-55.240875274363503</v>
      </c>
      <c r="BS148" s="77">
        <f>Tabella34[[#This Row],[rest of Italy acc. fit]]/y_a_peak</f>
        <v>-1.8295022133024919E-2</v>
      </c>
      <c r="BT148" s="77">
        <f>Tabella34[[#This Row],[rest of Italy acc. fit]]*NOT(ISBLANK(Tabella34[[#This Row],[rest of Italy rate data]]))</f>
        <v>-55.240875274363503</v>
      </c>
      <c r="BU148" s="77">
        <f>Tabella34[[#This Row],[rest of Italy acc. fit]]+CIa</f>
        <v>1578.8930646794379</v>
      </c>
      <c r="BV148" s="77">
        <f>MAX(Tabella34[[#This Row],[rest of Italy acc. fit]]-CIa,0)</f>
        <v>0</v>
      </c>
    </row>
    <row r="149" spans="2:74" x14ac:dyDescent="0.3">
      <c r="B149" s="262">
        <v>43972</v>
      </c>
      <c r="C149" s="4">
        <v>142</v>
      </c>
      <c r="D149" s="10">
        <f>Tabella8[[#This Row],[Italy cumulative]]</f>
        <v>167046</v>
      </c>
      <c r="E149" s="72">
        <f>(Tabella34[[#This Row],[Italy cumul. data]]-D148)</f>
        <v>2434</v>
      </c>
      <c r="F149" s="72">
        <f>Tabella34[[#This Row],[Italy rate data]]-E148</f>
        <v>-608</v>
      </c>
      <c r="G149" s="121">
        <f>Tabella34[[#This Row],[Italy rate data]]*NOT(ISBLANK(Tabella34[[#This Row],[Italy rate data]]))</f>
        <v>2434</v>
      </c>
      <c r="H149" s="143">
        <f>Tabella8[[#This Row],[Italy fit]]</f>
        <v>166287.64140548036</v>
      </c>
      <c r="I149" s="143" t="e">
        <f>(ATANH(alpha*Tabella34[[#This Row],[Italy cumul. Fit]]/Kf-(1-alpha*Tabella34[[#This Row],[Italy cumul. Fit]]/Kf)*TANH(phi_f))+phi_f)/psi_f-(Tabella34[[#This Row],[Day]]-pf)</f>
        <v>#NUM!</v>
      </c>
      <c r="J149" s="143" t="e">
        <f>Tabella34[[#This Row],[Italy d.t.]]/Italy_dt_at_lockdown</f>
        <v>#NUM!</v>
      </c>
      <c r="K149" s="77">
        <f>Tabella34[[#This Row],[Italy cumul. Fit]]/Kf</f>
        <v>0.70760698011389422</v>
      </c>
      <c r="L149" s="146">
        <f>Tabella34[[#This Row],[sel. region acc. fit]]+Tabella34[[#This Row],[rest of Italy acc. fit]]</f>
        <v>-57.684563279037441</v>
      </c>
      <c r="M149" s="77">
        <f>Tabella34[[#This Row],[Italy (fit of selected region + fitted sum of the other regions)]]/(y_l_peak+y_a_peak)</f>
        <v>-1.8216082790247418E-2</v>
      </c>
      <c r="N149" s="143">
        <f>Tabella3[[#This Row],[Italy remov. rate fit]]</f>
        <v>2517.6590528787588</v>
      </c>
      <c r="O149" s="143">
        <f>Kt*EXP(-0.5*Tabella34[[#This Row],[x_t]]^2)/(psi_t*SQRTPI(2)*(Tabella34[[#This Row],[Day]]-D_bk))</f>
        <v>0</v>
      </c>
      <c r="P149" s="183">
        <f>Tabella34[[#This Row],[Italy velocity]]/Tabella34[[#This Row],[Italy cumul. Fit]]</f>
        <v>1.5140385849478914E-2</v>
      </c>
      <c r="Q149" s="244">
        <f>(LN(Tabella34[[#This Row],[Day]]-D_bk)-phi_t)/psi_t</f>
        <v>115.83505508034588</v>
      </c>
      <c r="R149" s="244">
        <f>EXP(phi_t+psi_t*Tabella34[[#This Row],[x_t_alpha©+plus]])-(Tabella34[[#This Row],[Day]]-D_bk)</f>
        <v>-69.201174483577631</v>
      </c>
      <c r="S149" s="244">
        <f>EXP(phi_t+psi_t*Tabella34[[#This Row],[x_t_alpha©-minus]])-(Tabella34[[#This Row],[Day]]-D_bk)</f>
        <v>-69.926191815604639</v>
      </c>
      <c r="T149" s="244">
        <f>-psi_t+SQRT(psi_t^2-2*Tabella34[[#This Row],[c_t]])</f>
        <v>3.6127917018014823</v>
      </c>
      <c r="U149" s="244">
        <f>-psi_t-SQRT(psi_t^2-2*Tabella34[[#This Row],[c_t]])</f>
        <v>-3.6633103764988544</v>
      </c>
      <c r="V149" s="244">
        <f>phi_t-LN(alpha*Kt/(Tabella34[[#This Row],[Italy velocity]]*psi_t*SQRTPI(2)))</f>
        <v>-6.6173886646691624</v>
      </c>
      <c r="W149" s="244">
        <f>Tabella34[[#This Row],[Italy g.r.]]/Italy_gr_at_lockdown</f>
        <v>3.6113762099817509E-2</v>
      </c>
      <c r="X149" s="244">
        <f>(ACOSH(SQRT(alpha*Kf*psi_f/(Tabella34[[#This Row],[Italy velocity]]*(1+TANH(phi_f)))))+phi_f)/psi_f-(Tabella34[[#This Row],[Day]]-pf)</f>
        <v>21.724055679094633</v>
      </c>
      <c r="Y149" s="244">
        <f>Tabella34[[#This Row],[Italy h.t.]]/Italy_ht_at_lockdown</f>
        <v>0.18292765146030177</v>
      </c>
      <c r="Z149" s="72">
        <f>-2*$BY$48*TANH($BY$48*(Tabella34[[#This Row],[Day]]-$BY$57)-$BY$47)*Tabella34[[#This Row],[Italy velocity]]</f>
        <v>-57.308054438703046</v>
      </c>
      <c r="AA149" s="72">
        <f>Tabella34[[#This Row],[Italy acc. fit]]/Itali_acc_at_lockdown</f>
        <v>-1.6373576152597697</v>
      </c>
      <c r="AB149" s="77">
        <f>Tabella34[[#This Row],[Italy acc. fit]]/y_f_peak</f>
        <v>-1.8141262273852876E-2</v>
      </c>
      <c r="AC149" s="143">
        <f>Tabella34[[#This Row],[Italy (fit of selected region + fitted sum of the other regions)]]*NOT(ISBLANK(Tabella34[[#This Row],[Italy rate data]]))</f>
        <v>-57.684563279037441</v>
      </c>
      <c r="AD149" s="143">
        <f>Tabella34[[#This Row],[Italy acc. fit]]*NOT(ISBLANK(Tabella34[[#This Row],[Italy rate data]]))</f>
        <v>-57.308054438703046</v>
      </c>
      <c r="AE149" s="77">
        <f>Tabella34[[#This Row],[Italy acc. fit]]+CIf</f>
        <v>1597.9019144850483</v>
      </c>
      <c r="AF149" s="77">
        <f>MAX(Tabella34[[#This Row],[Italy acc. fit]]-CIf,0)</f>
        <v>0</v>
      </c>
      <c r="AG149" s="4">
        <f>Tabella8[[#This Row],[region data]]</f>
        <v>7269</v>
      </c>
      <c r="AH149" s="72">
        <f>(Tabella34[[#This Row],[selected region cumul. data]]-AG148)</f>
        <v>158</v>
      </c>
      <c r="AI149" s="72">
        <f>Tabella34[[#This Row],[selected region rate data]]-AH148</f>
        <v>40</v>
      </c>
      <c r="AJ149" s="121">
        <f>Tabella34[[#This Row],[selected region rate data]]*NOT(ISBLANK(Tabella34[[#This Row],[selected region rate data]]))</f>
        <v>158</v>
      </c>
      <c r="AK149" s="77">
        <f>Tabella8[[#This Row],[region fit]]</f>
        <v>7456.5270570461653</v>
      </c>
      <c r="AL149" s="143" t="e">
        <f>(ATANH(alpha*Tabella34[[#This Row],[sel. region cumul. fit]]/Kl-(1-alpha*Tabella34[[#This Row],[sel. region cumul. fit]]/Kl)*TANH(phi_l))+phi_l)/psi_l-(Tabella34[[#This Row],[Day]]-pl)</f>
        <v>#NUM!</v>
      </c>
      <c r="AM149" s="77">
        <f>Tabella34[[#This Row],[sel. region cumul. fit]]/Kl</f>
        <v>0.56678262682495695</v>
      </c>
      <c r="AN149" s="143">
        <f>Tabella3[[#This Row],[region fit]]</f>
        <v>140.09311620631743</v>
      </c>
      <c r="AO149" s="186">
        <f>Tabella34[[#This Row],[sel. region velocity]]/Tabella34[[#This Row],[sel. region cumul. fit]]</f>
        <v>1.8787984692409075E-2</v>
      </c>
      <c r="AP149" s="241">
        <f>(LN(Tabella34[[#This Row],[Day]]-pr)-phi_r)/psi_r</f>
        <v>153.18816948959184</v>
      </c>
      <c r="AQ149" s="244">
        <f>EXP(phi_r+psi_r*Tabella34[[#This Row],[x_r_alpha©+plus]])-(Tabella34[[#This Row],[Day]]-pr)</f>
        <v>-62.408474735943187</v>
      </c>
      <c r="AR149" s="244">
        <f>EXP(phi_r+psi_r*Tabella34[[#This Row],[x_r_alpha©-minus]])-(Tabella34[[#This Row],[Day]]-pr)</f>
        <v>-62.86483221980005</v>
      </c>
      <c r="AS149" s="244">
        <f>-psi_r+SQRT(psi_r^2-2*Tabella34[[#This Row],[c_r]])</f>
        <v>3.7542861854214857</v>
      </c>
      <c r="AT149" s="244">
        <f>-psi_r-SQRT(psi_r^2-2*Tabella34[[#This Row],[c_r]])</f>
        <v>-3.794574195087824</v>
      </c>
      <c r="AU149" s="244">
        <f>phi_r-LN(alpha*Kr/(Tabella34[[#This Row],[sel. region velocity]]*psi_r*SQRTPI(2)))</f>
        <v>-7.1229587400875358</v>
      </c>
      <c r="AV149" s="244">
        <f>(ACOSH(SQRT(alpha*Kl*psi_l/(Tabella34[[#This Row],[sel. region velocity]]*(1+TANH(phi_l)))))+phi_l)/psi_l-(Tabella34[[#This Row],[Day]]-pl)</f>
        <v>34.362800101499531</v>
      </c>
      <c r="AW149" s="72">
        <f>-2*$BY$22*TANH($BY$22*(Tabella34[[#This Row],[Day]]-$BY$31)-$BY$21)*Tabella34[[#This Row],[sel. region velocity]]</f>
        <v>-1.2430472429888302</v>
      </c>
      <c r="AX149" s="77">
        <f>Tabella34[[#This Row],[sel. region acc. fit]]/y_l_peak</f>
        <v>-8.4426185706136456E-3</v>
      </c>
      <c r="AY149" s="143">
        <f>Tabella34[[#This Row],[sel. region acc. fit]]*NOT(ISBLANK(Tabella34[[#This Row],[selected region rate data]]))</f>
        <v>-1.2430472429888302</v>
      </c>
      <c r="AZ149" s="77">
        <f>Tabella34[[#This Row],[sel. region acc. fit]]+CIl</f>
        <v>68.121939132111564</v>
      </c>
      <c r="BA149" s="77">
        <f>MAX(Tabella34[[#This Row],[sel. region acc. fit]]-CIl,0)</f>
        <v>0</v>
      </c>
      <c r="BB149" s="10">
        <f>Tabella8[[#This Row],[rest of Italy ]]</f>
        <v>159777</v>
      </c>
      <c r="BC149" s="10">
        <f>(Tabella34[[#This Row],[rest of Italy cum. Data]]-BB148)</f>
        <v>2276</v>
      </c>
      <c r="BD149" s="10">
        <f>Tabella34[[#This Row],[rest of Italy rate data]]-BC148</f>
        <v>-648</v>
      </c>
      <c r="BE149" s="77">
        <f>Tabella34[[#This Row],[rest of Italy rate data]]*NOT(ISBLANK(Tabella34[[#This Row],[rest of Italy rate data]]))</f>
        <v>2276</v>
      </c>
      <c r="BF149" s="77">
        <f>Tabella8[[#This Row],[rest of Italy fit]]</f>
        <v>158824.69787183052</v>
      </c>
      <c r="BG149" s="78" t="e">
        <f>(ATANH(alpha*Tabella34[[#This Row],[rest of Italy cumul. fit]]/Ka-(1-alpha*Tabella34[[#This Row],[rest of Italy cumul. fit]]/Ka)*TANH(phi_a))+phi_a)/psi_a-(Tabella34[[#This Row],[Day]]-pa)</f>
        <v>#NUM!</v>
      </c>
      <c r="BH149" s="77">
        <f>Tabella34[[#This Row],[rest of Italy cumul. fit]]/Ka</f>
        <v>0.71592927663906258</v>
      </c>
      <c r="BI149" s="143">
        <f>Tabella3[[#This Row],[rest of Italy fit]]</f>
        <v>2367.9269149821271</v>
      </c>
      <c r="BJ149" s="183">
        <f>Tabella34[[#This Row],[rest of Italy velocity]]/Tabella34[[#This Row],[rest of Italy cumul. fit]]</f>
        <v>1.4909059779185057E-2</v>
      </c>
      <c r="BK149" s="236">
        <f>(LN(Tabella34[[#This Row],[Day]]-po)-phi_o)/psi_o</f>
        <v>113.30790026431477</v>
      </c>
      <c r="BL149" s="244">
        <f>EXP(phi_o+psi_o*Tabella34[[#This Row],[x_o_alpha©+plus]])-(Tabella34[[#This Row],[Day]]-po)</f>
        <v>-69.676118059190159</v>
      </c>
      <c r="BM149" s="244">
        <f>EXP(phi_o+psi_o*Tabella34[[#This Row],[x_o_alpha©-minus]])-(Tabella34[[#This Row],[Day]]-po)</f>
        <v>-70.430420123714967</v>
      </c>
      <c r="BN149" s="244">
        <f>-psi_o+SQRT(psi_o^2-2*Tabella34[[#This Row],[c_o]])</f>
        <v>3.6017114537611428</v>
      </c>
      <c r="BO149" s="244">
        <f>-psi_o-SQRT(psi_o^2-2*Tabella34[[#This Row],[c_o]])</f>
        <v>-3.6530247380287961</v>
      </c>
      <c r="BP149" s="244">
        <f>phi_o-LN(alpha*Ko/(Tabella34[[#This Row],[rest of Italy velocity]]*psi_o*SQRTPI(2)))</f>
        <v>-6.5785705199155569</v>
      </c>
      <c r="BQ149" s="244">
        <f>(ACOSH(SQRT(alpha*Ka*psi_a/(Tabella34[[#This Row],[rest of Italy velocity]]*(1+TANH(phi_a)))))+phi_a)/psi_a-(Tabella34[[#This Row],[Day]]-pa)</f>
        <v>21.104772847967183</v>
      </c>
      <c r="BR149" s="72">
        <f>-2*$BY$35*TANH($BY$35*(Tabella34[[#This Row],[Day]]-$BY$44)-$BY$34)*Tabella34[[#This Row],[rest of Italy velocity]]</f>
        <v>-56.441516036048611</v>
      </c>
      <c r="BS149" s="77">
        <f>Tabella34[[#This Row],[rest of Italy acc. fit]]/y_a_peak</f>
        <v>-1.8692657927167285E-2</v>
      </c>
      <c r="BT149" s="77">
        <f>Tabella34[[#This Row],[rest of Italy acc. fit]]*NOT(ISBLANK(Tabella34[[#This Row],[rest of Italy rate data]]))</f>
        <v>-56.441516036048611</v>
      </c>
      <c r="BU149" s="77">
        <f>Tabella34[[#This Row],[rest of Italy acc. fit]]+CIa</f>
        <v>1577.6924239177529</v>
      </c>
      <c r="BV149" s="77">
        <f>MAX(Tabella34[[#This Row],[rest of Italy acc. fit]]-CIa,0)</f>
        <v>0</v>
      </c>
    </row>
    <row r="150" spans="2:74" x14ac:dyDescent="0.3">
      <c r="B150" s="262">
        <v>43973</v>
      </c>
      <c r="C150" s="4">
        <v>143</v>
      </c>
      <c r="D150" s="10">
        <f>Tabella8[[#This Row],[Italy cumulative]]</f>
        <v>169336</v>
      </c>
      <c r="E150" s="72">
        <f>(Tabella34[[#This Row],[Italy cumul. data]]-D149)</f>
        <v>2290</v>
      </c>
      <c r="F150" s="72">
        <f>Tabella34[[#This Row],[Italy rate data]]-E149</f>
        <v>-144</v>
      </c>
      <c r="G150" s="121">
        <f>Tabella34[[#This Row],[Italy rate data]]*NOT(ISBLANK(Tabella34[[#This Row],[Italy rate data]]))</f>
        <v>2290</v>
      </c>
      <c r="H150" s="143">
        <f>Tabella8[[#This Row],[Italy fit]]</f>
        <v>168776.44554374577</v>
      </c>
      <c r="I150" s="143" t="e">
        <f>(ATANH(alpha*Tabella34[[#This Row],[Italy cumul. Fit]]/Kf-(1-alpha*Tabella34[[#This Row],[Italy cumul. Fit]]/Kf)*TANH(phi_f))+phi_f)/psi_f-(Tabella34[[#This Row],[Day]]-pf)</f>
        <v>#NUM!</v>
      </c>
      <c r="J150" s="143" t="e">
        <f>Tabella34[[#This Row],[Italy d.t.]]/Italy_dt_at_lockdown</f>
        <v>#NUM!</v>
      </c>
      <c r="K150" s="77">
        <f>Tabella34[[#This Row],[Italy cumul. Fit]]/Kf</f>
        <v>0.71819763595270447</v>
      </c>
      <c r="L150" s="146">
        <f>Tabella34[[#This Row],[sel. region acc. fit]]+Tabella34[[#This Row],[rest of Italy acc. fit]]</f>
        <v>-58.779518305878511</v>
      </c>
      <c r="M150" s="77">
        <f>Tabella34[[#This Row],[Italy (fit of selected region + fitted sum of the other regions)]]/(y_l_peak+y_a_peak)</f>
        <v>-1.85618562569555E-2</v>
      </c>
      <c r="N150" s="143">
        <f>Tabella3[[#This Row],[Italy remov. rate fit]]</f>
        <v>2459.7567493529991</v>
      </c>
      <c r="O150" s="143">
        <f>Kt*EXP(-0.5*Tabella34[[#This Row],[x_t]]^2)/(psi_t*SQRTPI(2)*(Tabella34[[#This Row],[Day]]-D_bk))</f>
        <v>0</v>
      </c>
      <c r="P150" s="183">
        <f>Tabella34[[#This Row],[Italy velocity]]/Tabella34[[#This Row],[Italy cumul. Fit]]</f>
        <v>1.457405232956779E-2</v>
      </c>
      <c r="Q150" s="244">
        <f>(LN(Tabella34[[#This Row],[Day]]-D_bk)-phi_t)/psi_t</f>
        <v>116.36991233100078</v>
      </c>
      <c r="R150" s="244">
        <f>EXP(phi_t+psi_t*Tabella34[[#This Row],[x_t_alpha©+plus]])-(Tabella34[[#This Row],[Day]]-D_bk)</f>
        <v>-70.200477416681181</v>
      </c>
      <c r="S150" s="244">
        <f>EXP(phi_t+psi_t*Tabella34[[#This Row],[x_t_alpha©-minus]])-(Tabella34[[#This Row],[Day]]-D_bk)</f>
        <v>-70.926771758975988</v>
      </c>
      <c r="T150" s="244">
        <f>-psi_t+SQRT(psi_t^2-2*Tabella34[[#This Row],[c_t]])</f>
        <v>3.6191815639602205</v>
      </c>
      <c r="U150" s="244">
        <f>-psi_t-SQRT(psi_t^2-2*Tabella34[[#This Row],[c_t]])</f>
        <v>-3.6697002386575925</v>
      </c>
      <c r="V150" s="244">
        <f>phi_t-LN(alpha*Kt/(Tabella34[[#This Row],[Italy velocity]]*psi_t*SQRTPI(2)))</f>
        <v>-6.64065572450499</v>
      </c>
      <c r="W150" s="244">
        <f>Tabella34[[#This Row],[Italy g.r.]]/Italy_gr_at_lockdown</f>
        <v>3.4762909208051446E-2</v>
      </c>
      <c r="X150" s="244">
        <f>(ACOSH(SQRT(alpha*Kf*psi_f/(Tabella34[[#This Row],[Italy velocity]]*(1+TANH(phi_f)))))+phi_f)/psi_f-(Tabella34[[#This Row],[Day]]-pf)</f>
        <v>21.315640923601137</v>
      </c>
      <c r="Y150" s="244">
        <f>Tabella34[[#This Row],[Italy h.t.]]/Italy_ht_at_lockdown</f>
        <v>0.17948859048808866</v>
      </c>
      <c r="Z150" s="72">
        <f>-2*$BY$48*TANH($BY$48*(Tabella34[[#This Row],[Day]]-$BY$57)-$BY$47)*Tabella34[[#This Row],[Italy velocity]]</f>
        <v>-58.462968691679727</v>
      </c>
      <c r="AA150" s="72">
        <f>Tabella34[[#This Row],[Italy acc. fit]]/Itali_acc_at_lockdown</f>
        <v>-1.6703548556233567</v>
      </c>
      <c r="AB150" s="77">
        <f>Tabella34[[#This Row],[Italy acc. fit]]/y_f_peak</f>
        <v>-1.850685839419353E-2</v>
      </c>
      <c r="AC150" s="143">
        <f>Tabella34[[#This Row],[Italy (fit of selected region + fitted sum of the other regions)]]*NOT(ISBLANK(Tabella34[[#This Row],[Italy rate data]]))</f>
        <v>-58.779518305878511</v>
      </c>
      <c r="AD150" s="143">
        <f>Tabella34[[#This Row],[Italy acc. fit]]*NOT(ISBLANK(Tabella34[[#This Row],[Italy rate data]]))</f>
        <v>-58.462968691679727</v>
      </c>
      <c r="AE150" s="77">
        <f>Tabella34[[#This Row],[Italy acc. fit]]+CIf</f>
        <v>1596.7470002320717</v>
      </c>
      <c r="AF150" s="77">
        <f>MAX(Tabella34[[#This Row],[Italy acc. fit]]-CIf,0)</f>
        <v>0</v>
      </c>
      <c r="AG150" s="4">
        <f>Tabella8[[#This Row],[region data]]</f>
        <v>7481</v>
      </c>
      <c r="AH150" s="72">
        <f>(Tabella34[[#This Row],[selected region cumul. data]]-AG149)</f>
        <v>212</v>
      </c>
      <c r="AI150" s="72">
        <f>Tabella34[[#This Row],[selected region rate data]]-AH149</f>
        <v>54</v>
      </c>
      <c r="AJ150" s="121">
        <f>Tabella34[[#This Row],[selected region rate data]]*NOT(ISBLANK(Tabella34[[#This Row],[selected region rate data]]))</f>
        <v>212</v>
      </c>
      <c r="AK150" s="77">
        <f>Tabella8[[#This Row],[region fit]]</f>
        <v>7595.9826158647757</v>
      </c>
      <c r="AL150" s="143" t="e">
        <f>(ATANH(alpha*Tabella34[[#This Row],[sel. region cumul. fit]]/Kl-(1-alpha*Tabella34[[#This Row],[sel. region cumul. fit]]/Kl)*TANH(phi_l))+phi_l)/psi_l-(Tabella34[[#This Row],[Day]]-pl)</f>
        <v>#NUM!</v>
      </c>
      <c r="AM150" s="77">
        <f>Tabella34[[#This Row],[sel. region cumul. fit]]/Kl</f>
        <v>0.57738286837814268</v>
      </c>
      <c r="AN150" s="143">
        <f>Tabella3[[#This Row],[region fit]]</f>
        <v>138.80212749088821</v>
      </c>
      <c r="AO150" s="186">
        <f>Tabella34[[#This Row],[sel. region velocity]]/Tabella34[[#This Row],[sel. region cumul. fit]]</f>
        <v>1.8273097044876015E-2</v>
      </c>
      <c r="AP150" s="241">
        <f>(LN(Tabella34[[#This Row],[Day]]-pr)-phi_r)/psi_r</f>
        <v>153.93871178705359</v>
      </c>
      <c r="AQ150" s="244">
        <f>EXP(phi_r+psi_r*Tabella34[[#This Row],[x_r_alpha©+plus]])-(Tabella34[[#This Row],[Day]]-pr)</f>
        <v>-63.408314942671353</v>
      </c>
      <c r="AR150" s="244">
        <f>EXP(phi_r+psi_r*Tabella34[[#This Row],[x_r_alpha©-minus]])-(Tabella34[[#This Row],[Day]]-pr)</f>
        <v>-63.864969464745926</v>
      </c>
      <c r="AS150" s="244">
        <f>-psi_r+SQRT(psi_r^2-2*Tabella34[[#This Row],[c_r]])</f>
        <v>3.7567381940527755</v>
      </c>
      <c r="AT150" s="244">
        <f>-psi_r-SQRT(psi_r^2-2*Tabella34[[#This Row],[c_r]])</f>
        <v>-3.7970262037191138</v>
      </c>
      <c r="AU150" s="244">
        <f>phi_r-LN(alpha*Kr/(Tabella34[[#This Row],[sel. region velocity]]*psi_r*SQRTPI(2)))</f>
        <v>-7.1322166816654056</v>
      </c>
      <c r="AV150" s="244">
        <f>(ACOSH(SQRT(alpha*Kl*psi_l/(Tabella34[[#This Row],[sel. region velocity]]*(1+TANH(phi_l)))))+phi_l)/psi_l-(Tabella34[[#This Row],[Day]]-pl)</f>
        <v>33.679510095086044</v>
      </c>
      <c r="AW150" s="72">
        <f>-2*$BY$22*TANH($BY$22*(Tabella34[[#This Row],[Day]]-$BY$31)-$BY$21)*Tabella34[[#This Row],[sel. region velocity]]</f>
        <v>-1.3382870570574579</v>
      </c>
      <c r="AX150" s="77">
        <f>Tabella34[[#This Row],[sel. region acc. fit]]/y_l_peak</f>
        <v>-9.0894752588471864E-3</v>
      </c>
      <c r="AY150" s="143">
        <f>Tabella34[[#This Row],[sel. region acc. fit]]*NOT(ISBLANK(Tabella34[[#This Row],[selected region rate data]]))</f>
        <v>-1.3382870570574579</v>
      </c>
      <c r="AZ150" s="77">
        <f>Tabella34[[#This Row],[sel. region acc. fit]]+CIl</f>
        <v>68.026699318042944</v>
      </c>
      <c r="BA150" s="77">
        <f>MAX(Tabella34[[#This Row],[sel. region acc. fit]]-CIl,0)</f>
        <v>0</v>
      </c>
      <c r="BB150" s="10">
        <f>Tabella8[[#This Row],[rest of Italy ]]</f>
        <v>161855</v>
      </c>
      <c r="BC150" s="10">
        <f>(Tabella34[[#This Row],[rest of Italy cum. Data]]-BB149)</f>
        <v>2078</v>
      </c>
      <c r="BD150" s="10">
        <f>Tabella34[[#This Row],[rest of Italy rate data]]-BC149</f>
        <v>-198</v>
      </c>
      <c r="BE150" s="77">
        <f>Tabella34[[#This Row],[rest of Italy rate data]]*NOT(ISBLANK(Tabella34[[#This Row],[rest of Italy rate data]]))</f>
        <v>2078</v>
      </c>
      <c r="BF150" s="77">
        <f>Tabella8[[#This Row],[rest of Italy fit]]</f>
        <v>161164.22912596216</v>
      </c>
      <c r="BG150" s="78" t="e">
        <f>(ATANH(alpha*Tabella34[[#This Row],[rest of Italy cumul. fit]]/Ka-(1-alpha*Tabella34[[#This Row],[rest of Italy cumul. fit]]/Ka)*TANH(phi_a))+phi_a)/psi_a-(Tabella34[[#This Row],[Day]]-pa)</f>
        <v>#NUM!</v>
      </c>
      <c r="BH150" s="77">
        <f>Tabella34[[#This Row],[rest of Italy cumul. fit]]/Ka</f>
        <v>0.72647511076239646</v>
      </c>
      <c r="BI150" s="143">
        <f>Tabella3[[#This Row],[rest of Italy fit]]</f>
        <v>2310.9689879659641</v>
      </c>
      <c r="BJ150" s="183">
        <f>Tabella34[[#This Row],[rest of Italy velocity]]/Tabella34[[#This Row],[rest of Italy cumul. fit]]</f>
        <v>1.4339217830774131E-2</v>
      </c>
      <c r="BK150" s="236">
        <f>(LN(Tabella34[[#This Row],[Day]]-po)-phi_o)/psi_o</f>
        <v>113.83025575427183</v>
      </c>
      <c r="BL150" s="244">
        <f>EXP(phi_o+psi_o*Tabella34[[#This Row],[x_o_alpha©+plus]])-(Tabella34[[#This Row],[Day]]-po)</f>
        <v>-70.6753538333395</v>
      </c>
      <c r="BM150" s="244">
        <f>EXP(phi_o+psi_o*Tabella34[[#This Row],[x_o_alpha©-minus]])-(Tabella34[[#This Row],[Day]]-po)</f>
        <v>-71.431054447252293</v>
      </c>
      <c r="BN150" s="244">
        <f>-psi_o+SQRT(psi_o^2-2*Tabella34[[#This Row],[c_o]])</f>
        <v>3.6084175432976773</v>
      </c>
      <c r="BO150" s="244">
        <f>-psi_o-SQRT(psi_o^2-2*Tabella34[[#This Row],[c_o]])</f>
        <v>-3.6597308275653306</v>
      </c>
      <c r="BP150" s="244">
        <f>phi_o-LN(alpha*Ko/(Tabella34[[#This Row],[rest of Italy velocity]]*psi_o*SQRTPI(2)))</f>
        <v>-6.6029184609670324</v>
      </c>
      <c r="BQ150" s="244">
        <f>(ACOSH(SQRT(alpha*Ka*psi_a/(Tabella34[[#This Row],[rest of Italy velocity]]*(1+TANH(phi_a)))))+phi_a)/psi_a-(Tabella34[[#This Row],[Day]]-pa)</f>
        <v>20.711005262391495</v>
      </c>
      <c r="BR150" s="72">
        <f>-2*$BY$35*TANH($BY$35*(Tabella34[[#This Row],[Day]]-$BY$44)-$BY$34)*Tabella34[[#This Row],[rest of Italy velocity]]</f>
        <v>-57.441231248821055</v>
      </c>
      <c r="BS150" s="77">
        <f>Tabella34[[#This Row],[rest of Italy acc. fit]]/y_a_peak</f>
        <v>-1.9023749928399235E-2</v>
      </c>
      <c r="BT150" s="77">
        <f>Tabella34[[#This Row],[rest of Italy acc. fit]]*NOT(ISBLANK(Tabella34[[#This Row],[rest of Italy rate data]]))</f>
        <v>-57.441231248821055</v>
      </c>
      <c r="BU150" s="77">
        <f>Tabella34[[#This Row],[rest of Italy acc. fit]]+CIa</f>
        <v>1576.6927087049803</v>
      </c>
      <c r="BV150" s="77">
        <f>MAX(Tabella34[[#This Row],[rest of Italy acc. fit]]-CIa,0)</f>
        <v>0</v>
      </c>
    </row>
    <row r="151" spans="2:74" x14ac:dyDescent="0.3">
      <c r="B151" s="262">
        <v>43974</v>
      </c>
      <c r="C151" s="4">
        <v>144</v>
      </c>
      <c r="D151" s="10">
        <f>Tabella8[[#This Row],[Italy cumulative]]</f>
        <v>171575</v>
      </c>
      <c r="E151" s="72">
        <f>(Tabella34[[#This Row],[Italy cumul. data]]-D150)</f>
        <v>2239</v>
      </c>
      <c r="F151" s="72">
        <f>Tabella34[[#This Row],[Italy rate data]]-E150</f>
        <v>-51</v>
      </c>
      <c r="G151" s="121">
        <f>Tabella34[[#This Row],[Italy rate data]]*NOT(ISBLANK(Tabella34[[#This Row],[Italy rate data]]))</f>
        <v>2239</v>
      </c>
      <c r="H151" s="143">
        <f>Tabella8[[#This Row],[Italy fit]]</f>
        <v>171206.8033212224</v>
      </c>
      <c r="I151" s="143" t="e">
        <f>(ATANH(alpha*Tabella34[[#This Row],[Italy cumul. Fit]]/Kf-(1-alpha*Tabella34[[#This Row],[Italy cumul. Fit]]/Kf)*TANH(phi_f))+phi_f)/psi_f-(Tabella34[[#This Row],[Day]]-pf)</f>
        <v>#NUM!</v>
      </c>
      <c r="J151" s="143" t="e">
        <f>Tabella34[[#This Row],[Italy d.t.]]/Italy_dt_at_lockdown</f>
        <v>#NUM!</v>
      </c>
      <c r="K151" s="77">
        <f>Tabella34[[#This Row],[Italy cumul. Fit]]/Kf</f>
        <v>0.72853958387487805</v>
      </c>
      <c r="L151" s="146">
        <f>Tabella34[[#This Row],[sel. region acc. fit]]+Tabella34[[#This Row],[rest of Italy acc. fit]]</f>
        <v>-59.674566473451684</v>
      </c>
      <c r="M151" s="77">
        <f>Tabella34[[#This Row],[Italy (fit of selected region + fitted sum of the other regions)]]/(y_l_peak+y_a_peak)</f>
        <v>-1.8844501571316355E-2</v>
      </c>
      <c r="N151" s="143">
        <f>Tabella3[[#This Row],[Italy remov. rate fit]]</f>
        <v>2400.7995408420707</v>
      </c>
      <c r="O151" s="143">
        <f>Kt*EXP(-0.5*Tabella34[[#This Row],[x_t]]^2)/(psi_t*SQRTPI(2)*(Tabella34[[#This Row],[Day]]-D_bk))</f>
        <v>0</v>
      </c>
      <c r="P151" s="183">
        <f>Tabella34[[#This Row],[Italy velocity]]/Tabella34[[#This Row],[Italy cumul. Fit]]</f>
        <v>1.4022804551391757E-2</v>
      </c>
      <c r="Q151" s="244">
        <f>(LN(Tabella34[[#This Row],[Day]]-D_bk)-phi_t)/psi_t</f>
        <v>116.89763980277418</v>
      </c>
      <c r="R151" s="244">
        <f>EXP(phi_t+psi_t*Tabella34[[#This Row],[x_t_alpha©+plus]])-(Tabella34[[#This Row],[Day]]-D_bk)</f>
        <v>-71.199751762468807</v>
      </c>
      <c r="S151" s="244">
        <f>EXP(phi_t+psi_t*Tabella34[[#This Row],[x_t_alpha©-minus]])-(Tabella34[[#This Row],[Day]]-D_bk)</f>
        <v>-71.927375287491827</v>
      </c>
      <c r="T151" s="244">
        <f>-psi_t+SQRT(psi_t^2-2*Tabella34[[#This Row],[c_t]])</f>
        <v>3.6258323844115181</v>
      </c>
      <c r="U151" s="244">
        <f>-psi_t-SQRT(psi_t^2-2*Tabella34[[#This Row],[c_t]])</f>
        <v>-3.6763510591088902</v>
      </c>
      <c r="V151" s="244">
        <f>phi_t-LN(alpha*Kt/(Tabella34[[#This Row],[Italy velocity]]*psi_t*SQRTPI(2)))</f>
        <v>-6.6649163632912991</v>
      </c>
      <c r="W151" s="244">
        <f>Tabella34[[#This Row],[Italy g.r.]]/Italy_gr_at_lockdown</f>
        <v>3.3448039737945613E-2</v>
      </c>
      <c r="X151" s="244">
        <f>(ACOSH(SQRT(alpha*Kf*psi_f/(Tabella34[[#This Row],[Italy velocity]]*(1+TANH(phi_f)))))+phi_f)/psi_f-(Tabella34[[#This Row],[Day]]-pf)</f>
        <v>20.927835421086201</v>
      </c>
      <c r="Y151" s="244">
        <f>Tabella34[[#This Row],[Italy h.t.]]/Italy_ht_at_lockdown</f>
        <v>0.17622306995884854</v>
      </c>
      <c r="Z151" s="72">
        <f>-2*$BY$48*TANH($BY$48*(Tabella34[[#This Row],[Day]]-$BY$57)-$BY$47)*Tabella34[[#This Row],[Italy velocity]]</f>
        <v>-59.418644492241974</v>
      </c>
      <c r="AA151" s="72">
        <f>Tabella34[[#This Row],[Italy acc. fit]]/Itali_acc_at_lockdown</f>
        <v>-1.697659622206277</v>
      </c>
      <c r="AB151" s="77">
        <f>Tabella34[[#This Row],[Italy acc. fit]]/y_f_peak</f>
        <v>-1.88093841999739E-2</v>
      </c>
      <c r="AC151" s="143">
        <f>Tabella34[[#This Row],[Italy (fit of selected region + fitted sum of the other regions)]]*NOT(ISBLANK(Tabella34[[#This Row],[Italy rate data]]))</f>
        <v>-59.674566473451684</v>
      </c>
      <c r="AD151" s="143">
        <f>Tabella34[[#This Row],[Italy acc. fit]]*NOT(ISBLANK(Tabella34[[#This Row],[Italy rate data]]))</f>
        <v>-59.418644492241974</v>
      </c>
      <c r="AE151" s="77">
        <f>Tabella34[[#This Row],[Italy acc. fit]]+CIf</f>
        <v>1595.7913244315093</v>
      </c>
      <c r="AF151" s="77">
        <f>MAX(Tabella34[[#This Row],[Italy acc. fit]]-CIf,0)</f>
        <v>0</v>
      </c>
      <c r="AG151" s="4">
        <f>Tabella8[[#This Row],[region data]]</f>
        <v>7693</v>
      </c>
      <c r="AH151" s="72">
        <f>(Tabella34[[#This Row],[selected region cumul. data]]-AG150)</f>
        <v>212</v>
      </c>
      <c r="AI151" s="72">
        <f>Tabella34[[#This Row],[selected region rate data]]-AH150</f>
        <v>0</v>
      </c>
      <c r="AJ151" s="121">
        <f>Tabella34[[#This Row],[selected region rate data]]*NOT(ISBLANK(Tabella34[[#This Row],[selected region rate data]]))</f>
        <v>212</v>
      </c>
      <c r="AK151" s="77">
        <f>Tabella8[[#This Row],[region fit]]</f>
        <v>7734.1002184909194</v>
      </c>
      <c r="AL151" s="143" t="e">
        <f>(ATANH(alpha*Tabella34[[#This Row],[sel. region cumul. fit]]/Kl-(1-alpha*Tabella34[[#This Row],[sel. region cumul. fit]]/Kl)*TANH(phi_l))+phi_l)/psi_l-(Tabella34[[#This Row],[Day]]-pl)</f>
        <v>#NUM!</v>
      </c>
      <c r="AM151" s="77">
        <f>Tabella34[[#This Row],[sel. region cumul. fit]]/Kl</f>
        <v>0.58788140972699177</v>
      </c>
      <c r="AN151" s="143">
        <f>Tabella3[[#This Row],[region fit]]</f>
        <v>137.41786541634067</v>
      </c>
      <c r="AO151" s="186">
        <f>Tabella34[[#This Row],[sel. region velocity]]/Tabella34[[#This Row],[sel. region cumul. fit]]</f>
        <v>1.7767789598562209E-2</v>
      </c>
      <c r="AP151" s="241">
        <f>(LN(Tabella34[[#This Row],[Day]]-pr)-phi_r)/psi_r</f>
        <v>154.67807548843251</v>
      </c>
      <c r="AQ151" s="244">
        <f>EXP(phi_r+psi_r*Tabella34[[#This Row],[x_r_alpha©+plus]])-(Tabella34[[#This Row],[Day]]-pr)</f>
        <v>-64.408142052727996</v>
      </c>
      <c r="AR151" s="244">
        <f>EXP(phi_r+psi_r*Tabella34[[#This Row],[x_r_alpha©-minus]])-(Tabella34[[#This Row],[Day]]-pr)</f>
        <v>-64.865117943031308</v>
      </c>
      <c r="AS151" s="244">
        <f>-psi_r+SQRT(psi_r^2-2*Tabella34[[#This Row],[c_r]])</f>
        <v>3.7593910331391487</v>
      </c>
      <c r="AT151" s="244">
        <f>-psi_r-SQRT(psi_r^2-2*Tabella34[[#This Row],[c_r]])</f>
        <v>-3.799679042805487</v>
      </c>
      <c r="AU151" s="244">
        <f>phi_r-LN(alpha*Kr/(Tabella34[[#This Row],[sel. region velocity]]*psi_r*SQRTPI(2)))</f>
        <v>-7.1422396611648464</v>
      </c>
      <c r="AV151" s="244">
        <f>(ACOSH(SQRT(alpha*Kl*psi_l/(Tabella34[[#This Row],[sel. region velocity]]*(1+TANH(phi_l)))))+phi_l)/psi_l-(Tabella34[[#This Row],[Day]]-pl)</f>
        <v>33.02092182842371</v>
      </c>
      <c r="AW151" s="72">
        <f>-2*$BY$22*TANH($BY$22*(Tabella34[[#This Row],[Day]]-$BY$31)-$BY$21)*Tabella34[[#This Row],[sel. region velocity]]</f>
        <v>-1.4295577040329446</v>
      </c>
      <c r="AX151" s="77">
        <f>Tabella34[[#This Row],[sel. region acc. fit]]/y_l_peak</f>
        <v>-9.7093738696629704E-3</v>
      </c>
      <c r="AY151" s="143">
        <f>Tabella34[[#This Row],[sel. region acc. fit]]*NOT(ISBLANK(Tabella34[[#This Row],[selected region rate data]]))</f>
        <v>-1.4295577040329446</v>
      </c>
      <c r="AZ151" s="77">
        <f>Tabella34[[#This Row],[sel. region acc. fit]]+CIl</f>
        <v>67.935428671067456</v>
      </c>
      <c r="BA151" s="77">
        <f>MAX(Tabella34[[#This Row],[sel. region acc. fit]]-CIl,0)</f>
        <v>0</v>
      </c>
      <c r="BB151" s="10">
        <f>Tabella8[[#This Row],[rest of Italy ]]</f>
        <v>163882</v>
      </c>
      <c r="BC151" s="10">
        <f>(Tabella34[[#This Row],[rest of Italy cum. Data]]-BB150)</f>
        <v>2027</v>
      </c>
      <c r="BD151" s="10">
        <f>Tabella34[[#This Row],[rest of Italy rate data]]-BC150</f>
        <v>-51</v>
      </c>
      <c r="BE151" s="77">
        <f>Tabella34[[#This Row],[rest of Italy rate data]]*NOT(ISBLANK(Tabella34[[#This Row],[rest of Italy rate data]]))</f>
        <v>2027</v>
      </c>
      <c r="BF151" s="77">
        <f>Tabella8[[#This Row],[rest of Italy fit]]</f>
        <v>163446.3354814646</v>
      </c>
      <c r="BG151" s="78" t="e">
        <f>(ATANH(alpha*Tabella34[[#This Row],[rest of Italy cumul. fit]]/Ka-(1-alpha*Tabella34[[#This Row],[rest of Italy cumul. fit]]/Ka)*TANH(phi_a))+phi_a)/psi_a-(Tabella34[[#This Row],[Day]]-pa)</f>
        <v>#NUM!</v>
      </c>
      <c r="BH151" s="77">
        <f>Tabella34[[#This Row],[rest of Italy cumul. fit]]/Ka</f>
        <v>0.73676209241072133</v>
      </c>
      <c r="BI151" s="143">
        <f>Tabella3[[#This Row],[rest of Italy fit]]</f>
        <v>2253.1097769916719</v>
      </c>
      <c r="BJ151" s="183">
        <f>Tabella34[[#This Row],[rest of Italy velocity]]/Tabella34[[#This Row],[rest of Italy cumul. fit]]</f>
        <v>1.378501249572024E-2</v>
      </c>
      <c r="BK151" s="236">
        <f>(LN(Tabella34[[#This Row],[Day]]-po)-phi_o)/psi_o</f>
        <v>114.34570317368126</v>
      </c>
      <c r="BL151" s="244">
        <f>EXP(phi_o+psi_o*Tabella34[[#This Row],[x_o_alpha©+plus]])-(Tabella34[[#This Row],[Day]]-po)</f>
        <v>-71.674559338439281</v>
      </c>
      <c r="BM151" s="244">
        <f>EXP(phi_o+psi_o*Tabella34[[#This Row],[x_o_alpha©-minus]])-(Tabella34[[#This Row],[Day]]-po)</f>
        <v>-72.431713663381615</v>
      </c>
      <c r="BN151" s="244">
        <f>-psi_o+SQRT(psi_o^2-2*Tabella34[[#This Row],[c_o]])</f>
        <v>3.6153880209889802</v>
      </c>
      <c r="BO151" s="244">
        <f>-psi_o-SQRT(psi_o^2-2*Tabella34[[#This Row],[c_o]])</f>
        <v>-3.6667013052566335</v>
      </c>
      <c r="BP151" s="244">
        <f>phi_o-LN(alpha*Ko/(Tabella34[[#This Row],[rest of Italy velocity]]*psi_o*SQRTPI(2)))</f>
        <v>-6.6282739877847447</v>
      </c>
      <c r="BQ151" s="244">
        <f>(ACOSH(SQRT(alpha*Ka*psi_a/(Tabella34[[#This Row],[rest of Italy velocity]]*(1+TANH(phi_a)))))+phi_a)/psi_a-(Tabella34[[#This Row],[Day]]-pa)</f>
        <v>20.337482688562758</v>
      </c>
      <c r="BR151" s="72">
        <f>-2*$BY$35*TANH($BY$35*(Tabella34[[#This Row],[Day]]-$BY$44)-$BY$34)*Tabella34[[#This Row],[rest of Italy velocity]]</f>
        <v>-58.245008769418739</v>
      </c>
      <c r="BS151" s="77">
        <f>Tabella34[[#This Row],[rest of Italy acc. fit]]/y_a_peak</f>
        <v>-1.9289950046632823E-2</v>
      </c>
      <c r="BT151" s="77">
        <f>Tabella34[[#This Row],[rest of Italy acc. fit]]*NOT(ISBLANK(Tabella34[[#This Row],[rest of Italy rate data]]))</f>
        <v>-58.245008769418739</v>
      </c>
      <c r="BU151" s="77">
        <f>Tabella34[[#This Row],[rest of Italy acc. fit]]+CIa</f>
        <v>1575.8889311843827</v>
      </c>
      <c r="BV151" s="77">
        <f>MAX(Tabella34[[#This Row],[rest of Italy acc. fit]]-CIa,0)</f>
        <v>0</v>
      </c>
    </row>
    <row r="152" spans="2:74" x14ac:dyDescent="0.3">
      <c r="B152" s="262">
        <v>43975</v>
      </c>
      <c r="C152" s="4">
        <v>145</v>
      </c>
      <c r="D152" s="10">
        <f>Tabella8[[#This Row],[Italy cumulative]]</f>
        <v>173264</v>
      </c>
      <c r="E152" s="72">
        <f>(Tabella34[[#This Row],[Italy cumul. data]]-D151)</f>
        <v>1689</v>
      </c>
      <c r="F152" s="72">
        <f>Tabella34[[#This Row],[Italy rate data]]-E151</f>
        <v>-550</v>
      </c>
      <c r="G152" s="121">
        <f>Tabella34[[#This Row],[Italy rate data]]*NOT(ISBLANK(Tabella34[[#This Row],[Italy rate data]]))</f>
        <v>1689</v>
      </c>
      <c r="H152" s="143">
        <f>Tabella8[[#This Row],[Italy fit]]</f>
        <v>173577.75862644025</v>
      </c>
      <c r="I152" s="143" t="e">
        <f>(ATANH(alpha*Tabella34[[#This Row],[Italy cumul. Fit]]/Kf-(1-alpha*Tabella34[[#This Row],[Italy cumul. Fit]]/Kf)*TANH(phi_f))+phi_f)/psi_f-(Tabella34[[#This Row],[Day]]-pf)</f>
        <v>#NUM!</v>
      </c>
      <c r="J152" s="143" t="e">
        <f>Tabella34[[#This Row],[Italy d.t.]]/Italy_dt_at_lockdown</f>
        <v>#NUM!</v>
      </c>
      <c r="K152" s="77">
        <f>Tabella34[[#This Row],[Italy cumul. Fit]]/Kf</f>
        <v>0.73862875532099448</v>
      </c>
      <c r="L152" s="146">
        <f>Tabella34[[#This Row],[sel. region acc. fit]]+Tabella34[[#This Row],[rest of Italy acc. fit]]</f>
        <v>-60.375564698571665</v>
      </c>
      <c r="M152" s="77">
        <f>Tabella34[[#This Row],[Italy (fit of selected region + fitted sum of the other regions)]]/(y_l_peak+y_a_peak)</f>
        <v>-1.9065868276353759E-2</v>
      </c>
      <c r="N152" s="143">
        <f>Tabella3[[#This Row],[Italy remov. rate fit]]</f>
        <v>2340.9841437216733</v>
      </c>
      <c r="O152" s="143">
        <f>Kt*EXP(-0.5*Tabella34[[#This Row],[x_t]]^2)/(psi_t*SQRTPI(2)*(Tabella34[[#This Row],[Day]]-D_bk))</f>
        <v>0</v>
      </c>
      <c r="P152" s="183">
        <f>Tabella34[[#This Row],[Italy velocity]]/Tabella34[[#This Row],[Italy cumul. Fit]]</f>
        <v>1.3486659594215331E-2</v>
      </c>
      <c r="Q152" s="244">
        <f>(LN(Tabella34[[#This Row],[Day]]-D_bk)-phi_t)/psi_t</f>
        <v>117.41842508126204</v>
      </c>
      <c r="R152" s="244">
        <f>EXP(phi_t+psi_t*Tabella34[[#This Row],[x_t_alpha©+plus]])-(Tabella34[[#This Row],[Day]]-D_bk)</f>
        <v>-72.198998372250742</v>
      </c>
      <c r="S152" s="244">
        <f>EXP(phi_t+psi_t*Tabella34[[#This Row],[x_t_alpha©-minus]])-(Tabella34[[#This Row],[Day]]-D_bk)</f>
        <v>-72.928001669617899</v>
      </c>
      <c r="T152" s="244">
        <f>-psi_t+SQRT(psi_t^2-2*Tabella34[[#This Row],[c_t]])</f>
        <v>3.6327362310061502</v>
      </c>
      <c r="U152" s="244">
        <f>-psi_t-SQRT(psi_t^2-2*Tabella34[[#This Row],[c_t]])</f>
        <v>-3.6832549057035222</v>
      </c>
      <c r="V152" s="244">
        <f>phi_t-LN(alpha*Kt/(Tabella34[[#This Row],[Italy velocity]]*psi_t*SQRTPI(2)))</f>
        <v>-6.6901467719901628</v>
      </c>
      <c r="W152" s="244">
        <f>Tabella34[[#This Row],[Italy g.r.]]/Italy_gr_at_lockdown</f>
        <v>3.2169194427992515E-2</v>
      </c>
      <c r="X152" s="244">
        <f>(ACOSH(SQRT(alpha*Kf*psi_f/(Tabella34[[#This Row],[Italy velocity]]*(1+TANH(phi_f)))))+phi_f)/psi_f-(Tabella34[[#This Row],[Day]]-pf)</f>
        <v>20.559693105497942</v>
      </c>
      <c r="Y152" s="244">
        <f>Tabella34[[#This Row],[Italy h.t.]]/Italy_ht_at_lockdown</f>
        <v>0.1731231235129129</v>
      </c>
      <c r="Z152" s="72">
        <f>-2*$BY$48*TANH($BY$48*(Tabella34[[#This Row],[Day]]-$BY$57)-$BY$47)*Tabella34[[#This Row],[Italy velocity]]</f>
        <v>-60.180303715657857</v>
      </c>
      <c r="AA152" s="72">
        <f>Tabella34[[#This Row],[Italy acc. fit]]/Itali_acc_at_lockdown</f>
        <v>-1.7194211100443739</v>
      </c>
      <c r="AB152" s="77">
        <f>Tabella34[[#This Row],[Italy acc. fit]]/y_f_peak</f>
        <v>-1.905049271204293E-2</v>
      </c>
      <c r="AC152" s="143">
        <f>Tabella34[[#This Row],[Italy (fit of selected region + fitted sum of the other regions)]]*NOT(ISBLANK(Tabella34[[#This Row],[Italy rate data]]))</f>
        <v>-60.375564698571665</v>
      </c>
      <c r="AD152" s="143">
        <f>Tabella34[[#This Row],[Italy acc. fit]]*NOT(ISBLANK(Tabella34[[#This Row],[Italy rate data]]))</f>
        <v>-60.180303715657857</v>
      </c>
      <c r="AE152" s="77">
        <f>Tabella34[[#This Row],[Italy acc. fit]]+CIf</f>
        <v>1595.0296652080935</v>
      </c>
      <c r="AF152" s="77">
        <f>MAX(Tabella34[[#This Row],[Italy acc. fit]]-CIf,0)</f>
        <v>0</v>
      </c>
      <c r="AG152" s="4">
        <f>Tabella8[[#This Row],[region data]]</f>
        <v>7856</v>
      </c>
      <c r="AH152" s="72">
        <f>(Tabella34[[#This Row],[selected region cumul. data]]-AG151)</f>
        <v>163</v>
      </c>
      <c r="AI152" s="72">
        <f>Tabella34[[#This Row],[selected region rate data]]-AH151</f>
        <v>-49</v>
      </c>
      <c r="AJ152" s="121">
        <f>Tabella34[[#This Row],[selected region rate data]]*NOT(ISBLANK(Tabella34[[#This Row],[selected region rate data]]))</f>
        <v>163</v>
      </c>
      <c r="AK152" s="77">
        <f>Tabella8[[#This Row],[region fit]]</f>
        <v>7870.78861139131</v>
      </c>
      <c r="AL152" s="143" t="e">
        <f>(ATANH(alpha*Tabella34[[#This Row],[sel. region cumul. fit]]/Kl-(1-alpha*Tabella34[[#This Row],[sel. region cumul. fit]]/Kl)*TANH(phi_l))+phi_l)/psi_l-(Tabella34[[#This Row],[Day]]-pl)</f>
        <v>#NUM!</v>
      </c>
      <c r="AM152" s="77">
        <f>Tabella34[[#This Row],[sel. region cumul. fit]]/Kl</f>
        <v>0.59827131454351845</v>
      </c>
      <c r="AN152" s="143">
        <f>Tabella3[[#This Row],[region fit]]</f>
        <v>135.94440385789494</v>
      </c>
      <c r="AO152" s="186">
        <f>Tabella34[[#This Row],[sel. region velocity]]/Tabella34[[#This Row],[sel. region cumul. fit]]</f>
        <v>1.7272018163611208E-2</v>
      </c>
      <c r="AP152" s="241">
        <f>(LN(Tabella34[[#This Row],[Day]]-pr)-phi_r)/psi_r</f>
        <v>155.40658870144915</v>
      </c>
      <c r="AQ152" s="244">
        <f>EXP(phi_r+psi_r*Tabella34[[#This Row],[x_r_alpha©+plus]])-(Tabella34[[#This Row],[Day]]-pr)</f>
        <v>-65.407956223003524</v>
      </c>
      <c r="AR152" s="244">
        <f>EXP(phi_r+psi_r*Tabella34[[#This Row],[x_r_alpha©-minus]])-(Tabella34[[#This Row],[Day]]-pr)</f>
        <v>-65.865277516337287</v>
      </c>
      <c r="AS152" s="244">
        <f>-psi_r+SQRT(psi_r^2-2*Tabella34[[#This Row],[c_r]])</f>
        <v>3.7622422633409736</v>
      </c>
      <c r="AT152" s="244">
        <f>-psi_r-SQRT(psi_r^2-2*Tabella34[[#This Row],[c_r]])</f>
        <v>-3.8025302730073118</v>
      </c>
      <c r="AU152" s="244">
        <f>phi_r-LN(alpha*Kr/(Tabella34[[#This Row],[sel. region velocity]]*psi_r*SQRTPI(2)))</f>
        <v>-7.1530200503707997</v>
      </c>
      <c r="AV152" s="244">
        <f>(ACOSH(SQRT(alpha*Kl*psi_l/(Tabella34[[#This Row],[sel. region velocity]]*(1+TANH(phi_l)))))+phi_l)/psi_l-(Tabella34[[#This Row],[Day]]-pl)</f>
        <v>32.38646661879703</v>
      </c>
      <c r="AW152" s="72">
        <f>-2*$BY$22*TANH($BY$22*(Tabella34[[#This Row],[Day]]-$BY$31)-$BY$21)*Tabella34[[#This Row],[sel. region velocity]]</f>
        <v>-1.5166538539447274</v>
      </c>
      <c r="AX152" s="77">
        <f>Tabella34[[#This Row],[sel. region acc. fit]]/y_l_peak</f>
        <v>-1.0300919828049987E-2</v>
      </c>
      <c r="AY152" s="143">
        <f>Tabella34[[#This Row],[sel. region acc. fit]]*NOT(ISBLANK(Tabella34[[#This Row],[selected region rate data]]))</f>
        <v>-1.5166538539447274</v>
      </c>
      <c r="AZ152" s="77">
        <f>Tabella34[[#This Row],[sel. region acc. fit]]+CIl</f>
        <v>67.848332521155669</v>
      </c>
      <c r="BA152" s="77">
        <f>MAX(Tabella34[[#This Row],[sel. region acc. fit]]-CIl,0)</f>
        <v>0</v>
      </c>
      <c r="BB152" s="10">
        <f>Tabella8[[#This Row],[rest of Italy ]]</f>
        <v>165408</v>
      </c>
      <c r="BC152" s="10">
        <f>(Tabella34[[#This Row],[rest of Italy cum. Data]]-BB151)</f>
        <v>1526</v>
      </c>
      <c r="BD152" s="10">
        <f>Tabella34[[#This Row],[rest of Italy rate data]]-BC151</f>
        <v>-501</v>
      </c>
      <c r="BE152" s="77">
        <f>Tabella34[[#This Row],[rest of Italy rate data]]*NOT(ISBLANK(Tabella34[[#This Row],[rest of Italy rate data]]))</f>
        <v>1526</v>
      </c>
      <c r="BF152" s="77">
        <f>Tabella8[[#This Row],[rest of Italy fit]]</f>
        <v>165670.21265508031</v>
      </c>
      <c r="BG152" s="78" t="e">
        <f>(ATANH(alpha*Tabella34[[#This Row],[rest of Italy cumul. fit]]/Ka-(1-alpha*Tabella34[[#This Row],[rest of Italy cumul. fit]]/Ka)*TANH(phi_a))+phi_a)/psi_a-(Tabella34[[#This Row],[Day]]-pa)</f>
        <v>#NUM!</v>
      </c>
      <c r="BH152" s="77">
        <f>Tabella34[[#This Row],[rest of Italy cumul. fit]]/Ka</f>
        <v>0.74678659614077503</v>
      </c>
      <c r="BI152" s="143">
        <f>Tabella3[[#This Row],[rest of Italy fit]]</f>
        <v>2194.5422727194464</v>
      </c>
      <c r="BJ152" s="183">
        <f>Tabella34[[#This Row],[rest of Italy velocity]]/Tabella34[[#This Row],[rest of Italy cumul. fit]]</f>
        <v>1.3246450508809378E-2</v>
      </c>
      <c r="BK152" s="236">
        <f>(LN(Tabella34[[#This Row],[Day]]-po)-phi_o)/psi_o</f>
        <v>114.85442285657589</v>
      </c>
      <c r="BL152" s="244">
        <f>EXP(phi_o+psi_o*Tabella34[[#This Row],[x_o_alpha©+plus]])-(Tabella34[[#This Row],[Day]]-po)</f>
        <v>-72.673735519232707</v>
      </c>
      <c r="BM152" s="244">
        <f>EXP(phi_o+psi_o*Tabella34[[#This Row],[x_o_alpha©-minus]])-(Tabella34[[#This Row],[Day]]-po)</f>
        <v>-73.432396961829568</v>
      </c>
      <c r="BN152" s="244">
        <f>-psi_o+SQRT(psi_o^2-2*Tabella34[[#This Row],[c_o]])</f>
        <v>3.6226144584034188</v>
      </c>
      <c r="BO152" s="244">
        <f>-psi_o-SQRT(psi_o^2-2*Tabella34[[#This Row],[c_o]])</f>
        <v>-3.6739277426710721</v>
      </c>
      <c r="BP152" s="244">
        <f>phi_o-LN(alpha*Ko/(Tabella34[[#This Row],[rest of Italy velocity]]*psi_o*SQRTPI(2)))</f>
        <v>-6.6546118798648308</v>
      </c>
      <c r="BQ152" s="244">
        <f>(ACOSH(SQRT(alpha*Ka*psi_a/(Tabella34[[#This Row],[rest of Italy velocity]]*(1+TANH(phi_a)))))+phi_a)/psi_a-(Tabella34[[#This Row],[Day]]-pa)</f>
        <v>19.983247815224843</v>
      </c>
      <c r="BR152" s="72">
        <f>-2*$BY$35*TANH($BY$35*(Tabella34[[#This Row],[Day]]-$BY$44)-$BY$34)*Tabella34[[#This Row],[rest of Italy velocity]]</f>
        <v>-58.858910844626941</v>
      </c>
      <c r="BS152" s="77">
        <f>Tabella34[[#This Row],[rest of Italy acc. fit]]/y_a_peak</f>
        <v>-1.949326601506492E-2</v>
      </c>
      <c r="BT152" s="77">
        <f>Tabella34[[#This Row],[rest of Italy acc. fit]]*NOT(ISBLANK(Tabella34[[#This Row],[rest of Italy rate data]]))</f>
        <v>-58.858910844626941</v>
      </c>
      <c r="BU152" s="77">
        <f>Tabella34[[#This Row],[rest of Italy acc. fit]]+CIa</f>
        <v>1575.2750291091745</v>
      </c>
      <c r="BV152" s="77">
        <f>MAX(Tabella34[[#This Row],[rest of Italy acc. fit]]-CIa,0)</f>
        <v>0</v>
      </c>
    </row>
    <row r="153" spans="2:74" x14ac:dyDescent="0.3">
      <c r="B153" s="262">
        <v>43976</v>
      </c>
      <c r="C153" s="4">
        <v>146</v>
      </c>
      <c r="D153" s="10">
        <f>Tabella8[[#This Row],[Italy cumulative]]</f>
        <v>174858</v>
      </c>
      <c r="E153" s="72">
        <f>(Tabella34[[#This Row],[Italy cumul. data]]-D152)</f>
        <v>1594</v>
      </c>
      <c r="F153" s="72">
        <f>Tabella34[[#This Row],[Italy rate data]]-E152</f>
        <v>-95</v>
      </c>
      <c r="G153" s="121">
        <f>Tabella34[[#This Row],[Italy rate data]]*NOT(ISBLANK(Tabella34[[#This Row],[Italy rate data]]))</f>
        <v>1594</v>
      </c>
      <c r="H153" s="143">
        <f>Tabella8[[#This Row],[Italy fit]]</f>
        <v>175888.5492808189</v>
      </c>
      <c r="I153" s="143" t="e">
        <f>(ATANH(alpha*Tabella34[[#This Row],[Italy cumul. Fit]]/Kf-(1-alpha*Tabella34[[#This Row],[Italy cumul. Fit]]/Kf)*TANH(phi_f))+phi_f)/psi_f-(Tabella34[[#This Row],[Day]]-pf)</f>
        <v>#NUM!</v>
      </c>
      <c r="J153" s="143" t="e">
        <f>Tabella34[[#This Row],[Italy d.t.]]/Italy_dt_at_lockdown</f>
        <v>#NUM!</v>
      </c>
      <c r="K153" s="77">
        <f>Tabella34[[#This Row],[Italy cumul. Fit]]/Kf</f>
        <v>0.74846190697796666</v>
      </c>
      <c r="L153" s="146">
        <f>Tabella34[[#This Row],[sel. region acc. fit]]+Tabella34[[#This Row],[rest of Italy acc. fit]]</f>
        <v>-60.889337469381132</v>
      </c>
      <c r="M153" s="77">
        <f>Tabella34[[#This Row],[Italy (fit of selected region + fitted sum of the other regions)]]/(y_l_peak+y_a_peak)</f>
        <v>-1.9228111462336949E-2</v>
      </c>
      <c r="N153" s="143">
        <f>Tabella3[[#This Row],[Italy remov. rate fit]]</f>
        <v>2280.5015400381494</v>
      </c>
      <c r="O153" s="143">
        <f>Kt*EXP(-0.5*Tabella34[[#This Row],[x_t]]^2)/(psi_t*SQRTPI(2)*(Tabella34[[#This Row],[Day]]-D_bk))</f>
        <v>0</v>
      </c>
      <c r="P153" s="183">
        <f>Tabella34[[#This Row],[Italy velocity]]/Tabella34[[#This Row],[Italy cumul. Fit]]</f>
        <v>1.2965605489173502E-2</v>
      </c>
      <c r="Q153" s="244">
        <f>(LN(Tabella34[[#This Row],[Day]]-D_bk)-phi_t)/psi_t</f>
        <v>117.93244844497198</v>
      </c>
      <c r="R153" s="244">
        <f>EXP(phi_t+psi_t*Tabella34[[#This Row],[x_t_alpha©+plus]])-(Tabella34[[#This Row],[Day]]-D_bk)</f>
        <v>-73.198218107043374</v>
      </c>
      <c r="S153" s="244">
        <f>EXP(phi_t+psi_t*Tabella34[[#This Row],[x_t_alpha©-minus]])-(Tabella34[[#This Row],[Day]]-D_bk)</f>
        <v>-73.928650165859295</v>
      </c>
      <c r="T153" s="244">
        <f>-psi_t+SQRT(psi_t^2-2*Tabella34[[#This Row],[c_t]])</f>
        <v>3.6398850832078273</v>
      </c>
      <c r="U153" s="244">
        <f>-psi_t-SQRT(psi_t^2-2*Tabella34[[#This Row],[c_t]])</f>
        <v>-3.6904037579051994</v>
      </c>
      <c r="V153" s="244">
        <f>phi_t-LN(alpha*Kt/(Tabella34[[#This Row],[Italy velocity]]*psi_t*SQRTPI(2)))</f>
        <v>-6.7163227947066222</v>
      </c>
      <c r="W153" s="244">
        <f>Tabella34[[#This Row],[Italy g.r.]]/Italy_gr_at_lockdown</f>
        <v>3.0926344729332984E-2</v>
      </c>
      <c r="X153" s="244">
        <f>(ACOSH(SQRT(alpha*Kf*psi_f/(Tabella34[[#This Row],[Italy velocity]]*(1+TANH(phi_f)))))+phi_f)/psi_f-(Tabella34[[#This Row],[Day]]-pf)</f>
        <v>20.210293434697576</v>
      </c>
      <c r="Y153" s="244">
        <f>Tabella34[[#This Row],[Italy h.t.]]/Italy_ht_at_lockdown</f>
        <v>0.17018099971500622</v>
      </c>
      <c r="Z153" s="72">
        <f>-2*$BY$48*TANH($BY$48*(Tabella34[[#This Row],[Day]]-$BY$57)-$BY$47)*Tabella34[[#This Row],[Italy velocity]]</f>
        <v>-60.754172327468872</v>
      </c>
      <c r="AA153" s="72">
        <f>Tabella34[[#This Row],[Italy acc. fit]]/Itali_acc_at_lockdown</f>
        <v>-1.735817202197744</v>
      </c>
      <c r="AB153" s="77">
        <f>Tabella34[[#This Row],[Italy acc. fit]]/y_f_peak</f>
        <v>-1.9232154802992656E-2</v>
      </c>
      <c r="AC153" s="143">
        <f>Tabella34[[#This Row],[Italy (fit of selected region + fitted sum of the other regions)]]*NOT(ISBLANK(Tabella34[[#This Row],[Italy rate data]]))</f>
        <v>-60.889337469381132</v>
      </c>
      <c r="AD153" s="143">
        <f>Tabella34[[#This Row],[Italy acc. fit]]*NOT(ISBLANK(Tabella34[[#This Row],[Italy rate data]]))</f>
        <v>-60.754172327468872</v>
      </c>
      <c r="AE153" s="77">
        <f>Tabella34[[#This Row],[Italy acc. fit]]+CIf</f>
        <v>1594.4557965962824</v>
      </c>
      <c r="AF153" s="77">
        <f>MAX(Tabella34[[#This Row],[Italy acc. fit]]-CIf,0)</f>
        <v>0</v>
      </c>
      <c r="AG153" s="4">
        <f>Tabella8[[#This Row],[region data]]</f>
        <v>7941</v>
      </c>
      <c r="AH153" s="72">
        <f>(Tabella34[[#This Row],[selected region cumul. data]]-AG152)</f>
        <v>85</v>
      </c>
      <c r="AI153" s="72">
        <f>Tabella34[[#This Row],[selected region rate data]]-AH152</f>
        <v>-78</v>
      </c>
      <c r="AJ153" s="121">
        <f>Tabella34[[#This Row],[selected region rate data]]*NOT(ISBLANK(Tabella34[[#This Row],[selected region rate data]]))</f>
        <v>85</v>
      </c>
      <c r="AK153" s="77">
        <f>Tabella8[[#This Row],[region fit]]</f>
        <v>8005.9607134607213</v>
      </c>
      <c r="AL153" s="143" t="e">
        <f>(ATANH(alpha*Tabella34[[#This Row],[sel. region cumul. fit]]/Kl-(1-alpha*Tabella34[[#This Row],[sel. region cumul. fit]]/Kl)*TANH(phi_l))+phi_l)/psi_l-(Tabella34[[#This Row],[Day]]-pl)</f>
        <v>#NUM!</v>
      </c>
      <c r="AM153" s="77">
        <f>Tabella34[[#This Row],[sel. region cumul. fit]]/Kl</f>
        <v>0.6085459636527113</v>
      </c>
      <c r="AN153" s="143">
        <f>Tabella3[[#This Row],[region fit]]</f>
        <v>134.38600965980697</v>
      </c>
      <c r="AO153" s="186">
        <f>Tabella34[[#This Row],[sel. region velocity]]/Tabella34[[#This Row],[sel. region cumul. fit]]</f>
        <v>1.6785744330953156E-2</v>
      </c>
      <c r="AP153" s="241">
        <f>(LN(Tabella34[[#This Row],[Day]]-pr)-phi_r)/psi_r</f>
        <v>156.12456529686611</v>
      </c>
      <c r="AQ153" s="244">
        <f>EXP(phi_r+psi_r*Tabella34[[#This Row],[x_r_alpha©+plus]])-(Tabella34[[#This Row],[Day]]-pr)</f>
        <v>-66.407757620303755</v>
      </c>
      <c r="AR153" s="244">
        <f>EXP(phi_r+psi_r*Tabella34[[#This Row],[x_r_alpha©-minus]])-(Tabella34[[#This Row],[Day]]-pr)</f>
        <v>-66.865448037626379</v>
      </c>
      <c r="AS153" s="244">
        <f>-psi_r+SQRT(psi_r^2-2*Tabella34[[#This Row],[c_r]])</f>
        <v>3.7652892913569631</v>
      </c>
      <c r="AT153" s="244">
        <f>-psi_r-SQRT(psi_r^2-2*Tabella34[[#This Row],[c_r]])</f>
        <v>-3.8055773010233014</v>
      </c>
      <c r="AU153" s="244">
        <f>phi_r-LN(alpha*Kr/(Tabella34[[#This Row],[sel. region velocity]]*psi_r*SQRTPI(2)))</f>
        <v>-7.1645497294870859</v>
      </c>
      <c r="AV153" s="244">
        <f>(ACOSH(SQRT(alpha*Kl*psi_l/(Tabella34[[#This Row],[sel. region velocity]]*(1+TANH(phi_l)))))+phi_l)/psi_l-(Tabella34[[#This Row],[Day]]-pl)</f>
        <v>31.775553891144128</v>
      </c>
      <c r="AW153" s="72">
        <f>-2*$BY$22*TANH($BY$22*(Tabella34[[#This Row],[Day]]-$BY$31)-$BY$21)*Tabella34[[#This Row],[sel. region velocity]]</f>
        <v>-1.5993949927415605</v>
      </c>
      <c r="AX153" s="77">
        <f>Tabella34[[#This Row],[sel. region acc. fit]]/y_l_peak</f>
        <v>-1.0862887105560888E-2</v>
      </c>
      <c r="AY153" s="143">
        <f>Tabella34[[#This Row],[sel. region acc. fit]]*NOT(ISBLANK(Tabella34[[#This Row],[selected region rate data]]))</f>
        <v>-1.5993949927415605</v>
      </c>
      <c r="AZ153" s="77">
        <f>Tabella34[[#This Row],[sel. region acc. fit]]+CIl</f>
        <v>67.765591382358835</v>
      </c>
      <c r="BA153" s="77">
        <f>MAX(Tabella34[[#This Row],[sel. region acc. fit]]-CIl,0)</f>
        <v>0</v>
      </c>
      <c r="BB153" s="10">
        <f>Tabella8[[#This Row],[rest of Italy ]]</f>
        <v>166917</v>
      </c>
      <c r="BC153" s="10">
        <f>(Tabella34[[#This Row],[rest of Italy cum. Data]]-BB152)</f>
        <v>1509</v>
      </c>
      <c r="BD153" s="10">
        <f>Tabella34[[#This Row],[rest of Italy rate data]]-BC152</f>
        <v>-17</v>
      </c>
      <c r="BE153" s="77">
        <f>Tabella34[[#This Row],[rest of Italy rate data]]*NOT(ISBLANK(Tabella34[[#This Row],[rest of Italy rate data]]))</f>
        <v>1509</v>
      </c>
      <c r="BF153" s="77">
        <f>Tabella8[[#This Row],[rest of Italy fit]]</f>
        <v>167835.2461604274</v>
      </c>
      <c r="BG153" s="78" t="e">
        <f>(ATANH(alpha*Tabella34[[#This Row],[rest of Italy cumul. fit]]/Ka-(1-alpha*Tabella34[[#This Row],[rest of Italy cumul. fit]]/Ka)*TANH(phi_a))+phi_a)/psi_a-(Tabella34[[#This Row],[Day]]-pa)</f>
        <v>#NUM!</v>
      </c>
      <c r="BH153" s="77">
        <f>Tabella34[[#This Row],[rest of Italy cumul. fit]]/Ka</f>
        <v>0.75654585205091895</v>
      </c>
      <c r="BI153" s="143">
        <f>Tabella3[[#This Row],[rest of Italy fit]]</f>
        <v>2135.4529211100967</v>
      </c>
      <c r="BJ153" s="183">
        <f>Tabella34[[#This Row],[rest of Italy velocity]]/Tabella34[[#This Row],[rest of Italy cumul. fit]]</f>
        <v>1.2723506950792073E-2</v>
      </c>
      <c r="BK153" s="236">
        <f>(LN(Tabella34[[#This Row],[Day]]-po)-phi_o)/psi_o</f>
        <v>115.35658816648785</v>
      </c>
      <c r="BL153" s="244">
        <f>EXP(phi_o+psi_o*Tabella34[[#This Row],[x_o_alpha©+plus]])-(Tabella34[[#This Row],[Day]]-po)</f>
        <v>-73.672883328890833</v>
      </c>
      <c r="BM153" s="244">
        <f>EXP(phi_o+psi_o*Tabella34[[#This Row],[x_o_alpha©-minus]])-(Tabella34[[#This Row],[Day]]-po)</f>
        <v>-74.433103525543615</v>
      </c>
      <c r="BN153" s="244">
        <f>-psi_o+SQRT(psi_o^2-2*Tabella34[[#This Row],[c_o]])</f>
        <v>3.6300883542468729</v>
      </c>
      <c r="BO153" s="244">
        <f>-psi_o-SQRT(psi_o^2-2*Tabella34[[#This Row],[c_o]])</f>
        <v>-3.6814016385145263</v>
      </c>
      <c r="BP153" s="244">
        <f>phi_o-LN(alpha*Ko/(Tabella34[[#This Row],[rest of Italy velocity]]*psi_o*SQRTPI(2)))</f>
        <v>-6.681906607638469</v>
      </c>
      <c r="BQ153" s="244">
        <f>(ACOSH(SQRT(alpha*Ka*psi_a/(Tabella34[[#This Row],[rest of Italy velocity]]*(1+TANH(phi_a)))))+phi_a)/psi_a-(Tabella34[[#This Row],[Day]]-pa)</f>
        <v>19.647371891326543</v>
      </c>
      <c r="BR153" s="72">
        <f>-2*$BY$35*TANH($BY$35*(Tabella34[[#This Row],[Day]]-$BY$44)-$BY$34)*Tabella34[[#This Row],[rest of Italy velocity]]</f>
        <v>-59.289942476639574</v>
      </c>
      <c r="BS153" s="77">
        <f>Tabella34[[#This Row],[rest of Italy acc. fit]]/y_a_peak</f>
        <v>-1.9636017794585778E-2</v>
      </c>
      <c r="BT153" s="77">
        <f>Tabella34[[#This Row],[rest of Italy acc. fit]]*NOT(ISBLANK(Tabella34[[#This Row],[rest of Italy rate data]]))</f>
        <v>-59.289942476639574</v>
      </c>
      <c r="BU153" s="77">
        <f>Tabella34[[#This Row],[rest of Italy acc. fit]]+CIa</f>
        <v>1574.8439974771618</v>
      </c>
      <c r="BV153" s="77">
        <f>MAX(Tabella34[[#This Row],[rest of Italy acc. fit]]-CIa,0)</f>
        <v>0</v>
      </c>
    </row>
    <row r="154" spans="2:74" x14ac:dyDescent="0.3">
      <c r="B154" s="262">
        <v>43977</v>
      </c>
      <c r="C154" s="4">
        <v>147</v>
      </c>
      <c r="D154" s="10">
        <f>Tabella8[[#This Row],[Italy cumulative]]</f>
        <v>177613</v>
      </c>
      <c r="E154" s="72">
        <f>(Tabella34[[#This Row],[Italy cumul. data]]-D153)</f>
        <v>2755</v>
      </c>
      <c r="F154" s="72">
        <f>Tabella34[[#This Row],[Italy rate data]]-E153</f>
        <v>1161</v>
      </c>
      <c r="G154" s="121">
        <f>Tabella34[[#This Row],[Italy rate data]]*NOT(ISBLANK(Tabella34[[#This Row],[Italy rate data]]))</f>
        <v>2755</v>
      </c>
      <c r="H154" s="143">
        <f>Tabella8[[#This Row],[Italy fit]]</f>
        <v>178138.60082321835</v>
      </c>
      <c r="I154" s="143" t="e">
        <f>(ATANH(alpha*Tabella34[[#This Row],[Italy cumul. Fit]]/Kf-(1-alpha*Tabella34[[#This Row],[Italy cumul. Fit]]/Kf)*TANH(phi_f))+phi_f)/psi_f-(Tabella34[[#This Row],[Day]]-pf)</f>
        <v>#NUM!</v>
      </c>
      <c r="J154" s="143" t="e">
        <f>Tabella34[[#This Row],[Italy d.t.]]/Italy_dt_at_lockdown</f>
        <v>#NUM!</v>
      </c>
      <c r="K154" s="77">
        <f>Tabella34[[#This Row],[Italy cumul. Fit]]/Kf</f>
        <v>0.758036594330321</v>
      </c>
      <c r="L154" s="146">
        <f>Tabella34[[#This Row],[sel. region acc. fit]]+Tabella34[[#This Row],[rest of Italy acc. fit]]</f>
        <v>-61.223544012458397</v>
      </c>
      <c r="M154" s="77">
        <f>Tabella34[[#This Row],[Italy (fit of selected region + fitted sum of the other regions)]]/(y_l_peak+y_a_peak)</f>
        <v>-1.933364981977044E-2</v>
      </c>
      <c r="N154" s="143">
        <f>Tabella3[[#This Row],[Italy remov. rate fit]]</f>
        <v>2219.5360362885949</v>
      </c>
      <c r="O154" s="143">
        <f>Kt*EXP(-0.5*Tabella34[[#This Row],[x_t]]^2)/(psi_t*SQRTPI(2)*(Tabella34[[#This Row],[Day]]-D_bk))</f>
        <v>0</v>
      </c>
      <c r="P154" s="183">
        <f>Tabella34[[#This Row],[Italy velocity]]/Tabella34[[#This Row],[Italy cumul. Fit]]</f>
        <v>1.2459601827069608E-2</v>
      </c>
      <c r="Q154" s="244">
        <f>(LN(Tabella34[[#This Row],[Day]]-D_bk)-phi_t)/psi_t</f>
        <v>118.43988323997822</v>
      </c>
      <c r="R154" s="244">
        <f>EXP(phi_t+psi_t*Tabella34[[#This Row],[x_t_alpha©+plus]])-(Tabella34[[#This Row],[Day]]-D_bk)</f>
        <v>-74.197411834655867</v>
      </c>
      <c r="S154" s="244">
        <f>EXP(phi_t+psi_t*Tabella34[[#This Row],[x_t_alpha©-minus]])-(Tabella34[[#This Row],[Day]]-D_bk)</f>
        <v>-74.929320031286082</v>
      </c>
      <c r="T154" s="244">
        <f>-psi_t+SQRT(psi_t^2-2*Tabella34[[#This Row],[c_t]])</f>
        <v>3.6472708593591672</v>
      </c>
      <c r="U154" s="244">
        <f>-psi_t-SQRT(psi_t^2-2*Tabella34[[#This Row],[c_t]])</f>
        <v>-3.6977895340565392</v>
      </c>
      <c r="V154" s="244">
        <f>phi_t-LN(alpha*Kt/(Tabella34[[#This Row],[Italy velocity]]*psi_t*SQRTPI(2)))</f>
        <v>-6.7434200058038645</v>
      </c>
      <c r="W154" s="244">
        <f>Tabella34[[#This Row],[Italy g.r.]]/Italy_gr_at_lockdown</f>
        <v>2.9719394255512305E-2</v>
      </c>
      <c r="X154" s="244">
        <f>(ACOSH(SQRT(alpha*Kf*psi_f/(Tabella34[[#This Row],[Italy velocity]]*(1+TANH(phi_f)))))+phi_f)/psi_f-(Tabella34[[#This Row],[Day]]-pf)</f>
        <v>19.878743687492644</v>
      </c>
      <c r="Y154" s="244">
        <f>Tabella34[[#This Row],[Italy h.t.]]/Italy_ht_at_lockdown</f>
        <v>0.16738918139643974</v>
      </c>
      <c r="Z154" s="72">
        <f>-2*$BY$48*TANH($BY$48*(Tabella34[[#This Row],[Day]]-$BY$57)-$BY$47)*Tabella34[[#This Row],[Italy velocity]]</f>
        <v>-61.147354301877257</v>
      </c>
      <c r="AA154" s="72">
        <f>Tabella34[[#This Row],[Italy acc. fit]]/Itali_acc_at_lockdown</f>
        <v>-1.7470508674527567</v>
      </c>
      <c r="AB154" s="77">
        <f>Tabella34[[#This Row],[Italy acc. fit]]/y_f_peak</f>
        <v>-1.9356619285148879E-2</v>
      </c>
      <c r="AC154" s="143">
        <f>Tabella34[[#This Row],[Italy (fit of selected region + fitted sum of the other regions)]]*NOT(ISBLANK(Tabella34[[#This Row],[Italy rate data]]))</f>
        <v>-61.223544012458397</v>
      </c>
      <c r="AD154" s="143">
        <f>Tabella34[[#This Row],[Italy acc. fit]]*NOT(ISBLANK(Tabella34[[#This Row],[Italy rate data]]))</f>
        <v>-61.147354301877257</v>
      </c>
      <c r="AE154" s="77">
        <f>Tabella34[[#This Row],[Italy acc. fit]]+CIf</f>
        <v>1594.0626146218742</v>
      </c>
      <c r="AF154" s="77">
        <f>MAX(Tabella34[[#This Row],[Italy acc. fit]]-CIf,0)</f>
        <v>0</v>
      </c>
      <c r="AG154" s="4">
        <f>Tabella8[[#This Row],[region data]]</f>
        <v>8112</v>
      </c>
      <c r="AH154" s="72">
        <f>(Tabella34[[#This Row],[selected region cumul. data]]-AG153)</f>
        <v>171</v>
      </c>
      <c r="AI154" s="72">
        <f>Tabella34[[#This Row],[selected region rate data]]-AH153</f>
        <v>86</v>
      </c>
      <c r="AJ154" s="121">
        <f>Tabella34[[#This Row],[selected region rate data]]*NOT(ISBLANK(Tabella34[[#This Row],[selected region rate data]]))</f>
        <v>171</v>
      </c>
      <c r="AK154" s="77">
        <f>Tabella8[[#This Row],[region fit]]</f>
        <v>8139.5337964990258</v>
      </c>
      <c r="AL154" s="143" t="e">
        <f>(ATANH(alpha*Tabella34[[#This Row],[sel. region cumul. fit]]/Kl-(1-alpha*Tabella34[[#This Row],[sel. region cumul. fit]]/Kl)*TANH(phi_l))+phi_l)/psi_l-(Tabella34[[#This Row],[Day]]-pl)</f>
        <v>#NUM!</v>
      </c>
      <c r="AM154" s="77">
        <f>Tabella34[[#This Row],[sel. region cumul. fit]]/Kl</f>
        <v>0.6186990687508841</v>
      </c>
      <c r="AN154" s="143">
        <f>Tabella3[[#This Row],[region fit]]</f>
        <v>132.7471175772973</v>
      </c>
      <c r="AO154" s="186">
        <f>Tabella34[[#This Row],[sel. region velocity]]/Tabella34[[#This Row],[sel. region cumul. fit]]</f>
        <v>1.6308933766500788E-2</v>
      </c>
      <c r="AP154" s="241">
        <f>(LN(Tabella34[[#This Row],[Day]]-pr)-phi_r)/psi_r</f>
        <v>156.83230572043485</v>
      </c>
      <c r="AQ154" s="244">
        <f>EXP(phi_r+psi_r*Tabella34[[#This Row],[x_r_alpha©+plus]])-(Tabella34[[#This Row],[Day]]-pr)</f>
        <v>-67.407546420829306</v>
      </c>
      <c r="AR154" s="244">
        <f>EXP(phi_r+psi_r*Tabella34[[#This Row],[x_r_alpha©-minus]])-(Tabella34[[#This Row],[Day]]-pr)</f>
        <v>-67.865629351605889</v>
      </c>
      <c r="AS154" s="244">
        <f>-psi_r+SQRT(psi_r^2-2*Tabella34[[#This Row],[c_r]])</f>
        <v>3.768529378056733</v>
      </c>
      <c r="AT154" s="244">
        <f>-psi_r-SQRT(psi_r^2-2*Tabella34[[#This Row],[c_r]])</f>
        <v>-3.8088173877230713</v>
      </c>
      <c r="AU154" s="244">
        <f>phi_r-LN(alpha*Kr/(Tabella34[[#This Row],[sel. region velocity]]*psi_r*SQRTPI(2)))</f>
        <v>-7.1768201106438481</v>
      </c>
      <c r="AV154" s="244">
        <f>(ACOSH(SQRT(alpha*Kl*psi_l/(Tabella34[[#This Row],[sel. region velocity]]*(1+TANH(phi_l)))))+phi_l)/psi_l-(Tabella34[[#This Row],[Day]]-pl)</f>
        <v>31.187575034205224</v>
      </c>
      <c r="AW154" s="72">
        <f>-2*$BY$22*TANH($BY$22*(Tabella34[[#This Row],[Day]]-$BY$31)-$BY$21)*Tabella34[[#This Row],[sel. region velocity]]</f>
        <v>-1.6776258667389266</v>
      </c>
      <c r="AX154" s="77">
        <f>Tabella34[[#This Row],[sel. region acc. fit]]/y_l_peak</f>
        <v>-1.1394221238942201E-2</v>
      </c>
      <c r="AY154" s="143">
        <f>Tabella34[[#This Row],[sel. region acc. fit]]*NOT(ISBLANK(Tabella34[[#This Row],[selected region rate data]]))</f>
        <v>-1.6776258667389266</v>
      </c>
      <c r="AZ154" s="77">
        <f>Tabella34[[#This Row],[sel. region acc. fit]]+CIl</f>
        <v>67.687360508361479</v>
      </c>
      <c r="BA154" s="77">
        <f>MAX(Tabella34[[#This Row],[sel. region acc. fit]]-CIl,0)</f>
        <v>0</v>
      </c>
      <c r="BB154" s="10">
        <f>Tabella8[[#This Row],[rest of Italy ]]</f>
        <v>169501</v>
      </c>
      <c r="BC154" s="10">
        <f>(Tabella34[[#This Row],[rest of Italy cum. Data]]-BB153)</f>
        <v>2584</v>
      </c>
      <c r="BD154" s="10">
        <f>Tabella34[[#This Row],[rest of Italy rate data]]-BC153</f>
        <v>1075</v>
      </c>
      <c r="BE154" s="77">
        <f>Tabella34[[#This Row],[rest of Italy rate data]]*NOT(ISBLANK(Tabella34[[#This Row],[rest of Italy rate data]]))</f>
        <v>2584</v>
      </c>
      <c r="BF154" s="77">
        <f>Tabella8[[#This Row],[rest of Italy fit]]</f>
        <v>169941.00431411355</v>
      </c>
      <c r="BG154" s="78" t="e">
        <f>(ATANH(alpha*Tabella34[[#This Row],[rest of Italy cumul. fit]]/Ka-(1-alpha*Tabella34[[#This Row],[rest of Italy cumul. fit]]/Ka)*TANH(phi_a))+phi_a)/psi_a-(Tabella34[[#This Row],[Day]]-pa)</f>
        <v>#NUM!</v>
      </c>
      <c r="BH154" s="77">
        <f>Tabella34[[#This Row],[rest of Italy cumul. fit]]/Ka</f>
        <v>0.76603791425500967</v>
      </c>
      <c r="BI154" s="143">
        <f>Tabella3[[#This Row],[rest of Italy fit]]</f>
        <v>2076.0207472708248</v>
      </c>
      <c r="BJ154" s="183">
        <f>Tabella34[[#This Row],[rest of Italy velocity]]/Tabella34[[#This Row],[rest of Italy cumul. fit]]</f>
        <v>1.2216126153012336E-2</v>
      </c>
      <c r="BK154" s="236">
        <f>(LN(Tabella34[[#This Row],[Day]]-po)-phi_o)/psi_o</f>
        <v>115.85236585112726</v>
      </c>
      <c r="BL154" s="244">
        <f>EXP(phi_o+psi_o*Tabella34[[#This Row],[x_o_alpha©+plus]])-(Tabella34[[#This Row],[Day]]-po)</f>
        <v>-74.672003725804572</v>
      </c>
      <c r="BM154" s="244">
        <f>EXP(phi_o+psi_o*Tabella34[[#This Row],[x_o_alpha©-minus]])-(Tabella34[[#This Row],[Day]]-po)</f>
        <v>-75.433832533466699</v>
      </c>
      <c r="BN154" s="244">
        <f>-psi_o+SQRT(psi_o^2-2*Tabella34[[#This Row],[c_o]])</f>
        <v>3.6378011631032359</v>
      </c>
      <c r="BO154" s="244">
        <f>-psi_o-SQRT(psi_o^2-2*Tabella34[[#This Row],[c_o]])</f>
        <v>-3.6891144473708892</v>
      </c>
      <c r="BP154" s="244">
        <f>phi_o-LN(alpha*Ko/(Tabella34[[#This Row],[rest of Italy velocity]]*psi_o*SQRTPI(2)))</f>
        <v>-6.7101324137333869</v>
      </c>
      <c r="BQ154" s="244">
        <f>(ACOSH(SQRT(alpha*Ka*psi_a/(Tabella34[[#This Row],[rest of Italy velocity]]*(1+TANH(phi_a)))))+phi_a)/psi_a-(Tabella34[[#This Row],[Day]]-pa)</f>
        <v>19.32895673037136</v>
      </c>
      <c r="BR154" s="72">
        <f>-2*$BY$35*TANH($BY$35*(Tabella34[[#This Row],[Day]]-$BY$44)-$BY$34)*Tabella34[[#This Row],[rest of Italy velocity]]</f>
        <v>-59.545918145719469</v>
      </c>
      <c r="BS154" s="77">
        <f>Tabella34[[#This Row],[rest of Italy acc. fit]]/y_a_peak</f>
        <v>-1.9720793434147482E-2</v>
      </c>
      <c r="BT154" s="77">
        <f>Tabella34[[#This Row],[rest of Italy acc. fit]]*NOT(ISBLANK(Tabella34[[#This Row],[rest of Italy rate data]]))</f>
        <v>-59.545918145719469</v>
      </c>
      <c r="BU154" s="77">
        <f>Tabella34[[#This Row],[rest of Italy acc. fit]]+CIa</f>
        <v>1574.588021808082</v>
      </c>
      <c r="BV154" s="77">
        <f>MAX(Tabella34[[#This Row],[rest of Italy acc. fit]]-CIa,0)</f>
        <v>0</v>
      </c>
    </row>
    <row r="155" spans="2:74" x14ac:dyDescent="0.3">
      <c r="B155" s="262">
        <v>43978</v>
      </c>
      <c r="C155" s="4">
        <v>148</v>
      </c>
      <c r="D155" s="10">
        <f>Tabella8[[#This Row],[Italy cumulative]]</f>
        <v>180173</v>
      </c>
      <c r="E155" s="72">
        <f>(Tabella34[[#This Row],[Italy cumul. data]]-D154)</f>
        <v>2560</v>
      </c>
      <c r="F155" s="72">
        <f>Tabella34[[#This Row],[Italy rate data]]-E154</f>
        <v>-195</v>
      </c>
      <c r="G155" s="121">
        <f>Tabella34[[#This Row],[Italy rate data]]*NOT(ISBLANK(Tabella34[[#This Row],[Italy rate data]]))</f>
        <v>2560</v>
      </c>
      <c r="H155" s="143">
        <f>Tabella8[[#This Row],[Italy fit]]</f>
        <v>180327.51941655891</v>
      </c>
      <c r="I155" s="143" t="e">
        <f>(ATANH(alpha*Tabella34[[#This Row],[Italy cumul. Fit]]/Kf-(1-alpha*Tabella34[[#This Row],[Italy cumul. Fit]]/Kf)*TANH(phi_f))+phi_f)/psi_f-(Tabella34[[#This Row],[Day]]-pf)</f>
        <v>#NUM!</v>
      </c>
      <c r="J155" s="143" t="e">
        <f>Tabella34[[#This Row],[Italy d.t.]]/Italy_dt_at_lockdown</f>
        <v>#NUM!</v>
      </c>
      <c r="K155" s="77">
        <f>Tabella34[[#This Row],[Italy cumul. Fit]]/Kf</f>
        <v>0.76735114147560157</v>
      </c>
      <c r="L155" s="146">
        <f>Tabella34[[#This Row],[sel. region acc. fit]]+Tabella34[[#This Row],[rest of Italy acc. fit]]</f>
        <v>-61.386545882265807</v>
      </c>
      <c r="M155" s="77">
        <f>Tabella34[[#This Row],[Italy (fit of selected region + fitted sum of the other regions)]]/(y_l_peak+y_a_peak)</f>
        <v>-1.9385123825753872E-2</v>
      </c>
      <c r="N155" s="143">
        <f>Tabella3[[#This Row],[Italy remov. rate fit]]</f>
        <v>2158.2644489357176</v>
      </c>
      <c r="O155" s="143">
        <f>Kt*EXP(-0.5*Tabella34[[#This Row],[x_t]]^2)/(psi_t*SQRTPI(2)*(Tabella34[[#This Row],[Day]]-D_bk))</f>
        <v>0</v>
      </c>
      <c r="P155" s="183">
        <f>Tabella34[[#This Row],[Italy velocity]]/Tabella34[[#This Row],[Italy cumul. Fit]]</f>
        <v>1.1968580591130401E-2</v>
      </c>
      <c r="Q155" s="244">
        <f>(LN(Tabella34[[#This Row],[Day]]-D_bk)-phi_t)/psi_t</f>
        <v>118.94089623086757</v>
      </c>
      <c r="R155" s="244">
        <f>EXP(phi_t+psi_t*Tabella34[[#This Row],[x_t_alpha©+plus]])-(Tabella34[[#This Row],[Day]]-D_bk)</f>
        <v>-75.19658042689872</v>
      </c>
      <c r="S155" s="244">
        <f>EXP(phi_t+psi_t*Tabella34[[#This Row],[x_t_alpha©-minus]])-(Tabella34[[#This Row],[Day]]-D_bk)</f>
        <v>-75.930010517950237</v>
      </c>
      <c r="T155" s="244">
        <f>-psi_t+SQRT(psi_t^2-2*Tabella34[[#This Row],[c_t]])</f>
        <v>3.6548854427891104</v>
      </c>
      <c r="U155" s="244">
        <f>-psi_t-SQRT(psi_t^2-2*Tabella34[[#This Row],[c_t]])</f>
        <v>-3.7054041174864825</v>
      </c>
      <c r="V155" s="244">
        <f>phi_t-LN(alpha*Kt/(Tabella34[[#This Row],[Italy velocity]]*psi_t*SQRTPI(2)))</f>
        <v>-6.7714137843260875</v>
      </c>
      <c r="W155" s="244">
        <f>Tabella34[[#This Row],[Italy g.r.]]/Italy_gr_at_lockdown</f>
        <v>2.8548180768817898E-2</v>
      </c>
      <c r="X155" s="244">
        <f>(ACOSH(SQRT(alpha*Kf*psi_f/(Tabella34[[#This Row],[Italy velocity]]*(1+TANH(phi_f)))))+phi_f)/psi_f-(Tabella34[[#This Row],[Day]]-pf)</f>
        <v>19.564180706568848</v>
      </c>
      <c r="Y155" s="244">
        <f>Tabella34[[#This Row],[Italy h.t.]]/Italy_ht_at_lockdown</f>
        <v>0.16474040033148807</v>
      </c>
      <c r="Z155" s="72">
        <f>-2*$BY$48*TANH($BY$48*(Tabella34[[#This Row],[Day]]-$BY$57)-$BY$47)*Tabella34[[#This Row],[Italy velocity]]</f>
        <v>-61.367704596533926</v>
      </c>
      <c r="AA155" s="72">
        <f>Tabella34[[#This Row],[Italy acc. fit]]/Itali_acc_at_lockdown</f>
        <v>-1.7533465310643479</v>
      </c>
      <c r="AB155" s="77">
        <f>Tabella34[[#This Row],[Italy acc. fit]]/y_f_peak</f>
        <v>-1.9426372699858901E-2</v>
      </c>
      <c r="AC155" s="143">
        <f>Tabella34[[#This Row],[Italy (fit of selected region + fitted sum of the other regions)]]*NOT(ISBLANK(Tabella34[[#This Row],[Italy rate data]]))</f>
        <v>-61.386545882265807</v>
      </c>
      <c r="AD155" s="143">
        <f>Tabella34[[#This Row],[Italy acc. fit]]*NOT(ISBLANK(Tabella34[[#This Row],[Italy rate data]]))</f>
        <v>-61.367704596533926</v>
      </c>
      <c r="AE155" s="77">
        <f>Tabella34[[#This Row],[Italy acc. fit]]+CIf</f>
        <v>1593.8422643272174</v>
      </c>
      <c r="AF155" s="77">
        <f>MAX(Tabella34[[#This Row],[Italy acc. fit]]-CIf,0)</f>
        <v>0</v>
      </c>
      <c r="AG155" s="4">
        <f>Tabella8[[#This Row],[region data]]</f>
        <v>8320</v>
      </c>
      <c r="AH155" s="72">
        <f>(Tabella34[[#This Row],[selected region cumul. data]]-AG154)</f>
        <v>208</v>
      </c>
      <c r="AI155" s="72">
        <f>Tabella34[[#This Row],[selected region rate data]]-AH154</f>
        <v>37</v>
      </c>
      <c r="AJ155" s="121">
        <f>Tabella34[[#This Row],[selected region rate data]]*NOT(ISBLANK(Tabella34[[#This Row],[selected region rate data]]))</f>
        <v>208</v>
      </c>
      <c r="AK155" s="77">
        <f>Tabella8[[#This Row],[region fit]]</f>
        <v>8271.4296404475808</v>
      </c>
      <c r="AL155" s="143" t="e">
        <f>(ATANH(alpha*Tabella34[[#This Row],[sel. region cumul. fit]]/Kl-(1-alpha*Tabella34[[#This Row],[sel. region cumul. fit]]/Kl)*TANH(phi_l))+phi_l)/psi_l-(Tabella34[[#This Row],[Day]]-pl)</f>
        <v>#NUM!</v>
      </c>
      <c r="AM155" s="77">
        <f>Tabella34[[#This Row],[sel. region cumul. fit]]/Kl</f>
        <v>0.6287246842054427</v>
      </c>
      <c r="AN155" s="143">
        <f>Tabella3[[#This Row],[region fit]]</f>
        <v>131.03230489273449</v>
      </c>
      <c r="AO155" s="186">
        <f>Tabella34[[#This Row],[sel. region velocity]]/Tabella34[[#This Row],[sel. region cumul. fit]]</f>
        <v>1.584155467538307E-2</v>
      </c>
      <c r="AP155" s="241">
        <f>(LN(Tabella34[[#This Row],[Day]]-pr)-phi_r)/psi_r</f>
        <v>157.53009774777269</v>
      </c>
      <c r="AQ155" s="244">
        <f>EXP(phi_r+psi_r*Tabella34[[#This Row],[x_r_alpha©+plus]])-(Tabella34[[#This Row],[Day]]-pr)</f>
        <v>-68.40732280963573</v>
      </c>
      <c r="AR155" s="244">
        <f>EXP(phi_r+psi_r*Tabella34[[#This Row],[x_r_alpha©-minus]])-(Tabella34[[#This Row],[Day]]-pr)</f>
        <v>-68.86582129520832</v>
      </c>
      <c r="AS155" s="244">
        <f>-psi_r+SQRT(psi_r^2-2*Tabella34[[#This Row],[c_r]])</f>
        <v>3.7719596469136336</v>
      </c>
      <c r="AT155" s="244">
        <f>-psi_r-SQRT(psi_r^2-2*Tabella34[[#This Row],[c_r]])</f>
        <v>-3.8122476565799719</v>
      </c>
      <c r="AU155" s="244">
        <f>phi_r-LN(alpha*Kr/(Tabella34[[#This Row],[sel. region velocity]]*psi_r*SQRTPI(2)))</f>
        <v>-7.1898221623303593</v>
      </c>
      <c r="AV155" s="244">
        <f>(ACOSH(SQRT(alpha*Kl*psi_l/(Tabella34[[#This Row],[sel. region velocity]]*(1+TANH(phi_l)))))+phi_l)/psi_l-(Tabella34[[#This Row],[Day]]-pl)</f>
        <v>30.621907134309325</v>
      </c>
      <c r="AW155" s="72">
        <f>-2*$BY$22*TANH($BY$22*(Tabella34[[#This Row],[Day]]-$BY$31)-$BY$21)*Tabella34[[#This Row],[sel. region velocity]]</f>
        <v>-1.7512166906337194</v>
      </c>
      <c r="AX155" s="77">
        <f>Tabella34[[#This Row],[sel. region acc. fit]]/y_l_peak</f>
        <v>-1.1894040742943561E-2</v>
      </c>
      <c r="AY155" s="143">
        <f>Tabella34[[#This Row],[sel. region acc. fit]]*NOT(ISBLANK(Tabella34[[#This Row],[selected region rate data]]))</f>
        <v>-1.7512166906337194</v>
      </c>
      <c r="AZ155" s="77">
        <f>Tabella34[[#This Row],[sel. region acc. fit]]+CIl</f>
        <v>67.613769684466675</v>
      </c>
      <c r="BA155" s="77">
        <f>MAX(Tabella34[[#This Row],[sel. region acc. fit]]-CIl,0)</f>
        <v>0</v>
      </c>
      <c r="BB155" s="10">
        <f>Tabella8[[#This Row],[rest of Italy ]]</f>
        <v>171853</v>
      </c>
      <c r="BC155" s="10">
        <f>(Tabella34[[#This Row],[rest of Italy cum. Data]]-BB154)</f>
        <v>2352</v>
      </c>
      <c r="BD155" s="10">
        <f>Tabella34[[#This Row],[rest of Italy rate data]]-BC154</f>
        <v>-232</v>
      </c>
      <c r="BE155" s="77">
        <f>Tabella34[[#This Row],[rest of Italy rate data]]*NOT(ISBLANK(Tabella34[[#This Row],[rest of Italy rate data]]))</f>
        <v>2352</v>
      </c>
      <c r="BF155" s="77">
        <f>Tabella8[[#This Row],[rest of Italy fit]]</f>
        <v>171987.23043231582</v>
      </c>
      <c r="BG155" s="78" t="e">
        <f>(ATANH(alpha*Tabella34[[#This Row],[rest of Italy cumul. fit]]/Ka-(1-alpha*Tabella34[[#This Row],[rest of Italy cumul. fit]]/Ka)*TANH(phi_a))+phi_a)/psi_a-(Tabella34[[#This Row],[Day]]-pa)</f>
        <v>#NUM!</v>
      </c>
      <c r="BH155" s="77">
        <f>Tabella34[[#This Row],[rest of Italy cumul. fit]]/Ka</f>
        <v>0.77526162570715862</v>
      </c>
      <c r="BI155" s="143">
        <f>Tabella3[[#This Row],[rest of Italy fit]]</f>
        <v>2016.4166124309957</v>
      </c>
      <c r="BJ155" s="183">
        <f>Tabella34[[#This Row],[rest of Italy velocity]]/Tabella34[[#This Row],[rest of Italy cumul. fit]]</f>
        <v>1.1724222823766792E-2</v>
      </c>
      <c r="BK155" s="236">
        <f>(LN(Tabella34[[#This Row],[Day]]-po)-phi_o)/psi_o</f>
        <v>116.3419163747848</v>
      </c>
      <c r="BL155" s="244">
        <f>EXP(phi_o+psi_o*Tabella34[[#This Row],[x_o_alpha©+plus]])-(Tabella34[[#This Row],[Day]]-po)</f>
        <v>-75.671097670528724</v>
      </c>
      <c r="BM155" s="244">
        <f>EXP(phi_o+psi_o*Tabella34[[#This Row],[x_o_alpha©-minus]])-(Tabella34[[#This Row],[Day]]-po)</f>
        <v>-76.434583163177379</v>
      </c>
      <c r="BN155" s="244">
        <f>-psi_o+SQRT(psi_o^2-2*Tabella34[[#This Row],[c_o]])</f>
        <v>3.645744322796971</v>
      </c>
      <c r="BO155" s="244">
        <f>-psi_o-SQRT(psi_o^2-2*Tabella34[[#This Row],[c_o]])</f>
        <v>-3.6970576070646244</v>
      </c>
      <c r="BP155" s="244">
        <f>phi_o-LN(alpha*Ko/(Tabella34[[#This Row],[rest of Italy velocity]]*psi_o*SQRTPI(2)))</f>
        <v>-6.739263391004604</v>
      </c>
      <c r="BQ155" s="244">
        <f>(ACOSH(SQRT(alpha*Ka*psi_a/(Tabella34[[#This Row],[rest of Italy velocity]]*(1+TANH(phi_a)))))+phi_a)/psi_a-(Tabella34[[#This Row],[Day]]-pa)</f>
        <v>19.027136163937911</v>
      </c>
      <c r="BR155" s="72">
        <f>-2*$BY$35*TANH($BY$35*(Tabella34[[#This Row],[Day]]-$BY$44)-$BY$34)*Tabella34[[#This Row],[rest of Italy velocity]]</f>
        <v>-59.635329191632088</v>
      </c>
      <c r="BS155" s="77">
        <f>Tabella34[[#This Row],[rest of Italy acc. fit]]/y_a_peak</f>
        <v>-1.9750405149309196E-2</v>
      </c>
      <c r="BT155" s="77">
        <f>Tabella34[[#This Row],[rest of Italy acc. fit]]*NOT(ISBLANK(Tabella34[[#This Row],[rest of Italy rate data]]))</f>
        <v>-59.635329191632088</v>
      </c>
      <c r="BU155" s="77">
        <f>Tabella34[[#This Row],[rest of Italy acc. fit]]+CIa</f>
        <v>1574.4986107621694</v>
      </c>
      <c r="BV155" s="77">
        <f>MAX(Tabella34[[#This Row],[rest of Italy acc. fit]]-CIa,0)</f>
        <v>0</v>
      </c>
    </row>
    <row r="156" spans="2:74" x14ac:dyDescent="0.3">
      <c r="B156" s="262">
        <v>43979</v>
      </c>
      <c r="C156" s="4">
        <v>149</v>
      </c>
      <c r="D156" s="10">
        <f>Tabella8[[#This Row],[Italy cumulative]]</f>
        <v>183746</v>
      </c>
      <c r="E156" s="72">
        <f>(Tabella34[[#This Row],[Italy cumul. data]]-D155)</f>
        <v>3573</v>
      </c>
      <c r="F156" s="72">
        <f>Tabella34[[#This Row],[Italy rate data]]-E155</f>
        <v>1013</v>
      </c>
      <c r="G156" s="121">
        <f>Tabella34[[#This Row],[Italy rate data]]*NOT(ISBLANK(Tabella34[[#This Row],[Italy rate data]]))</f>
        <v>3573</v>
      </c>
      <c r="H156" s="143">
        <f>Tabella8[[#This Row],[Italy fit]]</f>
        <v>182455.08400336269</v>
      </c>
      <c r="I156" s="143" t="e">
        <f>(ATANH(alpha*Tabella34[[#This Row],[Italy cumul. Fit]]/Kf-(1-alpha*Tabella34[[#This Row],[Italy cumul. Fit]]/Kf)*TANH(phi_f))+phi_f)/psi_f-(Tabella34[[#This Row],[Day]]-pf)</f>
        <v>#NUM!</v>
      </c>
      <c r="J156" s="143" t="e">
        <f>Tabella34[[#This Row],[Italy d.t.]]/Italy_dt_at_lockdown</f>
        <v>#NUM!</v>
      </c>
      <c r="K156" s="77">
        <f>Tabella34[[#This Row],[Italy cumul. Fit]]/Kf</f>
        <v>0.77640460774369602</v>
      </c>
      <c r="L156" s="146">
        <f>Tabella34[[#This Row],[sel. region acc. fit]]+Tabella34[[#This Row],[rest of Italy acc. fit]]</f>
        <v>-61.387277037639329</v>
      </c>
      <c r="M156" s="77">
        <f>Tabella34[[#This Row],[Italy (fit of selected region + fitted sum of the other regions)]]/(y_l_peak+y_a_peak)</f>
        <v>-1.938535471571922E-2</v>
      </c>
      <c r="N156" s="143">
        <f>Tabella3[[#This Row],[Italy remov. rate fit]]</f>
        <v>2096.8554165481592</v>
      </c>
      <c r="O156" s="143">
        <f>Kt*EXP(-0.5*Tabella34[[#This Row],[x_t]]^2)/(psi_t*SQRTPI(2)*(Tabella34[[#This Row],[Day]]-D_bk))</f>
        <v>0</v>
      </c>
      <c r="P156" s="183">
        <f>Tabella34[[#This Row],[Italy velocity]]/Tabella34[[#This Row],[Italy cumul. Fit]]</f>
        <v>1.1492447185026171E-2</v>
      </c>
      <c r="Q156" s="244">
        <f>(LN(Tabella34[[#This Row],[Day]]-D_bk)-phi_t)/psi_t</f>
        <v>119.43564792975532</v>
      </c>
      <c r="R156" s="244">
        <f>EXP(phi_t+psi_t*Tabella34[[#This Row],[x_t_alpha©+plus]])-(Tabella34[[#This Row],[Day]]-D_bk)</f>
        <v>-76.195724756926893</v>
      </c>
      <c r="S156" s="244">
        <f>EXP(phi_t+psi_t*Tabella34[[#This Row],[x_t_alpha©-minus]])-(Tabella34[[#This Row],[Day]]-D_bk)</f>
        <v>-76.930720877183404</v>
      </c>
      <c r="T156" s="244">
        <f>-psi_t+SQRT(psi_t^2-2*Tabella34[[#This Row],[c_t]])</f>
        <v>3.6627207066487593</v>
      </c>
      <c r="U156" s="244">
        <f>-psi_t-SQRT(psi_t^2-2*Tabella34[[#This Row],[c_t]])</f>
        <v>-3.7132393813461313</v>
      </c>
      <c r="V156" s="244">
        <f>phi_t-LN(alpha*Kt/(Tabella34[[#This Row],[Italy velocity]]*psi_t*SQRTPI(2)))</f>
        <v>-6.8002793854000512</v>
      </c>
      <c r="W156" s="244">
        <f>Tabella34[[#This Row],[Italy g.r.]]/Italy_gr_at_lockdown</f>
        <v>2.7412478632374934E-2</v>
      </c>
      <c r="X156" s="244">
        <f>(ACOSH(SQRT(alpha*Kf*psi_f/(Tabella34[[#This Row],[Italy velocity]]*(1+TANH(phi_f)))))+phi_f)/psi_f-(Tabella34[[#This Row],[Day]]-pf)</f>
        <v>19.265772147224183</v>
      </c>
      <c r="Y156" s="244">
        <f>Tabella34[[#This Row],[Italy h.t.]]/Italy_ht_at_lockdown</f>
        <v>0.16222764775236898</v>
      </c>
      <c r="Z156" s="72">
        <f>-2*$BY$48*TANH($BY$48*(Tabella34[[#This Row],[Day]]-$BY$57)-$BY$47)*Tabella34[[#This Row],[Italy velocity]]</f>
        <v>-61.423703253464588</v>
      </c>
      <c r="AA156" s="72">
        <f>Tabella34[[#This Row],[Italy acc. fit]]/Itali_acc_at_lockdown</f>
        <v>-1.7549464776733854</v>
      </c>
      <c r="AB156" s="77">
        <f>Tabella34[[#This Row],[Italy acc. fit]]/y_f_peak</f>
        <v>-1.9444099463266116E-2</v>
      </c>
      <c r="AC156" s="143">
        <f>Tabella34[[#This Row],[Italy (fit of selected region + fitted sum of the other regions)]]*NOT(ISBLANK(Tabella34[[#This Row],[Italy rate data]]))</f>
        <v>-61.387277037639329</v>
      </c>
      <c r="AD156" s="143">
        <f>Tabella34[[#This Row],[Italy acc. fit]]*NOT(ISBLANK(Tabella34[[#This Row],[Italy rate data]]))</f>
        <v>-61.423703253464588</v>
      </c>
      <c r="AE156" s="77">
        <f>Tabella34[[#This Row],[Italy acc. fit]]+CIf</f>
        <v>1593.7862656702869</v>
      </c>
      <c r="AF156" s="77">
        <f>MAX(Tabella34[[#This Row],[Italy acc. fit]]-CIf,0)</f>
        <v>0</v>
      </c>
      <c r="AG156" s="4">
        <f>Tabella8[[#This Row],[region data]]</f>
        <v>8460</v>
      </c>
      <c r="AH156" s="72">
        <f>(Tabella34[[#This Row],[selected region cumul. data]]-AG155)</f>
        <v>140</v>
      </c>
      <c r="AI156" s="72">
        <f>Tabella34[[#This Row],[selected region rate data]]-AH155</f>
        <v>-68</v>
      </c>
      <c r="AJ156" s="121">
        <f>Tabella34[[#This Row],[selected region rate data]]*NOT(ISBLANK(Tabella34[[#This Row],[selected region rate data]]))</f>
        <v>140</v>
      </c>
      <c r="AK156" s="77">
        <f>Tabella8[[#This Row],[region fit]]</f>
        <v>8401.5746631763086</v>
      </c>
      <c r="AL156" s="143" t="e">
        <f>(ATANH(alpha*Tabella34[[#This Row],[sel. region cumul. fit]]/Kl-(1-alpha*Tabella34[[#This Row],[sel. region cumul. fit]]/Kl)*TANH(phi_l))+phi_l)/psi_l-(Tabella34[[#This Row],[Day]]-pl)</f>
        <v>#NUM!</v>
      </c>
      <c r="AM156" s="77">
        <f>Tabella34[[#This Row],[sel. region cumul. fit]]/Kl</f>
        <v>0.63861721692021067</v>
      </c>
      <c r="AN156" s="143">
        <f>Tabella3[[#This Row],[region fit]]</f>
        <v>129.24626593908653</v>
      </c>
      <c r="AO156" s="186">
        <f>Tabella34[[#This Row],[sel. region velocity]]/Tabella34[[#This Row],[sel. region cumul. fit]]</f>
        <v>1.5383576427115098E-2</v>
      </c>
      <c r="AP156" s="241">
        <f>(LN(Tabella34[[#This Row],[Day]]-pr)-phi_r)/psi_r</f>
        <v>158.21821718691649</v>
      </c>
      <c r="AQ156" s="244">
        <f>EXP(phi_r+psi_r*Tabella34[[#This Row],[x_r_alpha©+plus]])-(Tabella34[[#This Row],[Day]]-pr)</f>
        <v>-69.407086980077665</v>
      </c>
      <c r="AR156" s="244">
        <f>EXP(phi_r+psi_r*Tabella34[[#This Row],[x_r_alpha©-minus]])-(Tabella34[[#This Row],[Day]]-pr)</f>
        <v>-69.866023698085797</v>
      </c>
      <c r="AS156" s="244">
        <f>-psi_r+SQRT(psi_r^2-2*Tabella34[[#This Row],[c_r]])</f>
        <v>3.7755770926867149</v>
      </c>
      <c r="AT156" s="244">
        <f>-psi_r-SQRT(psi_r^2-2*Tabella34[[#This Row],[c_r]])</f>
        <v>-3.8158651023530532</v>
      </c>
      <c r="AU156" s="244">
        <f>phi_r-LN(alpha*Kr/(Tabella34[[#This Row],[sel. region velocity]]*psi_r*SQRTPI(2)))</f>
        <v>-7.2035464346134175</v>
      </c>
      <c r="AV156" s="244">
        <f>(ACOSH(SQRT(alpha*Kl*psi_l/(Tabella34[[#This Row],[sel. region velocity]]*(1+TANH(phi_l)))))+phi_l)/psi_l-(Tabella34[[#This Row],[Day]]-pl)</f>
        <v>30.077916548672803</v>
      </c>
      <c r="AW156" s="72">
        <f>-2*$BY$22*TANH($BY$22*(Tabella34[[#This Row],[Day]]-$BY$31)-$BY$21)*Tabella34[[#This Row],[sel. region velocity]]</f>
        <v>-1.8200631264211853</v>
      </c>
      <c r="AX156" s="77">
        <f>Tabella34[[#This Row],[sel. region acc. fit]]/y_l_peak</f>
        <v>-1.2361636967124272E-2</v>
      </c>
      <c r="AY156" s="143">
        <f>Tabella34[[#This Row],[sel. region acc. fit]]*NOT(ISBLANK(Tabella34[[#This Row],[selected region rate data]]))</f>
        <v>-1.8200631264211853</v>
      </c>
      <c r="AZ156" s="77">
        <f>Tabella34[[#This Row],[sel. region acc. fit]]+CIl</f>
        <v>67.544923248679211</v>
      </c>
      <c r="BA156" s="77">
        <f>MAX(Tabella34[[#This Row],[sel. region acc. fit]]-CIl,0)</f>
        <v>0</v>
      </c>
      <c r="BB156" s="10">
        <f>Tabella8[[#This Row],[rest of Italy ]]</f>
        <v>175286</v>
      </c>
      <c r="BC156" s="10">
        <f>(Tabella34[[#This Row],[rest of Italy cum. Data]]-BB155)</f>
        <v>3433</v>
      </c>
      <c r="BD156" s="10">
        <f>Tabella34[[#This Row],[rest of Italy rate data]]-BC155</f>
        <v>1081</v>
      </c>
      <c r="BE156" s="77">
        <f>Tabella34[[#This Row],[rest of Italy rate data]]*NOT(ISBLANK(Tabella34[[#This Row],[rest of Italy rate data]]))</f>
        <v>3433</v>
      </c>
      <c r="BF156" s="77">
        <f>Tabella8[[#This Row],[rest of Italy fit]]</f>
        <v>173973.83435027357</v>
      </c>
      <c r="BG156" s="78" t="e">
        <f>(ATANH(alpha*Tabella34[[#This Row],[rest of Italy cumul. fit]]/Ka-(1-alpha*Tabella34[[#This Row],[rest of Italy cumul. fit]]/Ka)*TANH(phi_a))+phi_a)/psi_a-(Tabella34[[#This Row],[Day]]-pa)</f>
        <v>#NUM!</v>
      </c>
      <c r="BH156" s="77">
        <f>Tabella34[[#This Row],[rest of Italy cumul. fit]]/Ka</f>
        <v>0.7842165799744073</v>
      </c>
      <c r="BI156" s="143">
        <f>Tabella3[[#This Row],[rest of Italy fit]]</f>
        <v>1956.8026023390014</v>
      </c>
      <c r="BJ156" s="183">
        <f>Tabella34[[#This Row],[rest of Italy velocity]]/Tabella34[[#This Row],[rest of Italy cumul. fit]]</f>
        <v>1.12476833636904E-2</v>
      </c>
      <c r="BK156" s="236">
        <f>(LN(Tabella34[[#This Row],[Day]]-po)-phi_o)/psi_o</f>
        <v>116.82539423011711</v>
      </c>
      <c r="BL156" s="244">
        <f>EXP(phi_o+psi_o*Tabella34[[#This Row],[x_o_alpha©+plus]])-(Tabella34[[#This Row],[Day]]-po)</f>
        <v>-76.670166122890038</v>
      </c>
      <c r="BM156" s="244">
        <f>EXP(phi_o+psi_o*Tabella34[[#This Row],[x_o_alpha©-minus]])-(Tabella34[[#This Row],[Day]]-po)</f>
        <v>-77.435354593384531</v>
      </c>
      <c r="BN156" s="244">
        <f>-psi_o+SQRT(psi_o^2-2*Tabella34[[#This Row],[c_o]])</f>
        <v>3.6539092802687523</v>
      </c>
      <c r="BO156" s="244">
        <f>-psi_o-SQRT(psi_o^2-2*Tabella34[[#This Row],[c_o]])</f>
        <v>-3.7052225645364056</v>
      </c>
      <c r="BP156" s="244">
        <f>phi_o-LN(alpha*Ko/(Tabella34[[#This Row],[rest of Italy velocity]]*psi_o*SQRTPI(2)))</f>
        <v>-6.7692735570103792</v>
      </c>
      <c r="BQ156" s="244">
        <f>(ACOSH(SQRT(alpha*Ka*psi_a/(Tabella34[[#This Row],[rest of Italy velocity]]*(1+TANH(phi_a)))))+phi_a)/psi_a-(Tabella34[[#This Row],[Day]]-pa)</f>
        <v>18.741077009887789</v>
      </c>
      <c r="BR156" s="72">
        <f>-2*$BY$35*TANH($BY$35*(Tabella34[[#This Row],[Day]]-$BY$44)-$BY$34)*Tabella34[[#This Row],[rest of Italy velocity]]</f>
        <v>-59.567213911218147</v>
      </c>
      <c r="BS156" s="77">
        <f>Tabella34[[#This Row],[rest of Italy acc. fit]]/y_a_peak</f>
        <v>-1.972784630033041E-2</v>
      </c>
      <c r="BT156" s="77">
        <f>Tabella34[[#This Row],[rest of Italy acc. fit]]*NOT(ISBLANK(Tabella34[[#This Row],[rest of Italy rate data]]))</f>
        <v>-59.567213911218147</v>
      </c>
      <c r="BU156" s="77">
        <f>Tabella34[[#This Row],[rest of Italy acc. fit]]+CIa</f>
        <v>1574.5667260425832</v>
      </c>
      <c r="BV156" s="77">
        <f>MAX(Tabella34[[#This Row],[rest of Italy acc. fit]]-CIa,0)</f>
        <v>0</v>
      </c>
    </row>
    <row r="157" spans="2:74" x14ac:dyDescent="0.3">
      <c r="B157" s="262">
        <v>43980</v>
      </c>
      <c r="C157" s="4">
        <v>150</v>
      </c>
      <c r="D157" s="10">
        <f>Tabella8[[#This Row],[Italy cumulative]]</f>
        <v>186073</v>
      </c>
      <c r="E157" s="72">
        <f>(Tabella34[[#This Row],[Italy cumul. data]]-D156)</f>
        <v>2327</v>
      </c>
      <c r="F157" s="72">
        <f>Tabella34[[#This Row],[Italy rate data]]-E156</f>
        <v>-1246</v>
      </c>
      <c r="G157" s="121">
        <f>Tabella34[[#This Row],[Italy rate data]]*NOT(ISBLANK(Tabella34[[#This Row],[Italy rate data]]))</f>
        <v>2327</v>
      </c>
      <c r="H157" s="143">
        <f>Tabella8[[#This Row],[Italy fit]]</f>
        <v>184521.23783596262</v>
      </c>
      <c r="I157" s="143" t="e">
        <f>(ATANH(alpha*Tabella34[[#This Row],[Italy cumul. Fit]]/Kf-(1-alpha*Tabella34[[#This Row],[Italy cumul. Fit]]/Kf)*TANH(phi_f))+phi_f)/psi_f-(Tabella34[[#This Row],[Day]]-pf)</f>
        <v>#NUM!</v>
      </c>
      <c r="J157" s="143" t="e">
        <f>Tabella34[[#This Row],[Italy d.t.]]/Italy_dt_at_lockdown</f>
        <v>#NUM!</v>
      </c>
      <c r="K157" s="77">
        <f>Tabella34[[#This Row],[Italy cumul. Fit]]/Kf</f>
        <v>0.78519675165517122</v>
      </c>
      <c r="L157" s="146">
        <f>Tabella34[[#This Row],[sel. region acc. fit]]+Tabella34[[#This Row],[rest of Italy acc. fit]]</f>
        <v>-61.235118206364959</v>
      </c>
      <c r="M157" s="77">
        <f>Tabella34[[#This Row],[Italy (fit of selected region + fitted sum of the other regions)]]/(y_l_peak+y_a_peak)</f>
        <v>-1.933730480929359E-2</v>
      </c>
      <c r="N157" s="143">
        <f>Tabella3[[#This Row],[Italy remov. rate fit]]</f>
        <v>2035.4688364994017</v>
      </c>
      <c r="O157" s="143">
        <f>Kt*EXP(-0.5*Tabella34[[#This Row],[x_t]]^2)/(psi_t*SQRTPI(2)*(Tabella34[[#This Row],[Day]]-D_bk))</f>
        <v>0</v>
      </c>
      <c r="P157" s="183">
        <f>Tabella34[[#This Row],[Italy velocity]]/Tabella34[[#This Row],[Italy cumul. Fit]]</f>
        <v>1.103108162708572E-2</v>
      </c>
      <c r="Q157" s="244">
        <f>(LN(Tabella34[[#This Row],[Day]]-D_bk)-phi_t)/psi_t</f>
        <v>119.92429290499466</v>
      </c>
      <c r="R157" s="244">
        <f>EXP(phi_t+psi_t*Tabella34[[#This Row],[x_t_alpha©+plus]])-(Tabella34[[#This Row],[Day]]-D_bk)</f>
        <v>-77.194845696727057</v>
      </c>
      <c r="S157" s="244">
        <f>EXP(phi_t+psi_t*Tabella34[[#This Row],[x_t_alpha©-minus]])-(Tabella34[[#This Row],[Day]]-D_bk)</f>
        <v>-77.931450361767119</v>
      </c>
      <c r="T157" s="244">
        <f>-psi_t+SQRT(psi_t^2-2*Tabella34[[#This Row],[c_t]])</f>
        <v>3.6707685373836019</v>
      </c>
      <c r="U157" s="244">
        <f>-psi_t-SQRT(psi_t^2-2*Tabella34[[#This Row],[c_t]])</f>
        <v>-3.7212872120809739</v>
      </c>
      <c r="V157" s="244">
        <f>phi_t-LN(alpha*Kt/(Tabella34[[#This Row],[Italy velocity]]*psi_t*SQRTPI(2)))</f>
        <v>-6.8299920083373884</v>
      </c>
      <c r="W157" s="244">
        <f>Tabella34[[#This Row],[Italy g.r.]]/Italy_gr_at_lockdown</f>
        <v>2.631200165866E-2</v>
      </c>
      <c r="X157" s="244">
        <f>(ACOSH(SQRT(alpha*Kf*psi_f/(Tabella34[[#This Row],[Italy velocity]]*(1+TANH(phi_f)))))+phi_f)/psi_f-(Tabella34[[#This Row],[Day]]-pf)</f>
        <v>18.982717291290101</v>
      </c>
      <c r="Y157" s="244">
        <f>Tabella34[[#This Row],[Italy h.t.]]/Italy_ht_at_lockdown</f>
        <v>0.1598441812028755</v>
      </c>
      <c r="Z157" s="72">
        <f>-2*$BY$48*TANH($BY$48*(Tabella34[[#This Row],[Day]]-$BY$57)-$BY$47)*Tabella34[[#This Row],[Italy velocity]]</f>
        <v>-61.3243324678186</v>
      </c>
      <c r="AA157" s="72">
        <f>Tabella34[[#This Row],[Italy acc. fit]]/Itali_acc_at_lockdown</f>
        <v>-1.7521073390181754</v>
      </c>
      <c r="AB157" s="77">
        <f>Tabella34[[#This Row],[Italy acc. fit]]/y_f_peak</f>
        <v>-1.9412642951569477E-2</v>
      </c>
      <c r="AC157" s="143">
        <f>Tabella34[[#This Row],[Italy (fit of selected region + fitted sum of the other regions)]]*NOT(ISBLANK(Tabella34[[#This Row],[Italy rate data]]))</f>
        <v>-61.235118206364959</v>
      </c>
      <c r="AD157" s="143">
        <f>Tabella34[[#This Row],[Italy acc. fit]]*NOT(ISBLANK(Tabella34[[#This Row],[Italy rate data]]))</f>
        <v>-61.3243324678186</v>
      </c>
      <c r="AE157" s="77">
        <f>Tabella34[[#This Row],[Italy acc. fit]]+CIf</f>
        <v>1593.8856364559329</v>
      </c>
      <c r="AF157" s="77">
        <f>MAX(Tabella34[[#This Row],[Italy acc. fit]]-CIf,0)</f>
        <v>0</v>
      </c>
      <c r="AG157" s="4">
        <f>Tabella8[[#This Row],[region data]]</f>
        <v>8625</v>
      </c>
      <c r="AH157" s="72">
        <f>(Tabella34[[#This Row],[selected region cumul. data]]-AG156)</f>
        <v>165</v>
      </c>
      <c r="AI157" s="72">
        <f>Tabella34[[#This Row],[selected region rate data]]-AH156</f>
        <v>25</v>
      </c>
      <c r="AJ157" s="121">
        <f>Tabella34[[#This Row],[selected region rate data]]*NOT(ISBLANK(Tabella34[[#This Row],[selected region rate data]]))</f>
        <v>165</v>
      </c>
      <c r="AK157" s="77">
        <f>Tabella8[[#This Row],[region fit]]</f>
        <v>8529.9000248417888</v>
      </c>
      <c r="AL157" s="143" t="e">
        <f>(ATANH(alpha*Tabella34[[#This Row],[sel. region cumul. fit]]/Kl-(1-alpha*Tabella34[[#This Row],[sel. region cumul. fit]]/Kl)*TANH(phi_l))+phi_l)/psi_l-(Tabella34[[#This Row],[Day]]-pl)</f>
        <v>#NUM!</v>
      </c>
      <c r="AM157" s="77">
        <f>Tabella34[[#This Row],[sel. region cumul. fit]]/Kl</f>
        <v>0.6483714342678556</v>
      </c>
      <c r="AN157" s="143">
        <f>Tabella3[[#This Row],[region fit]]</f>
        <v>127.39378675487534</v>
      </c>
      <c r="AO157" s="186">
        <f>Tabella34[[#This Row],[sel. region velocity]]/Tabella34[[#This Row],[sel. region cumul. fit]]</f>
        <v>1.4934968333024304E-2</v>
      </c>
      <c r="AP157" s="241">
        <f>(LN(Tabella34[[#This Row],[Day]]-pr)-phi_r)/psi_r</f>
        <v>158.89692853284643</v>
      </c>
      <c r="AQ157" s="244">
        <f>EXP(phi_r+psi_r*Tabella34[[#This Row],[x_r_alpha©+plus]])-(Tabella34[[#This Row],[Day]]-pr)</f>
        <v>-70.406839133240084</v>
      </c>
      <c r="AR157" s="244">
        <f>EXP(phi_r+psi_r*Tabella34[[#This Row],[x_r_alpha©-minus]])-(Tabella34[[#This Row],[Day]]-pr)</f>
        <v>-70.866236383115876</v>
      </c>
      <c r="AS157" s="244">
        <f>-psi_r+SQRT(psi_r^2-2*Tabella34[[#This Row],[c_r]])</f>
        <v>3.7793785903006802</v>
      </c>
      <c r="AT157" s="244">
        <f>-psi_r-SQRT(psi_r^2-2*Tabella34[[#This Row],[c_r]])</f>
        <v>-3.8196665999670185</v>
      </c>
      <c r="AU157" s="244">
        <f>phi_r-LN(alpha*Kr/(Tabella34[[#This Row],[sel. region velocity]]*psi_r*SQRTPI(2)))</f>
        <v>-7.217983085000971</v>
      </c>
      <c r="AV157" s="244">
        <f>(ACOSH(SQRT(alpha*Kl*psi_l/(Tabella34[[#This Row],[sel. region velocity]]*(1+TANH(phi_l)))))+phi_l)/psi_l-(Tabella34[[#This Row],[Day]]-pl)</f>
        <v>29.554962287127182</v>
      </c>
      <c r="AW157" s="72">
        <f>-2*$BY$22*TANH($BY$22*(Tabella34[[#This Row],[Day]]-$BY$31)-$BY$21)*Tabella34[[#This Row],[sel. region velocity]]</f>
        <v>-1.8840860433878059</v>
      </c>
      <c r="AX157" s="77">
        <f>Tabella34[[#This Row],[sel. region acc. fit]]/y_l_peak</f>
        <v>-1.2796472465755521E-2</v>
      </c>
      <c r="AY157" s="143">
        <f>Tabella34[[#This Row],[sel. region acc. fit]]*NOT(ISBLANK(Tabella34[[#This Row],[selected region rate data]]))</f>
        <v>-1.8840860433878059</v>
      </c>
      <c r="AZ157" s="77">
        <f>Tabella34[[#This Row],[sel. region acc. fit]]+CIl</f>
        <v>67.48090033171259</v>
      </c>
      <c r="BA157" s="77">
        <f>MAX(Tabella34[[#This Row],[sel. region acc. fit]]-CIl,0)</f>
        <v>0</v>
      </c>
      <c r="BB157" s="10">
        <f>Tabella8[[#This Row],[rest of Italy ]]</f>
        <v>177448</v>
      </c>
      <c r="BC157" s="10">
        <f>(Tabella34[[#This Row],[rest of Italy cum. Data]]-BB156)</f>
        <v>2162</v>
      </c>
      <c r="BD157" s="10">
        <f>Tabella34[[#This Row],[rest of Italy rate data]]-BC156</f>
        <v>-1271</v>
      </c>
      <c r="BE157" s="77">
        <f>Tabella34[[#This Row],[rest of Italy rate data]]*NOT(ISBLANK(Tabella34[[#This Row],[rest of Italy rate data]]))</f>
        <v>2162</v>
      </c>
      <c r="BF157" s="77">
        <f>Tabella8[[#This Row],[rest of Italy fit]]</f>
        <v>175900.88339444774</v>
      </c>
      <c r="BG157" s="78" t="e">
        <f>(ATANH(alpha*Tabella34[[#This Row],[rest of Italy cumul. fit]]/Ka-(1-alpha*Tabella34[[#This Row],[rest of Italy cumul. fit]]/Ka)*TANH(phi_a))+phi_a)/psi_a-(Tabella34[[#This Row],[Day]]-pa)</f>
        <v>#NUM!</v>
      </c>
      <c r="BH157" s="77">
        <f>Tabella34[[#This Row],[rest of Italy cumul. fit]]/Ka</f>
        <v>0.79290308054220282</v>
      </c>
      <c r="BI157" s="143">
        <f>Tabella3[[#This Row],[rest of Italy fit]]</f>
        <v>1897.3315434458061</v>
      </c>
      <c r="BJ157" s="183">
        <f>Tabella34[[#This Row],[rest of Italy velocity]]/Tabella34[[#This Row],[rest of Italy cumul. fit]]</f>
        <v>1.0786367338424037E-2</v>
      </c>
      <c r="BK157" s="236">
        <f>(LN(Tabella34[[#This Row],[Day]]-po)-phi_o)/psi_o</f>
        <v>117.30294823082997</v>
      </c>
      <c r="BL157" s="244">
        <f>EXP(phi_o+psi_o*Tabella34[[#This Row],[x_o_alpha©+plus]])-(Tabella34[[#This Row],[Day]]-po)</f>
        <v>-77.669210039269032</v>
      </c>
      <c r="BM157" s="244">
        <f>EXP(phi_o+psi_o*Tabella34[[#This Row],[x_o_alpha©-minus]])-(Tabella34[[#This Row],[Day]]-po)</f>
        <v>-78.436146006268942</v>
      </c>
      <c r="BN157" s="244">
        <f>-psi_o+SQRT(psi_o^2-2*Tabella34[[#This Row],[c_o]])</f>
        <v>3.6622875158786941</v>
      </c>
      <c r="BO157" s="244">
        <f>-psi_o-SQRT(psi_o^2-2*Tabella34[[#This Row],[c_o]])</f>
        <v>-3.7136008001463474</v>
      </c>
      <c r="BP157" s="244">
        <f>phi_o-LN(alpha*Ko/(Tabella34[[#This Row],[rest of Italy velocity]]*psi_o*SQRTPI(2)))</f>
        <v>-6.800136924666548</v>
      </c>
      <c r="BQ157" s="244">
        <f>(ACOSH(SQRT(alpha*Ka*psi_a/(Tabella34[[#This Row],[rest of Italy velocity]]*(1+TANH(phi_a)))))+phi_a)/psi_a-(Tabella34[[#This Row],[Day]]-pa)</f>
        <v>18.469979618845201</v>
      </c>
      <c r="BR157" s="72">
        <f>-2*$BY$35*TANH($BY$35*(Tabella34[[#This Row],[Day]]-$BY$44)-$BY$34)*Tabella34[[#This Row],[rest of Italy velocity]]</f>
        <v>-59.351032162977155</v>
      </c>
      <c r="BS157" s="77">
        <f>Tabella34[[#This Row],[rest of Italy acc. fit]]/y_a_peak</f>
        <v>-1.9656249862924569E-2</v>
      </c>
      <c r="BT157" s="77">
        <f>Tabella34[[#This Row],[rest of Italy acc. fit]]*NOT(ISBLANK(Tabella34[[#This Row],[rest of Italy rate data]]))</f>
        <v>-59.351032162977155</v>
      </c>
      <c r="BU157" s="77">
        <f>Tabella34[[#This Row],[rest of Italy acc. fit]]+CIa</f>
        <v>1574.7829077908243</v>
      </c>
      <c r="BV157" s="77">
        <f>MAX(Tabella34[[#This Row],[rest of Italy acc. fit]]-CIa,0)</f>
        <v>0</v>
      </c>
    </row>
    <row r="158" spans="2:74" x14ac:dyDescent="0.3">
      <c r="B158" s="262">
        <v>43981</v>
      </c>
      <c r="C158" s="4">
        <v>151</v>
      </c>
      <c r="D158" s="10">
        <f>Tabella8[[#This Row],[Italy cumulative]]</f>
        <v>188973</v>
      </c>
      <c r="E158" s="72">
        <f>(Tabella34[[#This Row],[Italy cumul. data]]-D157)</f>
        <v>2900</v>
      </c>
      <c r="F158" s="72">
        <f>Tabella34[[#This Row],[Italy rate data]]-E157</f>
        <v>573</v>
      </c>
      <c r="G158" s="121">
        <f>Tabella34[[#This Row],[Italy rate data]]*NOT(ISBLANK(Tabella34[[#This Row],[Italy rate data]]))</f>
        <v>2900</v>
      </c>
      <c r="H158" s="143">
        <f>Tabella8[[#This Row],[Italy fit]]</f>
        <v>186526.07950417674</v>
      </c>
      <c r="I158" s="143" t="e">
        <f>(ATANH(alpha*Tabella34[[#This Row],[Italy cumul. Fit]]/Kf-(1-alpha*Tabella34[[#This Row],[Italy cumul. Fit]]/Kf)*TANH(phi_f))+phi_f)/psi_f-(Tabella34[[#This Row],[Day]]-pf)</f>
        <v>#NUM!</v>
      </c>
      <c r="J158" s="143" t="e">
        <f>Tabella34[[#This Row],[Italy d.t.]]/Italy_dt_at_lockdown</f>
        <v>#NUM!</v>
      </c>
      <c r="K158" s="77">
        <f>Tabella34[[#This Row],[Italy cumul. Fit]]/Kf</f>
        <v>0.79372799274116546</v>
      </c>
      <c r="L158" s="146">
        <f>Tabella34[[#This Row],[sel. region acc. fit]]+Tabella34[[#This Row],[rest of Italy acc. fit]]</f>
        <v>-60.939777062882484</v>
      </c>
      <c r="M158" s="77">
        <f>Tabella34[[#This Row],[Italy (fit of selected region + fitted sum of the other regions)]]/(y_l_peak+y_a_peak)</f>
        <v>-1.9244039671876868E-2</v>
      </c>
      <c r="N158" s="143">
        <f>Tabella3[[#This Row],[Italy remov. rate fit]]</f>
        <v>1974.2554224385283</v>
      </c>
      <c r="O158" s="143">
        <f>Kt*EXP(-0.5*Tabella34[[#This Row],[x_t]]^2)/(psi_t*SQRTPI(2)*(Tabella34[[#This Row],[Day]]-D_bk))</f>
        <v>0</v>
      </c>
      <c r="P158" s="183">
        <f>Tabella34[[#This Row],[Italy velocity]]/Tabella34[[#This Row],[Italy cumul. Fit]]</f>
        <v>1.0584339882586339E-2</v>
      </c>
      <c r="Q158" s="244">
        <f>(LN(Tabella34[[#This Row],[Day]]-D_bk)-phi_t)/psi_t</f>
        <v>120.40698007106511</v>
      </c>
      <c r="R158" s="244">
        <f>EXP(phi_t+psi_t*Tabella34[[#This Row],[x_t_alpha©+plus]])-(Tabella34[[#This Row],[Day]]-D_bk)</f>
        <v>-78.193944114756732</v>
      </c>
      <c r="S158" s="244">
        <f>EXP(phi_t+psi_t*Tabella34[[#This Row],[x_t_alpha©-minus]])-(Tabella34[[#This Row],[Day]]-D_bk)</f>
        <v>-78.932198227968726</v>
      </c>
      <c r="T158" s="244">
        <f>-psi_t+SQRT(psi_t^2-2*Tabella34[[#This Row],[c_t]])</f>
        <v>3.6790208567704394</v>
      </c>
      <c r="U158" s="244">
        <f>-psi_t-SQRT(psi_t^2-2*Tabella34[[#This Row],[c_t]])</f>
        <v>-3.7295395314678115</v>
      </c>
      <c r="V158" s="244">
        <f>phi_t-LN(alpha*Kt/(Tabella34[[#This Row],[Italy velocity]]*psi_t*SQRTPI(2)))</f>
        <v>-6.8605268612099657</v>
      </c>
      <c r="W158" s="244">
        <f>Tabella34[[#This Row],[Italy g.r.]]/Italy_gr_at_lockdown</f>
        <v>2.5246406287359514E-2</v>
      </c>
      <c r="X158" s="244">
        <f>(ACOSH(SQRT(alpha*Kf*psi_f/(Tabella34[[#This Row],[Italy velocity]]*(1+TANH(phi_f)))))+phi_f)/psi_f-(Tabella34[[#This Row],[Day]]-pf)</f>
        <v>18.714247483561735</v>
      </c>
      <c r="Y158" s="244">
        <f>Tabella34[[#This Row],[Italy h.t.]]/Italy_ht_at_lockdown</f>
        <v>0.15758352821334148</v>
      </c>
      <c r="Z158" s="72">
        <f>-2*$BY$48*TANH($BY$48*(Tabella34[[#This Row],[Day]]-$BY$57)-$BY$47)*Tabella34[[#This Row],[Italy velocity]]</f>
        <v>-61.078958220365671</v>
      </c>
      <c r="AA158" s="72">
        <f>Tabella34[[#This Row],[Italy acc. fit]]/Itali_acc_at_lockdown</f>
        <v>-1.74509671203754</v>
      </c>
      <c r="AB158" s="77">
        <f>Tabella34[[#This Row],[Italy acc. fit]]/y_f_peak</f>
        <v>-1.933496803096902E-2</v>
      </c>
      <c r="AC158" s="143">
        <f>Tabella34[[#This Row],[Italy (fit of selected region + fitted sum of the other regions)]]*NOT(ISBLANK(Tabella34[[#This Row],[Italy rate data]]))</f>
        <v>-60.939777062882484</v>
      </c>
      <c r="AD158" s="143">
        <f>Tabella34[[#This Row],[Italy acc. fit]]*NOT(ISBLANK(Tabella34[[#This Row],[Italy rate data]]))</f>
        <v>-61.078958220365671</v>
      </c>
      <c r="AE158" s="77">
        <f>Tabella34[[#This Row],[Italy acc. fit]]+CIf</f>
        <v>1594.1310107033858</v>
      </c>
      <c r="AF158" s="77">
        <f>MAX(Tabella34[[#This Row],[Italy acc. fit]]-CIf,0)</f>
        <v>0</v>
      </c>
      <c r="AG158" s="4">
        <f>Tabella8[[#This Row],[region data]]</f>
        <v>8870</v>
      </c>
      <c r="AH158" s="72">
        <f>(Tabella34[[#This Row],[selected region cumul. data]]-AG157)</f>
        <v>245</v>
      </c>
      <c r="AI158" s="72">
        <f>Tabella34[[#This Row],[selected region rate data]]-AH157</f>
        <v>80</v>
      </c>
      <c r="AJ158" s="121">
        <f>Tabella34[[#This Row],[selected region rate data]]*NOT(ISBLANK(Tabella34[[#This Row],[selected region rate data]]))</f>
        <v>245</v>
      </c>
      <c r="AK158" s="77">
        <f>Tabella8[[#This Row],[region fit]]</f>
        <v>8656.3417070551914</v>
      </c>
      <c r="AL158" s="143" t="e">
        <f>(ATANH(alpha*Tabella34[[#This Row],[sel. region cumul. fit]]/Kl-(1-alpha*Tabella34[[#This Row],[sel. region cumul. fit]]/Kl)*TANH(phi_l))+phi_l)/psi_l-(Tabella34[[#This Row],[Day]]-pl)</f>
        <v>#NUM!</v>
      </c>
      <c r="AM158" s="77">
        <f>Tabella34[[#This Row],[sel. region cumul. fit]]/Kl</f>
        <v>0.65798247010757105</v>
      </c>
      <c r="AN158" s="143">
        <f>Tabella3[[#This Row],[region fit]]</f>
        <v>125.47972008340824</v>
      </c>
      <c r="AO158" s="186">
        <f>Tabella34[[#This Row],[sel. region velocity]]/Tabella34[[#This Row],[sel. region cumul. fit]]</f>
        <v>1.4495698567575991E-2</v>
      </c>
      <c r="AP158" s="241">
        <f>(LN(Tabella34[[#This Row],[Day]]-pr)-phi_r)/psi_r</f>
        <v>159.56648557786639</v>
      </c>
      <c r="AQ158" s="244">
        <f>EXP(phi_r+psi_r*Tabella34[[#This Row],[x_r_alpha©+plus]])-(Tabella34[[#This Row],[Day]]-pr)</f>
        <v>-71.406579477360182</v>
      </c>
      <c r="AR158" s="244">
        <f>EXP(phi_r+psi_r*Tabella34[[#This Row],[x_r_alpha©-minus]])-(Tabella34[[#This Row],[Day]]-pr)</f>
        <v>-71.866459166915504</v>
      </c>
      <c r="AS158" s="244">
        <f>-psi_r+SQRT(psi_r^2-2*Tabella34[[#This Row],[c_r]])</f>
        <v>3.7833609038732079</v>
      </c>
      <c r="AT158" s="244">
        <f>-psi_r-SQRT(psi_r^2-2*Tabella34[[#This Row],[c_r]])</f>
        <v>-3.8236489135395462</v>
      </c>
      <c r="AU158" s="244">
        <f>phi_r-LN(alpha*Kr/(Tabella34[[#This Row],[sel. region velocity]]*psi_r*SQRTPI(2)))</f>
        <v>-7.2331219048113935</v>
      </c>
      <c r="AV158" s="244">
        <f>(ACOSH(SQRT(alpha*Kl*psi_l/(Tabella34[[#This Row],[sel. region velocity]]*(1+TANH(phi_l)))))+phi_l)/psi_l-(Tabella34[[#This Row],[Day]]-pl)</f>
        <v>29.052399178154829</v>
      </c>
      <c r="AW158" s="72">
        <f>-2*$BY$22*TANH($BY$22*(Tabella34[[#This Row],[Day]]-$BY$31)-$BY$21)*Tabella34[[#This Row],[sel. region velocity]]</f>
        <v>-1.9432310718712149</v>
      </c>
      <c r="AX158" s="77">
        <f>Tabella34[[#This Row],[sel. region acc. fit]]/y_l_peak</f>
        <v>-1.3198177967014566E-2</v>
      </c>
      <c r="AY158" s="143">
        <f>Tabella34[[#This Row],[sel. region acc. fit]]*NOT(ISBLANK(Tabella34[[#This Row],[selected region rate data]]))</f>
        <v>-1.9432310718712149</v>
      </c>
      <c r="AZ158" s="77">
        <f>Tabella34[[#This Row],[sel. region acc. fit]]+CIl</f>
        <v>67.42175530322919</v>
      </c>
      <c r="BA158" s="77">
        <f>MAX(Tabella34[[#This Row],[sel. region acc. fit]]-CIl,0)</f>
        <v>0</v>
      </c>
      <c r="BB158" s="10">
        <f>Tabella8[[#This Row],[rest of Italy ]]</f>
        <v>180103</v>
      </c>
      <c r="BC158" s="10">
        <f>(Tabella34[[#This Row],[rest of Italy cum. Data]]-BB157)</f>
        <v>2655</v>
      </c>
      <c r="BD158" s="10">
        <f>Tabella34[[#This Row],[rest of Italy rate data]]-BC157</f>
        <v>493</v>
      </c>
      <c r="BE158" s="77">
        <f>Tabella34[[#This Row],[rest of Italy rate data]]*NOT(ISBLANK(Tabella34[[#This Row],[rest of Italy rate data]]))</f>
        <v>2655</v>
      </c>
      <c r="BF158" s="77">
        <f>Tabella8[[#This Row],[rest of Italy fit]]</f>
        <v>177768.59293261523</v>
      </c>
      <c r="BG158" s="78" t="e">
        <f>(ATANH(alpha*Tabella34[[#This Row],[rest of Italy cumul. fit]]/Ka-(1-alpha*Tabella34[[#This Row],[rest of Italy cumul. fit]]/Ka)*TANH(phi_a))+phi_a)/psi_a-(Tabella34[[#This Row],[Day]]-pa)</f>
        <v>#NUM!</v>
      </c>
      <c r="BH158" s="77">
        <f>Tabella34[[#This Row],[rest of Italy cumul. fit]]/Ka</f>
        <v>0.80132209821734546</v>
      </c>
      <c r="BI158" s="143">
        <f>Tabella3[[#This Row],[rest of Italy fit]]</f>
        <v>1838.1466415884934</v>
      </c>
      <c r="BJ158" s="183">
        <f>Tabella34[[#This Row],[rest of Italy velocity]]/Tabella34[[#This Row],[rest of Italy cumul. fit]]</f>
        <v>1.0340109078127538E-2</v>
      </c>
      <c r="BK158" s="236">
        <f>(LN(Tabella34[[#This Row],[Day]]-po)-phi_o)/psi_o</f>
        <v>117.77472178664698</v>
      </c>
      <c r="BL158" s="244">
        <f>EXP(phi_o+psi_o*Tabella34[[#This Row],[x_o_alpha©+plus]])-(Tabella34[[#This Row],[Day]]-po)</f>
        <v>-78.668230370062616</v>
      </c>
      <c r="BM158" s="244">
        <f>EXP(phi_o+psi_o*Tabella34[[#This Row],[x_o_alpha©-minus]])-(Tabella34[[#This Row],[Day]]-po)</f>
        <v>-79.436956589665442</v>
      </c>
      <c r="BN158" s="244">
        <f>-psi_o+SQRT(psi_o^2-2*Tabella34[[#This Row],[c_o]])</f>
        <v>3.670870566074147</v>
      </c>
      <c r="BO158" s="244">
        <f>-psi_o-SQRT(psi_o^2-2*Tabella34[[#This Row],[c_o]])</f>
        <v>-3.7221838503418003</v>
      </c>
      <c r="BP158" s="244">
        <f>phi_o-LN(alpha*Ko/(Tabella34[[#This Row],[rest of Italy velocity]]*psi_o*SQRTPI(2)))</f>
        <v>-6.8318275688681265</v>
      </c>
      <c r="BQ158" s="244">
        <f>(ACOSH(SQRT(alpha*Ka*psi_a/(Tabella34[[#This Row],[rest of Italy velocity]]*(1+TANH(phi_a)))))+phi_a)/psi_a-(Tabella34[[#This Row],[Day]]-pa)</f>
        <v>18.213078059232586</v>
      </c>
      <c r="BR158" s="72">
        <f>-2*$BY$35*TANH($BY$35*(Tabella34[[#This Row],[Day]]-$BY$44)-$BY$34)*Tabella34[[#This Row],[rest of Italy velocity]]</f>
        <v>-58.996545991011267</v>
      </c>
      <c r="BS158" s="77">
        <f>Tabella34[[#This Row],[rest of Italy acc. fit]]/y_a_peak</f>
        <v>-1.9538848892542461E-2</v>
      </c>
      <c r="BT158" s="77">
        <f>Tabella34[[#This Row],[rest of Italy acc. fit]]*NOT(ISBLANK(Tabella34[[#This Row],[rest of Italy rate data]]))</f>
        <v>-58.996545991011267</v>
      </c>
      <c r="BU158" s="77">
        <f>Tabella34[[#This Row],[rest of Italy acc. fit]]+CIa</f>
        <v>1575.1373939627902</v>
      </c>
      <c r="BV158" s="77">
        <f>MAX(Tabella34[[#This Row],[rest of Italy acc. fit]]-CIa,0)</f>
        <v>0</v>
      </c>
    </row>
    <row r="159" spans="2:74" x14ac:dyDescent="0.3">
      <c r="B159" s="262">
        <v>43982</v>
      </c>
      <c r="C159" s="4">
        <v>152</v>
      </c>
      <c r="D159" s="10">
        <f>Tabella8[[#This Row],[Italy cumulative]]</f>
        <v>190922</v>
      </c>
      <c r="E159" s="72">
        <f>(Tabella34[[#This Row],[Italy cumul. data]]-D158)</f>
        <v>1949</v>
      </c>
      <c r="F159" s="72">
        <f>Tabella34[[#This Row],[Italy rate data]]-E158</f>
        <v>-951</v>
      </c>
      <c r="G159" s="121">
        <f>Tabella34[[#This Row],[Italy rate data]]*NOT(ISBLANK(Tabella34[[#This Row],[Italy rate data]]))</f>
        <v>1949</v>
      </c>
      <c r="H159" s="143">
        <f>Tabella8[[#This Row],[Italy fit]]</f>
        <v>188469.85357870406</v>
      </c>
      <c r="I159" s="143" t="e">
        <f>(ATANH(alpha*Tabella34[[#This Row],[Italy cumul. Fit]]/Kf-(1-alpha*Tabella34[[#This Row],[Italy cumul. Fit]]/Kf)*TANH(phi_f))+phi_f)/psi_f-(Tabella34[[#This Row],[Day]]-pf)</f>
        <v>#NUM!</v>
      </c>
      <c r="J159" s="143" t="e">
        <f>Tabella34[[#This Row],[Italy d.t.]]/Italy_dt_at_lockdown</f>
        <v>#NUM!</v>
      </c>
      <c r="K159" s="77">
        <f>Tabella34[[#This Row],[Italy cumul. Fit]]/Kf</f>
        <v>0.80199937172805047</v>
      </c>
      <c r="L159" s="146">
        <f>Tabella34[[#This Row],[sel. region acc. fit]]+Tabella34[[#This Row],[rest of Italy acc. fit]]</f>
        <v>-60.511175465145037</v>
      </c>
      <c r="M159" s="77">
        <f>Tabella34[[#This Row],[Italy (fit of selected region + fitted sum of the other regions)]]/(y_l_peak+y_a_peak)</f>
        <v>-1.9108692505414832E-2</v>
      </c>
      <c r="N159" s="143">
        <f>Tabella3[[#This Row],[Italy remov. rate fit]]</f>
        <v>1913.3563772769921</v>
      </c>
      <c r="O159" s="143">
        <f>Kt*EXP(-0.5*Tabella34[[#This Row],[x_t]]^2)/(psi_t*SQRTPI(2)*(Tabella34[[#This Row],[Day]]-D_bk))</f>
        <v>0</v>
      </c>
      <c r="P159" s="183">
        <f>Tabella34[[#This Row],[Italy velocity]]/Tabella34[[#This Row],[Italy cumul. Fit]]</f>
        <v>1.015205530723238E-2</v>
      </c>
      <c r="Q159" s="244">
        <f>(LN(Tabella34[[#This Row],[Day]]-D_bk)-phi_t)/psi_t</f>
        <v>120.88385296100131</v>
      </c>
      <c r="R159" s="244">
        <f>EXP(phi_t+psi_t*Tabella34[[#This Row],[x_t_alpha©+plus]])-(Tabella34[[#This Row],[Day]]-D_bk)</f>
        <v>-79.193020873741091</v>
      </c>
      <c r="S159" s="244">
        <f>EXP(phi_t+psi_t*Tabella34[[#This Row],[x_t_alpha©-minus]])-(Tabella34[[#This Row],[Day]]-D_bk)</f>
        <v>-79.932963737438413</v>
      </c>
      <c r="T159" s="244">
        <f>-psi_t+SQRT(psi_t^2-2*Tabella34[[#This Row],[c_t]])</f>
        <v>3.6874696424668523</v>
      </c>
      <c r="U159" s="244">
        <f>-psi_t-SQRT(psi_t^2-2*Tabella34[[#This Row],[c_t]])</f>
        <v>-3.7379883171642243</v>
      </c>
      <c r="V159" s="244">
        <f>phi_t-LN(alpha*Kt/(Tabella34[[#This Row],[Italy velocity]]*psi_t*SQRTPI(2)))</f>
        <v>-6.8918592217194163</v>
      </c>
      <c r="W159" s="244">
        <f>Tabella34[[#This Row],[Italy g.r.]]/Italy_gr_at_lockdown</f>
        <v>2.4215295028441972E-2</v>
      </c>
      <c r="X159" s="244">
        <f>(ACOSH(SQRT(alpha*Kf*psi_f/(Tabella34[[#This Row],[Italy velocity]]*(1+TANH(phi_f)))))+phi_f)/psi_f-(Tabella34[[#This Row],[Day]]-pf)</f>
        <v>18.459626244880297</v>
      </c>
      <c r="Y159" s="244">
        <f>Tabella34[[#This Row],[Italy h.t.]]/Italy_ht_at_lockdown</f>
        <v>0.15543948725285314</v>
      </c>
      <c r="Z159" s="72">
        <f>-2*$BY$48*TANH($BY$48*(Tabella34[[#This Row],[Day]]-$BY$57)-$BY$47)*Tabella34[[#This Row],[Italy velocity]]</f>
        <v>-60.697217815145606</v>
      </c>
      <c r="AA159" s="72">
        <f>Tabella34[[#This Row],[Italy acc. fit]]/Itali_acc_at_lockdown</f>
        <v>-1.7341899456909706</v>
      </c>
      <c r="AB159" s="77">
        <f>Tabella34[[#This Row],[Italy acc. fit]]/y_f_peak</f>
        <v>-1.9214125456928556E-2</v>
      </c>
      <c r="AC159" s="143">
        <f>Tabella34[[#This Row],[Italy (fit of selected region + fitted sum of the other regions)]]*NOT(ISBLANK(Tabella34[[#This Row],[Italy rate data]]))</f>
        <v>-60.511175465145037</v>
      </c>
      <c r="AD159" s="143">
        <f>Tabella34[[#This Row],[Italy acc. fit]]*NOT(ISBLANK(Tabella34[[#This Row],[Italy rate data]]))</f>
        <v>-60.697217815145606</v>
      </c>
      <c r="AE159" s="77">
        <f>Tabella34[[#This Row],[Italy acc. fit]]+CIf</f>
        <v>1594.5127511086057</v>
      </c>
      <c r="AF159" s="77">
        <f>MAX(Tabella34[[#This Row],[Italy acc. fit]]-CIf,0)</f>
        <v>0</v>
      </c>
      <c r="AG159" s="4">
        <f>Tabella8[[#This Row],[region data]]</f>
        <v>8994</v>
      </c>
      <c r="AH159" s="72">
        <f>(Tabella34[[#This Row],[selected region cumul. data]]-AG158)</f>
        <v>124</v>
      </c>
      <c r="AI159" s="72">
        <f>Tabella34[[#This Row],[selected region rate data]]-AH158</f>
        <v>-121</v>
      </c>
      <c r="AJ159" s="121">
        <f>Tabella34[[#This Row],[selected region rate data]]*NOT(ISBLANK(Tabella34[[#This Row],[selected region rate data]]))</f>
        <v>124</v>
      </c>
      <c r="AK159" s="77">
        <f>Tabella8[[#This Row],[region fit]]</f>
        <v>8780.8405673051584</v>
      </c>
      <c r="AL159" s="143" t="e">
        <f>(ATANH(alpha*Tabella34[[#This Row],[sel. region cumul. fit]]/Kl-(1-alpha*Tabella34[[#This Row],[sel. region cumul. fit]]/Kl)*TANH(phi_l))+phi_l)/psi_l-(Tabella34[[#This Row],[Day]]-pl)</f>
        <v>#NUM!</v>
      </c>
      <c r="AM159" s="77">
        <f>Tabella34[[#This Row],[sel. region cumul. fit]]/Kl</f>
        <v>0.66744582892184767</v>
      </c>
      <c r="AN159" s="143">
        <f>Tabella3[[#This Row],[region fit]]</f>
        <v>123.50896091525638</v>
      </c>
      <c r="AO159" s="186">
        <f>Tabella34[[#This Row],[sel. region velocity]]/Tabella34[[#This Row],[sel. region cumul. fit]]</f>
        <v>1.4065733225487922E-2</v>
      </c>
      <c r="AP159" s="241">
        <f>(LN(Tabella34[[#This Row],[Day]]-pr)-phi_r)/psi_r</f>
        <v>160.22713198136626</v>
      </c>
      <c r="AQ159" s="244">
        <f>EXP(phi_r+psi_r*Tabella34[[#This Row],[x_r_alpha©+plus]])-(Tabella34[[#This Row],[Day]]-pr)</f>
        <v>-72.406308227242718</v>
      </c>
      <c r="AR159" s="244">
        <f>EXP(phi_r+psi_r*Tabella34[[#This Row],[x_r_alpha©-minus]])-(Tabella34[[#This Row],[Day]]-pr)</f>
        <v>-72.866691860360476</v>
      </c>
      <c r="AS159" s="244">
        <f>-psi_r+SQRT(psi_r^2-2*Tabella34[[#This Row],[c_r]])</f>
        <v>3.7875206958399494</v>
      </c>
      <c r="AT159" s="244">
        <f>-psi_r-SQRT(psi_r^2-2*Tabella34[[#This Row],[c_r]])</f>
        <v>-3.8278087055062877</v>
      </c>
      <c r="AU159" s="244">
        <f>phi_r-LN(alpha*Kr/(Tabella34[[#This Row],[sel. region velocity]]*psi_r*SQRTPI(2)))</f>
        <v>-7.2489523459106957</v>
      </c>
      <c r="AV159" s="244">
        <f>(ACOSH(SQRT(alpha*Kl*psi_l/(Tabella34[[#This Row],[sel. region velocity]]*(1+TANH(phi_l)))))+phi_l)/psi_l-(Tabella34[[#This Row],[Day]]-pl)</f>
        <v>28.569580801770726</v>
      </c>
      <c r="AW159" s="72">
        <f>-2*$BY$22*TANH($BY$22*(Tabella34[[#This Row],[Day]]-$BY$31)-$BY$21)*Tabella34[[#This Row],[sel. region velocity]]</f>
        <v>-1.9974679656429926</v>
      </c>
      <c r="AX159" s="77">
        <f>Tabella34[[#This Row],[sel. region acc. fit]]/y_l_peak</f>
        <v>-1.3566548042369878E-2</v>
      </c>
      <c r="AY159" s="143">
        <f>Tabella34[[#This Row],[sel. region acc. fit]]*NOT(ISBLANK(Tabella34[[#This Row],[selected region rate data]]))</f>
        <v>-1.9974679656429926</v>
      </c>
      <c r="AZ159" s="77">
        <f>Tabella34[[#This Row],[sel. region acc. fit]]+CIl</f>
        <v>67.367518409457404</v>
      </c>
      <c r="BA159" s="77">
        <f>MAX(Tabella34[[#This Row],[sel. region acc. fit]]-CIl,0)</f>
        <v>0</v>
      </c>
      <c r="BB159" s="10">
        <f>Tabella8[[#This Row],[rest of Italy ]]</f>
        <v>181928</v>
      </c>
      <c r="BC159" s="10">
        <f>(Tabella34[[#This Row],[rest of Italy cum. Data]]-BB158)</f>
        <v>1825</v>
      </c>
      <c r="BD159" s="10">
        <f>Tabella34[[#This Row],[rest of Italy rate data]]-BC158</f>
        <v>-830</v>
      </c>
      <c r="BE159" s="77">
        <f>Tabella34[[#This Row],[rest of Italy rate data]]*NOT(ISBLANK(Tabella34[[#This Row],[rest of Italy rate data]]))</f>
        <v>1825</v>
      </c>
      <c r="BF159" s="77">
        <f>Tabella8[[#This Row],[rest of Italy fit]]</f>
        <v>179577.31662117253</v>
      </c>
      <c r="BG159" s="78" t="e">
        <f>(ATANH(alpha*Tabella34[[#This Row],[rest of Italy cumul. fit]]/Ka-(1-alpha*Tabella34[[#This Row],[rest of Italy cumul. fit]]/Ka)*TANH(phi_a))+phi_a)/psi_a-(Tabella34[[#This Row],[Day]]-pa)</f>
        <v>#NUM!</v>
      </c>
      <c r="BH159" s="77">
        <f>Tabella34[[#This Row],[rest of Italy cumul. fit]]/Ka</f>
        <v>0.80947522716605436</v>
      </c>
      <c r="BI159" s="143">
        <f>Tabella3[[#This Row],[rest of Italy fit]]</f>
        <v>1779.3812365155954</v>
      </c>
      <c r="BJ159" s="183">
        <f>Tabella34[[#This Row],[rest of Italy velocity]]/Tabella34[[#This Row],[rest of Italy cumul. fit]]</f>
        <v>9.9087193750048656E-3</v>
      </c>
      <c r="BK159" s="236">
        <f>(LN(Tabella34[[#This Row],[Day]]-po)-phi_o)/psi_o</f>
        <v>118.24085316183529</v>
      </c>
      <c r="BL159" s="244">
        <f>EXP(phi_o+psi_o*Tabella34[[#This Row],[x_o_alpha©+plus]])-(Tabella34[[#This Row],[Day]]-po)</f>
        <v>-79.667228057332494</v>
      </c>
      <c r="BM159" s="244">
        <f>EXP(phi_o+psi_o*Tabella34[[#This Row],[x_o_alpha©-minus]])-(Tabella34[[#This Row],[Day]]-po)</f>
        <v>-80.437785539081716</v>
      </c>
      <c r="BN159" s="244">
        <f>-psi_o+SQRT(psi_o^2-2*Tabella34[[#This Row],[c_o]])</f>
        <v>3.6796500443803075</v>
      </c>
      <c r="BO159" s="244">
        <f>-psi_o-SQRT(psi_o^2-2*Tabella34[[#This Row],[c_o]])</f>
        <v>-3.7309633286479609</v>
      </c>
      <c r="BP159" s="244">
        <f>phi_o-LN(alpha*Ko/(Tabella34[[#This Row],[rest of Italy velocity]]*psi_o*SQRTPI(2)))</f>
        <v>-6.8643196889203839</v>
      </c>
      <c r="BQ159" s="244">
        <f>(ACOSH(SQRT(alpha*Ka*psi_a/(Tabella34[[#This Row],[rest of Italy velocity]]*(1+TANH(phi_a)))))+phi_a)/psi_a-(Tabella34[[#This Row],[Day]]-pa)</f>
        <v>17.969639996913855</v>
      </c>
      <c r="BR159" s="72">
        <f>-2*$BY$35*TANH($BY$35*(Tabella34[[#This Row],[Day]]-$BY$44)-$BY$34)*Tabella34[[#This Row],[rest of Italy velocity]]</f>
        <v>-58.513707499502047</v>
      </c>
      <c r="BS159" s="77">
        <f>Tabella34[[#This Row],[rest of Italy acc. fit]]/y_a_peak</f>
        <v>-1.9378939389932948E-2</v>
      </c>
      <c r="BT159" s="77">
        <f>Tabella34[[#This Row],[rest of Italy acc. fit]]*NOT(ISBLANK(Tabella34[[#This Row],[rest of Italy rate data]]))</f>
        <v>-58.513707499502047</v>
      </c>
      <c r="BU159" s="77">
        <f>Tabella34[[#This Row],[rest of Italy acc. fit]]+CIa</f>
        <v>1575.6202324542994</v>
      </c>
      <c r="BV159" s="77">
        <f>MAX(Tabella34[[#This Row],[rest of Italy acc. fit]]-CIa,0)</f>
        <v>0</v>
      </c>
    </row>
    <row r="160" spans="2:74" x14ac:dyDescent="0.3">
      <c r="B160" s="262">
        <v>43983</v>
      </c>
      <c r="C160" s="4">
        <v>153</v>
      </c>
      <c r="D160" s="10">
        <f>Tabella8[[#This Row],[Italy cumulative]]</f>
        <v>191830</v>
      </c>
      <c r="E160" s="72">
        <f>(Tabella34[[#This Row],[Italy cumul. data]]-D159)</f>
        <v>908</v>
      </c>
      <c r="F160" s="72">
        <f>Tabella34[[#This Row],[Italy rate data]]-E159</f>
        <v>-1041</v>
      </c>
      <c r="G160" s="121">
        <f>Tabella34[[#This Row],[Italy rate data]]*NOT(ISBLANK(Tabella34[[#This Row],[Italy rate data]]))</f>
        <v>908</v>
      </c>
      <c r="H160" s="143">
        <f>Tabella8[[#This Row],[Italy fit]]</f>
        <v>190352.94098261287</v>
      </c>
      <c r="I160" s="143" t="e">
        <f>(ATANH(alpha*Tabella34[[#This Row],[Italy cumul. Fit]]/Kf-(1-alpha*Tabella34[[#This Row],[Italy cumul. Fit]]/Kf)*TANH(phi_f))+phi_f)/psi_f-(Tabella34[[#This Row],[Day]]-pf)</f>
        <v>#NUM!</v>
      </c>
      <c r="J160" s="143" t="e">
        <f>Tabella34[[#This Row],[Italy d.t.]]/Italy_dt_at_lockdown</f>
        <v>#NUM!</v>
      </c>
      <c r="K160" s="77">
        <f>Tabella34[[#This Row],[Italy cumul. Fit]]/Kf</f>
        <v>0.81001250956504245</v>
      </c>
      <c r="L160" s="146">
        <f>Tabella34[[#This Row],[sel. region acc. fit]]+Tabella34[[#This Row],[rest of Italy acc. fit]]</f>
        <v>-59.959344722783165</v>
      </c>
      <c r="M160" s="77">
        <f>Tabella34[[#This Row],[Italy (fit of selected region + fitted sum of the other regions)]]/(y_l_peak+y_a_peak)</f>
        <v>-1.8934431075360449E-2</v>
      </c>
      <c r="N160" s="143">
        <f>Tabella3[[#This Row],[Italy remov. rate fit]]</f>
        <v>1852.9031752220915</v>
      </c>
      <c r="O160" s="143">
        <f>Kt*EXP(-0.5*Tabella34[[#This Row],[x_t]]^2)/(psi_t*SQRTPI(2)*(Tabella34[[#This Row],[Day]]-D_bk))</f>
        <v>0</v>
      </c>
      <c r="P160" s="183">
        <f>Tabella34[[#This Row],[Italy velocity]]/Tabella34[[#This Row],[Italy cumul. Fit]]</f>
        <v>9.7340401764075633E-3</v>
      </c>
      <c r="Q160" s="244">
        <f>(LN(Tabella34[[#This Row],[Day]]-D_bk)-phi_t)/psi_t</f>
        <v>121.35504998260772</v>
      </c>
      <c r="R160" s="244">
        <f>EXP(phi_t+psi_t*Tabella34[[#This Row],[x_t_alpha©+plus]])-(Tabella34[[#This Row],[Day]]-D_bk)</f>
        <v>-80.192076828631031</v>
      </c>
      <c r="S160" s="244">
        <f>EXP(phi_t+psi_t*Tabella34[[#This Row],[x_t_alpha©-minus]])-(Tabella34[[#This Row],[Day]]-D_bk)</f>
        <v>-80.933746158964269</v>
      </c>
      <c r="T160" s="244">
        <f>-psi_t+SQRT(psi_t^2-2*Tabella34[[#This Row],[c_t]])</f>
        <v>3.6961069470393819</v>
      </c>
      <c r="U160" s="244">
        <f>-psi_t-SQRT(psi_t^2-2*Tabella34[[#This Row],[c_t]])</f>
        <v>-3.746625621736754</v>
      </c>
      <c r="V160" s="244">
        <f>phi_t-LN(alpha*Kt/(Tabella34[[#This Row],[Italy velocity]]*psi_t*SQRTPI(2)))</f>
        <v>-6.9239644942284801</v>
      </c>
      <c r="W160" s="244">
        <f>Tabella34[[#This Row],[Italy g.r.]]/Italy_gr_at_lockdown</f>
        <v>2.3218220109822836E-2</v>
      </c>
      <c r="X160" s="244">
        <f>(ACOSH(SQRT(alpha*Kf*psi_f/(Tabella34[[#This Row],[Italy velocity]]*(1+TANH(phi_f)))))+phi_f)/psi_f-(Tabella34[[#This Row],[Day]]-pf)</f>
        <v>18.218149112085769</v>
      </c>
      <c r="Y160" s="244">
        <f>Tabella34[[#This Row],[Italy h.t.]]/Italy_ht_at_lockdown</f>
        <v>0.15340612638156892</v>
      </c>
      <c r="Z160" s="72">
        <f>-2*$BY$48*TANH($BY$48*(Tabella34[[#This Row],[Day]]-$BY$57)-$BY$47)*Tabella34[[#This Row],[Italy velocity]]</f>
        <v>-60.188914408437853</v>
      </c>
      <c r="AA160" s="72">
        <f>Tabella34[[#This Row],[Italy acc. fit]]/Itali_acc_at_lockdown</f>
        <v>-1.7196671275288982</v>
      </c>
      <c r="AB160" s="77">
        <f>Tabella34[[#This Row],[Italy acc. fit]]/y_f_peak</f>
        <v>-1.9053218486589134E-2</v>
      </c>
      <c r="AC160" s="143">
        <f>Tabella34[[#This Row],[Italy (fit of selected region + fitted sum of the other regions)]]*NOT(ISBLANK(Tabella34[[#This Row],[Italy rate data]]))</f>
        <v>-59.959344722783165</v>
      </c>
      <c r="AD160" s="143">
        <f>Tabella34[[#This Row],[Italy acc. fit]]*NOT(ISBLANK(Tabella34[[#This Row],[Italy rate data]]))</f>
        <v>-60.188914408437853</v>
      </c>
      <c r="AE160" s="77">
        <f>Tabella34[[#This Row],[Italy acc. fit]]+CIf</f>
        <v>1595.0210545153136</v>
      </c>
      <c r="AF160" s="77">
        <f>MAX(Tabella34[[#This Row],[Italy acc. fit]]-CIf,0)</f>
        <v>0</v>
      </c>
      <c r="AG160" s="4">
        <f>Tabella8[[#This Row],[region data]]</f>
        <v>9108</v>
      </c>
      <c r="AH160" s="72">
        <f>(Tabella34[[#This Row],[selected region cumul. data]]-AG159)</f>
        <v>114</v>
      </c>
      <c r="AI160" s="72">
        <f>Tabella34[[#This Row],[selected region rate data]]-AH159</f>
        <v>-10</v>
      </c>
      <c r="AJ160" s="121">
        <f>Tabella34[[#This Row],[selected region rate data]]*NOT(ISBLANK(Tabella34[[#This Row],[selected region rate data]]))</f>
        <v>114</v>
      </c>
      <c r="AK160" s="77">
        <f>Tabella8[[#This Row],[region fit]]</f>
        <v>8903.3423692717988</v>
      </c>
      <c r="AL160" s="143" t="e">
        <f>(ATANH(alpha*Tabella34[[#This Row],[sel. region cumul. fit]]/Kl-(1-alpha*Tabella34[[#This Row],[sel. region cumul. fit]]/Kl)*TANH(phi_l))+phi_l)/psi_l-(Tabella34[[#This Row],[Day]]-pl)</f>
        <v>#NUM!</v>
      </c>
      <c r="AM160" s="77">
        <f>Tabella34[[#This Row],[sel. region cumul. fit]]/Kl</f>
        <v>0.67675738812068842</v>
      </c>
      <c r="AN160" s="143">
        <f>Tabella3[[#This Row],[region fit]]</f>
        <v>121.48642275716749</v>
      </c>
      <c r="AO160" s="186">
        <f>Tabella34[[#This Row],[sel. region velocity]]/Tabella34[[#This Row],[sel. region cumul. fit]]</f>
        <v>1.3645035506716544E-2</v>
      </c>
      <c r="AP160" s="241">
        <f>(LN(Tabella34[[#This Row],[Day]]-pr)-phi_r)/psi_r</f>
        <v>160.87910180216758</v>
      </c>
      <c r="AQ160" s="244">
        <f>EXP(phi_r+psi_r*Tabella34[[#This Row],[x_r_alpha©+plus]])-(Tabella34[[#This Row],[Day]]-pr)</f>
        <v>-73.406025603672276</v>
      </c>
      <c r="AR160" s="244">
        <f>EXP(phi_r+psi_r*Tabella34[[#This Row],[x_r_alpha©-minus]])-(Tabella34[[#This Row],[Day]]-pr)</f>
        <v>-73.866934269107659</v>
      </c>
      <c r="AS160" s="244">
        <f>-psi_r+SQRT(psi_r^2-2*Tabella34[[#This Row],[c_r]])</f>
        <v>3.79185453612885</v>
      </c>
      <c r="AT160" s="244">
        <f>-psi_r-SQRT(psi_r^2-2*Tabella34[[#This Row],[c_r]])</f>
        <v>-3.8321425457951883</v>
      </c>
      <c r="AU160" s="244">
        <f>phi_r-LN(alpha*Kr/(Tabella34[[#This Row],[sel. region velocity]]*psi_r*SQRTPI(2)))</f>
        <v>-7.2654635476829226</v>
      </c>
      <c r="AV160" s="244">
        <f>(ACOSH(SQRT(alpha*Kl*psi_l/(Tabella34[[#This Row],[sel. region velocity]]*(1+TANH(phi_l)))))+phi_l)/psi_l-(Tabella34[[#This Row],[Day]]-pl)</f>
        <v>28.105862177982004</v>
      </c>
      <c r="AW160" s="72">
        <f>-2*$BY$22*TANH($BY$22*(Tabella34[[#This Row],[Day]]-$BY$31)-$BY$21)*Tabella34[[#This Row],[sel. region velocity]]</f>
        <v>-2.0467897895607474</v>
      </c>
      <c r="AX160" s="77">
        <f>Tabella34[[#This Row],[sel. region acc. fit]]/y_l_peak</f>
        <v>-1.3901535589217537E-2</v>
      </c>
      <c r="AY160" s="143">
        <f>Tabella34[[#This Row],[sel. region acc. fit]]*NOT(ISBLANK(Tabella34[[#This Row],[selected region rate data]]))</f>
        <v>-2.0467897895607474</v>
      </c>
      <c r="AZ160" s="77">
        <f>Tabella34[[#This Row],[sel. region acc. fit]]+CIl</f>
        <v>67.318196585539653</v>
      </c>
      <c r="BA160" s="77">
        <f>MAX(Tabella34[[#This Row],[sel. region acc. fit]]-CIl,0)</f>
        <v>0</v>
      </c>
      <c r="BB160" s="10">
        <f>Tabella8[[#This Row],[rest of Italy ]]</f>
        <v>182722</v>
      </c>
      <c r="BC160" s="10">
        <f>(Tabella34[[#This Row],[rest of Italy cum. Data]]-BB159)</f>
        <v>794</v>
      </c>
      <c r="BD160" s="10">
        <f>Tabella34[[#This Row],[rest of Italy rate data]]-BC159</f>
        <v>-1031</v>
      </c>
      <c r="BE160" s="77">
        <f>Tabella34[[#This Row],[rest of Italy rate data]]*NOT(ISBLANK(Tabella34[[#This Row],[rest of Italy rate data]]))</f>
        <v>794</v>
      </c>
      <c r="BF160" s="77">
        <f>Tabella8[[#This Row],[rest of Italy fit]]</f>
        <v>181327.53646169472</v>
      </c>
      <c r="BG160" s="78" t="e">
        <f>(ATANH(alpha*Tabella34[[#This Row],[rest of Italy cumul. fit]]/Ka-(1-alpha*Tabella34[[#This Row],[rest of Italy cumul. fit]]/Ka)*TANH(phi_a))+phi_a)/psi_a-(Tabella34[[#This Row],[Day]]-pa)</f>
        <v>#NUM!</v>
      </c>
      <c r="BH160" s="77">
        <f>Tabella34[[#This Row],[rest of Italy cumul. fit]]/Ka</f>
        <v>0.8173646400922201</v>
      </c>
      <c r="BI160" s="143">
        <f>Tabella3[[#This Row],[rest of Italy fit]]</f>
        <v>1721.1586645033317</v>
      </c>
      <c r="BJ160" s="183">
        <f>Tabella34[[#This Row],[rest of Italy velocity]]/Tabella34[[#This Row],[rest of Italy cumul. fit]]</f>
        <v>9.4919872518475692E-3</v>
      </c>
      <c r="BK160" s="236">
        <f>(LN(Tabella34[[#This Row],[Day]]-po)-phi_o)/psi_o</f>
        <v>118.70147571845375</v>
      </c>
      <c r="BL160" s="244">
        <f>EXP(phi_o+psi_o*Tabella34[[#This Row],[x_o_alpha©+plus]])-(Tabella34[[#This Row],[Day]]-po)</f>
        <v>-80.666204032641502</v>
      </c>
      <c r="BM160" s="244">
        <f>EXP(phi_o+psi_o*Tabella34[[#This Row],[x_o_alpha©-minus]])-(Tabella34[[#This Row],[Day]]-po)</f>
        <v>-81.43863205955185</v>
      </c>
      <c r="BN160" s="244">
        <f>-psi_o+SQRT(psi_o^2-2*Tabella34[[#This Row],[c_o]])</f>
        <v>3.6886176606916559</v>
      </c>
      <c r="BO160" s="244">
        <f>-psi_o-SQRT(psi_o^2-2*Tabella34[[#This Row],[c_o]])</f>
        <v>-3.7399309449593092</v>
      </c>
      <c r="BP160" s="244">
        <f>phi_o-LN(alpha*Ko/(Tabella34[[#This Row],[rest of Italy velocity]]*psi_o*SQRTPI(2)))</f>
        <v>-6.8975876666720701</v>
      </c>
      <c r="BQ160" s="244">
        <f>(ACOSH(SQRT(alpha*Ka*psi_a/(Tabella34[[#This Row],[rest of Italy velocity]]*(1+TANH(phi_a)))))+phi_a)/psi_a-(Tabella34[[#This Row],[Day]]-pa)</f>
        <v>17.738966320704563</v>
      </c>
      <c r="BR160" s="72">
        <f>-2*$BY$35*TANH($BY$35*(Tabella34[[#This Row],[Day]]-$BY$44)-$BY$34)*Tabella34[[#This Row],[rest of Italy velocity]]</f>
        <v>-57.912554933222417</v>
      </c>
      <c r="BS160" s="77">
        <f>Tabella34[[#This Row],[rest of Italy acc. fit]]/y_a_peak</f>
        <v>-1.9179845884430249E-2</v>
      </c>
      <c r="BT160" s="77">
        <f>Tabella34[[#This Row],[rest of Italy acc. fit]]*NOT(ISBLANK(Tabella34[[#This Row],[rest of Italy rate data]]))</f>
        <v>-57.912554933222417</v>
      </c>
      <c r="BU160" s="77">
        <f>Tabella34[[#This Row],[rest of Italy acc. fit]]+CIa</f>
        <v>1576.221385020579</v>
      </c>
      <c r="BV160" s="77">
        <f>MAX(Tabella34[[#This Row],[rest of Italy acc. fit]]-CIa,0)</f>
        <v>0</v>
      </c>
    </row>
    <row r="161" spans="2:74" x14ac:dyDescent="0.3">
      <c r="B161" s="262">
        <v>43984</v>
      </c>
      <c r="C161" s="4">
        <v>154</v>
      </c>
      <c r="D161" s="10">
        <f>Tabella8[[#This Row],[Italy cumulative]]</f>
        <v>193622</v>
      </c>
      <c r="E161" s="72">
        <f>(Tabella34[[#This Row],[Italy cumul. data]]-D160)</f>
        <v>1792</v>
      </c>
      <c r="F161" s="72">
        <f>Tabella34[[#This Row],[Italy rate data]]-E160</f>
        <v>884</v>
      </c>
      <c r="G161" s="121">
        <f>Tabella34[[#This Row],[Italy rate data]]*NOT(ISBLANK(Tabella34[[#This Row],[Italy rate data]]))</f>
        <v>1792</v>
      </c>
      <c r="H161" s="143">
        <f>Tabella8[[#This Row],[Italy fit]]</f>
        <v>192175.84919632412</v>
      </c>
      <c r="I161" s="143" t="e">
        <f>(ATANH(alpha*Tabella34[[#This Row],[Italy cumul. Fit]]/Kf-(1-alpha*Tabella34[[#This Row],[Italy cumul. Fit]]/Kf)*TANH(phi_f))+phi_f)/psi_f-(Tabella34[[#This Row],[Day]]-pf)</f>
        <v>#NUM!</v>
      </c>
      <c r="J161" s="143" t="e">
        <f>Tabella34[[#This Row],[Italy d.t.]]/Italy_dt_at_lockdown</f>
        <v>#NUM!</v>
      </c>
      <c r="K161" s="77">
        <f>Tabella34[[#This Row],[Italy cumul. Fit]]/Kf</f>
        <v>0.81776956574328064</v>
      </c>
      <c r="L161" s="146">
        <f>Tabella34[[#This Row],[sel. region acc. fit]]+Tabella34[[#This Row],[rest of Italy acc. fit]]</f>
        <v>-59.294329606802521</v>
      </c>
      <c r="M161" s="77">
        <f>Tabella34[[#This Row],[Italy (fit of selected region + fitted sum of the other regions)]]/(y_l_peak+y_a_peak)</f>
        <v>-1.8724427398105054E-2</v>
      </c>
      <c r="N161" s="143">
        <f>Tabella3[[#This Row],[Italy remov. rate fit]]</f>
        <v>1793.0174454268817</v>
      </c>
      <c r="O161" s="143">
        <f>Kt*EXP(-0.5*Tabella34[[#This Row],[x_t]]^2)/(psi_t*SQRTPI(2)*(Tabella34[[#This Row],[Day]]-D_bk))</f>
        <v>0</v>
      </c>
      <c r="P161" s="183">
        <f>Tabella34[[#This Row],[Italy velocity]]/Tabella34[[#This Row],[Italy cumul. Fit]]</f>
        <v>9.3300872764462747E-3</v>
      </c>
      <c r="Q161" s="244">
        <f>(LN(Tabella34[[#This Row],[Day]]-D_bk)-phi_t)/psi_t</f>
        <v>121.82070465960454</v>
      </c>
      <c r="R161" s="244">
        <f>EXP(phi_t+psi_t*Tabella34[[#This Row],[x_t_alpha©+plus]])-(Tabella34[[#This Row],[Day]]-D_bk)</f>
        <v>-81.191112824724414</v>
      </c>
      <c r="S161" s="244">
        <f>EXP(phi_t+psi_t*Tabella34[[#This Row],[x_t_alpha©-minus]])-(Tabella34[[#This Row],[Day]]-D_bk)</f>
        <v>-81.934544770083789</v>
      </c>
      <c r="T161" s="244">
        <f>-psi_t+SQRT(psi_t^2-2*Tabella34[[#This Row],[c_t]])</f>
        <v>3.7049249154537209</v>
      </c>
      <c r="U161" s="244">
        <f>-psi_t-SQRT(psi_t^2-2*Tabella34[[#This Row],[c_t]])</f>
        <v>-3.755443590151093</v>
      </c>
      <c r="V161" s="244">
        <f>phi_t-LN(alpha*Kt/(Tabella34[[#This Row],[Italy velocity]]*psi_t*SQRTPI(2)))</f>
        <v>-6.9568182628658786</v>
      </c>
      <c r="W161" s="244">
        <f>Tabella34[[#This Row],[Italy g.r.]]/Italy_gr_at_lockdown</f>
        <v>2.2254687272960857E-2</v>
      </c>
      <c r="X161" s="244">
        <f>(ACOSH(SQRT(alpha*Kf*psi_f/(Tabella34[[#This Row],[Italy velocity]]*(1+TANH(phi_f)))))+phi_f)/psi_f-(Tabella34[[#This Row],[Day]]-pf)</f>
        <v>17.989143250695946</v>
      </c>
      <c r="Y161" s="244">
        <f>Tabella34[[#This Row],[Italy h.t.]]/Italy_ht_at_lockdown</f>
        <v>0.15147777998927919</v>
      </c>
      <c r="Z161" s="72">
        <f>-2*$BY$48*TANH($BY$48*(Tabella34[[#This Row],[Day]]-$BY$57)-$BY$47)*Tabella34[[#This Row],[Italy velocity]]</f>
        <v>-59.563919366220105</v>
      </c>
      <c r="AA161" s="72">
        <f>Tabella34[[#This Row],[Italy acc. fit]]/Itali_acc_at_lockdown</f>
        <v>-1.7018102939319839</v>
      </c>
      <c r="AB161" s="77">
        <f>Tabella34[[#This Row],[Italy acc. fit]]/y_f_peak</f>
        <v>-1.8855371969345083E-2</v>
      </c>
      <c r="AC161" s="143">
        <f>Tabella34[[#This Row],[Italy (fit of selected region + fitted sum of the other regions)]]*NOT(ISBLANK(Tabella34[[#This Row],[Italy rate data]]))</f>
        <v>-59.294329606802521</v>
      </c>
      <c r="AD161" s="143">
        <f>Tabella34[[#This Row],[Italy acc. fit]]*NOT(ISBLANK(Tabella34[[#This Row],[Italy rate data]]))</f>
        <v>-59.563919366220105</v>
      </c>
      <c r="AE161" s="77">
        <f>Tabella34[[#This Row],[Italy acc. fit]]+CIf</f>
        <v>1595.6460495575313</v>
      </c>
      <c r="AF161" s="77">
        <f>MAX(Tabella34[[#This Row],[Italy acc. fit]]-CIf,0)</f>
        <v>0</v>
      </c>
      <c r="AG161" s="4">
        <f>Tabella8[[#This Row],[region data]]</f>
        <v>9188</v>
      </c>
      <c r="AH161" s="72">
        <f>(Tabella34[[#This Row],[selected region cumul. data]]-AG160)</f>
        <v>80</v>
      </c>
      <c r="AI161" s="72">
        <f>Tabella34[[#This Row],[selected region rate data]]-AH160</f>
        <v>-34</v>
      </c>
      <c r="AJ161" s="121">
        <f>Tabella34[[#This Row],[selected region rate data]]*NOT(ISBLANK(Tabella34[[#This Row],[selected region rate data]]))</f>
        <v>80</v>
      </c>
      <c r="AK161" s="77">
        <f>Tabella8[[#This Row],[region fit]]</f>
        <v>9023.797789842667</v>
      </c>
      <c r="AL161" s="143" t="e">
        <f>(ATANH(alpha*Tabella34[[#This Row],[sel. region cumul. fit]]/Kl-(1-alpha*Tabella34[[#This Row],[sel. region cumul. fit]]/Kl)*TANH(phi_l))+phi_l)/psi_l-(Tabella34[[#This Row],[Day]]-pl)</f>
        <v>#NUM!</v>
      </c>
      <c r="AM161" s="77">
        <f>Tabella34[[#This Row],[sel. region cumul. fit]]/Kl</f>
        <v>0.68591339857490474</v>
      </c>
      <c r="AN161" s="143">
        <f>Tabella3[[#This Row],[region fit]]</f>
        <v>119.41701479321905</v>
      </c>
      <c r="AO161" s="186">
        <f>Tabella34[[#This Row],[sel. region velocity]]/Tabella34[[#This Row],[sel. region cumul. fit]]</f>
        <v>1.3233565021551878E-2</v>
      </c>
      <c r="AP161" s="241">
        <f>(LN(Tabella34[[#This Row],[Day]]-pr)-phi_r)/psi_r</f>
        <v>161.52261999636198</v>
      </c>
      <c r="AQ161" s="244">
        <f>EXP(phi_r+psi_r*Tabella34[[#This Row],[x_r_alpha©+plus]])-(Tabella34[[#This Row],[Day]]-pr)</f>
        <v>-74.40573183282504</v>
      </c>
      <c r="AR161" s="244">
        <f>EXP(phi_r+psi_r*Tabella34[[#This Row],[x_r_alpha©-minus]])-(Tabella34[[#This Row],[Day]]-pr)</f>
        <v>-74.867186194117195</v>
      </c>
      <c r="AS161" s="244">
        <f>-psi_r+SQRT(psi_r^2-2*Tabella34[[#This Row],[c_r]])</f>
        <v>3.7963589113371801</v>
      </c>
      <c r="AT161" s="244">
        <f>-psi_r-SQRT(psi_r^2-2*Tabella34[[#This Row],[c_r]])</f>
        <v>-3.8366469210035183</v>
      </c>
      <c r="AU161" s="244">
        <f>phi_r-LN(alpha*Kr/(Tabella34[[#This Row],[sel. region velocity]]*psi_r*SQRTPI(2)))</f>
        <v>-7.2826443641030307</v>
      </c>
      <c r="AV161" s="244">
        <f>(ACOSH(SQRT(alpha*Kl*psi_l/(Tabella34[[#This Row],[sel. region velocity]]*(1+TANH(phi_l)))))+phi_l)/psi_l-(Tabella34[[#This Row],[Day]]-pl)</f>
        <v>27.660602205161695</v>
      </c>
      <c r="AW161" s="72">
        <f>-2*$BY$22*TANH($BY$22*(Tabella34[[#This Row],[Day]]-$BY$31)-$BY$21)*Tabella34[[#This Row],[sel. region velocity]]</f>
        <v>-2.0912119505413593</v>
      </c>
      <c r="AX161" s="77">
        <f>Tabella34[[#This Row],[sel. region acc. fit]]/y_l_peak</f>
        <v>-1.4203245249374897E-2</v>
      </c>
      <c r="AY161" s="143">
        <f>Tabella34[[#This Row],[sel. region acc. fit]]*NOT(ISBLANK(Tabella34[[#This Row],[selected region rate data]]))</f>
        <v>-2.0912119505413593</v>
      </c>
      <c r="AZ161" s="77">
        <f>Tabella34[[#This Row],[sel. region acc. fit]]+CIl</f>
        <v>67.273774424559036</v>
      </c>
      <c r="BA161" s="77">
        <f>MAX(Tabella34[[#This Row],[sel. region acc. fit]]-CIl,0)</f>
        <v>0</v>
      </c>
      <c r="BB161" s="10">
        <f>Tabella8[[#This Row],[rest of Italy ]]</f>
        <v>184434</v>
      </c>
      <c r="BC161" s="10">
        <f>(Tabella34[[#This Row],[rest of Italy cum. Data]]-BB160)</f>
        <v>1712</v>
      </c>
      <c r="BD161" s="10">
        <f>Tabella34[[#This Row],[rest of Italy rate data]]-BC160</f>
        <v>918</v>
      </c>
      <c r="BE161" s="77">
        <f>Tabella34[[#This Row],[rest of Italy rate data]]*NOT(ISBLANK(Tabella34[[#This Row],[rest of Italy rate data]]))</f>
        <v>1712</v>
      </c>
      <c r="BF161" s="77">
        <f>Tabella8[[#This Row],[rest of Italy fit]]</f>
        <v>183019.85277061054</v>
      </c>
      <c r="BG161" s="78" t="e">
        <f>(ATANH(alpha*Tabella34[[#This Row],[rest of Italy cumul. fit]]/Ka-(1-alpha*Tabella34[[#This Row],[rest of Italy cumul. fit]]/Ka)*TANH(phi_a))+phi_a)/psi_a-(Tabella34[[#This Row],[Day]]-pa)</f>
        <v>#NUM!</v>
      </c>
      <c r="BH161" s="77">
        <f>Tabella34[[#This Row],[rest of Italy cumul. fit]]/Ka</f>
        <v>0.82499304302401288</v>
      </c>
      <c r="BI161" s="143">
        <f>Tabella3[[#This Row],[rest of Italy fit]]</f>
        <v>1663.5922204893802</v>
      </c>
      <c r="BJ161" s="183">
        <f>Tabella34[[#This Row],[rest of Italy velocity]]/Tabella34[[#This Row],[rest of Italy cumul. fit]]</f>
        <v>9.0896817766237502E-3</v>
      </c>
      <c r="BK161" s="236">
        <f>(LN(Tabella34[[#This Row],[Day]]-po)-phi_o)/psi_o</f>
        <v>119.15671814539449</v>
      </c>
      <c r="BL161" s="244">
        <f>EXP(phi_o+psi_o*Tabella34[[#This Row],[x_o_alpha©+plus]])-(Tabella34[[#This Row],[Day]]-po)</f>
        <v>-81.665159215079015</v>
      </c>
      <c r="BM161" s="244">
        <f>EXP(phi_o+psi_o*Tabella34[[#This Row],[x_o_alpha©-minus]])-(Tabella34[[#This Row],[Day]]-po)</f>
        <v>-82.439495367324412</v>
      </c>
      <c r="BN161" s="244">
        <f>-psi_o+SQRT(psi_o^2-2*Tabella34[[#This Row],[c_o]])</f>
        <v>3.697765238860427</v>
      </c>
      <c r="BO161" s="244">
        <f>-psi_o-SQRT(psi_o^2-2*Tabella34[[#This Row],[c_o]])</f>
        <v>-3.7490785231280803</v>
      </c>
      <c r="BP161" s="244">
        <f>phi_o-LN(alpha*Ko/(Tabella34[[#This Row],[rest of Italy velocity]]*psi_o*SQRTPI(2)))</f>
        <v>-6.931606120290601</v>
      </c>
      <c r="BQ161" s="244">
        <f>(ACOSH(SQRT(alpha*Ka*psi_a/(Tabella34[[#This Row],[rest of Italy velocity]]*(1+TANH(phi_a)))))+phi_a)/psi_a-(Tabella34[[#This Row],[Day]]-pa)</f>
        <v>17.520390559946506</v>
      </c>
      <c r="BR161" s="72">
        <f>-2*$BY$35*TANH($BY$35*(Tabella34[[#This Row],[Day]]-$BY$44)-$BY$34)*Tabella34[[#This Row],[rest of Italy velocity]]</f>
        <v>-57.203117656261163</v>
      </c>
      <c r="BS161" s="77">
        <f>Tabella34[[#This Row],[rest of Italy acc. fit]]/y_a_peak</f>
        <v>-1.8944889964207484E-2</v>
      </c>
      <c r="BT161" s="77">
        <f>Tabella34[[#This Row],[rest of Italy acc. fit]]*NOT(ISBLANK(Tabella34[[#This Row],[rest of Italy rate data]]))</f>
        <v>-57.203117656261163</v>
      </c>
      <c r="BU161" s="77">
        <f>Tabella34[[#This Row],[rest of Italy acc. fit]]+CIa</f>
        <v>1576.9308222975403</v>
      </c>
      <c r="BV161" s="77">
        <f>MAX(Tabella34[[#This Row],[rest of Italy acc. fit]]-CIa,0)</f>
        <v>0</v>
      </c>
    </row>
    <row r="162" spans="2:74" x14ac:dyDescent="0.3">
      <c r="B162" s="262">
        <v>43985</v>
      </c>
      <c r="C162" s="4">
        <v>155</v>
      </c>
      <c r="D162" s="10">
        <f>Tabella8[[#This Row],[Italy cumulative]]</f>
        <v>194539</v>
      </c>
      <c r="E162" s="72">
        <f>(Tabella34[[#This Row],[Italy cumul. data]]-D161)</f>
        <v>917</v>
      </c>
      <c r="F162" s="72">
        <f>Tabella34[[#This Row],[Italy rate data]]-E161</f>
        <v>-875</v>
      </c>
      <c r="G162" s="121">
        <f>Tabella34[[#This Row],[Italy rate data]]*NOT(ISBLANK(Tabella34[[#This Row],[Italy rate data]]))</f>
        <v>917</v>
      </c>
      <c r="H162" s="143">
        <f>Tabella8[[#This Row],[Italy fit]]</f>
        <v>193939.20239368151</v>
      </c>
      <c r="I162" s="143" t="e">
        <f>(ATANH(alpha*Tabella34[[#This Row],[Italy cumul. Fit]]/Kf-(1-alpha*Tabella34[[#This Row],[Italy cumul. Fit]]/Kf)*TANH(phi_f))+phi_f)/psi_f-(Tabella34[[#This Row],[Day]]-pf)</f>
        <v>#NUM!</v>
      </c>
      <c r="J162" s="143" t="e">
        <f>Tabella34[[#This Row],[Italy d.t.]]/Italy_dt_at_lockdown</f>
        <v>#NUM!</v>
      </c>
      <c r="K162" s="77">
        <f>Tabella34[[#This Row],[Italy cumul. Fit]]/Kf</f>
        <v>0.82527319632165697</v>
      </c>
      <c r="L162" s="146">
        <f>Tabella34[[#This Row],[sel. region acc. fit]]+Tabella34[[#This Row],[rest of Italy acc. fit]]</f>
        <v>-58.526101566535026</v>
      </c>
      <c r="M162" s="77">
        <f>Tabella34[[#This Row],[Italy (fit of selected region + fitted sum of the other regions)]]/(y_l_peak+y_a_peak)</f>
        <v>-1.8481830335948086E-2</v>
      </c>
      <c r="N162" s="143">
        <f>Tabella3[[#This Row],[Italy remov. rate fit]]</f>
        <v>1733.8109491088458</v>
      </c>
      <c r="O162" s="143">
        <f>Kt*EXP(-0.5*Tabella34[[#This Row],[x_t]]^2)/(psi_t*SQRTPI(2)*(Tabella34[[#This Row],[Day]]-D_bk))</f>
        <v>0</v>
      </c>
      <c r="P162" s="183">
        <f>Tabella34[[#This Row],[Italy velocity]]/Tabella34[[#This Row],[Italy cumul. Fit]]</f>
        <v>8.9399715359731353E-3</v>
      </c>
      <c r="Q162" s="244">
        <f>(LN(Tabella34[[#This Row],[Day]]-D_bk)-phi_t)/psi_t</f>
        <v>122.28094585875593</v>
      </c>
      <c r="R162" s="244">
        <f>EXP(phi_t+psi_t*Tabella34[[#This Row],[x_t_alpha©+plus]])-(Tabella34[[#This Row],[Day]]-D_bk)</f>
        <v>-82.190129695950873</v>
      </c>
      <c r="S162" s="244">
        <f>EXP(phi_t+psi_t*Tabella34[[#This Row],[x_t_alpha©-minus]])-(Tabella34[[#This Row],[Day]]-D_bk)</f>
        <v>-82.935358858552064</v>
      </c>
      <c r="T162" s="244">
        <f>-psi_t+SQRT(psi_t^2-2*Tabella34[[#This Row],[c_t]])</f>
        <v>3.7139158010258417</v>
      </c>
      <c r="U162" s="244">
        <f>-psi_t-SQRT(psi_t^2-2*Tabella34[[#This Row],[c_t]])</f>
        <v>-3.7644344757232138</v>
      </c>
      <c r="V162" s="244">
        <f>phi_t-LN(alpha*Kt/(Tabella34[[#This Row],[Italy velocity]]*psi_t*SQRTPI(2)))</f>
        <v>-6.990396340657437</v>
      </c>
      <c r="W162" s="244">
        <f>Tabella34[[#This Row],[Italy g.r.]]/Italy_gr_at_lockdown</f>
        <v>2.1324159664027696E-2</v>
      </c>
      <c r="X162" s="244">
        <f>(ACOSH(SQRT(alpha*Kf*psi_f/(Tabella34[[#This Row],[Italy velocity]]*(1+TANH(phi_f)))))+phi_f)/psi_f-(Tabella34[[#This Row],[Day]]-pf)</f>
        <v>17.771966881607938</v>
      </c>
      <c r="Y162" s="244">
        <f>Tabella34[[#This Row],[Italy h.t.]]/Italy_ht_at_lockdown</f>
        <v>0.14964904396793971</v>
      </c>
      <c r="Z162" s="72">
        <f>-2*$BY$48*TANH($BY$48*(Tabella34[[#This Row],[Day]]-$BY$57)-$BY$47)*Tabella34[[#This Row],[Italy velocity]]</f>
        <v>-58.832083050330475</v>
      </c>
      <c r="AA162" s="72">
        <f>Tabella34[[#This Row],[Italy acc. fit]]/Itali_acc_at_lockdown</f>
        <v>-1.6809008811682471</v>
      </c>
      <c r="AB162" s="77">
        <f>Tabella34[[#This Row],[Italy acc. fit]]/y_f_peak</f>
        <v>-1.8623704105584594E-2</v>
      </c>
      <c r="AC162" s="143">
        <f>Tabella34[[#This Row],[Italy (fit of selected region + fitted sum of the other regions)]]*NOT(ISBLANK(Tabella34[[#This Row],[Italy rate data]]))</f>
        <v>-58.526101566535026</v>
      </c>
      <c r="AD162" s="143">
        <f>Tabella34[[#This Row],[Italy acc. fit]]*NOT(ISBLANK(Tabella34[[#This Row],[Italy rate data]]))</f>
        <v>-58.832083050330475</v>
      </c>
      <c r="AE162" s="77">
        <f>Tabella34[[#This Row],[Italy acc. fit]]+CIf</f>
        <v>1596.3778858734208</v>
      </c>
      <c r="AF162" s="77">
        <f>MAX(Tabella34[[#This Row],[Italy acc. fit]]-CIf,0)</f>
        <v>0</v>
      </c>
      <c r="AG162" s="4">
        <f>Tabella8[[#This Row],[region data]]</f>
        <v>9237</v>
      </c>
      <c r="AH162" s="72">
        <f>(Tabella34[[#This Row],[selected region cumul. data]]-AG161)</f>
        <v>49</v>
      </c>
      <c r="AI162" s="72">
        <f>Tabella34[[#This Row],[selected region rate data]]-AH161</f>
        <v>-31</v>
      </c>
      <c r="AJ162" s="121">
        <f>Tabella34[[#This Row],[selected region rate data]]*NOT(ISBLANK(Tabella34[[#This Row],[selected region rate data]]))</f>
        <v>49</v>
      </c>
      <c r="AK162" s="77">
        <f>Tabella8[[#This Row],[region fit]]</f>
        <v>9142.1624037981383</v>
      </c>
      <c r="AL162" s="143" t="e">
        <f>(ATANH(alpha*Tabella34[[#This Row],[sel. region cumul. fit]]/Kl-(1-alpha*Tabella34[[#This Row],[sel. region cumul. fit]]/Kl)*TANH(phi_l))+phi_l)/psi_l-(Tabella34[[#This Row],[Day]]-pl)</f>
        <v>#NUM!</v>
      </c>
      <c r="AM162" s="77">
        <f>Tabella34[[#This Row],[sel. region cumul. fit]]/Kl</f>
        <v>0.69491048345202711</v>
      </c>
      <c r="AN162" s="143">
        <f>Tabella3[[#This Row],[region fit]]</f>
        <v>117.30562008542275</v>
      </c>
      <c r="AO162" s="186">
        <f>Tabella34[[#This Row],[sel. region velocity]]/Tabella34[[#This Row],[sel. region cumul. fit]]</f>
        <v>1.2831277208189584E-2</v>
      </c>
      <c r="AP162" s="241">
        <f>(LN(Tabella34[[#This Row],[Day]]-pr)-phi_r)/psi_r</f>
        <v>162.1579028832935</v>
      </c>
      <c r="AQ162" s="244">
        <f>EXP(phi_r+psi_r*Tabella34[[#This Row],[x_r_alpha©+plus]])-(Tabella34[[#This Row],[Day]]-pr)</f>
        <v>-75.405427145683262</v>
      </c>
      <c r="AR162" s="244">
        <f>EXP(phi_r+psi_r*Tabella34[[#This Row],[x_r_alpha©-minus]])-(Tabella34[[#This Row],[Day]]-pr)</f>
        <v>-75.867447432172256</v>
      </c>
      <c r="AS162" s="244">
        <f>-psi_r+SQRT(psi_r^2-2*Tabella34[[#This Row],[c_r]])</f>
        <v>3.8010302338667041</v>
      </c>
      <c r="AT162" s="244">
        <f>-psi_r-SQRT(psi_r^2-2*Tabella34[[#This Row],[c_r]])</f>
        <v>-3.8413182435330424</v>
      </c>
      <c r="AU162" s="244">
        <f>phi_r-LN(alpha*Kr/(Tabella34[[#This Row],[sel. region velocity]]*psi_r*SQRTPI(2)))</f>
        <v>-7.3004833907864191</v>
      </c>
      <c r="AV162" s="244">
        <f>(ACOSH(SQRT(alpha*Kl*psi_l/(Tabella34[[#This Row],[sel. region velocity]]*(1+TANH(phi_l)))))+phi_l)/psi_l-(Tabella34[[#This Row],[Day]]-pl)</f>
        <v>27.233165847611076</v>
      </c>
      <c r="AW162" s="72">
        <f>-2*$BY$22*TANH($BY$22*(Tabella34[[#This Row],[Day]]-$BY$31)-$BY$21)*Tabella34[[#This Row],[sel. region velocity]]</f>
        <v>-2.130771090926225</v>
      </c>
      <c r="AX162" s="77">
        <f>Tabella34[[#This Row],[sel. region acc. fit]]/y_l_peak</f>
        <v>-1.4471925892958272E-2</v>
      </c>
      <c r="AY162" s="143">
        <f>Tabella34[[#This Row],[sel. region acc. fit]]*NOT(ISBLANK(Tabella34[[#This Row],[selected region rate data]]))</f>
        <v>-2.130771090926225</v>
      </c>
      <c r="AZ162" s="77">
        <f>Tabella34[[#This Row],[sel. region acc. fit]]+CIl</f>
        <v>67.234215284174169</v>
      </c>
      <c r="BA162" s="77">
        <f>MAX(Tabella34[[#This Row],[sel. region acc. fit]]-CIl,0)</f>
        <v>0</v>
      </c>
      <c r="BB162" s="10">
        <f>Tabella8[[#This Row],[rest of Italy ]]</f>
        <v>185302</v>
      </c>
      <c r="BC162" s="10">
        <f>(Tabella34[[#This Row],[rest of Italy cum. Data]]-BB161)</f>
        <v>868</v>
      </c>
      <c r="BD162" s="10">
        <f>Tabella34[[#This Row],[rest of Italy rate data]]-BC161</f>
        <v>-844</v>
      </c>
      <c r="BE162" s="77">
        <f>Tabella34[[#This Row],[rest of Italy rate data]]*NOT(ISBLANK(Tabella34[[#This Row],[rest of Italy rate data]]))</f>
        <v>868</v>
      </c>
      <c r="BF162" s="77">
        <f>Tabella8[[#This Row],[rest of Italy fit]]</f>
        <v>184654.97415697938</v>
      </c>
      <c r="BG162" s="78" t="e">
        <f>(ATANH(alpha*Tabella34[[#This Row],[rest of Italy cumul. fit]]/Ka-(1-alpha*Tabella34[[#This Row],[rest of Italy cumul. fit]]/Ka)*TANH(phi_a))+phi_a)/psi_a-(Tabella34[[#This Row],[Day]]-pa)</f>
        <v>#NUM!</v>
      </c>
      <c r="BH162" s="77">
        <f>Tabella34[[#This Row],[rest of Italy cumul. fit]]/Ka</f>
        <v>0.8323636301370122</v>
      </c>
      <c r="BI162" s="143">
        <f>Tabella3[[#This Row],[rest of Italy fit]]</f>
        <v>1606.7852105830325</v>
      </c>
      <c r="BJ162" s="183">
        <f>Tabella34[[#This Row],[rest of Italy velocity]]/Tabella34[[#This Row],[rest of Italy cumul. fit]]</f>
        <v>8.7015539002868562E-3</v>
      </c>
      <c r="BK162" s="236">
        <f>(LN(Tabella34[[#This Row],[Day]]-po)-phi_o)/psi_o</f>
        <v>119.60670467420269</v>
      </c>
      <c r="BL162" s="244">
        <f>EXP(phi_o+psi_o*Tabella34[[#This Row],[x_o_alpha©+plus]])-(Tabella34[[#This Row],[Day]]-po)</f>
        <v>-82.664094509473657</v>
      </c>
      <c r="BM162" s="244">
        <f>EXP(phi_o+psi_o*Tabella34[[#This Row],[x_o_alpha©-minus]])-(Tabella34[[#This Row],[Day]]-po)</f>
        <v>-83.440374691386182</v>
      </c>
      <c r="BN162" s="244">
        <f>-psi_o+SQRT(psi_o^2-2*Tabella34[[#This Row],[c_o]])</f>
        <v>3.7070847325947072</v>
      </c>
      <c r="BO162" s="244">
        <f>-psi_o-SQRT(psi_o^2-2*Tabella34[[#This Row],[c_o]])</f>
        <v>-3.7583980168623605</v>
      </c>
      <c r="BP162" s="244">
        <f>phi_o-LN(alpha*Ko/(Tabella34[[#This Row],[rest of Italy velocity]]*psi_o*SQRTPI(2)))</f>
        <v>-6.9663499536623412</v>
      </c>
      <c r="BQ162" s="244">
        <f>(ACOSH(SQRT(alpha*Ka*psi_a/(Tabella34[[#This Row],[rest of Italy velocity]]*(1+TANH(phi_a)))))+phi_a)/psi_a-(Tabella34[[#This Row],[Day]]-pa)</f>
        <v>17.313278135242967</v>
      </c>
      <c r="BR162" s="72">
        <f>-2*$BY$35*TANH($BY$35*(Tabella34[[#This Row],[Day]]-$BY$44)-$BY$34)*Tabella34[[#This Row],[rest of Italy velocity]]</f>
        <v>-56.395330475608802</v>
      </c>
      <c r="BS162" s="77">
        <f>Tabella34[[#This Row],[rest of Italy acc. fit]]/y_a_peak</f>
        <v>-1.8677361901420483E-2</v>
      </c>
      <c r="BT162" s="77">
        <f>Tabella34[[#This Row],[rest of Italy acc. fit]]*NOT(ISBLANK(Tabella34[[#This Row],[rest of Italy rate data]]))</f>
        <v>-56.395330475608802</v>
      </c>
      <c r="BU162" s="77">
        <f>Tabella34[[#This Row],[rest of Italy acc. fit]]+CIa</f>
        <v>1577.7386094781928</v>
      </c>
      <c r="BV162" s="77">
        <f>MAX(Tabella34[[#This Row],[rest of Italy acc. fit]]-CIa,0)</f>
        <v>0</v>
      </c>
    </row>
    <row r="163" spans="2:74" x14ac:dyDescent="0.3">
      <c r="B163" s="262">
        <v>43986</v>
      </c>
      <c r="C163" s="4">
        <v>156</v>
      </c>
      <c r="D163" s="10">
        <f>Tabella8[[#This Row],[Italy cumulative]]</f>
        <v>195584</v>
      </c>
      <c r="E163" s="72">
        <f>(Tabella34[[#This Row],[Italy cumul. data]]-D162)</f>
        <v>1045</v>
      </c>
      <c r="F163" s="72">
        <f>Tabella34[[#This Row],[Italy rate data]]-E162</f>
        <v>128</v>
      </c>
      <c r="G163" s="121">
        <f>Tabella34[[#This Row],[Italy rate data]]*NOT(ISBLANK(Tabella34[[#This Row],[Italy rate data]]))</f>
        <v>1045</v>
      </c>
      <c r="H163" s="143">
        <f>Tabella8[[#This Row],[Italy fit]]</f>
        <v>195643.73159829059</v>
      </c>
      <c r="I163" s="143" t="e">
        <f>(ATANH(alpha*Tabella34[[#This Row],[Italy cumul. Fit]]/Kf-(1-alpha*Tabella34[[#This Row],[Italy cumul. Fit]]/Kf)*TANH(phi_f))+phi_f)/psi_f-(Tabella34[[#This Row],[Day]]-pf)</f>
        <v>#NUM!</v>
      </c>
      <c r="J163" s="143" t="e">
        <f>Tabella34[[#This Row],[Italy d.t.]]/Italy_dt_at_lockdown</f>
        <v>#NUM!</v>
      </c>
      <c r="K163" s="77">
        <f>Tabella34[[#This Row],[Italy cumul. Fit]]/Kf</f>
        <v>0.83252651203889838</v>
      </c>
      <c r="L163" s="146">
        <f>Tabella34[[#This Row],[sel. region acc. fit]]+Tabella34[[#This Row],[rest of Italy acc. fit]]</f>
        <v>-57.664481396552532</v>
      </c>
      <c r="M163" s="77">
        <f>Tabella34[[#This Row],[Italy (fit of selected region + fitted sum of the other regions)]]/(y_l_peak+y_a_peak)</f>
        <v>-1.8209741176249933E-2</v>
      </c>
      <c r="N163" s="143">
        <f>Tabella3[[#This Row],[Italy remov. rate fit]]</f>
        <v>1675.3856415010785</v>
      </c>
      <c r="O163" s="143">
        <f>Kt*EXP(-0.5*Tabella34[[#This Row],[x_t]]^2)/(psi_t*SQRTPI(2)*(Tabella34[[#This Row],[Day]]-D_bk))</f>
        <v>0</v>
      </c>
      <c r="P163" s="183">
        <f>Tabella34[[#This Row],[Italy velocity]]/Tabella34[[#This Row],[Italy cumul. Fit]]</f>
        <v>8.5634516772614914E-3</v>
      </c>
      <c r="Q163" s="244">
        <f>(LN(Tabella34[[#This Row],[Day]]-D_bk)-phi_t)/psi_t</f>
        <v>122.73589800394659</v>
      </c>
      <c r="R163" s="244">
        <f>EXP(phi_t+psi_t*Tabella34[[#This Row],[x_t_alpha©+plus]])-(Tabella34[[#This Row],[Day]]-D_bk)</f>
        <v>-83.189128263318594</v>
      </c>
      <c r="S163" s="244">
        <f>EXP(phi_t+psi_t*Tabella34[[#This Row],[x_t_alpha©-minus]])-(Tabella34[[#This Row],[Day]]-D_bk)</f>
        <v>-83.936187723667686</v>
      </c>
      <c r="T163" s="244">
        <f>-psi_t+SQRT(psi_t^2-2*Tabella34[[#This Row],[c_t]])</f>
        <v>3.7230719798471661</v>
      </c>
      <c r="U163" s="244">
        <f>-psi_t-SQRT(psi_t^2-2*Tabella34[[#This Row],[c_t]])</f>
        <v>-3.7735906545445381</v>
      </c>
      <c r="V163" s="244">
        <f>phi_t-LN(alpha*Kt/(Tabella34[[#This Row],[Italy velocity]]*psi_t*SQRTPI(2)))</f>
        <v>-7.0246748146739488</v>
      </c>
      <c r="W163" s="244">
        <f>Tabella34[[#This Row],[Italy g.r.]]/Italy_gr_at_lockdown</f>
        <v>2.0426061772827835E-2</v>
      </c>
      <c r="X163" s="244">
        <f>(ACOSH(SQRT(alpha*Kf*psi_f/(Tabella34[[#This Row],[Italy velocity]]*(1+TANH(phi_f)))))+phi_f)/psi_f-(Tabella34[[#This Row],[Day]]-pf)</f>
        <v>17.56600855855325</v>
      </c>
      <c r="Y163" s="244">
        <f>Tabella34[[#This Row],[Italy h.t.]]/Italy_ht_at_lockdown</f>
        <v>0.14791476962747427</v>
      </c>
      <c r="Z163" s="72">
        <f>-2*$BY$48*TANH($BY$48*(Tabella34[[#This Row],[Day]]-$BY$57)-$BY$47)*Tabella34[[#This Row],[Italy velocity]]</f>
        <v>-58.003154413219569</v>
      </c>
      <c r="AA163" s="72">
        <f>Tabella34[[#This Row],[Italy acc. fit]]/Itali_acc_at_lockdown</f>
        <v>-1.6572174281218317</v>
      </c>
      <c r="AB163" s="77">
        <f>Tabella34[[#This Row],[Italy acc. fit]]/y_f_peak</f>
        <v>-1.836130099385061E-2</v>
      </c>
      <c r="AC163" s="143">
        <f>Tabella34[[#This Row],[Italy (fit of selected region + fitted sum of the other regions)]]*NOT(ISBLANK(Tabella34[[#This Row],[Italy rate data]]))</f>
        <v>-57.664481396552532</v>
      </c>
      <c r="AD163" s="143">
        <f>Tabella34[[#This Row],[Italy acc. fit]]*NOT(ISBLANK(Tabella34[[#This Row],[Italy rate data]]))</f>
        <v>-58.003154413219569</v>
      </c>
      <c r="AE163" s="77">
        <f>Tabella34[[#This Row],[Italy acc. fit]]+CIf</f>
        <v>1597.2068145105318</v>
      </c>
      <c r="AF163" s="77">
        <f>MAX(Tabella34[[#This Row],[Italy acc. fit]]-CIf,0)</f>
        <v>0</v>
      </c>
      <c r="AG163" s="4">
        <f>Tabella8[[#This Row],[region data]]</f>
        <v>9378</v>
      </c>
      <c r="AH163" s="72">
        <f>(Tabella34[[#This Row],[selected region cumul. data]]-AG162)</f>
        <v>141</v>
      </c>
      <c r="AI163" s="72">
        <f>Tabella34[[#This Row],[selected region rate data]]-AH162</f>
        <v>92</v>
      </c>
      <c r="AJ163" s="121">
        <f>Tabella34[[#This Row],[selected region rate data]]*NOT(ISBLANK(Tabella34[[#This Row],[selected region rate data]]))</f>
        <v>141</v>
      </c>
      <c r="AK163" s="77">
        <f>Tabella8[[#This Row],[region fit]]</f>
        <v>9258.3966472712036</v>
      </c>
      <c r="AL163" s="143" t="e">
        <f>(ATANH(alpha*Tabella34[[#This Row],[sel. region cumul. fit]]/Kl-(1-alpha*Tabella34[[#This Row],[sel. region cumul. fit]]/Kl)*TANH(phi_l))+phi_l)/psi_l-(Tabella34[[#This Row],[Day]]-pl)</f>
        <v>#NUM!</v>
      </c>
      <c r="AM163" s="77">
        <f>Tabella34[[#This Row],[sel. region cumul. fit]]/Kl</f>
        <v>0.70374563543882529</v>
      </c>
      <c r="AN163" s="143">
        <f>Tabella3[[#This Row],[region fit]]</f>
        <v>115.15707494157297</v>
      </c>
      <c r="AO163" s="186">
        <f>Tabella34[[#This Row],[sel. region velocity]]/Tabella34[[#This Row],[sel. region cumul. fit]]</f>
        <v>1.2438122855269339E-2</v>
      </c>
      <c r="AP163" s="241">
        <f>(LN(Tabella34[[#This Row],[Day]]-pr)-phi_r)/psi_r</f>
        <v>162.78515858209877</v>
      </c>
      <c r="AQ163" s="244">
        <f>EXP(phi_r+psi_r*Tabella34[[#This Row],[x_r_alpha©+plus]])-(Tabella34[[#This Row],[Day]]-pr)</f>
        <v>-76.405111777454934</v>
      </c>
      <c r="AR163" s="244">
        <f>EXP(phi_r+psi_r*Tabella34[[#This Row],[x_r_alpha©-minus]])-(Tabella34[[#This Row],[Day]]-pr)</f>
        <v>-76.867717776393818</v>
      </c>
      <c r="AS163" s="244">
        <f>-psi_r+SQRT(psi_r^2-2*Tabella34[[#This Row],[c_r]])</f>
        <v>3.8058648509747646</v>
      </c>
      <c r="AT163" s="244">
        <f>-psi_r-SQRT(psi_r^2-2*Tabella34[[#This Row],[c_r]])</f>
        <v>-3.8461528606411028</v>
      </c>
      <c r="AU163" s="244">
        <f>phi_r-LN(alpha*Kr/(Tabella34[[#This Row],[sel. region velocity]]*psi_r*SQRTPI(2)))</f>
        <v>-7.3189689918950078</v>
      </c>
      <c r="AV163" s="244">
        <f>(ACOSH(SQRT(alpha*Kl*psi_l/(Tabella34[[#This Row],[sel. region velocity]]*(1+TANH(phi_l)))))+phi_l)/psi_l-(Tabella34[[#This Row],[Day]]-pl)</f>
        <v>26.822926075815502</v>
      </c>
      <c r="AW163" s="72">
        <f>-2*$BY$22*TANH($BY$22*(Tabella34[[#This Row],[Day]]-$BY$31)-$BY$21)*Tabella34[[#This Row],[sel. region velocity]]</f>
        <v>-2.1655238639496068</v>
      </c>
      <c r="AX163" s="77">
        <f>Tabella34[[#This Row],[sel. region acc. fit]]/y_l_peak</f>
        <v>-1.4707962301519906E-2</v>
      </c>
      <c r="AY163" s="143">
        <f>Tabella34[[#This Row],[sel. region acc. fit]]*NOT(ISBLANK(Tabella34[[#This Row],[selected region rate data]]))</f>
        <v>-2.1655238639496068</v>
      </c>
      <c r="AZ163" s="77">
        <f>Tabella34[[#This Row],[sel. region acc. fit]]+CIl</f>
        <v>67.199462511150799</v>
      </c>
      <c r="BA163" s="77">
        <f>MAX(Tabella34[[#This Row],[sel. region acc. fit]]-CIl,0)</f>
        <v>0</v>
      </c>
      <c r="BB163" s="10">
        <f>Tabella8[[#This Row],[rest of Italy ]]</f>
        <v>186206</v>
      </c>
      <c r="BC163" s="10">
        <f>(Tabella34[[#This Row],[rest of Italy cum. Data]]-BB162)</f>
        <v>904</v>
      </c>
      <c r="BD163" s="10">
        <f>Tabella34[[#This Row],[rest of Italy rate data]]-BC162</f>
        <v>36</v>
      </c>
      <c r="BE163" s="77">
        <f>Tabella34[[#This Row],[rest of Italy rate data]]*NOT(ISBLANK(Tabella34[[#This Row],[rest of Italy rate data]]))</f>
        <v>904</v>
      </c>
      <c r="BF163" s="77">
        <f>Tabella8[[#This Row],[rest of Italy fit]]</f>
        <v>186233.70759402623</v>
      </c>
      <c r="BG163" s="78" t="e">
        <f>(ATANH(alpha*Tabella34[[#This Row],[rest of Italy cumul. fit]]/Ka-(1-alpha*Tabella34[[#This Row],[rest of Italy cumul. fit]]/Ka)*TANH(phi_a))+phi_a)/psi_a-(Tabella34[[#This Row],[Day]]-pa)</f>
        <v>#NUM!</v>
      </c>
      <c r="BH163" s="77">
        <f>Tabella34[[#This Row],[rest of Italy cumul. fit]]/Ka</f>
        <v>0.83948003899996471</v>
      </c>
      <c r="BI163" s="143">
        <f>Tabella3[[#This Row],[rest of Italy fit]]</f>
        <v>1550.8310854777344</v>
      </c>
      <c r="BJ163" s="183">
        <f>Tabella34[[#This Row],[rest of Italy velocity]]/Tabella34[[#This Row],[rest of Italy cumul. fit]]</f>
        <v>8.3273382972024346E-3</v>
      </c>
      <c r="BK163" s="236">
        <f>(LN(Tabella34[[#This Row],[Day]]-po)-phi_o)/psi_o</f>
        <v>120.05155528257876</v>
      </c>
      <c r="BL163" s="244">
        <f>EXP(phi_o+psi_o*Tabella34[[#This Row],[x_o_alpha©+plus]])-(Tabella34[[#This Row],[Day]]-po)</f>
        <v>-83.66301080479073</v>
      </c>
      <c r="BM163" s="244">
        <f>EXP(phi_o+psi_o*Tabella34[[#This Row],[x_o_alpha©-minus]])-(Tabella34[[#This Row],[Day]]-po)</f>
        <v>-84.441269274824577</v>
      </c>
      <c r="BN163" s="244">
        <f>-psi_o+SQRT(psi_o^2-2*Tabella34[[#This Row],[c_o]])</f>
        <v>3.7165682396933817</v>
      </c>
      <c r="BO163" s="244">
        <f>-psi_o-SQRT(psi_o^2-2*Tabella34[[#This Row],[c_o]])</f>
        <v>-3.767881523961035</v>
      </c>
      <c r="BP163" s="244">
        <f>phi_o-LN(alpha*Ko/(Tabella34[[#This Row],[rest of Italy velocity]]*psi_o*SQRTPI(2)))</f>
        <v>-7.0017944014405398</v>
      </c>
      <c r="BQ163" s="244">
        <f>(ACOSH(SQRT(alpha*Ka*psi_a/(Tabella34[[#This Row],[rest of Italy velocity]]*(1+TANH(phi_a)))))+phi_a)/psi_a-(Tabella34[[#This Row],[Day]]-pa)</f>
        <v>17.117025478479022</v>
      </c>
      <c r="BR163" s="72">
        <f>-2*$BY$35*TANH($BY$35*(Tabella34[[#This Row],[Day]]-$BY$44)-$BY$34)*Tabella34[[#This Row],[rest of Italy velocity]]</f>
        <v>-55.498957532602923</v>
      </c>
      <c r="BS163" s="77">
        <f>Tabella34[[#This Row],[rest of Italy acc. fit]]/y_a_peak</f>
        <v>-1.8380495446095726E-2</v>
      </c>
      <c r="BT163" s="77">
        <f>Tabella34[[#This Row],[rest of Italy acc. fit]]*NOT(ISBLANK(Tabella34[[#This Row],[rest of Italy rate data]]))</f>
        <v>-55.498957532602923</v>
      </c>
      <c r="BU163" s="77">
        <f>Tabella34[[#This Row],[rest of Italy acc. fit]]+CIa</f>
        <v>1578.6349824211986</v>
      </c>
      <c r="BV163" s="77">
        <f>MAX(Tabella34[[#This Row],[rest of Italy acc. fit]]-CIa,0)</f>
        <v>0</v>
      </c>
    </row>
    <row r="164" spans="2:74" x14ac:dyDescent="0.3">
      <c r="B164" s="262">
        <v>43987</v>
      </c>
      <c r="C164" s="4">
        <v>157</v>
      </c>
      <c r="E164" s="10"/>
      <c r="F164" s="10"/>
      <c r="G164" s="121">
        <f>Tabella34[[#This Row],[Italy rate data]]*NOT(ISBLANK(Tabella34[[#This Row],[Italy rate data]]))</f>
        <v>0</v>
      </c>
      <c r="H164" s="143">
        <f>Tabella8[[#This Row],[Italy fit]]</f>
        <v>197290.26494051793</v>
      </c>
      <c r="I164" s="143" t="e">
        <f>(ATANH(alpha*Tabella34[[#This Row],[Italy cumul. Fit]]/Kf-(1-alpha*Tabella34[[#This Row],[Italy cumul. Fit]]/Kf)*TANH(phi_f))+phi_f)/psi_f-(Tabella34[[#This Row],[Day]]-pf)</f>
        <v>#NUM!</v>
      </c>
      <c r="J164" s="143" t="e">
        <f>Tabella34[[#This Row],[Italy d.t.]]/Italy_dt_at_lockdown</f>
        <v>#NUM!</v>
      </c>
      <c r="K164" s="77">
        <f>Tabella34[[#This Row],[Italy cumul. Fit]]/Kf</f>
        <v>0.83953303685398861</v>
      </c>
      <c r="L164" s="146">
        <f>Tabella34[[#This Row],[sel. region acc. fit]]+Tabella34[[#This Row],[rest of Italy acc. fit]]</f>
        <v>-56.719071397544703</v>
      </c>
      <c r="M164" s="77">
        <f>Tabella34[[#This Row],[Italy (fit of selected region + fitted sum of the other regions)]]/(y_l_peak+y_a_peak)</f>
        <v>-1.7911192208663093E-2</v>
      </c>
      <c r="N164" s="143">
        <f>Tabella3[[#This Row],[Italy remov. rate fit]]</f>
        <v>1617.8338097218311</v>
      </c>
      <c r="O164" s="143">
        <f>Kt*EXP(-0.5*Tabella34[[#This Row],[x_t]]^2)/(psi_t*SQRTPI(2)*(Tabella34[[#This Row],[Day]]-D_bk))</f>
        <v>0</v>
      </c>
      <c r="P164" s="183">
        <f>Tabella34[[#This Row],[Italy velocity]]/Tabella34[[#This Row],[Italy cumul. Fit]]</f>
        <v>8.2002718695197672E-3</v>
      </c>
      <c r="Q164" s="244">
        <f>(LN(Tabella34[[#This Row],[Day]]-D_bk)-phi_t)/psi_t</f>
        <v>123.18568127809704</v>
      </c>
      <c r="R164" s="244">
        <f>EXP(phi_t+psi_t*Tabella34[[#This Row],[x_t_alpha©+plus]])-(Tabella34[[#This Row],[Day]]-D_bk)</f>
        <v>-84.188109333520742</v>
      </c>
      <c r="S164" s="244">
        <f>EXP(phi_t+psi_t*Tabella34[[#This Row],[x_t_alpha©-minus]])-(Tabella34[[#This Row],[Day]]-D_bk)</f>
        <v>-84.937030677459177</v>
      </c>
      <c r="T164" s="244">
        <f>-psi_t+SQRT(psi_t^2-2*Tabella34[[#This Row],[c_t]])</f>
        <v>3.7323859637094392</v>
      </c>
      <c r="U164" s="244">
        <f>-psi_t-SQRT(psi_t^2-2*Tabella34[[#This Row],[c_t]])</f>
        <v>-3.7829046384068112</v>
      </c>
      <c r="V164" s="244">
        <f>phi_t-LN(alpha*Kt/(Tabella34[[#This Row],[Italy velocity]]*psi_t*SQRTPI(2)))</f>
        <v>-7.0596300872204569</v>
      </c>
      <c r="W164" s="244">
        <f>Tabella34[[#This Row],[Italy g.r.]]/Italy_gr_at_lockdown</f>
        <v>1.9559783376316989E-2</v>
      </c>
      <c r="X164" s="244">
        <f>(ACOSH(SQRT(alpha*Kf*psi_f/(Tabella34[[#This Row],[Italy velocity]]*(1+TANH(phi_f)))))+phi_f)/psi_f-(Tabella34[[#This Row],[Day]]-pf)</f>
        <v>17.370686328605444</v>
      </c>
      <c r="Y164" s="244">
        <f>Tabella34[[#This Row],[Italy h.t.]]/Italy_ht_at_lockdown</f>
        <v>0.14627005662682013</v>
      </c>
      <c r="Z164" s="72">
        <f>-2*$BY$48*TANH($BY$48*(Tabella34[[#This Row],[Day]]-$BY$57)-$BY$47)*Tabella34[[#This Row],[Italy velocity]]</f>
        <v>-57.086709580896596</v>
      </c>
      <c r="AA164" s="72">
        <f>Tabella34[[#This Row],[Italy acc. fit]]/Itali_acc_at_lockdown</f>
        <v>-1.6310335358249037</v>
      </c>
      <c r="AB164" s="77">
        <f>Tabella34[[#This Row],[Italy acc. fit]]/y_f_peak</f>
        <v>-1.8071194023276851E-2</v>
      </c>
      <c r="AC164" s="143">
        <f>Tabella34[[#This Row],[Italy (fit of selected region + fitted sum of the other regions)]]*NOT(ISBLANK(Tabella34[[#This Row],[Italy rate data]]))</f>
        <v>0</v>
      </c>
      <c r="AD164" s="143">
        <f>Tabella34[[#This Row],[Italy acc. fit]]*NOT(ISBLANK(Tabella34[[#This Row],[Italy rate data]]))</f>
        <v>0</v>
      </c>
      <c r="AE164" s="77">
        <f>Tabella34[[#This Row],[Italy acc. fit]]+CIf</f>
        <v>1598.1232593428547</v>
      </c>
      <c r="AF164" s="77">
        <f>MAX(Tabella34[[#This Row],[Italy acc. fit]]-CIf,0)</f>
        <v>0</v>
      </c>
      <c r="AH164" s="10"/>
      <c r="AI164" s="10"/>
      <c r="AJ164" s="121">
        <f>Tabella34[[#This Row],[selected region rate data]]*NOT(ISBLANK(Tabella34[[#This Row],[selected region rate data]]))</f>
        <v>0</v>
      </c>
      <c r="AK164" s="77">
        <f>Tabella8[[#This Row],[region fit]]</f>
        <v>9372.4657612045248</v>
      </c>
      <c r="AL164" s="143" t="e">
        <f>(ATANH(alpha*Tabella34[[#This Row],[sel. region cumul. fit]]/Kl-(1-alpha*Tabella34[[#This Row],[sel. region cumul. fit]]/Kl)*TANH(phi_l))+phi_l)/psi_l-(Tabella34[[#This Row],[Day]]-pl)</f>
        <v>#NUM!</v>
      </c>
      <c r="AM164" s="77">
        <f>Tabella34[[#This Row],[sel. region cumul. fit]]/Kl</f>
        <v>0.71241621244338782</v>
      </c>
      <c r="AN164" s="143">
        <f>Tabella3[[#This Row],[region fit]]</f>
        <v>112.97614955824814</v>
      </c>
      <c r="AO164" s="186">
        <f>Tabella34[[#This Row],[sel. region velocity]]/Tabella34[[#This Row],[sel. region cumul. fit]]</f>
        <v>1.2054047721986955E-2</v>
      </c>
      <c r="AP164" s="241">
        <f>(LN(Tabella34[[#This Row],[Day]]-pr)-phi_r)/psi_r</f>
        <v>163.40458742101069</v>
      </c>
      <c r="AQ164" s="244">
        <f>EXP(phi_r+psi_r*Tabella34[[#This Row],[x_r_alpha©+plus]])-(Tabella34[[#This Row],[Day]]-pr)</f>
        <v>-77.404785967001231</v>
      </c>
      <c r="AR164" s="244">
        <f>EXP(phi_r+psi_r*Tabella34[[#This Row],[x_r_alpha©-minus]])-(Tabella34[[#This Row],[Day]]-pr)</f>
        <v>-77.867997016748404</v>
      </c>
      <c r="AS164" s="244">
        <f>-psi_r+SQRT(psi_r^2-2*Tabella34[[#This Row],[c_r]])</f>
        <v>3.810859053701646</v>
      </c>
      <c r="AT164" s="244">
        <f>-psi_r-SQRT(psi_r^2-2*Tabella34[[#This Row],[c_r]])</f>
        <v>-3.8511470633679843</v>
      </c>
      <c r="AU164" s="244">
        <f>phi_r-LN(alpha*Kr/(Tabella34[[#This Row],[sel. region velocity]]*psi_r*SQRTPI(2)))</f>
        <v>-7.3380893267861955</v>
      </c>
      <c r="AV164" s="244">
        <f>(ACOSH(SQRT(alpha*Kl*psi_l/(Tabella34[[#This Row],[sel. region velocity]]*(1+TANH(phi_l)))))+phi_l)/psi_l-(Tabella34[[#This Row],[Day]]-pl)</f>
        <v>26.429265566419971</v>
      </c>
      <c r="AW164" s="72">
        <f>-2*$BY$22*TANH($BY$22*(Tabella34[[#This Row],[Day]]-$BY$31)-$BY$21)*Tabella34[[#This Row],[sel. region velocity]]</f>
        <v>-2.1955456112984346</v>
      </c>
      <c r="AX164" s="77">
        <f>Tabella34[[#This Row],[sel. region acc. fit]]/y_l_peak</f>
        <v>-1.491186618620256E-2</v>
      </c>
      <c r="AY164" s="143">
        <f>Tabella34[[#This Row],[sel. region acc. fit]]*NOT(ISBLANK(Tabella34[[#This Row],[selected region rate data]]))</f>
        <v>0</v>
      </c>
      <c r="AZ164" s="77">
        <f>Tabella34[[#This Row],[sel. region acc. fit]]+CIl</f>
        <v>67.169440763801973</v>
      </c>
      <c r="BA164" s="77">
        <f>MAX(Tabella34[[#This Row],[sel. region acc. fit]]-CIl,0)</f>
        <v>0</v>
      </c>
      <c r="BC164" s="10"/>
      <c r="BD164" s="10"/>
      <c r="BE164" s="77">
        <f>Tabella34[[#This Row],[rest of Italy rate data]]*NOT(ISBLANK(Tabella34[[#This Row],[rest of Italy rate data]]))</f>
        <v>0</v>
      </c>
      <c r="BF164" s="77">
        <f>Tabella8[[#This Row],[rest of Italy fit]]</f>
        <v>187756.94866054328</v>
      </c>
      <c r="BG164" s="78" t="e">
        <f>(ATANH(alpha*Tabella34[[#This Row],[rest of Italy cumul. fit]]/Ka-(1-alpha*Tabella34[[#This Row],[rest of Italy cumul. fit]]/Ka)*TANH(phi_a))+phi_a)/psi_a-(Tabella34[[#This Row],[Day]]-pa)</f>
        <v>#NUM!</v>
      </c>
      <c r="BH164" s="77">
        <f>Tabella34[[#This Row],[rest of Italy cumul. fit]]/Ka</f>
        <v>0.84634630658624721</v>
      </c>
      <c r="BI164" s="143">
        <f>Tabella3[[#This Row],[rest of Italy fit]]</f>
        <v>1495.8136451706416</v>
      </c>
      <c r="BJ164" s="183">
        <f>Tabella34[[#This Row],[rest of Italy velocity]]/Tabella34[[#This Row],[rest of Italy cumul. fit]]</f>
        <v>7.9667551898439208E-3</v>
      </c>
      <c r="BK164" s="236">
        <f>(LN(Tabella34[[#This Row],[Day]]-po)-phi_o)/psi_o</f>
        <v>120.49138588639831</v>
      </c>
      <c r="BL164" s="244">
        <f>EXP(phi_o+psi_o*Tabella34[[#This Row],[x_o_alpha©+plus]])-(Tabella34[[#This Row],[Day]]-po)</f>
        <v>-84.661908972709966</v>
      </c>
      <c r="BM164" s="244">
        <f>EXP(phi_o+psi_o*Tabella34[[#This Row],[x_o_alpha©-minus]])-(Tabella34[[#This Row],[Day]]-po)</f>
        <v>-85.442178376032544</v>
      </c>
      <c r="BN164" s="244">
        <f>-psi_o+SQRT(psi_o^2-2*Tabella34[[#This Row],[c_o]])</f>
        <v>3.7262080146579244</v>
      </c>
      <c r="BO164" s="244">
        <f>-psi_o-SQRT(psi_o^2-2*Tabella34[[#This Row],[c_o]])</f>
        <v>-3.7775212989255778</v>
      </c>
      <c r="BP164" s="244">
        <f>phi_o-LN(alpha*Ko/(Tabella34[[#This Row],[rest of Italy velocity]]*psi_o*SQRTPI(2)))</f>
        <v>-7.0379150697987498</v>
      </c>
      <c r="BQ164" s="244">
        <f>(ACOSH(SQRT(alpha*Ka*psi_a/(Tabella34[[#This Row],[rest of Italy velocity]]*(1+TANH(phi_a)))))+phi_a)/psi_a-(Tabella34[[#This Row],[Day]]-pa)</f>
        <v>16.931059053526852</v>
      </c>
      <c r="BR164" s="72">
        <f>-2*$BY$35*TANH($BY$35*(Tabella34[[#This Row],[Day]]-$BY$44)-$BY$34)*Tabella34[[#This Row],[rest of Italy velocity]]</f>
        <v>-54.523525786246267</v>
      </c>
      <c r="BS164" s="77">
        <f>Tabella34[[#This Row],[rest of Italy acc. fit]]/y_a_peak</f>
        <v>-1.8057445796715317E-2</v>
      </c>
      <c r="BT164" s="121">
        <f>Tabella34[[#This Row],[rest of Italy acc. fit]]*NOT(ISBLANK(Tabella34[[#This Row],[rest of Italy rate data]]))</f>
        <v>0</v>
      </c>
      <c r="BU164" s="189"/>
      <c r="BV164" s="122"/>
    </row>
    <row r="165" spans="2:74" x14ac:dyDescent="0.3">
      <c r="B165" s="262">
        <v>43988</v>
      </c>
      <c r="C165" s="4">
        <v>158</v>
      </c>
      <c r="E165" s="10"/>
      <c r="F165" s="10"/>
      <c r="G165" s="121">
        <f>Tabella34[[#This Row],[Italy rate data]]*NOT(ISBLANK(Tabella34[[#This Row],[Italy rate data]]))</f>
        <v>0</v>
      </c>
      <c r="H165" s="143">
        <f>Tabella8[[#This Row],[Italy fit]]</f>
        <v>198879.71808656678</v>
      </c>
      <c r="I165" s="143" t="e">
        <f>(ATANH(alpha*Tabella34[[#This Row],[Italy cumul. Fit]]/Kf-(1-alpha*Tabella34[[#This Row],[Italy cumul. Fit]]/Kf)*TANH(phi_f))+phi_f)/psi_f-(Tabella34[[#This Row],[Day]]-pf)</f>
        <v>#NUM!</v>
      </c>
      <c r="J165" s="143" t="e">
        <f>Tabella34[[#This Row],[Italy d.t.]]/Italy_dt_at_lockdown</f>
        <v>#NUM!</v>
      </c>
      <c r="K165" s="77">
        <f>Tabella34[[#This Row],[Italy cumul. Fit]]/Kf</f>
        <v>0.84629666721883112</v>
      </c>
      <c r="L165" s="146">
        <f>Tabella34[[#This Row],[sel. region acc. fit]]+Tabella34[[#This Row],[rest of Italy acc. fit]]</f>
        <v>-55.699196902379988</v>
      </c>
      <c r="M165" s="77">
        <f>Tabella34[[#This Row],[Italy (fit of selected region + fitted sum of the other regions)]]/(y_l_peak+y_a_peak)</f>
        <v>-1.7589128259774128E-2</v>
      </c>
      <c r="N165" s="143">
        <f>Tabella3[[#This Row],[Italy remov. rate fit]]</f>
        <v>1561.2382775595224</v>
      </c>
      <c r="O165" s="143">
        <f>Kt*EXP(-0.5*Tabella34[[#This Row],[x_t]]^2)/(psi_t*SQRTPI(2)*(Tabella34[[#This Row],[Day]]-D_bk))</f>
        <v>0</v>
      </c>
      <c r="P165" s="183">
        <f>Tabella34[[#This Row],[Italy velocity]]/Tabella34[[#This Row],[Italy cumul. Fit]]</f>
        <v>7.8501633679908932E-3</v>
      </c>
      <c r="Q165" s="244">
        <f>(LN(Tabella34[[#This Row],[Day]]-D_bk)-phi_t)/psi_t</f>
        <v>123.630411813737</v>
      </c>
      <c r="R165" s="244">
        <f>EXP(phi_t+psi_t*Tabella34[[#This Row],[x_t_alpha©+plus]])-(Tabella34[[#This Row],[Day]]-D_bk)</f>
        <v>-85.187073697697713</v>
      </c>
      <c r="S165" s="244">
        <f>EXP(phi_t+psi_t*Tabella34[[#This Row],[x_t_alpha©-minus]])-(Tabella34[[#This Row],[Day]]-D_bk)</f>
        <v>-85.937887045735167</v>
      </c>
      <c r="T165" s="244">
        <f>-psi_t+SQRT(psi_t^2-2*Tabella34[[#This Row],[c_t]])</f>
        <v>3.7418504115659998</v>
      </c>
      <c r="U165" s="244">
        <f>-psi_t-SQRT(psi_t^2-2*Tabella34[[#This Row],[c_t]])</f>
        <v>-3.7923690862633719</v>
      </c>
      <c r="V165" s="244">
        <f>phi_t-LN(alpha*Kt/(Tabella34[[#This Row],[Italy velocity]]*psi_t*SQRTPI(2)))</f>
        <v>-7.0952389131223867</v>
      </c>
      <c r="W165" s="244">
        <f>Tabella34[[#This Row],[Italy g.r.]]/Italy_gr_at_lockdown</f>
        <v>1.8724683448280974E-2</v>
      </c>
      <c r="X165" s="244">
        <f>(ACOSH(SQRT(alpha*Kf*psi_f/(Tabella34[[#This Row],[Italy velocity]]*(1+TANH(phi_f)))))+phi_f)/psi_f-(Tabella34[[#This Row],[Day]]-pf)</f>
        <v>17.185446803836811</v>
      </c>
      <c r="Y165" s="244">
        <f>Tabella34[[#This Row],[Italy h.t.]]/Italy_ht_at_lockdown</f>
        <v>0.14471024515680272</v>
      </c>
      <c r="Z165" s="72">
        <f>-2*$BY$48*TANH($BY$48*(Tabella34[[#This Row],[Day]]-$BY$57)-$BY$47)*Tabella34[[#This Row],[Italy velocity]]</f>
        <v>-56.092089425728624</v>
      </c>
      <c r="AA165" s="72">
        <f>Tabella34[[#This Row],[Italy acc. fit]]/Itali_acc_at_lockdown</f>
        <v>-1.6026160838400865</v>
      </c>
      <c r="AB165" s="77">
        <f>Tabella34[[#This Row],[Italy acc. fit]]/y_f_peak</f>
        <v>-1.7756340111824281E-2</v>
      </c>
      <c r="AC165" s="143">
        <f>Tabella34[[#This Row],[Italy (fit of selected region + fitted sum of the other regions)]]*NOT(ISBLANK(Tabella34[[#This Row],[Italy rate data]]))</f>
        <v>0</v>
      </c>
      <c r="AD165" s="143">
        <f>Tabella34[[#This Row],[Italy acc. fit]]*NOT(ISBLANK(Tabella34[[#This Row],[Italy rate data]]))</f>
        <v>0</v>
      </c>
      <c r="AE165" s="77">
        <f>Tabella34[[#This Row],[Italy acc. fit]]+CIf</f>
        <v>1599.1178794980228</v>
      </c>
      <c r="AF165" s="77">
        <f>MAX(Tabella34[[#This Row],[Italy acc. fit]]-CIf,0)</f>
        <v>0</v>
      </c>
      <c r="AH165" s="10"/>
      <c r="AI165" s="10"/>
      <c r="AJ165" s="121">
        <f>Tabella34[[#This Row],[selected region rate data]]*NOT(ISBLANK(Tabella34[[#This Row],[selected region rate data]]))</f>
        <v>0</v>
      </c>
      <c r="AK165" s="77">
        <f>Tabella8[[#This Row],[region fit]]</f>
        <v>9484.339716125518</v>
      </c>
      <c r="AL165" s="143" t="e">
        <f>(ATANH(alpha*Tabella34[[#This Row],[sel. region cumul. fit]]/Kl-(1-alpha*Tabella34[[#This Row],[sel. region cumul. fit]]/Kl)*TANH(phi_l))+phi_l)/psi_l-(Tabella34[[#This Row],[Day]]-pl)</f>
        <v>#NUM!</v>
      </c>
      <c r="AM165" s="77">
        <f>Tabella34[[#This Row],[sel. region cumul. fit]]/Kl</f>
        <v>0.72091993187715542</v>
      </c>
      <c r="AN165" s="143">
        <f>Tabella3[[#This Row],[region fit]]</f>
        <v>110.76753002689402</v>
      </c>
      <c r="AO165" s="186">
        <f>Tabella34[[#This Row],[sel. region velocity]]/Tabella34[[#This Row],[sel. region cumul. fit]]</f>
        <v>1.1678992248513011E-2</v>
      </c>
      <c r="AP165" s="241">
        <f>(LN(Tabella34[[#This Row],[Day]]-pr)-phi_r)/psi_r</f>
        <v>164.0163823214385</v>
      </c>
      <c r="AQ165" s="244">
        <f>EXP(phi_r+psi_r*Tabella34[[#This Row],[x_r_alpha©+plus]])-(Tabella34[[#This Row],[Day]]-pr)</f>
        <v>-78.404449956274135</v>
      </c>
      <c r="AR165" s="244">
        <f>EXP(phi_r+psi_r*Tabella34[[#This Row],[x_r_alpha©-minus]])-(Tabella34[[#This Row],[Day]]-pr)</f>
        <v>-78.868284940546388</v>
      </c>
      <c r="AS165" s="244">
        <f>-psi_r+SQRT(psi_r^2-2*Tabella34[[#This Row],[c_r]])</f>
        <v>3.8160090856373841</v>
      </c>
      <c r="AT165" s="244">
        <f>-psi_r-SQRT(psi_r^2-2*Tabella34[[#This Row],[c_r]])</f>
        <v>-3.8562970953037223</v>
      </c>
      <c r="AU165" s="244">
        <f>phi_r-LN(alpha*Kr/(Tabella34[[#This Row],[sel. region velocity]]*psi_r*SQRTPI(2)))</f>
        <v>-7.3578323762980284</v>
      </c>
      <c r="AV165" s="244">
        <f>(ACOSH(SQRT(alpha*Kl*psi_l/(Tabella34[[#This Row],[sel. region velocity]]*(1+TANH(phi_l)))))+phi_l)/psi_l-(Tabella34[[#This Row],[Day]]-pl)</f>
        <v>26.051578171778203</v>
      </c>
      <c r="AW165" s="72">
        <f>-2*$BY$22*TANH($BY$22*(Tabella34[[#This Row],[Day]]-$BY$31)-$BY$21)*Tabella34[[#This Row],[sel. region velocity]]</f>
        <v>-2.2209289626889523</v>
      </c>
      <c r="AX165" s="77">
        <f>Tabella34[[#This Row],[sel. region acc. fit]]/y_l_peak</f>
        <v>-1.5084266676242439E-2</v>
      </c>
      <c r="AY165" s="143">
        <f>Tabella34[[#This Row],[sel. region acc. fit]]*NOT(ISBLANK(Tabella34[[#This Row],[selected region rate data]]))</f>
        <v>0</v>
      </c>
      <c r="AZ165" s="77">
        <f>Tabella34[[#This Row],[sel. region acc. fit]]+CIl</f>
        <v>67.144057412411442</v>
      </c>
      <c r="BA165" s="77">
        <f>MAX(Tabella34[[#This Row],[sel. region acc. fit]]-CIl,0)</f>
        <v>0</v>
      </c>
      <c r="BC165" s="10"/>
      <c r="BD165" s="10"/>
      <c r="BE165" s="77">
        <f>Tabella34[[#This Row],[rest of Italy rate data]]*NOT(ISBLANK(Tabella34[[#This Row],[rest of Italy rate data]]))</f>
        <v>0</v>
      </c>
      <c r="BF165" s="77">
        <f>Tabella8[[#This Row],[rest of Italy fit]]</f>
        <v>189225.67201868544</v>
      </c>
      <c r="BG165" s="78" t="e">
        <f>(ATANH(alpha*Tabella34[[#This Row],[rest of Italy cumul. fit]]/Ka-(1-alpha*Tabella34[[#This Row],[rest of Italy cumul. fit]]/Ka)*TANH(phi_a))+phi_a)/psi_a-(Tabella34[[#This Row],[Day]]-pa)</f>
        <v>#NUM!</v>
      </c>
      <c r="BH165" s="77">
        <f>Tabella34[[#This Row],[rest of Italy cumul. fit]]/Ka</f>
        <v>0.85296682635091348</v>
      </c>
      <c r="BI165" s="143">
        <f>Tabella3[[#This Row],[rest of Italy fit]]</f>
        <v>1441.8073054583926</v>
      </c>
      <c r="BJ165" s="183">
        <f>Tabella34[[#This Row],[rest of Italy velocity]]/Tabella34[[#This Row],[rest of Italy cumul. fit]]</f>
        <v>7.6195121416507312E-3</v>
      </c>
      <c r="BK165" s="236">
        <f>(LN(Tabella34[[#This Row],[Day]]-po)-phi_o)/psi_o</f>
        <v>120.92630852101773</v>
      </c>
      <c r="BL165" s="244">
        <f>EXP(phi_o+psi_o*Tabella34[[#This Row],[x_o_alpha©+plus]])-(Tabella34[[#This Row],[Day]]-po)</f>
        <v>-85.660789866378067</v>
      </c>
      <c r="BM165" s="244">
        <f>EXP(phi_o+psi_o*Tabella34[[#This Row],[x_o_alpha©-minus]])-(Tabella34[[#This Row],[Day]]-po)</f>
        <v>-86.443101269761229</v>
      </c>
      <c r="BN165" s="244">
        <f>-psi_o+SQRT(psi_o^2-2*Tabella34[[#This Row],[c_o]])</f>
        <v>3.7359964797319898</v>
      </c>
      <c r="BO165" s="244">
        <f>-psi_o-SQRT(psi_o^2-2*Tabella34[[#This Row],[c_o]])</f>
        <v>-3.7873097639996431</v>
      </c>
      <c r="BP165" s="244">
        <f>phi_o-LN(alpha*Ko/(Tabella34[[#This Row],[rest of Italy velocity]]*psi_o*SQRTPI(2)))</f>
        <v>-7.0746879729786301</v>
      </c>
      <c r="BQ165" s="244">
        <f>(ACOSH(SQRT(alpha*Ka*psi_a/(Tabella34[[#This Row],[rest of Italy velocity]]*(1+TANH(phi_a)))))+phi_a)/psi_a-(Tabella34[[#This Row],[Day]]-pa)</f>
        <v>16.754834304639317</v>
      </c>
      <c r="BR165" s="72">
        <f>-2*$BY$35*TANH($BY$35*(Tabella34[[#This Row],[Day]]-$BY$44)-$BY$34)*Tabella34[[#This Row],[rest of Italy velocity]]</f>
        <v>-53.478267939691037</v>
      </c>
      <c r="BS165" s="77">
        <f>Tabella34[[#This Row],[rest of Italy acc. fit]]/y_a_peak</f>
        <v>-1.7711270698249404E-2</v>
      </c>
      <c r="BT165" s="121">
        <f>Tabella34[[#This Row],[rest of Italy acc. fit]]*NOT(ISBLANK(Tabella34[[#This Row],[rest of Italy rate data]]))</f>
        <v>0</v>
      </c>
      <c r="BU165" s="189"/>
      <c r="BV165" s="122"/>
    </row>
    <row r="166" spans="2:74" x14ac:dyDescent="0.3">
      <c r="B166" s="262">
        <v>43989</v>
      </c>
      <c r="C166" s="4">
        <v>159</v>
      </c>
      <c r="E166" s="10"/>
      <c r="F166" s="10"/>
      <c r="G166" s="121">
        <f>Tabella34[[#This Row],[Italy rate data]]*NOT(ISBLANK(Tabella34[[#This Row],[Italy rate data]]))</f>
        <v>0</v>
      </c>
      <c r="H166" s="143">
        <f>Tabella8[[#This Row],[Italy fit]]</f>
        <v>200413.08490206895</v>
      </c>
      <c r="I166" s="143" t="e">
        <f>(ATANH(alpha*Tabella34[[#This Row],[Italy cumul. Fit]]/Kf-(1-alpha*Tabella34[[#This Row],[Italy cumul. Fit]]/Kf)*TANH(phi_f))+phi_f)/psi_f-(Tabella34[[#This Row],[Day]]-pf)</f>
        <v>#NUM!</v>
      </c>
      <c r="J166" s="143" t="e">
        <f>Tabella34[[#This Row],[Italy d.t.]]/Italy_dt_at_lockdown</f>
        <v>#NUM!</v>
      </c>
      <c r="K166" s="77">
        <f>Tabella34[[#This Row],[Italy cumul. Fit]]/Kf</f>
        <v>0.85282163234885311</v>
      </c>
      <c r="L166" s="146">
        <f>Tabella34[[#This Row],[sel. region acc. fit]]+Tabella34[[#This Row],[rest of Italy acc. fit]]</f>
        <v>-54.613856892294457</v>
      </c>
      <c r="M166" s="77">
        <f>Tabella34[[#This Row],[Italy (fit of selected region + fitted sum of the other regions)]]/(y_l_peak+y_a_peak)</f>
        <v>-1.7246391098297332E-2</v>
      </c>
      <c r="N166" s="143">
        <f>Tabella3[[#This Row],[Italy remov. rate fit]]</f>
        <v>1505.6726682478288</v>
      </c>
      <c r="O166" s="143">
        <f>Kt*EXP(-0.5*Tabella34[[#This Row],[x_t]]^2)/(psi_t*SQRTPI(2)*(Tabella34[[#This Row],[Day]]-D_bk))</f>
        <v>0</v>
      </c>
      <c r="P166" s="183">
        <f>Tabella34[[#This Row],[Italy velocity]]/Tabella34[[#This Row],[Italy cumul. Fit]]</f>
        <v>7.5128461247107184E-3</v>
      </c>
      <c r="Q166" s="244">
        <f>(LN(Tabella34[[#This Row],[Day]]-D_bk)-phi_t)/psi_t</f>
        <v>124.07020187299295</v>
      </c>
      <c r="R166" s="244">
        <f>EXP(phi_t+psi_t*Tabella34[[#This Row],[x_t_alpha©+plus]])-(Tabella34[[#This Row],[Day]]-D_bk)</f>
        <v>-86.186022130350125</v>
      </c>
      <c r="S166" s="244">
        <f>EXP(phi_t+psi_t*Tabella34[[#This Row],[x_t_alpha©-minus]])-(Tabella34[[#This Row],[Day]]-D_bk)</f>
        <v>-86.938756169002943</v>
      </c>
      <c r="T166" s="244">
        <f>-psi_t+SQRT(psi_t^2-2*Tabella34[[#This Row],[c_t]])</f>
        <v>3.7514581395755755</v>
      </c>
      <c r="U166" s="244">
        <f>-psi_t-SQRT(psi_t^2-2*Tabella34[[#This Row],[c_t]])</f>
        <v>-3.8019768142729475</v>
      </c>
      <c r="V166" s="244">
        <f>phi_t-LN(alpha*Kt/(Tabella34[[#This Row],[Italy velocity]]*psi_t*SQRTPI(2)))</f>
        <v>-7.1314784331909333</v>
      </c>
      <c r="W166" s="244">
        <f>Tabella34[[#This Row],[Italy g.r.]]/Italy_gr_at_lockdown</f>
        <v>1.7920094001413887E-2</v>
      </c>
      <c r="X166" s="244">
        <f>(ACOSH(SQRT(alpha*Kf*psi_f/(Tabella34[[#This Row],[Italy velocity]]*(1+TANH(phi_f)))))+phi_f)/psi_f-(Tabella34[[#This Row],[Day]]-pf)</f>
        <v>17.009764168314291</v>
      </c>
      <c r="Y166" s="244">
        <f>Tabella34[[#This Row],[Italy h.t.]]/Italy_ht_at_lockdown</f>
        <v>0.14323090757853382</v>
      </c>
      <c r="Z166" s="72">
        <f>-2*$BY$48*TANH($BY$48*(Tabella34[[#This Row],[Day]]-$BY$57)-$BY$47)*Tabella34[[#This Row],[Italy velocity]]</f>
        <v>-55.028345976433826</v>
      </c>
      <c r="AA166" s="72">
        <f>Tabella34[[#This Row],[Italy acc. fit]]/Itali_acc_at_lockdown</f>
        <v>-1.5722236991317819</v>
      </c>
      <c r="AB166" s="77">
        <f>Tabella34[[#This Row],[Italy acc. fit]]/y_f_peak</f>
        <v>-1.7419604741992618E-2</v>
      </c>
      <c r="AC166" s="143">
        <f>Tabella34[[#This Row],[Italy (fit of selected region + fitted sum of the other regions)]]*NOT(ISBLANK(Tabella34[[#This Row],[Italy rate data]]))</f>
        <v>0</v>
      </c>
      <c r="AD166" s="143">
        <f>Tabella34[[#This Row],[Italy acc. fit]]*NOT(ISBLANK(Tabella34[[#This Row],[Italy rate data]]))</f>
        <v>0</v>
      </c>
      <c r="AE166" s="77">
        <f>Tabella34[[#This Row],[Italy acc. fit]]+CIf</f>
        <v>1600.1816229473175</v>
      </c>
      <c r="AF166" s="77">
        <f>MAX(Tabella34[[#This Row],[Italy acc. fit]]-CIf,0)</f>
        <v>0</v>
      </c>
      <c r="AH166" s="10"/>
      <c r="AI166" s="10"/>
      <c r="AJ166" s="121">
        <f>Tabella34[[#This Row],[selected region rate data]]*NOT(ISBLANK(Tabella34[[#This Row],[selected region rate data]]))</f>
        <v>0</v>
      </c>
      <c r="AK166" s="77">
        <f>Tabella8[[#This Row],[region fit]]</f>
        <v>9593.9931196382986</v>
      </c>
      <c r="AL166" s="143" t="e">
        <f>(ATANH(alpha*Tabella34[[#This Row],[sel. region cumul. fit]]/Kl-(1-alpha*Tabella34[[#This Row],[sel. region cumul. fit]]/Kl)*TANH(phi_l))+phi_l)/psi_l-(Tabella34[[#This Row],[Day]]-pl)</f>
        <v>#NUM!</v>
      </c>
      <c r="AM166" s="77">
        <f>Tabella34[[#This Row],[sel. region cumul. fit]]/Kl</f>
        <v>0.72925486362323433</v>
      </c>
      <c r="AN166" s="143">
        <f>Tabella3[[#This Row],[region fit]]</f>
        <v>108.53580177115225</v>
      </c>
      <c r="AO166" s="186">
        <f>Tabella34[[#This Row],[sel. region velocity]]/Tabella34[[#This Row],[sel. region cumul. fit]]</f>
        <v>1.1312891349586891E-2</v>
      </c>
      <c r="AP166" s="241">
        <f>(LN(Tabella34[[#This Row],[Day]]-pr)-phi_r)/psi_r</f>
        <v>164.62072915866815</v>
      </c>
      <c r="AQ166" s="244">
        <f>EXP(phi_r+psi_r*Tabella34[[#This Row],[x_r_alpha©+plus]])-(Tabella34[[#This Row],[Day]]-pr)</f>
        <v>-79.404103989766355</v>
      </c>
      <c r="AR166" s="244">
        <f>EXP(phi_r+psi_r*Tabella34[[#This Row],[x_r_alpha©-minus]])-(Tabella34[[#This Row],[Day]]-pr)</f>
        <v>-79.86858133292931</v>
      </c>
      <c r="AS166" s="244">
        <f>-psi_r+SQRT(psi_r^2-2*Tabella34[[#This Row],[c_r]])</f>
        <v>3.8213111514941334</v>
      </c>
      <c r="AT166" s="244">
        <f>-psi_r-SQRT(psi_r^2-2*Tabella34[[#This Row],[c_r]])</f>
        <v>-3.8615991611604716</v>
      </c>
      <c r="AU166" s="244">
        <f>phi_r-LN(alpha*Kr/(Tabella34[[#This Row],[sel. region velocity]]*psi_r*SQRTPI(2)))</f>
        <v>-7.3781859685714517</v>
      </c>
      <c r="AV166" s="244">
        <f>(ACOSH(SQRT(alpha*Kl*psi_l/(Tabella34[[#This Row],[sel. region velocity]]*(1+TANH(phi_l)))))+phi_l)/psi_l-(Tabella34[[#This Row],[Day]]-pl)</f>
        <v>25.689270171108831</v>
      </c>
      <c r="AW166" s="72">
        <f>-2*$BY$22*TANH($BY$22*(Tabella34[[#This Row],[Day]]-$BY$31)-$BY$21)*Tabella34[[#This Row],[sel. region velocity]]</f>
        <v>-2.2417823770108503</v>
      </c>
      <c r="AX166" s="77">
        <f>Tabella34[[#This Row],[sel. region acc. fit]]/y_l_peak</f>
        <v>-1.5225900410605935E-2</v>
      </c>
      <c r="AY166" s="143">
        <f>Tabella34[[#This Row],[sel. region acc. fit]]*NOT(ISBLANK(Tabella34[[#This Row],[selected region rate data]]))</f>
        <v>0</v>
      </c>
      <c r="AZ166" s="77">
        <f>Tabella34[[#This Row],[sel. region acc. fit]]+CIl</f>
        <v>67.123203998089551</v>
      </c>
      <c r="BA166" s="77">
        <f>MAX(Tabella34[[#This Row],[sel. region acc. fit]]-CIl,0)</f>
        <v>0</v>
      </c>
      <c r="BC166" s="10"/>
      <c r="BD166" s="10"/>
      <c r="BE166" s="77">
        <f>Tabella34[[#This Row],[rest of Italy rate data]]*NOT(ISBLANK(Tabella34[[#This Row],[rest of Italy rate data]]))</f>
        <v>0</v>
      </c>
      <c r="BF166" s="77">
        <f>Tabella8[[#This Row],[rest of Italy fit]]</f>
        <v>190640.92218525932</v>
      </c>
      <c r="BG166" s="78" t="e">
        <f>(ATANH(alpha*Tabella34[[#This Row],[rest of Italy cumul. fit]]/Ka-(1-alpha*Tabella34[[#This Row],[rest of Italy cumul. fit]]/Ka)*TANH(phi_a))+phi_a)/psi_a-(Tabella34[[#This Row],[Day]]-pa)</f>
        <v>#NUM!</v>
      </c>
      <c r="BH166" s="77">
        <f>Tabella34[[#This Row],[rest of Italy cumul. fit]]/Ka</f>
        <v>0.85934630663071365</v>
      </c>
      <c r="BI166" s="143">
        <f>Tabella3[[#This Row],[rest of Italy fit]]</f>
        <v>1388.8774169021904</v>
      </c>
      <c r="BJ166" s="183">
        <f>Tabella34[[#This Row],[rest of Italy velocity]]/Tabella34[[#This Row],[rest of Italy cumul. fit]]</f>
        <v>7.2853058041364256E-3</v>
      </c>
      <c r="BK166" s="236">
        <f>(LN(Tabella34[[#This Row],[Day]]-po)-phi_o)/psi_o</f>
        <v>121.35643151257555</v>
      </c>
      <c r="BL166" s="244">
        <f>EXP(phi_o+psi_o*Tabella34[[#This Row],[x_o_alpha©+plus]])-(Tabella34[[#This Row],[Day]]-po)</f>
        <v>-86.659654319329505</v>
      </c>
      <c r="BM166" s="244">
        <f>EXP(phi_o+psi_o*Tabella34[[#This Row],[x_o_alpha©-minus]])-(Tabella34[[#This Row],[Day]]-po)</f>
        <v>-87.444037248025978</v>
      </c>
      <c r="BN166" s="244">
        <f>-psi_o+SQRT(psi_o^2-2*Tabella34[[#This Row],[c_o]])</f>
        <v>3.7459262344289552</v>
      </c>
      <c r="BO166" s="244">
        <f>-psi_o-SQRT(psi_o^2-2*Tabella34[[#This Row],[c_o]])</f>
        <v>-3.7972395186966086</v>
      </c>
      <c r="BP166" s="244">
        <f>phi_o-LN(alpha*Ko/(Tabella34[[#This Row],[rest of Italy velocity]]*psi_o*SQRTPI(2)))</f>
        <v>-7.1120895657480023</v>
      </c>
      <c r="BQ166" s="244">
        <f>(ACOSH(SQRT(alpha*Ka*psi_a/(Tabella34[[#This Row],[rest of Italy velocity]]*(1+TANH(phi_a)))))+phi_a)/psi_a-(Tabella34[[#This Row],[Day]]-pa)</f>
        <v>16.587834555508451</v>
      </c>
      <c r="BR166" s="72">
        <f>-2*$BY$35*TANH($BY$35*(Tabella34[[#This Row],[Day]]-$BY$44)-$BY$34)*Tabella34[[#This Row],[rest of Italy velocity]]</f>
        <v>-52.372074515283607</v>
      </c>
      <c r="BS166" s="77">
        <f>Tabella34[[#This Row],[rest of Italy acc. fit]]/y_a_peak</f>
        <v>-1.7344914570066681E-2</v>
      </c>
      <c r="BT166" s="121">
        <f>Tabella34[[#This Row],[rest of Italy acc. fit]]*NOT(ISBLANK(Tabella34[[#This Row],[rest of Italy rate data]]))</f>
        <v>0</v>
      </c>
      <c r="BU166" s="189"/>
      <c r="BV166" s="122"/>
    </row>
    <row r="167" spans="2:74" x14ac:dyDescent="0.3">
      <c r="B167" s="262">
        <v>43990</v>
      </c>
      <c r="C167" s="4">
        <v>160</v>
      </c>
      <c r="E167" s="10"/>
      <c r="F167" s="10"/>
      <c r="G167" s="121">
        <f>Tabella34[[#This Row],[Italy rate data]]*NOT(ISBLANK(Tabella34[[#This Row],[Italy rate data]]))</f>
        <v>0</v>
      </c>
      <c r="H167" s="143">
        <f>Tabella8[[#This Row],[Italy fit]]</f>
        <v>201891.42840380807</v>
      </c>
      <c r="I167" s="143" t="e">
        <f>(ATANH(alpha*Tabella34[[#This Row],[Italy cumul. Fit]]/Kf-(1-alpha*Tabella34[[#This Row],[Italy cumul. Fit]]/Kf)*TANH(phi_f))+phi_f)/psi_f-(Tabella34[[#This Row],[Day]]-pf)</f>
        <v>#NUM!</v>
      </c>
      <c r="J167" s="143" t="e">
        <f>Tabella34[[#This Row],[Italy d.t.]]/Italy_dt_at_lockdown</f>
        <v>#NUM!</v>
      </c>
      <c r="K167" s="77">
        <f>Tabella34[[#This Row],[Italy cumul. Fit]]/Kf</f>
        <v>0.85911245571970007</v>
      </c>
      <c r="L167" s="146">
        <f>Tabella34[[#This Row],[sel. region acc. fit]]+Tabella34[[#This Row],[rest of Italy acc. fit]]</f>
        <v>-53.471683308089737</v>
      </c>
      <c r="M167" s="77">
        <f>Tabella34[[#This Row],[Italy (fit of selected region + fitted sum of the other regions)]]/(y_l_peak+y_a_peak)</f>
        <v>-1.6885706586046413E-2</v>
      </c>
      <c r="N167" s="143">
        <f>Tabella3[[#This Row],[Italy remov. rate fit]]</f>
        <v>1451.2017165252951</v>
      </c>
      <c r="O167" s="143">
        <f>Kt*EXP(-0.5*Tabella34[[#This Row],[x_t]]^2)/(psi_t*SQRTPI(2)*(Tabella34[[#This Row],[Day]]-D_bk))</f>
        <v>0</v>
      </c>
      <c r="P167" s="183">
        <f>Tabella34[[#This Row],[Italy velocity]]/Tabella34[[#This Row],[Italy cumul. Fit]]</f>
        <v>7.1880303586871969E-3</v>
      </c>
      <c r="Q167" s="244">
        <f>(LN(Tabella34[[#This Row],[Day]]-D_bk)-phi_t)/psi_t</f>
        <v>124.50516001768798</v>
      </c>
      <c r="R167" s="244">
        <f>EXP(phi_t+psi_t*Tabella34[[#This Row],[x_t_alpha©+plus]])-(Tabella34[[#This Row],[Day]]-D_bk)</f>
        <v>-87.184955388397384</v>
      </c>
      <c r="S167" s="244">
        <f>EXP(phi_t+psi_t*Tabella34[[#This Row],[x_t_alpha©-minus]])-(Tabella34[[#This Row],[Day]]-D_bk)</f>
        <v>-87.939637403260278</v>
      </c>
      <c r="T167" s="244">
        <f>-psi_t+SQRT(psi_t^2-2*Tabella34[[#This Row],[c_t]])</f>
        <v>3.761202129782653</v>
      </c>
      <c r="U167" s="244">
        <f>-psi_t-SQRT(psi_t^2-2*Tabella34[[#This Row],[c_t]])</f>
        <v>-3.811720804480025</v>
      </c>
      <c r="V167" s="244">
        <f>phi_t-LN(alpha*Kt/(Tabella34[[#This Row],[Italy velocity]]*psi_t*SQRTPI(2)))</f>
        <v>-7.1683262039735585</v>
      </c>
      <c r="W167" s="244">
        <f>Tabella34[[#This Row],[Italy g.r.]]/Italy_gr_at_lockdown</f>
        <v>1.7145323832604274E-2</v>
      </c>
      <c r="X167" s="244">
        <f>(ACOSH(SQRT(alpha*Kf*psi_f/(Tabella34[[#This Row],[Italy velocity]]*(1+TANH(phi_f)))))+phi_f)/psi_f-(Tabella34[[#This Row],[Day]]-pf)</f>
        <v>16.843139141047871</v>
      </c>
      <c r="Y167" s="244">
        <f>Tabella34[[#This Row],[Italy h.t.]]/Italy_ht_at_lockdown</f>
        <v>0.14182783969090701</v>
      </c>
      <c r="Z167" s="72">
        <f>-2*$BY$48*TANH($BY$48*(Tabella34[[#This Row],[Day]]-$BY$57)-$BY$47)*Tabella34[[#This Row],[Italy velocity]]</f>
        <v>-53.90419738230927</v>
      </c>
      <c r="AA167" s="72">
        <f>Tabella34[[#This Row],[Italy acc. fit]]/Itali_acc_at_lockdown</f>
        <v>-1.5401054693418985</v>
      </c>
      <c r="AB167" s="77">
        <f>Tabella34[[#This Row],[Italy acc. fit]]/y_f_peak</f>
        <v>-1.7063747704434144E-2</v>
      </c>
      <c r="AC167" s="143">
        <f>Tabella34[[#This Row],[Italy (fit of selected region + fitted sum of the other regions)]]*NOT(ISBLANK(Tabella34[[#This Row],[Italy rate data]]))</f>
        <v>0</v>
      </c>
      <c r="AD167" s="143">
        <f>Tabella34[[#This Row],[Italy acc. fit]]*NOT(ISBLANK(Tabella34[[#This Row],[Italy rate data]]))</f>
        <v>0</v>
      </c>
      <c r="AE167" s="77">
        <f>Tabella34[[#This Row],[Italy acc. fit]]+CIf</f>
        <v>1601.305771541442</v>
      </c>
      <c r="AF167" s="77">
        <f>MAX(Tabella34[[#This Row],[Italy acc. fit]]-CIf,0)</f>
        <v>0</v>
      </c>
      <c r="AH167" s="10"/>
      <c r="AI167" s="10"/>
      <c r="AJ167" s="121">
        <f>Tabella34[[#This Row],[selected region rate data]]*NOT(ISBLANK(Tabella34[[#This Row],[selected region rate data]]))</f>
        <v>0</v>
      </c>
      <c r="AK167" s="77">
        <f>Tabella8[[#This Row],[region fit]]</f>
        <v>9701.4051080897352</v>
      </c>
      <c r="AL167" s="143" t="e">
        <f>(ATANH(alpha*Tabella34[[#This Row],[sel. region cumul. fit]]/Kl-(1-alpha*Tabella34[[#This Row],[sel. region cumul. fit]]/Kl)*TANH(phi_l))+phi_l)/psi_l-(Tabella34[[#This Row],[Day]]-pl)</f>
        <v>#NUM!</v>
      </c>
      <c r="AM167" s="77">
        <f>Tabella34[[#This Row],[sel. region cumul. fit]]/Kl</f>
        <v>0.73741942180175912</v>
      </c>
      <c r="AN167" s="143">
        <f>Tabella3[[#This Row],[region fit]]</f>
        <v>106.28543446435329</v>
      </c>
      <c r="AO167" s="186">
        <f>Tabella34[[#This Row],[sel. region velocity]]/Tabella34[[#This Row],[sel. region cumul. fit]]</f>
        <v>1.0955674284308031E-2</v>
      </c>
      <c r="AP167" s="241">
        <f>(LN(Tabella34[[#This Row],[Day]]-pr)-phi_r)/psi_r</f>
        <v>165.21780710086921</v>
      </c>
      <c r="AQ167" s="244">
        <f>EXP(phi_r+psi_r*Tabella34[[#This Row],[x_r_alpha©+plus]])-(Tabella34[[#This Row],[Day]]-pr)</f>
        <v>-80.403748313975555</v>
      </c>
      <c r="AR167" s="244">
        <f>EXP(phi_r+psi_r*Tabella34[[#This Row],[x_r_alpha©-minus]])-(Tabella34[[#This Row],[Day]]-pr)</f>
        <v>-80.868885977344021</v>
      </c>
      <c r="AS167" s="244">
        <f>-psi_r+SQRT(psi_r^2-2*Tabella34[[#This Row],[c_r]])</f>
        <v>3.8267614254532831</v>
      </c>
      <c r="AT167" s="244">
        <f>-psi_r-SQRT(psi_r^2-2*Tabella34[[#This Row],[c_r]])</f>
        <v>-3.8670494351196214</v>
      </c>
      <c r="AU167" s="244">
        <f>phi_r-LN(alpha*Kr/(Tabella34[[#This Row],[sel. region velocity]]*psi_r*SQRTPI(2)))</f>
        <v>-7.3991378043183387</v>
      </c>
      <c r="AV167" s="244">
        <f>(ACOSH(SQRT(alpha*Kl*psi_l/(Tabella34[[#This Row],[sel. region velocity]]*(1+TANH(phi_l)))))+phi_l)/psi_l-(Tabella34[[#This Row],[Day]]-pl)</f>
        <v>25.34176131687606</v>
      </c>
      <c r="AW167" s="72">
        <f>-2*$BY$22*TANH($BY$22*(Tabella34[[#This Row],[Day]]-$BY$31)-$BY$21)*Tabella34[[#This Row],[sel. region velocity]]</f>
        <v>-2.2582286439359711</v>
      </c>
      <c r="AX167" s="77">
        <f>Tabella34[[#This Row],[sel. region acc. fit]]/y_l_peak</f>
        <v>-1.5337601361106771E-2</v>
      </c>
      <c r="AY167" s="143">
        <f>Tabella34[[#This Row],[sel. region acc. fit]]*NOT(ISBLANK(Tabella34[[#This Row],[selected region rate data]]))</f>
        <v>0</v>
      </c>
      <c r="AZ167" s="77">
        <f>Tabella34[[#This Row],[sel. region acc. fit]]+CIl</f>
        <v>67.106757731164436</v>
      </c>
      <c r="BA167" s="77">
        <f>MAX(Tabella34[[#This Row],[sel. region acc. fit]]-CIl,0)</f>
        <v>0</v>
      </c>
      <c r="BC167" s="10"/>
      <c r="BD167" s="10"/>
      <c r="BE167" s="77">
        <f>Tabella34[[#This Row],[rest of Italy rate data]]*NOT(ISBLANK(Tabella34[[#This Row],[rest of Italy rate data]]))</f>
        <v>0</v>
      </c>
      <c r="BF167" s="77">
        <f>Tabella8[[#This Row],[rest of Italy fit]]</f>
        <v>192003.80464446481</v>
      </c>
      <c r="BG167" s="78" t="e">
        <f>(ATANH(alpha*Tabella34[[#This Row],[rest of Italy cumul. fit]]/Ka-(1-alpha*Tabella34[[#This Row],[rest of Italy cumul. fit]]/Ka)*TANH(phi_a))+phi_a)/psi_a-(Tabella34[[#This Row],[Day]]-pa)</f>
        <v>#NUM!</v>
      </c>
      <c r="BH167" s="77">
        <f>Tabella34[[#This Row],[rest of Italy cumul. fit]]/Ka</f>
        <v>0.86548973058326817</v>
      </c>
      <c r="BI167" s="143">
        <f>Tabella3[[#This Row],[rest of Italy fit]]</f>
        <v>1337.0806273117721</v>
      </c>
      <c r="BJ167" s="183">
        <f>Tabella34[[#This Row],[rest of Italy velocity]]/Tabella34[[#This Row],[rest of Italy cumul. fit]]</f>
        <v>6.96382360645226E-3</v>
      </c>
      <c r="BK167" s="236">
        <f>(LN(Tabella34[[#This Row],[Day]]-po)-phi_o)/psi_o</f>
        <v>121.78185963994426</v>
      </c>
      <c r="BL167" s="244">
        <f>EXP(phi_o+psi_o*Tabella34[[#This Row],[x_o_alpha©+plus]])-(Tabella34[[#This Row],[Day]]-po)</f>
        <v>-87.658503144568087</v>
      </c>
      <c r="BM167" s="244">
        <f>EXP(phi_o+psi_o*Tabella34[[#This Row],[x_o_alpha©-minus]])-(Tabella34[[#This Row],[Day]]-po)</f>
        <v>-88.444985620872799</v>
      </c>
      <c r="BN167" s="244">
        <f>-psi_o+SQRT(psi_o^2-2*Tabella34[[#This Row],[c_o]])</f>
        <v>3.7559900636150561</v>
      </c>
      <c r="BO167" s="244">
        <f>-psi_o-SQRT(psi_o^2-2*Tabella34[[#This Row],[c_o]])</f>
        <v>-3.8073033478827094</v>
      </c>
      <c r="BP167" s="244">
        <f>phi_o-LN(alpha*Ko/(Tabella34[[#This Row],[rest of Italy velocity]]*psi_o*SQRTPI(2)))</f>
        <v>-7.1500967719078972</v>
      </c>
      <c r="BQ167" s="244">
        <f>(ACOSH(SQRT(alpha*Ka*psi_a/(Tabella34[[#This Row],[rest of Italy velocity]]*(1+TANH(phi_a)))))+phi_a)/psi_a-(Tabella34[[#This Row],[Day]]-pa)</f>
        <v>16.429569878334831</v>
      </c>
      <c r="BR167" s="72">
        <f>-2*$BY$35*TANH($BY$35*(Tabella34[[#This Row],[Day]]-$BY$44)-$BY$34)*Tabella34[[#This Row],[rest of Italy velocity]]</f>
        <v>-51.213454664153765</v>
      </c>
      <c r="BS167" s="77">
        <f>Tabella34[[#This Row],[rest of Italy acc. fit]]/y_a_peak</f>
        <v>-1.6961195526606489E-2</v>
      </c>
      <c r="BT167" s="121">
        <f>Tabella34[[#This Row],[rest of Italy acc. fit]]*NOT(ISBLANK(Tabella34[[#This Row],[rest of Italy rate data]]))</f>
        <v>0</v>
      </c>
      <c r="BU167" s="189"/>
      <c r="BV167" s="122"/>
    </row>
    <row r="168" spans="2:74" x14ac:dyDescent="0.3">
      <c r="B168" s="262">
        <v>43991</v>
      </c>
      <c r="C168" s="4">
        <v>161</v>
      </c>
      <c r="E168" s="10"/>
      <c r="F168" s="10"/>
      <c r="G168" s="121">
        <f>Tabella34[[#This Row],[Italy rate data]]*NOT(ISBLANK(Tabella34[[#This Row],[Italy rate data]]))</f>
        <v>0</v>
      </c>
      <c r="H168" s="143">
        <f>Tabella8[[#This Row],[Italy fit]]</f>
        <v>203315.8720446403</v>
      </c>
      <c r="I168" s="143" t="e">
        <f>(ATANH(alpha*Tabella34[[#This Row],[Italy cumul. Fit]]/Kf-(1-alpha*Tabella34[[#This Row],[Italy cumul. Fit]]/Kf)*TANH(phi_f))+phi_f)/psi_f-(Tabella34[[#This Row],[Day]]-pf)</f>
        <v>#NUM!</v>
      </c>
      <c r="J168" s="143" t="e">
        <f>Tabella34[[#This Row],[Italy d.t.]]/Italy_dt_at_lockdown</f>
        <v>#NUM!</v>
      </c>
      <c r="K168" s="77">
        <f>Tabella34[[#This Row],[Italy cumul. Fit]]/Kf</f>
        <v>0.86517391798179288</v>
      </c>
      <c r="L168" s="146">
        <f>Tabella34[[#This Row],[sel. region acc. fit]]+Tabella34[[#This Row],[rest of Italy acc. fit]]</f>
        <v>-52.280908566347172</v>
      </c>
      <c r="M168" s="77">
        <f>Tabella34[[#This Row],[Italy (fit of selected region + fitted sum of the other regions)]]/(y_l_peak+y_a_peak)</f>
        <v>-1.6509674419950417E-2</v>
      </c>
      <c r="N168" s="143">
        <f>Tabella3[[#This Row],[Italy remov. rate fit]]</f>
        <v>1397.8816216120954</v>
      </c>
      <c r="O168" s="143">
        <f>Kt*EXP(-0.5*Tabella34[[#This Row],[x_t]]^2)/(psi_t*SQRTPI(2)*(Tabella34[[#This Row],[Day]]-D_bk))</f>
        <v>0</v>
      </c>
      <c r="P168" s="183">
        <f>Tabella34[[#This Row],[Italy velocity]]/Tabella34[[#This Row],[Italy cumul. Fit]]</f>
        <v>6.8754180751081483E-3</v>
      </c>
      <c r="Q168" s="244">
        <f>(LN(Tabella34[[#This Row],[Day]]-D_bk)-phi_t)/psi_t</f>
        <v>124.93539127019832</v>
      </c>
      <c r="R168" s="244">
        <f>EXP(phi_t+psi_t*Tabella34[[#This Row],[x_t_alpha©+plus]])-(Tabella34[[#This Row],[Day]]-D_bk)</f>
        <v>-88.183874210375009</v>
      </c>
      <c r="S168" s="244">
        <f>EXP(phi_t+psi_t*Tabella34[[#This Row],[x_t_alpha©-minus]])-(Tabella34[[#This Row],[Day]]-D_bk)</f>
        <v>-88.940530120666409</v>
      </c>
      <c r="T168" s="244">
        <f>-psi_t+SQRT(psi_t^2-2*Tabella34[[#This Row],[c_t]])</f>
        <v>3.7710755374949483</v>
      </c>
      <c r="U168" s="244">
        <f>-psi_t-SQRT(psi_t^2-2*Tabella34[[#This Row],[c_t]])</f>
        <v>-3.8215942121923203</v>
      </c>
      <c r="V168" s="244">
        <f>phi_t-LN(alpha*Kt/(Tabella34[[#This Row],[Italy velocity]]*psi_t*SQRTPI(2)))</f>
        <v>-7.2057602239153695</v>
      </c>
      <c r="W168" s="244">
        <f>Tabella34[[#This Row],[Italy g.r.]]/Italy_gr_at_lockdown</f>
        <v>1.6399662146641167E-2</v>
      </c>
      <c r="X168" s="244">
        <f>(ACOSH(SQRT(alpha*Kf*psi_f/(Tabella34[[#This Row],[Italy velocity]]*(1+TANH(phi_f)))))+phi_f)/psi_f-(Tabella34[[#This Row],[Day]]-pf)</f>
        <v>16.685097912278565</v>
      </c>
      <c r="Y168" s="244">
        <f>Tabella34[[#This Row],[Italy h.t.]]/Italy_ht_at_lockdown</f>
        <v>0.14049705177359881</v>
      </c>
      <c r="Z168" s="72">
        <f>-2*$BY$48*TANH($BY$48*(Tabella34[[#This Row],[Day]]-$BY$57)-$BY$47)*Tabella34[[#This Row],[Italy velocity]]</f>
        <v>-52.72799104208832</v>
      </c>
      <c r="AA168" s="72">
        <f>Tabella34[[#This Row],[Italy acc. fit]]/Itali_acc_at_lockdown</f>
        <v>-1.5064998893385237</v>
      </c>
      <c r="AB168" s="77">
        <f>Tabella34[[#This Row],[Italy acc. fit]]/y_f_peak</f>
        <v>-1.6691411426137698E-2</v>
      </c>
      <c r="AC168" s="143">
        <f>Tabella34[[#This Row],[Italy (fit of selected region + fitted sum of the other regions)]]*NOT(ISBLANK(Tabella34[[#This Row],[Italy rate data]]))</f>
        <v>0</v>
      </c>
      <c r="AD168" s="143">
        <f>Tabella34[[#This Row],[Italy acc. fit]]*NOT(ISBLANK(Tabella34[[#This Row],[Italy rate data]]))</f>
        <v>0</v>
      </c>
      <c r="AE168" s="77">
        <f>Tabella34[[#This Row],[Italy acc. fit]]+CIf</f>
        <v>1602.4819778816632</v>
      </c>
      <c r="AF168" s="77">
        <f>MAX(Tabella34[[#This Row],[Italy acc. fit]]-CIf,0)</f>
        <v>0</v>
      </c>
      <c r="AH168" s="10"/>
      <c r="AI168" s="10"/>
      <c r="AJ168" s="121">
        <f>Tabella34[[#This Row],[selected region rate data]]*NOT(ISBLANK(Tabella34[[#This Row],[selected region rate data]]))</f>
        <v>0</v>
      </c>
      <c r="AK168" s="77">
        <f>Tabella8[[#This Row],[region fit]]</f>
        <v>9806.5592239064936</v>
      </c>
      <c r="AL168" s="143" t="e">
        <f>(ATANH(alpha*Tabella34[[#This Row],[sel. region cumul. fit]]/Kl-(1-alpha*Tabella34[[#This Row],[sel. region cumul. fit]]/Kl)*TANH(phi_l))+phi_l)/psi_l-(Tabella34[[#This Row],[Day]]-pl)</f>
        <v>#NUM!</v>
      </c>
      <c r="AM168" s="77">
        <f>Tabella34[[#This Row],[sel. region cumul. fit]]/Kl</f>
        <v>0.74541235544608331</v>
      </c>
      <c r="AN168" s="143">
        <f>Tabella3[[#This Row],[region fit]]</f>
        <v>104.02076845762504</v>
      </c>
      <c r="AO168" s="186">
        <f>Tabella34[[#This Row],[sel. region velocity]]/Tabella34[[#This Row],[sel. region cumul. fit]]</f>
        <v>1.0607264595317238E-2</v>
      </c>
      <c r="AP168" s="241">
        <f>(LN(Tabella34[[#This Row],[Day]]-pr)-phi_r)/psi_r</f>
        <v>165.80778892795573</v>
      </c>
      <c r="AQ168" s="244">
        <f>EXP(phi_r+psi_r*Tabella34[[#This Row],[x_r_alpha©+plus]])-(Tabella34[[#This Row],[Day]]-pr)</f>
        <v>-81.403383176884645</v>
      </c>
      <c r="AR168" s="244">
        <f>EXP(phi_r+psi_r*Tabella34[[#This Row],[x_r_alpha©-minus]])-(Tabella34[[#This Row],[Day]]-pr)</f>
        <v>-81.869198656002553</v>
      </c>
      <c r="AS168" s="244">
        <f>-psi_r+SQRT(psi_r^2-2*Tabella34[[#This Row],[c_r]])</f>
        <v>3.8323560592596477</v>
      </c>
      <c r="AT168" s="244">
        <f>-psi_r-SQRT(psi_r^2-2*Tabella34[[#This Row],[c_r]])</f>
        <v>-3.872644068925986</v>
      </c>
      <c r="AU168" s="244">
        <f>phi_r-LN(alpha*Kr/(Tabella34[[#This Row],[sel. region velocity]]*psi_r*SQRTPI(2)))</f>
        <v>-7.4206754814522204</v>
      </c>
      <c r="AV168" s="244">
        <f>(ACOSH(SQRT(alpha*Kl*psi_l/(Tabella34[[#This Row],[sel. region velocity]]*(1+TANH(phi_l)))))+phi_l)/psi_l-(Tabella34[[#This Row],[Day]]-pl)</f>
        <v>25.008485691068429</v>
      </c>
      <c r="AW168" s="72">
        <f>-2*$BY$22*TANH($BY$22*(Tabella34[[#This Row],[Day]]-$BY$31)-$BY$21)*Tabella34[[#This Row],[sel. region velocity]]</f>
        <v>-2.2704033639923016</v>
      </c>
      <c r="AX168" s="77">
        <f>Tabella34[[#This Row],[sel. region acc. fit]]/y_l_peak</f>
        <v>-1.5420290509262117E-2</v>
      </c>
      <c r="AY168" s="143">
        <f>Tabella34[[#This Row],[sel. region acc. fit]]*NOT(ISBLANK(Tabella34[[#This Row],[selected region rate data]]))</f>
        <v>0</v>
      </c>
      <c r="AZ168" s="77">
        <f>Tabella34[[#This Row],[sel. region acc. fit]]+CIl</f>
        <v>67.094583011108099</v>
      </c>
      <c r="BA168" s="77">
        <f>MAX(Tabella34[[#This Row],[sel. region acc. fit]]-CIl,0)</f>
        <v>0</v>
      </c>
      <c r="BC168" s="10"/>
      <c r="BD168" s="10"/>
      <c r="BE168" s="77">
        <f>Tabella34[[#This Row],[rest of Italy rate data]]*NOT(ISBLANK(Tabella34[[#This Row],[rest of Italy rate data]]))</f>
        <v>0</v>
      </c>
      <c r="BF168" s="77">
        <f>Tabella8[[#This Row],[rest of Italy fit]]</f>
        <v>193315.4773413215</v>
      </c>
      <c r="BG168" s="78" t="e">
        <f>(ATANH(alpha*Tabella34[[#This Row],[rest of Italy cumul. fit]]/Ka-(1-alpha*Tabella34[[#This Row],[rest of Italy cumul. fit]]/Ka)*TANH(phi_a))+phi_a)/psi_a-(Tabella34[[#This Row],[Day]]-pa)</f>
        <v>#NUM!</v>
      </c>
      <c r="BH168" s="77">
        <f>Tabella34[[#This Row],[rest of Italy cumul. fit]]/Ka</f>
        <v>0.87140231784224498</v>
      </c>
      <c r="BI168" s="143">
        <f>Tabella3[[#This Row],[rest of Italy fit]]</f>
        <v>1286.4652792609168</v>
      </c>
      <c r="BJ168" s="183">
        <f>Tabella34[[#This Row],[rest of Italy velocity]]/Tabella34[[#This Row],[rest of Italy cumul. fit]]</f>
        <v>6.6547453776270027E-3</v>
      </c>
      <c r="BK168" s="236">
        <f>(LN(Tabella34[[#This Row],[Day]]-po)-phi_o)/psi_o</f>
        <v>122.20269428793864</v>
      </c>
      <c r="BL168" s="244">
        <f>EXP(phi_o+psi_o*Tabella34[[#This Row],[x_o_alpha©+plus]])-(Tabella34[[#This Row],[Day]]-po)</f>
        <v>-88.657337133801349</v>
      </c>
      <c r="BM168" s="244">
        <f>EXP(phi_o+psi_o*Tabella34[[#This Row],[x_o_alpha©-minus]])-(Tabella34[[#This Row],[Day]]-po)</f>
        <v>-89.445945717012137</v>
      </c>
      <c r="BN168" s="244">
        <f>-psi_o+SQRT(psi_o^2-2*Tabella34[[#This Row],[c_o]])</f>
        <v>3.7661809442216669</v>
      </c>
      <c r="BO168" s="244">
        <f>-psi_o-SQRT(psi_o^2-2*Tabella34[[#This Row],[c_o]])</f>
        <v>-3.8174942284893203</v>
      </c>
      <c r="BP168" s="244">
        <f>phi_o-LN(alpha*Ko/(Tabella34[[#This Row],[rest of Italy velocity]]*psi_o*SQRTPI(2)))</f>
        <v>-7.1886870090063368</v>
      </c>
      <c r="BQ168" s="244">
        <f>(ACOSH(SQRT(alpha*Ka*psi_a/(Tabella34[[#This Row],[rest of Italy velocity]]*(1+TANH(phi_a)))))+phi_a)/psi_a-(Tabella34[[#This Row],[Day]]-pa)</f>
        <v>16.27957594901352</v>
      </c>
      <c r="BR168" s="72">
        <f>-2*$BY$35*TANH($BY$35*(Tabella34[[#This Row],[Day]]-$BY$44)-$BY$34)*Tabella34[[#This Row],[rest of Italy velocity]]</f>
        <v>-50.010505202354871</v>
      </c>
      <c r="BS168" s="77">
        <f>Tabella34[[#This Row],[rest of Italy acc. fit]]/y_a_peak</f>
        <v>-1.6562795122572076E-2</v>
      </c>
      <c r="BT168" s="121">
        <f>Tabella34[[#This Row],[rest of Italy acc. fit]]*NOT(ISBLANK(Tabella34[[#This Row],[rest of Italy rate data]]))</f>
        <v>0</v>
      </c>
      <c r="BU168" s="189"/>
      <c r="BV168" s="122"/>
    </row>
    <row r="169" spans="2:74" x14ac:dyDescent="0.3">
      <c r="B169" s="262">
        <v>43992</v>
      </c>
      <c r="C169" s="4">
        <v>162</v>
      </c>
      <c r="E169" s="10"/>
      <c r="F169" s="10"/>
      <c r="G169" s="121">
        <f>Tabella34[[#This Row],[Italy rate data]]*NOT(ISBLANK(Tabella34[[#This Row],[Italy rate data]]))</f>
        <v>0</v>
      </c>
      <c r="H169" s="143">
        <f>Tabella8[[#This Row],[Italy fit]]</f>
        <v>204687.59136852549</v>
      </c>
      <c r="I169" s="143" t="e">
        <f>(ATANH(alpha*Tabella34[[#This Row],[Italy cumul. Fit]]/Kf-(1-alpha*Tabella34[[#This Row],[Italy cumul. Fit]]/Kf)*TANH(phi_f))+phi_f)/psi_f-(Tabella34[[#This Row],[Day]]-pf)</f>
        <v>#NUM!</v>
      </c>
      <c r="J169" s="143" t="e">
        <f>Tabella34[[#This Row],[Italy d.t.]]/Italy_dt_at_lockdown</f>
        <v>#NUM!</v>
      </c>
      <c r="K169" s="77">
        <f>Tabella34[[#This Row],[Italy cumul. Fit]]/Kf</f>
        <v>0.87101102144982168</v>
      </c>
      <c r="L169" s="146">
        <f>Tabella34[[#This Row],[sel. region acc. fit]]+Tabella34[[#This Row],[rest of Italy acc. fit]]</f>
        <v>-51.049340719401023</v>
      </c>
      <c r="M169" s="77">
        <f>Tabella34[[#This Row],[Italy (fit of selected region + fitted sum of the other regions)]]/(y_l_peak+y_a_peak)</f>
        <v>-1.6120760287875666E-2</v>
      </c>
      <c r="N169" s="143">
        <f>Tabella3[[#This Row],[Italy remov. rate fit]]</f>
        <v>1345.7604331700186</v>
      </c>
      <c r="O169" s="143">
        <f>Kt*EXP(-0.5*Tabella34[[#This Row],[x_t]]^2)/(psi_t*SQRTPI(2)*(Tabella34[[#This Row],[Day]]-D_bk))</f>
        <v>0</v>
      </c>
      <c r="P169" s="183">
        <f>Tabella34[[#This Row],[Italy velocity]]/Tabella34[[#This Row],[Italy cumul. Fit]]</f>
        <v>6.5747045249414868E-3</v>
      </c>
      <c r="Q169" s="244">
        <f>(LN(Tabella34[[#This Row],[Day]]-D_bk)-phi_t)/psi_t</f>
        <v>125.36099726566296</v>
      </c>
      <c r="R169" s="244">
        <f>EXP(phi_t+psi_t*Tabella34[[#This Row],[x_t_alpha©+plus]])-(Tabella34[[#This Row],[Day]]-D_bk)</f>
        <v>-89.182779315764051</v>
      </c>
      <c r="S169" s="244">
        <f>EXP(phi_t+psi_t*Tabella34[[#This Row],[x_t_alpha©-minus]])-(Tabella34[[#This Row],[Day]]-D_bk)</f>
        <v>-89.941433710098281</v>
      </c>
      <c r="T169" s="244">
        <f>-psi_t+SQRT(psi_t^2-2*Tabella34[[#This Row],[c_t]])</f>
        <v>3.7810716974236027</v>
      </c>
      <c r="U169" s="244">
        <f>-psi_t-SQRT(psi_t^2-2*Tabella34[[#This Row],[c_t]])</f>
        <v>-3.8315903721209748</v>
      </c>
      <c r="V169" s="244">
        <f>phi_t-LN(alpha*Kt/(Tabella34[[#This Row],[Italy velocity]]*psi_t*SQRTPI(2)))</f>
        <v>-7.2437589560736946</v>
      </c>
      <c r="W169" s="244">
        <f>Tabella34[[#This Row],[Italy g.r.]]/Italy_gr_at_lockdown</f>
        <v>1.5682382037740632E-2</v>
      </c>
      <c r="X169" s="244">
        <f>(ACOSH(SQRT(alpha*Kf*psi_f/(Tabella34[[#This Row],[Italy velocity]]*(1+TANH(phi_f)))))+phi_f)/psi_f-(Tabella34[[#This Row],[Day]]-pf)</f>
        <v>16.535191067611123</v>
      </c>
      <c r="Y169" s="244">
        <f>Tabella34[[#This Row],[Italy h.t.]]/Italy_ht_at_lockdown</f>
        <v>0.13923475952771638</v>
      </c>
      <c r="Z169" s="72">
        <f>-2*$BY$48*TANH($BY$48*(Tabella34[[#This Row],[Day]]-$BY$57)-$BY$47)*Tabella34[[#This Row],[Italy velocity]]</f>
        <v>-51.507674423858226</v>
      </c>
      <c r="AA169" s="72">
        <f>Tabella34[[#This Row],[Italy acc. fit]]/Itali_acc_at_lockdown</f>
        <v>-1.4716340275071076</v>
      </c>
      <c r="AB169" s="77">
        <f>Tabella34[[#This Row],[Italy acc. fit]]/y_f_peak</f>
        <v>-1.6305111733271097E-2</v>
      </c>
      <c r="AC169" s="143">
        <f>Tabella34[[#This Row],[Italy (fit of selected region + fitted sum of the other regions)]]*NOT(ISBLANK(Tabella34[[#This Row],[Italy rate data]]))</f>
        <v>0</v>
      </c>
      <c r="AD169" s="143">
        <f>Tabella34[[#This Row],[Italy acc. fit]]*NOT(ISBLANK(Tabella34[[#This Row],[Italy rate data]]))</f>
        <v>0</v>
      </c>
      <c r="AE169" s="77">
        <f>Tabella34[[#This Row],[Italy acc. fit]]+CIf</f>
        <v>1603.7022944998932</v>
      </c>
      <c r="AF169" s="77">
        <f>MAX(Tabella34[[#This Row],[Italy acc. fit]]-CIf,0)</f>
        <v>0</v>
      </c>
      <c r="AH169" s="10"/>
      <c r="AI169" s="10"/>
      <c r="AJ169" s="121">
        <f>Tabella34[[#This Row],[selected region rate data]]*NOT(ISBLANK(Tabella34[[#This Row],[selected region rate data]]))</f>
        <v>0</v>
      </c>
      <c r="AK169" s="77">
        <f>Tabella8[[#This Row],[region fit]]</f>
        <v>9909.4432801216371</v>
      </c>
      <c r="AL169" s="143" t="e">
        <f>(ATANH(alpha*Tabella34[[#This Row],[sel. region cumul. fit]]/Kl-(1-alpha*Tabella34[[#This Row],[sel. region cumul. fit]]/Kl)*TANH(phi_l))+phi_l)/psi_l-(Tabella34[[#This Row],[Day]]-pl)</f>
        <v>#NUM!</v>
      </c>
      <c r="AM169" s="77">
        <f>Tabella34[[#This Row],[sel. region cumul. fit]]/Kl</f>
        <v>0.75323273820522874</v>
      </c>
      <c r="AN169" s="143">
        <f>Tabella3[[#This Row],[region fit]]</f>
        <v>101.7460027316028</v>
      </c>
      <c r="AO169" s="186">
        <f>Tabella34[[#This Row],[sel. region velocity]]/Tabella34[[#This Row],[sel. region cumul. fit]]</f>
        <v>1.0267580110752083E-2</v>
      </c>
      <c r="AP169" s="241">
        <f>(LN(Tabella34[[#This Row],[Day]]-pr)-phi_r)/psi_r</f>
        <v>166.39084133172116</v>
      </c>
      <c r="AQ169" s="244">
        <f>EXP(phi_r+psi_r*Tabella34[[#This Row],[x_r_alpha©+plus]])-(Tabella34[[#This Row],[Day]]-pr)</f>
        <v>-82.403008827459715</v>
      </c>
      <c r="AR169" s="244">
        <f>EXP(phi_r+psi_r*Tabella34[[#This Row],[x_r_alpha©-minus]])-(Tabella34[[#This Row],[Day]]-pr)</f>
        <v>-82.869519150325843</v>
      </c>
      <c r="AS169" s="244">
        <f>-psi_r+SQRT(psi_r^2-2*Tabella34[[#This Row],[c_r]])</f>
        <v>3.8380911900382437</v>
      </c>
      <c r="AT169" s="244">
        <f>-psi_r-SQRT(psi_r^2-2*Tabella34[[#This Row],[c_r]])</f>
        <v>-3.878379199704582</v>
      </c>
      <c r="AU169" s="244">
        <f>phi_r-LN(alpha*Kr/(Tabella34[[#This Row],[sel. region velocity]]*psi_r*SQRTPI(2)))</f>
        <v>-7.4427865190068649</v>
      </c>
      <c r="AV169" s="244">
        <f>(ACOSH(SQRT(alpha*Kl*psi_l/(Tabella34[[#This Row],[sel. region velocity]]*(1+TANH(phi_l)))))+phi_l)/psi_l-(Tabella34[[#This Row],[Day]]-pl)</f>
        <v>24.688892386642749</v>
      </c>
      <c r="AW169" s="72">
        <f>-2*$BY$22*TANH($BY$22*(Tabella34[[#This Row],[Day]]-$BY$31)-$BY$21)*Tabella34[[#This Row],[sel. region velocity]]</f>
        <v>-2.2784534240030463</v>
      </c>
      <c r="AX169" s="77">
        <f>Tabella34[[#This Row],[sel. region acc. fit]]/y_l_peak</f>
        <v>-1.5474965491668942E-2</v>
      </c>
      <c r="AY169" s="143">
        <f>Tabella34[[#This Row],[sel. region acc. fit]]*NOT(ISBLANK(Tabella34[[#This Row],[selected region rate data]]))</f>
        <v>0</v>
      </c>
      <c r="AZ169" s="77">
        <f>Tabella34[[#This Row],[sel. region acc. fit]]+CIl</f>
        <v>67.086532951097354</v>
      </c>
      <c r="BA169" s="77">
        <f>MAX(Tabella34[[#This Row],[sel. region acc. fit]]-CIl,0)</f>
        <v>0</v>
      </c>
      <c r="BC169" s="10"/>
      <c r="BD169" s="10"/>
      <c r="BE169" s="77">
        <f>Tabella34[[#This Row],[rest of Italy rate data]]*NOT(ISBLANK(Tabella34[[#This Row],[rest of Italy rate data]]))</f>
        <v>0</v>
      </c>
      <c r="BF169" s="77">
        <f>Tabella8[[#This Row],[rest of Italy fit]]</f>
        <v>194577.1425867932</v>
      </c>
      <c r="BG169" s="78" t="e">
        <f>(ATANH(alpha*Tabella34[[#This Row],[rest of Italy cumul. fit]]/Ka-(1-alpha*Tabella34[[#This Row],[rest of Italy cumul. fit]]/Ka)*TANH(phi_a))+phi_a)/psi_a-(Tabella34[[#This Row],[Day]]-pa)</f>
        <v>#NUM!</v>
      </c>
      <c r="BH169" s="77">
        <f>Tabella34[[#This Row],[rest of Italy cumul. fit]]/Ka</f>
        <v>0.87708948802833353</v>
      </c>
      <c r="BI169" s="143">
        <f>Tabella3[[#This Row],[rest of Italy fit]]</f>
        <v>1237.0718346920901</v>
      </c>
      <c r="BJ169" s="183">
        <f>Tabella34[[#This Row],[rest of Italy velocity]]/Tabella34[[#This Row],[rest of Italy cumul. fit]]</f>
        <v>6.3577448935980803E-3</v>
      </c>
      <c r="BK169" s="236">
        <f>(LN(Tabella34[[#This Row],[Day]]-po)-phi_o)/psi_o</f>
        <v>122.619033592341</v>
      </c>
      <c r="BL169" s="244">
        <f>EXP(phi_o+psi_o*Tabella34[[#This Row],[x_o_alpha©+plus]])-(Tabella34[[#This Row],[Day]]-po)</f>
        <v>-89.656157056819211</v>
      </c>
      <c r="BM169" s="244">
        <f>EXP(phi_o+psi_o*Tabella34[[#This Row],[x_o_alpha©-minus]])-(Tabella34[[#This Row],[Day]]-po)</f>
        <v>-90.44691688432772</v>
      </c>
      <c r="BN169" s="244">
        <f>-psi_o+SQRT(psi_o^2-2*Tabella34[[#This Row],[c_o]])</f>
        <v>3.7764920506646793</v>
      </c>
      <c r="BO169" s="244">
        <f>-psi_o-SQRT(psi_o^2-2*Tabella34[[#This Row],[c_o]])</f>
        <v>-3.8278053349323327</v>
      </c>
      <c r="BP169" s="244">
        <f>phi_o-LN(alpha*Ko/(Tabella34[[#This Row],[rest of Italy velocity]]*psi_o*SQRTPI(2)))</f>
        <v>-7.2278382094319031</v>
      </c>
      <c r="BQ169" s="244">
        <f>(ACOSH(SQRT(alpha*Ka*psi_a/(Tabella34[[#This Row],[rest of Italy velocity]]*(1+TANH(phi_a)))))+phi_a)/psi_a-(Tabella34[[#This Row],[Day]]-pa)</f>
        <v>16.137412901689842</v>
      </c>
      <c r="BR169" s="72">
        <f>-2*$BY$35*TANH($BY$35*(Tabella34[[#This Row],[Day]]-$BY$44)-$BY$34)*Tabella34[[#This Row],[rest of Italy velocity]]</f>
        <v>-48.770887295397976</v>
      </c>
      <c r="BS169" s="77">
        <f>Tabella34[[#This Row],[rest of Italy acc. fit]]/y_a_peak</f>
        <v>-1.6152250631167261E-2</v>
      </c>
      <c r="BT169" s="121">
        <f>Tabella34[[#This Row],[rest of Italy acc. fit]]*NOT(ISBLANK(Tabella34[[#This Row],[rest of Italy rate data]]))</f>
        <v>0</v>
      </c>
      <c r="BU169" s="189"/>
      <c r="BV169" s="122"/>
    </row>
    <row r="170" spans="2:74" x14ac:dyDescent="0.3">
      <c r="B170" s="262">
        <v>43993</v>
      </c>
      <c r="C170" s="4">
        <v>163</v>
      </c>
      <c r="E170" s="10"/>
      <c r="F170" s="10"/>
      <c r="G170" s="121">
        <f>Tabella34[[#This Row],[Italy rate data]]*NOT(ISBLANK(Tabella34[[#This Row],[Italy rate data]]))</f>
        <v>0</v>
      </c>
      <c r="H170" s="143">
        <f>Tabella8[[#This Row],[Italy fit]]</f>
        <v>206007.80606489163</v>
      </c>
      <c r="I170" s="143" t="e">
        <f>(ATANH(alpha*Tabella34[[#This Row],[Italy cumul. Fit]]/Kf-(1-alpha*Tabella34[[#This Row],[Italy cumul. Fit]]/Kf)*TANH(phi_f))+phi_f)/psi_f-(Tabella34[[#This Row],[Day]]-pf)</f>
        <v>#NUM!</v>
      </c>
      <c r="J170" s="143" t="e">
        <f>Tabella34[[#This Row],[Italy d.t.]]/Italy_dt_at_lockdown</f>
        <v>#NUM!</v>
      </c>
      <c r="K170" s="77">
        <f>Tabella34[[#This Row],[Italy cumul. Fit]]/Kf</f>
        <v>0.8766289562915317</v>
      </c>
      <c r="L170" s="146">
        <f>Tabella34[[#This Row],[sel. region acc. fit]]+Tabella34[[#This Row],[rest of Italy acc. fit]]</f>
        <v>-49.784345648174394</v>
      </c>
      <c r="M170" s="77">
        <f>Tabella34[[#This Row],[Italy (fit of selected region + fitted sum of the other regions)]]/(y_l_peak+y_a_peak)</f>
        <v>-1.572129024534016E-2</v>
      </c>
      <c r="N170" s="143">
        <f>Tabella3[[#This Row],[Italy remov. rate fit]]</f>
        <v>1294.8784628183791</v>
      </c>
      <c r="O170" s="143">
        <f>Kt*EXP(-0.5*Tabella34[[#This Row],[x_t]]^2)/(psi_t*SQRTPI(2)*(Tabella34[[#This Row],[Day]]-D_bk))</f>
        <v>0</v>
      </c>
      <c r="P170" s="183">
        <f>Tabella34[[#This Row],[Italy velocity]]/Tabella34[[#This Row],[Italy cumul. Fit]]</f>
        <v>6.2855795979425057E-3</v>
      </c>
      <c r="Q170" s="244">
        <f>(LN(Tabella34[[#This Row],[Day]]-D_bk)-phi_t)/psi_t</f>
        <v>125.78207639609829</v>
      </c>
      <c r="R170" s="244">
        <f>EXP(phi_t+psi_t*Tabella34[[#This Row],[x_t_alpha©+plus]])-(Tabella34[[#This Row],[Day]]-D_bk)</f>
        <v>-90.181671404445424</v>
      </c>
      <c r="S170" s="244">
        <f>EXP(phi_t+psi_t*Tabella34[[#This Row],[x_t_alpha©-minus]])-(Tabella34[[#This Row],[Day]]-D_bk)</f>
        <v>-90.942347577598596</v>
      </c>
      <c r="T170" s="244">
        <f>-psi_t+SQRT(psi_t^2-2*Tabella34[[#This Row],[c_t]])</f>
        <v>3.7911841286555421</v>
      </c>
      <c r="U170" s="244">
        <f>-psi_t-SQRT(psi_t^2-2*Tabella34[[#This Row],[c_t]])</f>
        <v>-3.8417028033529141</v>
      </c>
      <c r="V170" s="244">
        <f>phi_t-LN(alpha*Kt/(Tabella34[[#This Row],[Italy velocity]]*psi_t*SQRTPI(2)))</f>
        <v>-7.2823013475415355</v>
      </c>
      <c r="W170" s="244">
        <f>Tabella34[[#This Row],[Italy g.r.]]/Italy_gr_at_lockdown</f>
        <v>1.4992743812230832E-2</v>
      </c>
      <c r="X170" s="244">
        <f>(ACOSH(SQRT(alpha*Kf*psi_f/(Tabella34[[#This Row],[Italy velocity]]*(1+TANH(phi_f)))))+phi_f)/psi_f-(Tabella34[[#This Row],[Day]]-pf)</f>
        <v>16.392992511955313</v>
      </c>
      <c r="Y170" s="244">
        <f>Tabella34[[#This Row],[Italy h.t.]]/Italy_ht_at_lockdown</f>
        <v>0.13803737501483299</v>
      </c>
      <c r="Z170" s="72">
        <f>-2*$BY$48*TANH($BY$48*(Tabella34[[#This Row],[Day]]-$BY$57)-$BY$47)*Tabella34[[#This Row],[Italy velocity]]</f>
        <v>-50.250773039726376</v>
      </c>
      <c r="AA170" s="72">
        <f>Tabella34[[#This Row],[Italy acc. fit]]/Itali_acc_at_lockdown</f>
        <v>-1.4357228964611204</v>
      </c>
      <c r="AB170" s="77">
        <f>Tabella34[[#This Row],[Italy acc. fit]]/y_f_peak</f>
        <v>-1.5907230878908933E-2</v>
      </c>
      <c r="AC170" s="143">
        <f>Tabella34[[#This Row],[Italy (fit of selected region + fitted sum of the other regions)]]*NOT(ISBLANK(Tabella34[[#This Row],[Italy rate data]]))</f>
        <v>0</v>
      </c>
      <c r="AD170" s="143">
        <f>Tabella34[[#This Row],[Italy acc. fit]]*NOT(ISBLANK(Tabella34[[#This Row],[Italy rate data]]))</f>
        <v>0</v>
      </c>
      <c r="AE170" s="77">
        <f>Tabella34[[#This Row],[Italy acc. fit]]+CIf</f>
        <v>1604.9591958840249</v>
      </c>
      <c r="AF170" s="77">
        <f>MAX(Tabella34[[#This Row],[Italy acc. fit]]-CIf,0)</f>
        <v>0</v>
      </c>
      <c r="AH170" s="10"/>
      <c r="AI170" s="10"/>
      <c r="AJ170" s="121">
        <f>Tabella34[[#This Row],[selected region rate data]]*NOT(ISBLANK(Tabella34[[#This Row],[selected region rate data]]))</f>
        <v>0</v>
      </c>
      <c r="AK170" s="77">
        <f>Tabella8[[#This Row],[region fit]]</f>
        <v>10010.049213613984</v>
      </c>
      <c r="AL170" s="143" t="e">
        <f>(ATANH(alpha*Tabella34[[#This Row],[sel. region cumul. fit]]/Kl-(1-alpha*Tabella34[[#This Row],[sel. region cumul. fit]]/Kl)*TANH(phi_l))+phi_l)/psi_l-(Tabella34[[#This Row],[Day]]-pl)</f>
        <v>#NUM!</v>
      </c>
      <c r="AM170" s="77">
        <f>Tabella34[[#This Row],[sel. region cumul. fit]]/Kl</f>
        <v>0.76087995718837265</v>
      </c>
      <c r="AN170" s="143">
        <f>Tabella3[[#This Row],[region fit]]</f>
        <v>99.465184368447396</v>
      </c>
      <c r="AO170" s="186">
        <f>Tabella34[[#This Row],[sel. region velocity]]/Tabella34[[#This Row],[sel. region cumul. fit]]</f>
        <v>9.9365330025722141E-3</v>
      </c>
      <c r="AP170" s="241">
        <f>(LN(Tabella34[[#This Row],[Day]]-pr)-phi_r)/psi_r</f>
        <v>166.96712519855109</v>
      </c>
      <c r="AQ170" s="244">
        <f>EXP(phi_r+psi_r*Tabella34[[#This Row],[x_r_alpha©+plus]])-(Tabella34[[#This Row],[Day]]-pr)</f>
        <v>-83.402625515166989</v>
      </c>
      <c r="AR170" s="244">
        <f>EXP(phi_r+psi_r*Tabella34[[#This Row],[x_r_alpha©-minus]])-(Tabella34[[#This Row],[Day]]-pr)</f>
        <v>-83.869847241370536</v>
      </c>
      <c r="AS170" s="244">
        <f>-psi_r+SQRT(psi_r^2-2*Tabella34[[#This Row],[c_r]])</f>
        <v>3.8439629478123418</v>
      </c>
      <c r="AT170" s="244">
        <f>-psi_r-SQRT(psi_r^2-2*Tabella34[[#This Row],[c_r]])</f>
        <v>-3.8842509574786801</v>
      </c>
      <c r="AU170" s="244">
        <f>phi_r-LN(alpha*Kr/(Tabella34[[#This Row],[sel. region velocity]]*psi_r*SQRTPI(2)))</f>
        <v>-7.4654583802763304</v>
      </c>
      <c r="AV170" s="244">
        <f>(ACOSH(SQRT(alpha*Kl*psi_l/(Tabella34[[#This Row],[sel. region velocity]]*(1+TANH(phi_l)))))+phi_l)/psi_l-(Tabella34[[#This Row],[Day]]-pl)</f>
        <v>24.382446029605575</v>
      </c>
      <c r="AW170" s="72">
        <f>-2*$BY$22*TANH($BY$22*(Tabella34[[#This Row],[Day]]-$BY$31)-$BY$21)*Tabella34[[#This Row],[sel. region velocity]]</f>
        <v>-2.2825354835236418</v>
      </c>
      <c r="AX170" s="77">
        <f>Tabella34[[#This Row],[sel. region acc. fit]]/y_l_peak</f>
        <v>-1.5502690320076964E-2</v>
      </c>
      <c r="AY170" s="143">
        <f>Tabella34[[#This Row],[sel. region acc. fit]]*NOT(ISBLANK(Tabella34[[#This Row],[selected region rate data]]))</f>
        <v>0</v>
      </c>
      <c r="AZ170" s="77">
        <f>Tabella34[[#This Row],[sel. region acc. fit]]+CIl</f>
        <v>67.082450891576755</v>
      </c>
      <c r="BA170" s="77">
        <f>MAX(Tabella34[[#This Row],[sel. region acc. fit]]-CIl,0)</f>
        <v>0</v>
      </c>
      <c r="BC170" s="10"/>
      <c r="BD170" s="10"/>
      <c r="BE170" s="77">
        <f>Tabella34[[#This Row],[rest of Italy rate data]]*NOT(ISBLANK(Tabella34[[#This Row],[rest of Italy rate data]]))</f>
        <v>0</v>
      </c>
      <c r="BF170" s="77">
        <f>Tabella8[[#This Row],[rest of Italy fit]]</f>
        <v>195790.03939797729</v>
      </c>
      <c r="BG170" s="78" t="e">
        <f>(ATANH(alpha*Tabella34[[#This Row],[rest of Italy cumul. fit]]/Ka-(1-alpha*Tabella34[[#This Row],[rest of Italy cumul. fit]]/Ka)*TANH(phi_a))+phi_a)/psi_a-(Tabella34[[#This Row],[Day]]-pa)</f>
        <v>#NUM!</v>
      </c>
      <c r="BH170" s="77">
        <f>Tabella34[[#This Row],[rest of Italy cumul. fit]]/Ka</f>
        <v>0.88255682622134934</v>
      </c>
      <c r="BI170" s="143">
        <f>Tabella3[[#This Row],[rest of Italy fit]]</f>
        <v>1188.9333192719437</v>
      </c>
      <c r="BJ170" s="183">
        <f>Tabella34[[#This Row],[rest of Italy velocity]]/Tabella34[[#This Row],[rest of Italy cumul. fit]]</f>
        <v>6.0724913429085637E-3</v>
      </c>
      <c r="BK170" s="236">
        <f>(LN(Tabella34[[#This Row],[Day]]-po)-phi_o)/psi_o</f>
        <v>123.03097257726211</v>
      </c>
      <c r="BL170" s="244">
        <f>EXP(phi_o+psi_o*Tabella34[[#This Row],[x_o_alpha©+plus]])-(Tabella34[[#This Row],[Day]]-po)</f>
        <v>-90.65496366100777</v>
      </c>
      <c r="BM170" s="244">
        <f>EXP(phi_o+psi_o*Tabella34[[#This Row],[x_o_alpha©-minus]])-(Tabella34[[#This Row],[Day]]-po)</f>
        <v>-91.447898490268585</v>
      </c>
      <c r="BN170" s="244">
        <f>-psi_o+SQRT(psi_o^2-2*Tabella34[[#This Row],[c_o]])</f>
        <v>3.786916759051969</v>
      </c>
      <c r="BO170" s="244">
        <f>-psi_o-SQRT(psi_o^2-2*Tabella34[[#This Row],[c_o]])</f>
        <v>-3.8382300433196224</v>
      </c>
      <c r="BP170" s="244">
        <f>phi_o-LN(alpha*Ko/(Tabella34[[#This Row],[rest of Italy velocity]]*psi_o*SQRTPI(2)))</f>
        <v>-7.2675288380719216</v>
      </c>
      <c r="BQ170" s="244">
        <f>(ACOSH(SQRT(alpha*Ka*psi_a/(Tabella34[[#This Row],[rest of Italy velocity]]*(1+TANH(phi_a)))))+phi_a)/psi_a-(Tabella34[[#This Row],[Day]]-pa)</f>
        <v>16.002664193443096</v>
      </c>
      <c r="BR170" s="72">
        <f>-2*$BY$35*TANH($BY$35*(Tabella34[[#This Row],[Day]]-$BY$44)-$BY$34)*Tabella34[[#This Row],[rest of Italy velocity]]</f>
        <v>-47.501810164650749</v>
      </c>
      <c r="BS170" s="77">
        <f>Tabella34[[#This Row],[rest of Italy acc. fit]]/y_a_peak</f>
        <v>-1.5731949647878687E-2</v>
      </c>
      <c r="BT170" s="121">
        <f>Tabella34[[#This Row],[rest of Italy acc. fit]]*NOT(ISBLANK(Tabella34[[#This Row],[rest of Italy rate data]]))</f>
        <v>0</v>
      </c>
      <c r="BU170" s="189"/>
      <c r="BV170" s="122"/>
    </row>
    <row r="171" spans="2:74" x14ac:dyDescent="0.3">
      <c r="B171" s="262">
        <v>43994</v>
      </c>
      <c r="C171" s="4">
        <v>164</v>
      </c>
      <c r="E171" s="10"/>
      <c r="F171" s="10"/>
      <c r="G171" s="121">
        <f>Tabella34[[#This Row],[Italy rate data]]*NOT(ISBLANK(Tabella34[[#This Row],[Italy rate data]]))</f>
        <v>0</v>
      </c>
      <c r="H171" s="143">
        <f>Tabella8[[#This Row],[Italy fit]]</f>
        <v>207277.77244440839</v>
      </c>
      <c r="I171" s="143" t="e">
        <f>(ATANH(alpha*Tabella34[[#This Row],[Italy cumul. Fit]]/Kf-(1-alpha*Tabella34[[#This Row],[Italy cumul. Fit]]/Kf)*TANH(phi_f))+phi_f)/psi_f-(Tabella34[[#This Row],[Day]]-pf)</f>
        <v>#NUM!</v>
      </c>
      <c r="J171" s="143" t="e">
        <f>Tabella34[[#This Row],[Italy d.t.]]/Italy_dt_at_lockdown</f>
        <v>#NUM!</v>
      </c>
      <c r="K171" s="77">
        <f>Tabella34[[#This Row],[Italy cumul. Fit]]/Kf</f>
        <v>0.88203306850973784</v>
      </c>
      <c r="L171" s="146">
        <f>Tabella34[[#This Row],[sel. region acc. fit]]+Tabella34[[#This Row],[rest of Italy acc. fit]]</f>
        <v>-48.492835646705728</v>
      </c>
      <c r="M171" s="77">
        <f>Tabella34[[#This Row],[Italy (fit of selected region + fitted sum of the other regions)]]/(y_l_peak+y_a_peak)</f>
        <v>-1.5313447110646009E-2</v>
      </c>
      <c r="N171" s="143">
        <f>Tabella3[[#This Row],[Italy remov. rate fit]]</f>
        <v>1245.2687143380722</v>
      </c>
      <c r="O171" s="143">
        <f>Kt*EXP(-0.5*Tabella34[[#This Row],[x_t]]^2)/(psi_t*SQRTPI(2)*(Tabella34[[#This Row],[Day]]-D_bk))</f>
        <v>0</v>
      </c>
      <c r="P171" s="183">
        <f>Tabella34[[#This Row],[Italy velocity]]/Tabella34[[#This Row],[Italy cumul. Fit]]</f>
        <v>6.0077291436159731E-3</v>
      </c>
      <c r="Q171" s="244">
        <f>(LN(Tabella34[[#This Row],[Day]]-D_bk)-phi_t)/psi_t</f>
        <v>126.19872394692901</v>
      </c>
      <c r="R171" s="244">
        <f>EXP(phi_t+psi_t*Tabella34[[#This Row],[x_t_alpha©+plus]])-(Tabella34[[#This Row],[Day]]-D_bk)</f>
        <v>-91.180551156271164</v>
      </c>
      <c r="S171" s="244">
        <f>EXP(phi_t+psi_t*Tabella34[[#This Row],[x_t_alpha©-minus]])-(Tabella34[[#This Row],[Day]]-D_bk)</f>
        <v>-91.943271146722395</v>
      </c>
      <c r="T171" s="244">
        <f>-psi_t+SQRT(psi_t^2-2*Tabella34[[#This Row],[c_t]])</f>
        <v>3.8014065385300819</v>
      </c>
      <c r="U171" s="244">
        <f>-psi_t-SQRT(psi_t^2-2*Tabella34[[#This Row],[c_t]])</f>
        <v>-3.851925213227454</v>
      </c>
      <c r="V171" s="244">
        <f>phi_t-LN(alpha*Kt/(Tabella34[[#This Row],[Italy velocity]]*psi_t*SQRTPI(2)))</f>
        <v>-7.3213668457458621</v>
      </c>
      <c r="W171" s="244">
        <f>Tabella34[[#This Row],[Italy g.r.]]/Italy_gr_at_lockdown</f>
        <v>1.4329998139390536E-2</v>
      </c>
      <c r="X171" s="244">
        <f>(ACOSH(SQRT(alpha*Kf*psi_f/(Tabella34[[#This Row],[Italy velocity]]*(1+TANH(phi_f)))))+phi_f)/psi_f-(Tabella34[[#This Row],[Day]]-pf)</f>
        <v>16.258098403014927</v>
      </c>
      <c r="Y171" s="244">
        <f>Tabella34[[#This Row],[Italy h.t.]]/Italy_ht_at_lockdown</f>
        <v>0.13690149767642049</v>
      </c>
      <c r="Z171" s="72">
        <f>-2*$BY$48*TANH($BY$48*(Tabella34[[#This Row],[Day]]-$BY$57)-$BY$47)*Tabella34[[#This Row],[Italy velocity]]</f>
        <v>-48.964374995606249</v>
      </c>
      <c r="AA171" s="72">
        <f>Tabella34[[#This Row],[Italy acc. fit]]/Itali_acc_at_lockdown</f>
        <v>-1.398969011611509</v>
      </c>
      <c r="AB171" s="77">
        <f>Tabella34[[#This Row],[Italy acc. fit]]/y_f_peak</f>
        <v>-1.5500012652160096E-2</v>
      </c>
      <c r="AC171" s="143">
        <f>Tabella34[[#This Row],[Italy (fit of selected region + fitted sum of the other regions)]]*NOT(ISBLANK(Tabella34[[#This Row],[Italy rate data]]))</f>
        <v>0</v>
      </c>
      <c r="AD171" s="143">
        <f>Tabella34[[#This Row],[Italy acc. fit]]*NOT(ISBLANK(Tabella34[[#This Row],[Italy rate data]]))</f>
        <v>0</v>
      </c>
      <c r="AE171" s="77">
        <f>Tabella34[[#This Row],[Italy acc. fit]]+CIf</f>
        <v>1606.2455939281451</v>
      </c>
      <c r="AF171" s="77">
        <f>MAX(Tabella34[[#This Row],[Italy acc. fit]]-CIf,0)</f>
        <v>0</v>
      </c>
      <c r="AH171" s="10"/>
      <c r="AI171" s="10"/>
      <c r="AJ171" s="121">
        <f>Tabella34[[#This Row],[selected region rate data]]*NOT(ISBLANK(Tabella34[[#This Row],[selected region rate data]]))</f>
        <v>0</v>
      </c>
      <c r="AK171" s="77">
        <f>Tabella8[[#This Row],[region fit]]</f>
        <v>10108.372928572635</v>
      </c>
      <c r="AL171" s="143" t="e">
        <f>(ATANH(alpha*Tabella34[[#This Row],[sel. region cumul. fit]]/Kl-(1-alpha*Tabella34[[#This Row],[sel. region cumul. fit]]/Kl)*TANH(phi_l))+phi_l)/psi_l-(Tabella34[[#This Row],[Day]]-pl)</f>
        <v>#NUM!</v>
      </c>
      <c r="AM171" s="77">
        <f>Tabella34[[#This Row],[sel. region cumul. fit]]/Kl</f>
        <v>0.76835370106633405</v>
      </c>
      <c r="AN171" s="143">
        <f>Tabella3[[#This Row],[region fit]]</f>
        <v>97.182199525933825</v>
      </c>
      <c r="AO171" s="186">
        <f>Tabella34[[#This Row],[sel. region velocity]]/Tabella34[[#This Row],[sel. region cumul. fit]]</f>
        <v>9.6140298950818937E-3</v>
      </c>
      <c r="AP171" s="241">
        <f>(LN(Tabella34[[#This Row],[Day]]-pr)-phi_r)/psi_r</f>
        <v>167.53679587591392</v>
      </c>
      <c r="AQ171" s="244">
        <f>EXP(phi_r+psi_r*Tabella34[[#This Row],[x_r_alpha©+plus]])-(Tabella34[[#This Row],[Day]]-pr)</f>
        <v>-84.402233489509896</v>
      </c>
      <c r="AR171" s="244">
        <f>EXP(phi_r+psi_r*Tabella34[[#This Row],[x_r_alpha©-minus]])-(Tabella34[[#This Row],[Day]]-pr)</f>
        <v>-84.870182710237486</v>
      </c>
      <c r="AS171" s="244">
        <f>-psi_r+SQRT(psi_r^2-2*Tabella34[[#This Row],[c_r]])</f>
        <v>3.8499674627046314</v>
      </c>
      <c r="AT171" s="244">
        <f>-psi_r-SQRT(psi_r^2-2*Tabella34[[#This Row],[c_r]])</f>
        <v>-3.8902554723709697</v>
      </c>
      <c r="AU171" s="244">
        <f>phi_r-LN(alpha*Kr/(Tabella34[[#This Row],[sel. region velocity]]*psi_r*SQRTPI(2)))</f>
        <v>-7.4886784951184344</v>
      </c>
      <c r="AV171" s="244">
        <f>(ACOSH(SQRT(alpha*Kl*psi_l/(Tabella34[[#This Row],[sel. region velocity]]*(1+TANH(phi_l)))))+phi_l)/psi_l-(Tabella34[[#This Row],[Day]]-pl)</f>
        <v>24.088627157084062</v>
      </c>
      <c r="AW171" s="72">
        <f>-2*$BY$22*TANH($BY$22*(Tabella34[[#This Row],[Day]]-$BY$31)-$BY$21)*Tabella34[[#This Row],[sel. region velocity]]</f>
        <v>-2.2828144865154885</v>
      </c>
      <c r="AX171" s="77">
        <f>Tabella34[[#This Row],[sel. region acc. fit]]/y_l_peak</f>
        <v>-1.5504585272866174E-2</v>
      </c>
      <c r="AY171" s="143">
        <f>Tabella34[[#This Row],[sel. region acc. fit]]*NOT(ISBLANK(Tabella34[[#This Row],[selected region rate data]]))</f>
        <v>0</v>
      </c>
      <c r="AZ171" s="77">
        <f>Tabella34[[#This Row],[sel. region acc. fit]]+CIl</f>
        <v>67.082171888584909</v>
      </c>
      <c r="BA171" s="77">
        <f>MAX(Tabella34[[#This Row],[sel. region acc. fit]]-CIl,0)</f>
        <v>0</v>
      </c>
      <c r="BC171" s="10"/>
      <c r="BD171" s="10"/>
      <c r="BE171" s="77">
        <f>Tabella34[[#This Row],[rest of Italy rate data]]*NOT(ISBLANK(Tabella34[[#This Row],[rest of Italy rate data]]))</f>
        <v>0</v>
      </c>
      <c r="BF171" s="77">
        <f>Tabella8[[#This Row],[rest of Italy fit]]</f>
        <v>196955.43628970825</v>
      </c>
      <c r="BG171" s="78" t="e">
        <f>(ATANH(alpha*Tabella34[[#This Row],[rest of Italy cumul. fit]]/Ka-(1-alpha*Tabella34[[#This Row],[rest of Italy cumul. fit]]/Ka)*TANH(phi_a))+phi_a)/psi_a-(Tabella34[[#This Row],[Day]]-pa)</f>
        <v>#NUM!</v>
      </c>
      <c r="BH171" s="77">
        <f>Tabella34[[#This Row],[rest of Italy cumul. fit]]/Ka</f>
        <v>0.88781005046716321</v>
      </c>
      <c r="BI171" s="143">
        <f>Tabella3[[#This Row],[rest of Italy fit]]</f>
        <v>1142.075779801823</v>
      </c>
      <c r="BJ171" s="183">
        <f>Tabella34[[#This Row],[rest of Italy velocity]]/Tabella34[[#This Row],[rest of Italy cumul. fit]]</f>
        <v>5.7986507065583412E-3</v>
      </c>
      <c r="BK171" s="236">
        <f>(LN(Tabella34[[#This Row],[Day]]-po)-phi_o)/psi_o</f>
        <v>123.43860328531893</v>
      </c>
      <c r="BL171" s="244">
        <f>EXP(phi_o+psi_o*Tabella34[[#This Row],[x_o_alpha©+plus]])-(Tabella34[[#This Row],[Day]]-po)</f>
        <v>-91.653757670989421</v>
      </c>
      <c r="BM171" s="244">
        <f>EXP(phi_o+psi_o*Tabella34[[#This Row],[x_o_alpha©-minus]])-(Tabella34[[#This Row],[Day]]-po)</f>
        <v>-92.448889922132011</v>
      </c>
      <c r="BN171" s="244">
        <f>-psi_o+SQRT(psi_o^2-2*Tabella34[[#This Row],[c_o]])</f>
        <v>3.7974486502617659</v>
      </c>
      <c r="BO171" s="244">
        <f>-psi_o-SQRT(psi_o^2-2*Tabella34[[#This Row],[c_o]])</f>
        <v>-3.8487619345294193</v>
      </c>
      <c r="BP171" s="244">
        <f>phi_o-LN(alpha*Ko/(Tabella34[[#This Row],[rest of Italy velocity]]*psi_o*SQRTPI(2)))</f>
        <v>-7.3077379067288035</v>
      </c>
      <c r="BQ171" s="244">
        <f>(ACOSH(SQRT(alpha*Ka*psi_a/(Tabella34[[#This Row],[rest of Italy velocity]]*(1+TANH(phi_a)))))+phi_a)/psi_a-(Tabella34[[#This Row],[Day]]-pa)</f>
        <v>15.874935487701833</v>
      </c>
      <c r="BR171" s="72">
        <f>-2*$BY$35*TANH($BY$35*(Tabella34[[#This Row],[Day]]-$BY$44)-$BY$34)*Tabella34[[#This Row],[rest of Italy velocity]]</f>
        <v>-46.210021160190237</v>
      </c>
      <c r="BS171" s="77">
        <f>Tabella34[[#This Row],[rest of Italy acc. fit]]/y_a_peak</f>
        <v>-1.5304126802740476E-2</v>
      </c>
      <c r="BT171" s="121">
        <f>Tabella34[[#This Row],[rest of Italy acc. fit]]*NOT(ISBLANK(Tabella34[[#This Row],[rest of Italy rate data]]))</f>
        <v>0</v>
      </c>
      <c r="BU171" s="189"/>
      <c r="BV171" s="122"/>
    </row>
    <row r="172" spans="2:74" x14ac:dyDescent="0.3">
      <c r="B172" s="262">
        <v>43995</v>
      </c>
      <c r="C172" s="4">
        <v>165</v>
      </c>
      <c r="E172" s="10"/>
      <c r="F172" s="10"/>
      <c r="G172" s="121">
        <f>Tabella34[[#This Row],[Italy rate data]]*NOT(ISBLANK(Tabella34[[#This Row],[Italy rate data]]))</f>
        <v>0</v>
      </c>
      <c r="H172" s="143">
        <f>Tabella8[[#This Row],[Italy fit]]</f>
        <v>208498.77635166788</v>
      </c>
      <c r="I172" s="143" t="e">
        <f>(ATANH(alpha*Tabella34[[#This Row],[Italy cumul. Fit]]/Kf-(1-alpha*Tabella34[[#This Row],[Italy cumul. Fit]]/Kf)*TANH(phi_f))+phi_f)/psi_f-(Tabella34[[#This Row],[Day]]-pf)</f>
        <v>#NUM!</v>
      </c>
      <c r="J172" s="143" t="e">
        <f>Tabella34[[#This Row],[Italy d.t.]]/Italy_dt_at_lockdown</f>
        <v>#NUM!</v>
      </c>
      <c r="K172" s="77">
        <f>Tabella34[[#This Row],[Italy cumul. Fit]]/Kf</f>
        <v>0.88722882978351991</v>
      </c>
      <c r="L172" s="146">
        <f>Tabella34[[#This Row],[sel. region acc. fit]]+Tabella34[[#This Row],[rest of Italy acc. fit]]</f>
        <v>-47.181263743884195</v>
      </c>
      <c r="M172" s="77">
        <f>Tabella34[[#This Row],[Italy (fit of selected region + fitted sum of the other regions)]]/(y_l_peak+y_a_peak)</f>
        <v>-1.4899268671752607E-2</v>
      </c>
      <c r="N172" s="143">
        <f>Tabella3[[#This Row],[Italy remov. rate fit]]</f>
        <v>1196.9573262899376</v>
      </c>
      <c r="O172" s="143">
        <f>Kt*EXP(-0.5*Tabella34[[#This Row],[x_t]]^2)/(psi_t*SQRTPI(2)*(Tabella34[[#This Row],[Day]]-D_bk))</f>
        <v>0</v>
      </c>
      <c r="P172" s="183">
        <f>Tabella34[[#This Row],[Italy velocity]]/Tabella34[[#This Row],[Italy cumul. Fit]]</f>
        <v>5.7408362160892004E-3</v>
      </c>
      <c r="Q172" s="244">
        <f>(LN(Tabella34[[#This Row],[Day]]-D_bk)-phi_t)/psi_t</f>
        <v>126.61103222640891</v>
      </c>
      <c r="R172" s="244">
        <f>EXP(phi_t+psi_t*Tabella34[[#This Row],[x_t_alpha©+plus]])-(Tabella34[[#This Row],[Day]]-D_bk)</f>
        <v>-92.179419230745211</v>
      </c>
      <c r="S172" s="244">
        <f>EXP(phi_t+psi_t*Tabella34[[#This Row],[x_t_alpha©-minus]])-(Tabella34[[#This Row],[Day]]-D_bk)</f>
        <v>-92.944203858789137</v>
      </c>
      <c r="T172" s="244">
        <f>-psi_t+SQRT(psi_t^2-2*Tabella34[[#This Row],[c_t]])</f>
        <v>3.8117328254934497</v>
      </c>
      <c r="U172" s="244">
        <f>-psi_t-SQRT(psi_t^2-2*Tabella34[[#This Row],[c_t]])</f>
        <v>-3.8622515001908218</v>
      </c>
      <c r="V172" s="244">
        <f>phi_t-LN(alpha*Kt/(Tabella34[[#This Row],[Italy velocity]]*psi_t*SQRTPI(2)))</f>
        <v>-7.3609354117943386</v>
      </c>
      <c r="W172" s="244">
        <f>Tabella34[[#This Row],[Italy g.r.]]/Italy_gr_at_lockdown</f>
        <v>1.3693389020795489E-2</v>
      </c>
      <c r="X172" s="244">
        <f>(ACOSH(SQRT(alpha*Kf*psi_f/(Tabella34[[#This Row],[Italy velocity]]*(1+TANH(phi_f)))))+phi_f)/psi_f-(Tabella34[[#This Row],[Day]]-pf)</f>
        <v>16.130126102136231</v>
      </c>
      <c r="Y172" s="244">
        <f>Tabella34[[#This Row],[Italy h.t.]]/Italy_ht_at_lockdown</f>
        <v>0.13582390549945703</v>
      </c>
      <c r="Z172" s="72">
        <f>-2*$BY$48*TANH($BY$48*(Tabella34[[#This Row],[Day]]-$BY$57)-$BY$47)*Tabella34[[#This Row],[Italy velocity]]</f>
        <v>-47.655121510568762</v>
      </c>
      <c r="AA172" s="72">
        <f>Tabella34[[#This Row],[Italy acc. fit]]/Itali_acc_at_lockdown</f>
        <v>-1.3615621202935624</v>
      </c>
      <c r="AB172" s="77">
        <f>Tabella34[[#This Row],[Italy acc. fit]]/y_f_peak</f>
        <v>-1.5085559377002662E-2</v>
      </c>
      <c r="AC172" s="143">
        <f>Tabella34[[#This Row],[Italy (fit of selected region + fitted sum of the other regions)]]*NOT(ISBLANK(Tabella34[[#This Row],[Italy rate data]]))</f>
        <v>0</v>
      </c>
      <c r="AD172" s="143">
        <f>Tabella34[[#This Row],[Italy acc. fit]]*NOT(ISBLANK(Tabella34[[#This Row],[Italy rate data]]))</f>
        <v>0</v>
      </c>
      <c r="AE172" s="77">
        <f>Tabella34[[#This Row],[Italy acc. fit]]+CIf</f>
        <v>1607.5548474131826</v>
      </c>
      <c r="AF172" s="77">
        <f>MAX(Tabella34[[#This Row],[Italy acc. fit]]-CIf,0)</f>
        <v>0</v>
      </c>
      <c r="AH172" s="10"/>
      <c r="AI172" s="10"/>
      <c r="AJ172" s="121">
        <f>Tabella34[[#This Row],[selected region rate data]]*NOT(ISBLANK(Tabella34[[#This Row],[selected region rate data]]))</f>
        <v>0</v>
      </c>
      <c r="AK172" s="77">
        <f>Tabella8[[#This Row],[region fit]]</f>
        <v>10204.414131673919</v>
      </c>
      <c r="AL172" s="143" t="e">
        <f>(ATANH(alpha*Tabella34[[#This Row],[sel. region cumul. fit]]/Kl-(1-alpha*Tabella34[[#This Row],[sel. region cumul. fit]]/Kl)*TANH(phi_l))+phi_l)/psi_l-(Tabella34[[#This Row],[Day]]-pl)</f>
        <v>#NUM!</v>
      </c>
      <c r="AM172" s="77">
        <f>Tabella34[[#This Row],[sel. region cumul. fit]]/Kl</f>
        <v>0.77565394754310857</v>
      </c>
      <c r="AN172" s="143">
        <f>Tabella3[[#This Row],[region fit]]</f>
        <v>94.900765881869717</v>
      </c>
      <c r="AO172" s="186">
        <f>Tabella34[[#This Row],[sel. region velocity]]/Tabella34[[#This Row],[sel. region cumul. fit]]</f>
        <v>9.2999720177274221E-3</v>
      </c>
      <c r="AP172" s="241">
        <f>(LN(Tabella34[[#This Row],[Day]]-pr)-phi_r)/psi_r</f>
        <v>168.10000342373382</v>
      </c>
      <c r="AQ172" s="244">
        <f>EXP(phi_r+psi_r*Tabella34[[#This Row],[x_r_alpha©+plus]])-(Tabella34[[#This Row],[Day]]-pr)</f>
        <v>-85.401832999587469</v>
      </c>
      <c r="AR172" s="244">
        <f>EXP(phi_r+psi_r*Tabella34[[#This Row],[x_r_alpha©-minus]])-(Tabella34[[#This Row],[Day]]-pr)</f>
        <v>-85.87052533846142</v>
      </c>
      <c r="AS172" s="244">
        <f>-psi_r+SQRT(psi_r^2-2*Tabella34[[#This Row],[c_r]])</f>
        <v>3.8561008718063987</v>
      </c>
      <c r="AT172" s="244">
        <f>-psi_r-SQRT(psi_r^2-2*Tabella34[[#This Row],[c_r]])</f>
        <v>-3.896388881472737</v>
      </c>
      <c r="AU172" s="244">
        <f>phi_r-LN(alpha*Kr/(Tabella34[[#This Row],[sel. region velocity]]*psi_r*SQRTPI(2)))</f>
        <v>-7.512434281371891</v>
      </c>
      <c r="AV172" s="244">
        <f>(ACOSH(SQRT(alpha*Kl*psi_l/(Tabella34[[#This Row],[sel. region velocity]]*(1+TANH(phi_l)))))+phi_l)/psi_l-(Tabella34[[#This Row],[Day]]-pl)</f>
        <v>23.806932466361971</v>
      </c>
      <c r="AW172" s="72">
        <f>-2*$BY$22*TANH($BY$22*(Tabella34[[#This Row],[Day]]-$BY$31)-$BY$21)*Tabella34[[#This Row],[sel. region velocity]]</f>
        <v>-2.2794622110110252</v>
      </c>
      <c r="AX172" s="77">
        <f>Tabella34[[#This Row],[sel. region acc. fit]]/y_l_peak</f>
        <v>-1.548181704455673E-2</v>
      </c>
      <c r="AY172" s="143">
        <f>Tabella34[[#This Row],[sel. region acc. fit]]*NOT(ISBLANK(Tabella34[[#This Row],[selected region rate data]]))</f>
        <v>0</v>
      </c>
      <c r="AZ172" s="77">
        <f>Tabella34[[#This Row],[sel. region acc. fit]]+CIl</f>
        <v>67.085524164089378</v>
      </c>
      <c r="BA172" s="77">
        <f>MAX(Tabella34[[#This Row],[sel. region acc. fit]]-CIl,0)</f>
        <v>0</v>
      </c>
      <c r="BC172" s="10"/>
      <c r="BD172" s="10"/>
      <c r="BE172" s="77">
        <f>Tabella34[[#This Row],[rest of Italy rate data]]*NOT(ISBLANK(Tabella34[[#This Row],[rest of Italy rate data]]))</f>
        <v>0</v>
      </c>
      <c r="BF172" s="77">
        <f>Tabella8[[#This Row],[rest of Italy fit]]</f>
        <v>198074.62452755644</v>
      </c>
      <c r="BG172" s="78" t="e">
        <f>(ATANH(alpha*Tabella34[[#This Row],[rest of Italy cumul. fit]]/Ka-(1-alpha*Tabella34[[#This Row],[rest of Italy cumul. fit]]/Ka)*TANH(phi_a))+phi_a)/psi_a-(Tabella34[[#This Row],[Day]]-pa)</f>
        <v>#NUM!</v>
      </c>
      <c r="BH172" s="77">
        <f>Tabella34[[#This Row],[rest of Italy cumul. fit]]/Ka</f>
        <v>0.89285498136444852</v>
      </c>
      <c r="BI172" s="143">
        <f>Tabella3[[#This Row],[rest of Italy fit]]</f>
        <v>1096.5187486501368</v>
      </c>
      <c r="BJ172" s="183">
        <f>Tabella34[[#This Row],[rest of Italy velocity]]/Tabella34[[#This Row],[rest of Italy cumul. fit]]</f>
        <v>5.5358870489621318E-3</v>
      </c>
      <c r="BK172" s="236">
        <f>(LN(Tabella34[[#This Row],[Day]]-po)-phi_o)/psi_o</f>
        <v>123.84201490107533</v>
      </c>
      <c r="BL172" s="244">
        <f>EXP(phi_o+psi_o*Tabella34[[#This Row],[x_o_alpha©+plus]])-(Tabella34[[#This Row],[Day]]-po)</f>
        <v>-92.652539788379798</v>
      </c>
      <c r="BM172" s="244">
        <f>EXP(phi_o+psi_o*Tabella34[[#This Row],[x_o_alpha©-minus]])-(Tabella34[[#This Row],[Day]]-po)</f>
        <v>-93.449890587245946</v>
      </c>
      <c r="BN172" s="244">
        <f>-psi_o+SQRT(psi_o^2-2*Tabella34[[#This Row],[c_o]])</f>
        <v>3.8080815119754323</v>
      </c>
      <c r="BO172" s="244">
        <f>-psi_o-SQRT(psi_o^2-2*Tabella34[[#This Row],[c_o]])</f>
        <v>-3.8593947962430857</v>
      </c>
      <c r="BP172" s="244">
        <f>phi_o-LN(alpha*Ko/(Tabella34[[#This Row],[rest of Italy velocity]]*psi_o*SQRTPI(2)))</f>
        <v>-7.3484449854937424</v>
      </c>
      <c r="BQ172" s="244">
        <f>(ACOSH(SQRT(alpha*Ka*psi_a/(Tabella34[[#This Row],[rest of Italy velocity]]*(1+TANH(phi_a)))))+phi_a)/psi_a-(Tabella34[[#This Row],[Day]]-pa)</f>
        <v>15.753853563142314</v>
      </c>
      <c r="BR172" s="72">
        <f>-2*$BY$35*TANH($BY$35*(Tabella34[[#This Row],[Day]]-$BY$44)-$BY$34)*Tabella34[[#This Row],[rest of Italy velocity]]</f>
        <v>-44.901801532873172</v>
      </c>
      <c r="BS172" s="77">
        <f>Tabella34[[#This Row],[rest of Italy acc. fit]]/y_a_peak</f>
        <v>-1.4870862360101735E-2</v>
      </c>
      <c r="BT172" s="121">
        <f>Tabella34[[#This Row],[rest of Italy acc. fit]]*NOT(ISBLANK(Tabella34[[#This Row],[rest of Italy rate data]]))</f>
        <v>0</v>
      </c>
      <c r="BU172" s="189"/>
      <c r="BV172" s="122"/>
    </row>
    <row r="173" spans="2:74" x14ac:dyDescent="0.3">
      <c r="B173" s="262">
        <v>43996</v>
      </c>
      <c r="C173" s="4">
        <v>166</v>
      </c>
      <c r="E173" s="10"/>
      <c r="F173" s="10"/>
      <c r="G173" s="121">
        <f>Tabella34[[#This Row],[Italy rate data]]*NOT(ISBLANK(Tabella34[[#This Row],[Italy rate data]]))</f>
        <v>0</v>
      </c>
      <c r="H173" s="143">
        <f>Tabella8[[#This Row],[Italy fit]]</f>
        <v>209672.12652430768</v>
      </c>
      <c r="I173" s="143" t="e">
        <f>(ATANH(alpha*Tabella34[[#This Row],[Italy cumul. Fit]]/Kf-(1-alpha*Tabella34[[#This Row],[Italy cumul. Fit]]/Kf)*TANH(phi_f))+phi_f)/psi_f-(Tabella34[[#This Row],[Day]]-pf)</f>
        <v>#NUM!</v>
      </c>
      <c r="J173" s="143" t="e">
        <f>Tabella34[[#This Row],[Italy d.t.]]/Italy_dt_at_lockdown</f>
        <v>#NUM!</v>
      </c>
      <c r="K173" s="77">
        <f>Tabella34[[#This Row],[Italy cumul. Fit]]/Kf</f>
        <v>0.89222180920917193</v>
      </c>
      <c r="L173" s="146">
        <f>Tabella34[[#This Row],[sel. region acc. fit]]+Tabella34[[#This Row],[rest of Italy acc. fit]]</f>
        <v>-45.855623109113125</v>
      </c>
      <c r="M173" s="77">
        <f>Tabella34[[#This Row],[Italy (fit of selected region + fitted sum of the other regions)]]/(y_l_peak+y_a_peak)</f>
        <v>-1.448064749859238E-2</v>
      </c>
      <c r="N173" s="143">
        <f>Tabella3[[#This Row],[Italy remov. rate fit]]</f>
        <v>1149.9640213856699</v>
      </c>
      <c r="O173" s="143">
        <f>Kt*EXP(-0.5*Tabella34[[#This Row],[x_t]]^2)/(psi_t*SQRTPI(2)*(Tabella34[[#This Row],[Day]]-D_bk))</f>
        <v>0</v>
      </c>
      <c r="P173" s="183">
        <f>Tabella34[[#This Row],[Italy velocity]]/Tabella34[[#This Row],[Italy cumul. Fit]]</f>
        <v>5.4845822401307712E-3</v>
      </c>
      <c r="Q173" s="244">
        <f>(LN(Tabella34[[#This Row],[Day]]-D_bk)-phi_t)/psi_t</f>
        <v>127.01909068837152</v>
      </c>
      <c r="R173" s="244">
        <f>EXP(phi_t+psi_t*Tabella34[[#This Row],[x_t_alpha©+plus]])-(Tabella34[[#This Row],[Day]]-D_bk)</f>
        <v>-93.17827626680571</v>
      </c>
      <c r="S173" s="244">
        <f>EXP(phi_t+psi_t*Tabella34[[#This Row],[x_t_alpha©-minus]])-(Tabella34[[#This Row],[Day]]-D_bk)</f>
        <v>-93.945145173047194</v>
      </c>
      <c r="T173" s="244">
        <f>-psi_t+SQRT(psi_t^2-2*Tabella34[[#This Row],[c_t]])</f>
        <v>3.8221570810055159</v>
      </c>
      <c r="U173" s="244">
        <f>-psi_t-SQRT(psi_t^2-2*Tabella34[[#This Row],[c_t]])</f>
        <v>-3.8726757557028879</v>
      </c>
      <c r="V173" s="244">
        <f>phi_t-LN(alpha*Kt/(Tabella34[[#This Row],[Italy velocity]]*psi_t*SQRTPI(2)))</f>
        <v>-7.4009875310490898</v>
      </c>
      <c r="W173" s="244">
        <f>Tabella34[[#This Row],[Italy g.r.]]/Italy_gr_at_lockdown</f>
        <v>1.3082156571576662E-2</v>
      </c>
      <c r="X173" s="244">
        <f>(ACOSH(SQRT(alpha*Kf*psi_f/(Tabella34[[#This Row],[Italy velocity]]*(1+TANH(phi_f)))))+phi_f)/psi_f-(Tabella34[[#This Row],[Day]]-pf)</f>
        <v>16.008713148669699</v>
      </c>
      <c r="Y173" s="244">
        <f>Tabella34[[#This Row],[Italy h.t.]]/Italy_ht_at_lockdown</f>
        <v>0.1348015463800287</v>
      </c>
      <c r="Z173" s="72">
        <f>-2*$BY$48*TANH($BY$48*(Tabella34[[#This Row],[Day]]-$BY$57)-$BY$47)*Tabella34[[#This Row],[Italy velocity]]</f>
        <v>-46.32920278951795</v>
      </c>
      <c r="AA173" s="72">
        <f>Tabella34[[#This Row],[Italy acc. fit]]/Itali_acc_at_lockdown</f>
        <v>-1.3236790838444685</v>
      </c>
      <c r="AB173" s="77">
        <f>Tabella34[[#This Row],[Italy acc. fit]]/y_f_peak</f>
        <v>-1.4665830605750753E-2</v>
      </c>
      <c r="AC173" s="143">
        <f>Tabella34[[#This Row],[Italy (fit of selected region + fitted sum of the other regions)]]*NOT(ISBLANK(Tabella34[[#This Row],[Italy rate data]]))</f>
        <v>0</v>
      </c>
      <c r="AD173" s="143">
        <f>Tabella34[[#This Row],[Italy acc. fit]]*NOT(ISBLANK(Tabella34[[#This Row],[Italy rate data]]))</f>
        <v>0</v>
      </c>
      <c r="AE173" s="77">
        <f>Tabella34[[#This Row],[Italy acc. fit]]+CIf</f>
        <v>1608.8807661342335</v>
      </c>
      <c r="AF173" s="77">
        <f>MAX(Tabella34[[#This Row],[Italy acc. fit]]-CIf,0)</f>
        <v>0</v>
      </c>
      <c r="AH173" s="10"/>
      <c r="AI173" s="10"/>
      <c r="AJ173" s="121">
        <f>Tabella34[[#This Row],[selected region rate data]]*NOT(ISBLANK(Tabella34[[#This Row],[selected region rate data]]))</f>
        <v>0</v>
      </c>
      <c r="AK173" s="77">
        <f>Tabella8[[#This Row],[region fit]]</f>
        <v>10298.17616042016</v>
      </c>
      <c r="AL173" s="143" t="e">
        <f>(ATANH(alpha*Tabella34[[#This Row],[sel. region cumul. fit]]/Kl-(1-alpha*Tabella34[[#This Row],[sel. region cumul. fit]]/Kl)*TANH(phi_l))+phi_l)/psi_l-(Tabella34[[#This Row],[Day]]-pl)</f>
        <v>#NUM!</v>
      </c>
      <c r="AM173" s="77">
        <f>Tabella34[[#This Row],[sel. region cumul. fit]]/Kl</f>
        <v>0.78278095030762129</v>
      </c>
      <c r="AN173" s="143">
        <f>Tabella3[[#This Row],[region fit]]</f>
        <v>92.624426505114982</v>
      </c>
      <c r="AO173" s="186">
        <f>Tabella34[[#This Row],[sel. region velocity]]/Tabella34[[#This Row],[sel. region cumul. fit]]</f>
        <v>8.9942553965144008E-3</v>
      </c>
      <c r="AP173" s="241">
        <f>(LN(Tabella34[[#This Row],[Day]]-pr)-phi_r)/psi_r</f>
        <v>168.65689285166329</v>
      </c>
      <c r="AQ173" s="244">
        <f>EXP(phi_r+psi_r*Tabella34[[#This Row],[x_r_alpha©+plus]])-(Tabella34[[#This Row],[Day]]-pr)</f>
        <v>-86.401424293674424</v>
      </c>
      <c r="AR173" s="244">
        <f>EXP(phi_r+psi_r*Tabella34[[#This Row],[x_r_alpha©-minus]])-(Tabella34[[#This Row],[Day]]-pr)</f>
        <v>-86.87087490838077</v>
      </c>
      <c r="AS173" s="244">
        <f>-psi_r+SQRT(psi_r^2-2*Tabella34[[#This Row],[c_r]])</f>
        <v>3.8623593257026267</v>
      </c>
      <c r="AT173" s="244">
        <f>-psi_r-SQRT(psi_r^2-2*Tabella34[[#This Row],[c_r]])</f>
        <v>-3.902647335368965</v>
      </c>
      <c r="AU173" s="244">
        <f>phi_r-LN(alpha*Kr/(Tabella34[[#This Row],[sel. region velocity]]*psi_r*SQRTPI(2)))</f>
        <v>-7.5367131653454154</v>
      </c>
      <c r="AV173" s="244">
        <f>(ACOSH(SQRT(alpha*Kl*psi_l/(Tabella34[[#This Row],[sel. region velocity]]*(1+TANH(phi_l)))))+phi_l)/psi_l-(Tabella34[[#This Row],[Day]]-pl)</f>
        <v>23.53687494927496</v>
      </c>
      <c r="AW173" s="72">
        <f>-2*$BY$22*TANH($BY$22*(Tabella34[[#This Row],[Day]]-$BY$31)-$BY$21)*Tabella34[[#This Row],[sel. region velocity]]</f>
        <v>-2.2726558679860789</v>
      </c>
      <c r="AX173" s="77">
        <f>Tabella34[[#This Row],[sel. region acc. fit]]/y_l_peak</f>
        <v>-1.5435589229528387E-2</v>
      </c>
      <c r="AY173" s="143">
        <f>Tabella34[[#This Row],[sel. region acc. fit]]*NOT(ISBLANK(Tabella34[[#This Row],[selected region rate data]]))</f>
        <v>0</v>
      </c>
      <c r="AZ173" s="77">
        <f>Tabella34[[#This Row],[sel. region acc. fit]]+CIl</f>
        <v>67.092330507114326</v>
      </c>
      <c r="BA173" s="77">
        <f>MAX(Tabella34[[#This Row],[sel. region acc. fit]]-CIl,0)</f>
        <v>0</v>
      </c>
      <c r="BC173" s="10"/>
      <c r="BD173" s="10"/>
      <c r="BE173" s="77">
        <f>Tabella34[[#This Row],[rest of Italy rate data]]*NOT(ISBLANK(Tabella34[[#This Row],[rest of Italy rate data]]))</f>
        <v>0</v>
      </c>
      <c r="BF173" s="77">
        <f>Tabella8[[#This Row],[rest of Italy fit]]</f>
        <v>199148.91184650816</v>
      </c>
      <c r="BG173" s="78" t="e">
        <f>(ATANH(alpha*Tabella34[[#This Row],[rest of Italy cumul. fit]]/Ka-(1-alpha*Tabella34[[#This Row],[rest of Italy cumul. fit]]/Ka)*TANH(phi_a))+phi_a)/psi_a-(Tabella34[[#This Row],[Day]]-pa)</f>
        <v>#NUM!</v>
      </c>
      <c r="BH173" s="77">
        <f>Tabella34[[#This Row],[rest of Italy cumul. fit]]/Ka</f>
        <v>0.89769751375056572</v>
      </c>
      <c r="BI173" s="143">
        <f>Tabella3[[#This Row],[rest of Italy fit]]</f>
        <v>1052.2757098403574</v>
      </c>
      <c r="BJ173" s="183">
        <f>Tabella34[[#This Row],[rest of Italy velocity]]/Tabella34[[#This Row],[rest of Italy cumul. fit]]</f>
        <v>5.2838637182782474E-3</v>
      </c>
      <c r="BK173" s="236">
        <f>(LN(Tabella34[[#This Row],[Day]]-po)-phi_o)/psi_o</f>
        <v>124.2412938681595</v>
      </c>
      <c r="BL173" s="244">
        <f>EXP(phi_o+psi_o*Tabella34[[#This Row],[x_o_alpha©+plus]])-(Tabella34[[#This Row],[Day]]-po)</f>
        <v>-93.651310691652569</v>
      </c>
      <c r="BM173" s="244">
        <f>EXP(phi_o+psi_o*Tabella34[[#This Row],[x_o_alpha©-minus]])-(Tabella34[[#This Row],[Day]]-po)</f>
        <v>-94.450899913058606</v>
      </c>
      <c r="BN173" s="244">
        <f>-psi_o+SQRT(psi_o^2-2*Tabella34[[#This Row],[c_o]])</f>
        <v>3.8188093397478862</v>
      </c>
      <c r="BO173" s="244">
        <f>-psi_o-SQRT(psi_o^2-2*Tabella34[[#This Row],[c_o]])</f>
        <v>-3.8701226240155395</v>
      </c>
      <c r="BP173" s="244">
        <f>phi_o-LN(alpha*Ko/(Tabella34[[#This Row],[rest of Italy velocity]]*psi_o*SQRTPI(2)))</f>
        <v>-7.3896302112800694</v>
      </c>
      <c r="BQ173" s="244">
        <f>(ACOSH(SQRT(alpha*Ka*psi_a/(Tabella34[[#This Row],[rest of Italy velocity]]*(1+TANH(phi_a)))))+phi_a)/psi_a-(Tabella34[[#This Row],[Day]]-pa)</f>
        <v>15.639065253249171</v>
      </c>
      <c r="BR173" s="72">
        <f>-2*$BY$35*TANH($BY$35*(Tabella34[[#This Row],[Day]]-$BY$44)-$BY$34)*Tabella34[[#This Row],[rest of Italy velocity]]</f>
        <v>-43.582967241127044</v>
      </c>
      <c r="BS173" s="77">
        <f>Tabella34[[#This Row],[rest of Italy acc. fit]]/y_a_peak</f>
        <v>-1.4434082485824741E-2</v>
      </c>
      <c r="BT173" s="121">
        <f>Tabella34[[#This Row],[rest of Italy acc. fit]]*NOT(ISBLANK(Tabella34[[#This Row],[rest of Italy rate data]]))</f>
        <v>0</v>
      </c>
      <c r="BU173" s="189"/>
      <c r="BV173" s="122"/>
    </row>
    <row r="174" spans="2:74" x14ac:dyDescent="0.3">
      <c r="B174" s="262">
        <v>43997</v>
      </c>
      <c r="C174" s="4">
        <v>167</v>
      </c>
      <c r="E174" s="10"/>
      <c r="F174" s="10"/>
      <c r="G174" s="121">
        <f>Tabella34[[#This Row],[Italy rate data]]*NOT(ISBLANK(Tabella34[[#This Row],[Italy rate data]]))</f>
        <v>0</v>
      </c>
      <c r="H174" s="143">
        <f>Tabella8[[#This Row],[Italy fit]]</f>
        <v>210799.14840275203</v>
      </c>
      <c r="I174" s="143" t="e">
        <f>(ATANH(alpha*Tabella34[[#This Row],[Italy cumul. Fit]]/Kf-(1-alpha*Tabella34[[#This Row],[Italy cumul. Fit]]/Kf)*TANH(phi_f))+phi_f)/psi_f-(Tabella34[[#This Row],[Day]]-pf)</f>
        <v>#NUM!</v>
      </c>
      <c r="J174" s="143" t="e">
        <f>Tabella34[[#This Row],[Italy d.t.]]/Italy_dt_at_lockdown</f>
        <v>#NUM!</v>
      </c>
      <c r="K174" s="77">
        <f>Tabella34[[#This Row],[Italy cumul. Fit]]/Kf</f>
        <v>0.89701764695867536</v>
      </c>
      <c r="L174" s="146">
        <f>Tabella34[[#This Row],[sel. region acc. fit]]+Tabella34[[#This Row],[rest of Italy acc. fit]]</f>
        <v>-44.521450901933036</v>
      </c>
      <c r="M174" s="77">
        <f>Tabella34[[#This Row],[Italy (fit of selected region + fitted sum of the other regions)]]/(y_l_peak+y_a_peak)</f>
        <v>-1.4059332158734872E-2</v>
      </c>
      <c r="N174" s="143">
        <f>Tabella3[[#This Row],[Italy remov. rate fit]]</f>
        <v>1104.3025575655711</v>
      </c>
      <c r="O174" s="143">
        <f>Kt*EXP(-0.5*Tabella34[[#This Row],[x_t]]^2)/(psi_t*SQRTPI(2)*(Tabella34[[#This Row],[Day]]-D_bk))</f>
        <v>0</v>
      </c>
      <c r="P174" s="183">
        <f>Tabella34[[#This Row],[Italy velocity]]/Tabella34[[#This Row],[Italy cumul. Fit]]</f>
        <v>5.2386480966976909E-3</v>
      </c>
      <c r="Q174" s="244">
        <f>(LN(Tabella34[[#This Row],[Day]]-D_bk)-phi_t)/psi_t</f>
        <v>127.42298604871891</v>
      </c>
      <c r="R174" s="244">
        <f>EXP(phi_t+psi_t*Tabella34[[#This Row],[x_t_alpha©+plus]])-(Tabella34[[#This Row],[Day]]-D_bk)</f>
        <v>-94.177122882700885</v>
      </c>
      <c r="S174" s="244">
        <f>EXP(phi_t+psi_t*Tabella34[[#This Row],[x_t_alpha©-minus]])-(Tabella34[[#This Row],[Day]]-D_bk)</f>
        <v>-94.946094566757722</v>
      </c>
      <c r="T174" s="244">
        <f>-psi_t+SQRT(psi_t^2-2*Tabella34[[#This Row],[c_t]])</f>
        <v>3.8326735905728189</v>
      </c>
      <c r="U174" s="244">
        <f>-psi_t-SQRT(psi_t^2-2*Tabella34[[#This Row],[c_t]])</f>
        <v>-3.8831922652701909</v>
      </c>
      <c r="V174" s="244">
        <f>phi_t-LN(alpha*Kt/(Tabella34[[#This Row],[Italy velocity]]*psi_t*SQRTPI(2)))</f>
        <v>-7.4415042211088505</v>
      </c>
      <c r="W174" s="244">
        <f>Tabella34[[#This Row],[Italy g.r.]]/Italy_gr_at_lockdown</f>
        <v>1.249553960973283E-2</v>
      </c>
      <c r="X174" s="244">
        <f>(ACOSH(SQRT(alpha*Kf*psi_f/(Tabella34[[#This Row],[Italy velocity]]*(1+TANH(phi_f)))))+phi_f)/psi_f-(Tabella34[[#This Row],[Day]]-pf)</f>
        <v>15.893516262585365</v>
      </c>
      <c r="Y174" s="244">
        <f>Tabella34[[#This Row],[Italy h.t.]]/Italy_ht_at_lockdown</f>
        <v>0.13383152972484097</v>
      </c>
      <c r="Z174" s="72">
        <f>-2*$BY$48*TANH($BY$48*(Tabella34[[#This Row],[Day]]-$BY$57)-$BY$47)*Tabella34[[#This Row],[Italy velocity]]</f>
        <v>-44.992358635314915</v>
      </c>
      <c r="AA174" s="72">
        <f>Tabella34[[#This Row],[Italy acc. fit]]/Itali_acc_at_lockdown</f>
        <v>-1.2854838950924041</v>
      </c>
      <c r="AB174" s="77">
        <f>Tabella34[[#This Row],[Italy acc. fit]]/y_f_peak</f>
        <v>-1.4242643312826608E-2</v>
      </c>
      <c r="AC174" s="143">
        <f>Tabella34[[#This Row],[Italy (fit of selected region + fitted sum of the other regions)]]*NOT(ISBLANK(Tabella34[[#This Row],[Italy rate data]]))</f>
        <v>0</v>
      </c>
      <c r="AD174" s="143">
        <f>Tabella34[[#This Row],[Italy acc. fit]]*NOT(ISBLANK(Tabella34[[#This Row],[Italy rate data]]))</f>
        <v>0</v>
      </c>
      <c r="AE174" s="77">
        <f>Tabella34[[#This Row],[Italy acc. fit]]+CIf</f>
        <v>1610.2176102884364</v>
      </c>
      <c r="AF174" s="77">
        <f>MAX(Tabella34[[#This Row],[Italy acc. fit]]-CIf,0)</f>
        <v>0</v>
      </c>
      <c r="AH174" s="10"/>
      <c r="AI174" s="10"/>
      <c r="AJ174" s="121">
        <f>Tabella34[[#This Row],[selected region rate data]]*NOT(ISBLANK(Tabella34[[#This Row],[selected region rate data]]))</f>
        <v>0</v>
      </c>
      <c r="AK174" s="77">
        <f>Tabella8[[#This Row],[region fit]]</f>
        <v>10389.665806040599</v>
      </c>
      <c r="AL174" s="143" t="e">
        <f>(ATANH(alpha*Tabella34[[#This Row],[sel. region cumul. fit]]/Kl-(1-alpha*Tabella34[[#This Row],[sel. region cumul. fit]]/Kl)*TANH(phi_l))+phi_l)/psi_l-(Tabella34[[#This Row],[Day]]-pl)</f>
        <v>#NUM!</v>
      </c>
      <c r="AM174" s="77">
        <f>Tabella34[[#This Row],[sel. region cumul. fit]]/Kl</f>
        <v>0.78973522557214082</v>
      </c>
      <c r="AN174" s="143">
        <f>Tabella3[[#This Row],[region fit]]</f>
        <v>90.356545099037348</v>
      </c>
      <c r="AO174" s="186">
        <f>Tabella34[[#This Row],[sel. region velocity]]/Tabella34[[#This Row],[sel. region cumul. fit]]</f>
        <v>8.6967710786716203E-3</v>
      </c>
      <c r="AP174" s="241">
        <f>(LN(Tabella34[[#This Row],[Day]]-pr)-phi_r)/psi_r</f>
        <v>169.20760434319388</v>
      </c>
      <c r="AQ174" s="244">
        <f>EXP(phi_r+psi_r*Tabella34[[#This Row],[x_r_alpha©+plus]])-(Tabella34[[#This Row],[Day]]-pr)</f>
        <v>-87.401007618824039</v>
      </c>
      <c r="AR174" s="244">
        <f>EXP(phi_r+psi_r*Tabella34[[#This Row],[x_r_alpha©-minus]])-(Tabella34[[#This Row],[Day]]-pr)</f>
        <v>-87.871231203487355</v>
      </c>
      <c r="AS174" s="244">
        <f>-psi_r+SQRT(psi_r^2-2*Tabella34[[#This Row],[c_r]])</f>
        <v>3.8687389946437749</v>
      </c>
      <c r="AT174" s="244">
        <f>-psi_r-SQRT(psi_r^2-2*Tabella34[[#This Row],[c_r]])</f>
        <v>-3.9090270043101132</v>
      </c>
      <c r="AU174" s="244">
        <f>phi_r-LN(alpha*Kr/(Tabella34[[#This Row],[sel. region velocity]]*psi_r*SQRTPI(2)))</f>
        <v>-7.5615026013450377</v>
      </c>
      <c r="AV174" s="244">
        <f>(ACOSH(SQRT(alpha*Kl*psi_l/(Tabella34[[#This Row],[sel. region velocity]]*(1+TANH(phi_l)))))+phi_l)/psi_l-(Tabella34[[#This Row],[Day]]-pl)</f>
        <v>23.27798392563119</v>
      </c>
      <c r="AW174" s="72">
        <f>-2*$BY$22*TANH($BY$22*(Tabella34[[#This Row],[Day]]-$BY$31)-$BY$21)*Tabella34[[#This Row],[sel. region velocity]]</f>
        <v>-2.2625767590948227</v>
      </c>
      <c r="AX174" s="77">
        <f>Tabella34[[#This Row],[sel. region acc. fit]]/y_l_peak</f>
        <v>-1.5367133205527277E-2</v>
      </c>
      <c r="AY174" s="143">
        <f>Tabella34[[#This Row],[sel. region acc. fit]]*NOT(ISBLANK(Tabella34[[#This Row],[selected region rate data]]))</f>
        <v>0</v>
      </c>
      <c r="AZ174" s="77">
        <f>Tabella34[[#This Row],[sel. region acc. fit]]+CIl</f>
        <v>67.102409616005573</v>
      </c>
      <c r="BA174" s="77">
        <f>MAX(Tabella34[[#This Row],[sel. region acc. fit]]-CIl,0)</f>
        <v>0</v>
      </c>
      <c r="BC174" s="10"/>
      <c r="BD174" s="10"/>
      <c r="BE174" s="77">
        <f>Tabella34[[#This Row],[rest of Italy rate data]]*NOT(ISBLANK(Tabella34[[#This Row],[rest of Italy rate data]]))</f>
        <v>0</v>
      </c>
      <c r="BF174" s="77">
        <f>Tabella8[[#This Row],[rest of Italy fit]]</f>
        <v>200179.61663457111</v>
      </c>
      <c r="BG174" s="78" t="e">
        <f>(ATANH(alpha*Tabella34[[#This Row],[rest of Italy cumul. fit]]/Ka-(1-alpha*Tabella34[[#This Row],[rest of Italy cumul. fit]]/Ka)*TANH(phi_a))+phi_a)/psi_a-(Tabella34[[#This Row],[Day]]-pa)</f>
        <v>#NUM!</v>
      </c>
      <c r="BH174" s="77">
        <f>Tabella34[[#This Row],[rest of Italy cumul. fit]]/Ka</f>
        <v>0.90234359048317703</v>
      </c>
      <c r="BI174" s="143">
        <f>Tabella3[[#This Row],[rest of Italy fit]]</f>
        <v>1009.3545620864531</v>
      </c>
      <c r="BJ174" s="183">
        <f>Tabella34[[#This Row],[rest of Italy velocity]]/Tabella34[[#This Row],[rest of Italy cumul. fit]]</f>
        <v>5.0422444555333268E-3</v>
      </c>
      <c r="BK174" s="236">
        <f>(LN(Tabella34[[#This Row],[Day]]-po)-phi_o)/psi_o</f>
        <v>124.63652400044339</v>
      </c>
      <c r="BL174" s="244">
        <f>EXP(phi_o+psi_o*Tabella34[[#This Row],[x_o_alpha©+plus]])-(Tabella34[[#This Row],[Day]]-po)</f>
        <v>-94.65007103610283</v>
      </c>
      <c r="BM174" s="244">
        <f>EXP(phi_o+psi_o*Tabella34[[#This Row],[x_o_alpha©-minus]])-(Tabella34[[#This Row],[Day]]-po)</f>
        <v>-95.451917347143635</v>
      </c>
      <c r="BN174" s="244">
        <f>-psi_o+SQRT(psi_o^2-2*Tabella34[[#This Row],[c_o]])</f>
        <v>3.8296263371978152</v>
      </c>
      <c r="BO174" s="244">
        <f>-psi_o-SQRT(psi_o^2-2*Tabella34[[#This Row],[c_o]])</f>
        <v>-3.8809396214654686</v>
      </c>
      <c r="BP174" s="244">
        <f>phi_o-LN(alpha*Ko/(Tabella34[[#This Row],[rest of Italy velocity]]*psi_o*SQRTPI(2)))</f>
        <v>-7.4312742937193388</v>
      </c>
      <c r="BQ174" s="244">
        <f>(ACOSH(SQRT(alpha*Ka*psi_a/(Tabella34[[#This Row],[rest of Italy velocity]]*(1+TANH(phi_a)))))+phi_a)/psi_a-(Tabella34[[#This Row],[Day]]-pa)</f>
        <v>15.530236420387041</v>
      </c>
      <c r="BR174" s="72">
        <f>-2*$BY$35*TANH($BY$35*(Tabella34[[#This Row],[Day]]-$BY$44)-$BY$34)*Tabella34[[#This Row],[rest of Italy velocity]]</f>
        <v>-42.258874142838216</v>
      </c>
      <c r="BS174" s="77">
        <f>Tabella34[[#This Row],[rest of Italy acc. fit]]/y_a_peak</f>
        <v>-1.3995560966767243E-2</v>
      </c>
      <c r="BT174" s="121">
        <f>Tabella34[[#This Row],[rest of Italy acc. fit]]*NOT(ISBLANK(Tabella34[[#This Row],[rest of Italy rate data]]))</f>
        <v>0</v>
      </c>
      <c r="BU174" s="189"/>
      <c r="BV174" s="122"/>
    </row>
    <row r="175" spans="2:74" x14ac:dyDescent="0.3">
      <c r="B175" s="262">
        <v>43998</v>
      </c>
      <c r="C175" s="4">
        <v>168</v>
      </c>
      <c r="E175" s="10"/>
      <c r="F175" s="10"/>
      <c r="G175" s="121">
        <f>Tabella34[[#This Row],[Italy rate data]]*NOT(ISBLANK(Tabella34[[#This Row],[Italy rate data]]))</f>
        <v>0</v>
      </c>
      <c r="H175" s="143">
        <f>Tabella8[[#This Row],[Italy fit]]</f>
        <v>211881.17839001075</v>
      </c>
      <c r="I175" s="143" t="e">
        <f>(ATANH(alpha*Tabella34[[#This Row],[Italy cumul. Fit]]/Kf-(1-alpha*Tabella34[[#This Row],[Italy cumul. Fit]]/Kf)*TANH(phi_f))+phi_f)/psi_f-(Tabella34[[#This Row],[Day]]-pf)</f>
        <v>#NUM!</v>
      </c>
      <c r="J175" s="143" t="e">
        <f>Tabella34[[#This Row],[Italy d.t.]]/Italy_dt_at_lockdown</f>
        <v>#NUM!</v>
      </c>
      <c r="K175" s="77">
        <f>Tabella34[[#This Row],[Italy cumul. Fit]]/Kf</f>
        <v>0.90162202985331175</v>
      </c>
      <c r="L175" s="146">
        <f>Tabella34[[#This Row],[sel. region acc. fit]]+Tabella34[[#This Row],[rest of Italy acc. fit]]</f>
        <v>-43.183835948753085</v>
      </c>
      <c r="M175" s="77">
        <f>Tabella34[[#This Row],[Italy (fit of selected region + fitted sum of the other regions)]]/(y_l_peak+y_a_peak)</f>
        <v>-1.3636929641605067E-2</v>
      </c>
      <c r="N175" s="143">
        <f>Tabella3[[#This Row],[Italy remov. rate fit]]</f>
        <v>1059.9811763455248</v>
      </c>
      <c r="O175" s="143">
        <f>Kt*EXP(-0.5*Tabella34[[#This Row],[x_t]]^2)/(psi_t*SQRTPI(2)*(Tabella34[[#This Row],[Day]]-D_bk))</f>
        <v>0</v>
      </c>
      <c r="P175" s="183">
        <f>Tabella34[[#This Row],[Italy velocity]]/Tabella34[[#This Row],[Italy cumul. Fit]]</f>
        <v>5.0027151274117049E-3</v>
      </c>
      <c r="Q175" s="244">
        <f>(LN(Tabella34[[#This Row],[Day]]-D_bk)-phi_t)/psi_t</f>
        <v>127.82280239602825</v>
      </c>
      <c r="R175" s="244">
        <f>EXP(phi_t+psi_t*Tabella34[[#This Row],[x_t_alpha©+plus]])-(Tabella34[[#This Row],[Day]]-D_bk)</f>
        <v>-95.175959675950992</v>
      </c>
      <c r="S175" s="244">
        <f>EXP(phi_t+psi_t*Tabella34[[#This Row],[x_t_alpha©-minus]])-(Tabella34[[#This Row],[Day]]-D_bk)</f>
        <v>-95.947051535204679</v>
      </c>
      <c r="T175" s="244">
        <f>-psi_t+SQRT(psi_t^2-2*Tabella34[[#This Row],[c_t]])</f>
        <v>3.8432768339810321</v>
      </c>
      <c r="U175" s="244">
        <f>-psi_t-SQRT(psi_t^2-2*Tabella34[[#This Row],[c_t]])</f>
        <v>-3.8937955086784042</v>
      </c>
      <c r="V175" s="244">
        <f>phi_t-LN(alpha*Kt/(Tabella34[[#This Row],[Italy velocity]]*psi_t*SQRTPI(2)))</f>
        <v>-7.4824670373815501</v>
      </c>
      <c r="W175" s="244">
        <f>Tabella34[[#This Row],[Italy g.r.]]/Italy_gr_at_lockdown</f>
        <v>1.1932778052068108E-2</v>
      </c>
      <c r="X175" s="244">
        <f>(ACOSH(SQRT(alpha*Kf*psi_f/(Tabella34[[#This Row],[Italy velocity]]*(1+TANH(phi_f)))))+phi_f)/psi_f-(Tabella34[[#This Row],[Day]]-pf)</f>
        <v>15.784210378884566</v>
      </c>
      <c r="Y175" s="244">
        <f>Tabella34[[#This Row],[Italy h.t.]]/Italy_ht_at_lockdown</f>
        <v>0.13291111832047223</v>
      </c>
      <c r="Z175" s="72">
        <f>-2*$BY$48*TANH($BY$48*(Tabella34[[#This Row],[Day]]-$BY$57)-$BY$47)*Tabella34[[#This Row],[Italy velocity]]</f>
        <v>-43.649883199736095</v>
      </c>
      <c r="AA175" s="72">
        <f>Tabella34[[#This Row],[Italy acc. fit]]/Itali_acc_at_lockdown</f>
        <v>-1.2471278140969262</v>
      </c>
      <c r="AB175" s="77">
        <f>Tabella34[[#This Row],[Italy acc. fit]]/y_f_peak</f>
        <v>-1.3817673398709394E-2</v>
      </c>
      <c r="AC175" s="143">
        <f>Tabella34[[#This Row],[Italy (fit of selected region + fitted sum of the other regions)]]*NOT(ISBLANK(Tabella34[[#This Row],[Italy rate data]]))</f>
        <v>0</v>
      </c>
      <c r="AD175" s="143">
        <f>Tabella34[[#This Row],[Italy acc. fit]]*NOT(ISBLANK(Tabella34[[#This Row],[Italy rate data]]))</f>
        <v>0</v>
      </c>
      <c r="AE175" s="77">
        <f>Tabella34[[#This Row],[Italy acc. fit]]+CIf</f>
        <v>1611.5600857240154</v>
      </c>
      <c r="AF175" s="77">
        <f>MAX(Tabella34[[#This Row],[Italy acc. fit]]-CIf,0)</f>
        <v>0</v>
      </c>
      <c r="AH175" s="10"/>
      <c r="AI175" s="10"/>
      <c r="AJ175" s="121">
        <f>Tabella34[[#This Row],[selected region rate data]]*NOT(ISBLANK(Tabella34[[#This Row],[selected region rate data]]))</f>
        <v>0</v>
      </c>
      <c r="AK175" s="77">
        <f>Tabella8[[#This Row],[region fit]]</f>
        <v>10478.893132296029</v>
      </c>
      <c r="AL175" s="143" t="e">
        <f>(ATANH(alpha*Tabella34[[#This Row],[sel. region cumul. fit]]/Kl-(1-alpha*Tabella34[[#This Row],[sel. region cumul. fit]]/Kl)*TANH(phi_l))+phi_l)/psi_l-(Tabella34[[#This Row],[Day]]-pl)</f>
        <v>#NUM!</v>
      </c>
      <c r="AM175" s="77">
        <f>Tabella34[[#This Row],[sel. region cumul. fit]]/Kl</f>
        <v>0.79651753829932803</v>
      </c>
      <c r="AN175" s="143">
        <f>Tabella3[[#This Row],[region fit]]</f>
        <v>88.100302554361463</v>
      </c>
      <c r="AO175" s="186">
        <f>Tabella34[[#This Row],[sel. region velocity]]/Tabella34[[#This Row],[sel. region cumul. fit]]</f>
        <v>8.4074053854825241E-3</v>
      </c>
      <c r="AP175" s="241">
        <f>(LN(Tabella34[[#This Row],[Day]]-pr)-phi_r)/psi_r</f>
        <v>169.75227346747226</v>
      </c>
      <c r="AQ175" s="244">
        <f>EXP(phi_r+psi_r*Tabella34[[#This Row],[x_r_alpha©+plus]])-(Tabella34[[#This Row],[Day]]-pr)</f>
        <v>-88.400583220493829</v>
      </c>
      <c r="AR175" s="244">
        <f>EXP(phi_r+psi_r*Tabella34[[#This Row],[x_r_alpha©-minus]])-(Tabella34[[#This Row],[Day]]-pr)</f>
        <v>-88.871594008755594</v>
      </c>
      <c r="AS175" s="244">
        <f>-psi_r+SQRT(psi_r^2-2*Tabella34[[#This Row],[c_r]])</f>
        <v>3.8752360743577405</v>
      </c>
      <c r="AT175" s="244">
        <f>-psi_r-SQRT(psi_r^2-2*Tabella34[[#This Row],[c_r]])</f>
        <v>-3.9155240840240788</v>
      </c>
      <c r="AU175" s="244">
        <f>phi_r-LN(alpha*Kr/(Tabella34[[#This Row],[sel. region velocity]]*psi_r*SQRTPI(2)))</f>
        <v>-7.5867900902133298</v>
      </c>
      <c r="AV175" s="244">
        <f>(ACOSH(SQRT(alpha*Kl*psi_l/(Tabella34[[#This Row],[sel. region velocity]]*(1+TANH(phi_l)))))+phi_l)/psi_l-(Tabella34[[#This Row],[Day]]-pl)</f>
        <v>23.029804988489232</v>
      </c>
      <c r="AW175" s="72">
        <f>-2*$BY$22*TANH($BY$22*(Tabella34[[#This Row],[Day]]-$BY$31)-$BY$21)*Tabella34[[#This Row],[sel. region velocity]]</f>
        <v>-2.2494090013697452</v>
      </c>
      <c r="AX175" s="77">
        <f>Tabella34[[#This Row],[sel. region acc. fit]]/y_l_peak</f>
        <v>-1.5277699471990508E-2</v>
      </c>
      <c r="AY175" s="143">
        <f>Tabella34[[#This Row],[sel. region acc. fit]]*NOT(ISBLANK(Tabella34[[#This Row],[selected region rate data]]))</f>
        <v>0</v>
      </c>
      <c r="AZ175" s="77">
        <f>Tabella34[[#This Row],[sel. region acc. fit]]+CIl</f>
        <v>67.115577373730659</v>
      </c>
      <c r="BA175" s="77">
        <f>MAX(Tabella34[[#This Row],[sel. region acc. fit]]-CIl,0)</f>
        <v>0</v>
      </c>
      <c r="BC175" s="10"/>
      <c r="BD175" s="10"/>
      <c r="BE175" s="77">
        <f>Tabella34[[#This Row],[rest of Italy rate data]]*NOT(ISBLANK(Tabella34[[#This Row],[rest of Italy rate data]]))</f>
        <v>0</v>
      </c>
      <c r="BF175" s="77">
        <f>Tabella8[[#This Row],[rest of Italy fit]]</f>
        <v>201168.06257616865</v>
      </c>
      <c r="BG175" s="78" t="e">
        <f>(ATANH(alpha*Tabella34[[#This Row],[rest of Italy cumul. fit]]/Ka-(1-alpha*Tabella34[[#This Row],[rest of Italy cumul. fit]]/Ka)*TANH(phi_a))+phi_a)/psi_a-(Tabella34[[#This Row],[Day]]-pa)</f>
        <v>#NUM!</v>
      </c>
      <c r="BH175" s="77">
        <f>Tabella34[[#This Row],[rest of Italy cumul. fit]]/Ka</f>
        <v>0.90679917829443679</v>
      </c>
      <c r="BI175" s="143">
        <f>Tabella3[[#This Row],[rest of Italy fit]]</f>
        <v>967.75807470552274</v>
      </c>
      <c r="BJ175" s="183">
        <f>Tabella34[[#This Row],[rest of Italy velocity]]/Tabella34[[#This Row],[rest of Italy cumul. fit]]</f>
        <v>4.8106944129816757E-3</v>
      </c>
      <c r="BK175" s="236">
        <f>(LN(Tabella34[[#This Row],[Day]]-po)-phi_o)/psi_o</f>
        <v>125.02778658764127</v>
      </c>
      <c r="BL175" s="244">
        <f>EXP(phi_o+psi_o*Tabella34[[#This Row],[x_o_alpha©+plus]])-(Tabella34[[#This Row],[Day]]-po)</f>
        <v>-95.648821453900311</v>
      </c>
      <c r="BM175" s="244">
        <f>EXP(phi_o+psi_o*Tabella34[[#This Row],[x_o_alpha©-minus]])-(Tabella34[[#This Row],[Day]]-po)</f>
        <v>-96.452942357128393</v>
      </c>
      <c r="BN175" s="244">
        <f>-psi_o+SQRT(psi_o^2-2*Tabella34[[#This Row],[c_o]])</f>
        <v>3.8405269153979784</v>
      </c>
      <c r="BO175" s="244">
        <f>-psi_o-SQRT(psi_o^2-2*Tabella34[[#This Row],[c_o]])</f>
        <v>-3.8918401996656318</v>
      </c>
      <c r="BP175" s="244">
        <f>phi_o-LN(alpha*Ko/(Tabella34[[#This Row],[rest of Italy velocity]]*psi_o*SQRTPI(2)))</f>
        <v>-7.4733585186218505</v>
      </c>
      <c r="BQ175" s="244">
        <f>(ACOSH(SQRT(alpha*Ka*psi_a/(Tabella34[[#This Row],[rest of Italy velocity]]*(1+TANH(phi_a)))))+phi_a)/psi_a-(Tabella34[[#This Row],[Day]]-pa)</f>
        <v>15.42705096712092</v>
      </c>
      <c r="BR175" s="72">
        <f>-2*$BY$35*TANH($BY$35*(Tabella34[[#This Row],[Day]]-$BY$44)-$BY$34)*Tabella34[[#This Row],[rest of Italy velocity]]</f>
        <v>-40.934426947383344</v>
      </c>
      <c r="BS175" s="77">
        <f>Tabella34[[#This Row],[rest of Italy acc. fit]]/y_a_peak</f>
        <v>-1.3556922175572802E-2</v>
      </c>
      <c r="BT175" s="121">
        <f>Tabella34[[#This Row],[rest of Italy acc. fit]]*NOT(ISBLANK(Tabella34[[#This Row],[rest of Italy rate data]]))</f>
        <v>0</v>
      </c>
      <c r="BU175" s="189"/>
      <c r="BV175" s="122"/>
    </row>
    <row r="176" spans="2:74" x14ac:dyDescent="0.3">
      <c r="B176" s="262">
        <v>43999</v>
      </c>
      <c r="C176" s="4">
        <v>169</v>
      </c>
      <c r="E176" s="10"/>
      <c r="F176" s="10"/>
      <c r="G176" s="121">
        <f>Tabella34[[#This Row],[Italy rate data]]*NOT(ISBLANK(Tabella34[[#This Row],[Italy rate data]]))</f>
        <v>0</v>
      </c>
      <c r="H176" s="143">
        <f>Tabella8[[#This Row],[Italy fit]]</f>
        <v>212919.55855683246</v>
      </c>
      <c r="I176" s="143" t="e">
        <f>(ATANH(alpha*Tabella34[[#This Row],[Italy cumul. Fit]]/Kf-(1-alpha*Tabella34[[#This Row],[Italy cumul. Fit]]/Kf)*TANH(phi_f))+phi_f)/psi_f-(Tabella34[[#This Row],[Day]]-pf)</f>
        <v>#NUM!</v>
      </c>
      <c r="J176" s="143" t="e">
        <f>Tabella34[[#This Row],[Italy d.t.]]/Italy_dt_at_lockdown</f>
        <v>#NUM!</v>
      </c>
      <c r="K176" s="77">
        <f>Tabella34[[#This Row],[Italy cumul. Fit]]/Kf</f>
        <v>0.90604066883239975</v>
      </c>
      <c r="L176" s="146">
        <f>Tabella34[[#This Row],[sel. region acc. fit]]+Tabella34[[#This Row],[rest of Italy acc. fit]]</f>
        <v>-41.847429660621799</v>
      </c>
      <c r="M176" s="77">
        <f>Tabella34[[#This Row],[Italy (fit of selected region + fitted sum of the other regions)]]/(y_l_peak+y_a_peak)</f>
        <v>-1.3214908806182476E-2</v>
      </c>
      <c r="N176" s="143">
        <f>Tabella3[[#This Row],[Italy remov. rate fit]]</f>
        <v>1017.0030445857434</v>
      </c>
      <c r="O176" s="143">
        <f>Kt*EXP(-0.5*Tabella34[[#This Row],[x_t]]^2)/(psi_t*SQRTPI(2)*(Tabella34[[#This Row],[Day]]-D_bk))</f>
        <v>0</v>
      </c>
      <c r="P176" s="183">
        <f>Tabella34[[#This Row],[Italy velocity]]/Tabella34[[#This Row],[Italy cumul. Fit]]</f>
        <v>4.776466058256856E-3</v>
      </c>
      <c r="Q176" s="244">
        <f>(LN(Tabella34[[#This Row],[Day]]-D_bk)-phi_t)/psi_t</f>
        <v>128.21862129662847</v>
      </c>
      <c r="R176" s="244">
        <f>EXP(phi_t+psi_t*Tabella34[[#This Row],[x_t_alpha©+plus]])-(Tabella34[[#This Row],[Day]]-D_bk)</f>
        <v>-96.174787223388549</v>
      </c>
      <c r="S176" s="244">
        <f>EXP(phi_t+psi_t*Tabella34[[#This Row],[x_t_alpha©-minus]])-(Tabella34[[#This Row],[Day]]-D_bk)</f>
        <v>-96.948015591637756</v>
      </c>
      <c r="T176" s="244">
        <f>-psi_t+SQRT(psi_t^2-2*Tabella34[[#This Row],[c_t]])</f>
        <v>3.8539614847984605</v>
      </c>
      <c r="U176" s="244">
        <f>-psi_t-SQRT(psi_t^2-2*Tabella34[[#This Row],[c_t]])</f>
        <v>-3.9044801594958325</v>
      </c>
      <c r="V176" s="244">
        <f>phi_t-LN(alpha*Kt/(Tabella34[[#This Row],[Italy velocity]]*psi_t*SQRTPI(2)))</f>
        <v>-7.5238580764283434</v>
      </c>
      <c r="W176" s="244">
        <f>Tabella34[[#This Row],[Italy g.r.]]/Italy_gr_at_lockdown</f>
        <v>1.1393115117451117E-2</v>
      </c>
      <c r="X176" s="244">
        <f>(ACOSH(SQRT(alpha*Kf*psi_f/(Tabella34[[#This Row],[Italy velocity]]*(1+TANH(phi_f)))))+phi_f)/psi_f-(Tabella34[[#This Row],[Day]]-pf)</f>
        <v>15.680487716347102</v>
      </c>
      <c r="Y176" s="244">
        <f>Tabella34[[#This Row],[Italy h.t.]]/Italy_ht_at_lockdown</f>
        <v>0.13203772049174883</v>
      </c>
      <c r="Z176" s="72">
        <f>-2*$BY$48*TANH($BY$48*(Tabella34[[#This Row],[Day]]-$BY$57)-$BY$47)*Tabella34[[#This Row],[Italy velocity]]</f>
        <v>-42.306633294755173</v>
      </c>
      <c r="AA176" s="72">
        <f>Tabella34[[#This Row],[Italy acc. fit]]/Itali_acc_at_lockdown</f>
        <v>-1.2087496056119402</v>
      </c>
      <c r="AB176" s="77">
        <f>Tabella34[[#This Row],[Italy acc. fit]]/y_f_peak</f>
        <v>-1.3392458320929161E-2</v>
      </c>
      <c r="AC176" s="143">
        <f>Tabella34[[#This Row],[Italy (fit of selected region + fitted sum of the other regions)]]*NOT(ISBLANK(Tabella34[[#This Row],[Italy rate data]]))</f>
        <v>0</v>
      </c>
      <c r="AD176" s="143">
        <f>Tabella34[[#This Row],[Italy acc. fit]]*NOT(ISBLANK(Tabella34[[#This Row],[Italy rate data]]))</f>
        <v>0</v>
      </c>
      <c r="AE176" s="77">
        <f>Tabella34[[#This Row],[Italy acc. fit]]+CIf</f>
        <v>1612.9033356289963</v>
      </c>
      <c r="AF176" s="77">
        <f>MAX(Tabella34[[#This Row],[Italy acc. fit]]-CIf,0)</f>
        <v>0</v>
      </c>
      <c r="AH176" s="10"/>
      <c r="AI176" s="10"/>
      <c r="AJ176" s="121">
        <f>Tabella34[[#This Row],[selected region rate data]]*NOT(ISBLANK(Tabella34[[#This Row],[selected region rate data]]))</f>
        <v>0</v>
      </c>
      <c r="AK176" s="77">
        <f>Tabella8[[#This Row],[region fit]]</f>
        <v>10565.871291461937</v>
      </c>
      <c r="AL176" s="143" t="e">
        <f>(ATANH(alpha*Tabella34[[#This Row],[sel. region cumul. fit]]/Kl-(1-alpha*Tabella34[[#This Row],[sel. region cumul. fit]]/Kl)*TANH(phi_l))+phi_l)/psi_l-(Tabella34[[#This Row],[Day]]-pl)</f>
        <v>#NUM!</v>
      </c>
      <c r="AM176" s="77">
        <f>Tabella34[[#This Row],[sel. region cumul. fit]]/Kl</f>
        <v>0.8031288882148182</v>
      </c>
      <c r="AN176" s="143">
        <f>Tabella3[[#This Row],[region fit]]</f>
        <v>85.858694741030646</v>
      </c>
      <c r="AO176" s="186">
        <f>Tabella34[[#This Row],[sel. region velocity]]/Tabella34[[#This Row],[sel. region cumul. fit]]</f>
        <v>8.1260401885087583E-3</v>
      </c>
      <c r="AP176" s="241">
        <f>(LN(Tabella34[[#This Row],[Day]]-pr)-phi_r)/psi_r</f>
        <v>170.29103137962116</v>
      </c>
      <c r="AQ176" s="244">
        <f>EXP(phi_r+psi_r*Tabella34[[#This Row],[x_r_alpha©+plus]])-(Tabella34[[#This Row],[Day]]-pr)</f>
        <v>-89.400151342194462</v>
      </c>
      <c r="AR176" s="244">
        <f>EXP(phi_r+psi_r*Tabella34[[#This Row],[x_r_alpha©-minus]])-(Tabella34[[#This Row],[Day]]-pr)</f>
        <v>-89.871963110950816</v>
      </c>
      <c r="AS176" s="244">
        <f>-psi_r+SQRT(psi_r^2-2*Tabella34[[#This Row],[c_r]])</f>
        <v>3.8818467914980825</v>
      </c>
      <c r="AT176" s="244">
        <f>-psi_r-SQRT(psi_r^2-2*Tabella34[[#This Row],[c_r]])</f>
        <v>-3.9221348011644208</v>
      </c>
      <c r="AU176" s="244">
        <f>phi_r-LN(alpha*Kr/(Tabella34[[#This Row],[sel. region velocity]]*psi_r*SQRTPI(2)))</f>
        <v>-7.6125631968615393</v>
      </c>
      <c r="AV176" s="244">
        <f>(ACOSH(SQRT(alpha*Kl*psi_l/(Tabella34[[#This Row],[sel. region velocity]]*(1+TANH(phi_l)))))+phi_l)/psi_l-(Tabella34[[#This Row],[Day]]-pl)</f>
        <v>22.791899873223784</v>
      </c>
      <c r="AW176" s="72">
        <f>-2*$BY$22*TANH($BY$22*(Tabella34[[#This Row],[Day]]-$BY$31)-$BY$21)*Tabella34[[#This Row],[sel. region velocity]]</f>
        <v>-2.2333383254700161</v>
      </c>
      <c r="AX176" s="77">
        <f>Tabella34[[#This Row],[sel. region acc. fit]]/y_l_peak</f>
        <v>-1.5168549487902102E-2</v>
      </c>
      <c r="AY176" s="143">
        <f>Tabella34[[#This Row],[sel. region acc. fit]]*NOT(ISBLANK(Tabella34[[#This Row],[selected region rate data]]))</f>
        <v>0</v>
      </c>
      <c r="AZ176" s="77">
        <f>Tabella34[[#This Row],[sel. region acc. fit]]+CIl</f>
        <v>67.131648049630385</v>
      </c>
      <c r="BA176" s="77">
        <f>MAX(Tabella34[[#This Row],[sel. region acc. fit]]-CIl,0)</f>
        <v>0</v>
      </c>
      <c r="BC176" s="10"/>
      <c r="BD176" s="10"/>
      <c r="BE176" s="77">
        <f>Tabella34[[#This Row],[rest of Italy rate data]]*NOT(ISBLANK(Tabella34[[#This Row],[rest of Italy rate data]]))</f>
        <v>0</v>
      </c>
      <c r="BF176" s="77">
        <f>Tabella8[[#This Row],[rest of Italy fit]]</f>
        <v>202115.57374641788</v>
      </c>
      <c r="BG176" s="78" t="e">
        <f>(ATANH(alpha*Tabella34[[#This Row],[rest of Italy cumul. fit]]/Ka-(1-alpha*Tabella34[[#This Row],[rest of Italy cumul. fit]]/Ka)*TANH(phi_a))+phi_a)/psi_a-(Tabella34[[#This Row],[Day]]-pa)</f>
        <v>#NUM!</v>
      </c>
      <c r="BH176" s="77">
        <f>Tabella34[[#This Row],[rest of Italy cumul. fit]]/Ka</f>
        <v>0.91107024567761785</v>
      </c>
      <c r="BI176" s="143">
        <f>Tabella3[[#This Row],[rest of Italy fit]]</f>
        <v>927.48433294677</v>
      </c>
      <c r="BJ176" s="183">
        <f>Tabella34[[#This Row],[rest of Italy velocity]]/Tabella34[[#This Row],[rest of Italy cumul. fit]]</f>
        <v>4.5888810830105953E-3</v>
      </c>
      <c r="BK176" s="236">
        <f>(LN(Tabella34[[#This Row],[Day]]-po)-phi_o)/psi_o</f>
        <v>125.41516049566093</v>
      </c>
      <c r="BL176" s="244">
        <f>EXP(phi_o+psi_o*Tabella34[[#This Row],[x_o_alpha©+plus]])-(Tabella34[[#This Row],[Day]]-po)</f>
        <v>-96.64756255422374</v>
      </c>
      <c r="BM176" s="244">
        <f>EXP(phi_o+psi_o*Tabella34[[#This Row],[x_o_alpha©-minus]])-(Tabella34[[#This Row],[Day]]-po)</f>
        <v>-97.453974430553032</v>
      </c>
      <c r="BN176" s="244">
        <f>-psi_o+SQRT(psi_o^2-2*Tabella34[[#This Row],[c_o]])</f>
        <v>3.8515056915434993</v>
      </c>
      <c r="BO176" s="244">
        <f>-psi_o-SQRT(psi_o^2-2*Tabella34[[#This Row],[c_o]])</f>
        <v>-3.9028189758111527</v>
      </c>
      <c r="BP176" s="244">
        <f>phi_o-LN(alpha*Ko/(Tabella34[[#This Row],[rest of Italy velocity]]*psi_o*SQRTPI(2)))</f>
        <v>-7.515864749200313</v>
      </c>
      <c r="BQ176" s="244">
        <f>(ACOSH(SQRT(alpha*Ka*psi_a/(Tabella34[[#This Row],[rest of Italy velocity]]*(1+TANH(phi_a)))))+phi_a)/psi_a-(Tabella34[[#This Row],[Day]]-pa)</f>
        <v>15.329209886598505</v>
      </c>
      <c r="BR176" s="72">
        <f>-2*$BY$35*TANH($BY$35*(Tabella34[[#This Row],[Day]]-$BY$44)-$BY$34)*Tabella34[[#This Row],[rest of Italy velocity]]</f>
        <v>-39.614091335151784</v>
      </c>
      <c r="BS176" s="77">
        <f>Tabella34[[#This Row],[rest of Italy acc. fit]]/y_a_peak</f>
        <v>-1.3119645084490799E-2</v>
      </c>
      <c r="BT176" s="121">
        <f>Tabella34[[#This Row],[rest of Italy acc. fit]]*NOT(ISBLANK(Tabella34[[#This Row],[rest of Italy rate data]]))</f>
        <v>0</v>
      </c>
      <c r="BU176" s="189"/>
      <c r="BV176" s="122"/>
    </row>
    <row r="177" spans="2:74" x14ac:dyDescent="0.3">
      <c r="B177" s="262">
        <v>44000</v>
      </c>
      <c r="C177" s="4">
        <v>170</v>
      </c>
      <c r="E177" s="10"/>
      <c r="F177" s="10"/>
      <c r="G177" s="121">
        <f>Tabella34[[#This Row],[Italy rate data]]*NOT(ISBLANK(Tabella34[[#This Row],[Italy rate data]]))</f>
        <v>0</v>
      </c>
      <c r="H177" s="143">
        <f>Tabella8[[#This Row],[Italy fit]]</f>
        <v>213915.6317839472</v>
      </c>
      <c r="I177" s="143" t="e">
        <f>(ATANH(alpha*Tabella34[[#This Row],[Italy cumul. Fit]]/Kf-(1-alpha*Tabella34[[#This Row],[Italy cumul. Fit]]/Kf)*TANH(phi_f))+phi_f)/psi_f-(Tabella34[[#This Row],[Day]]-pf)</f>
        <v>#NUM!</v>
      </c>
      <c r="J177" s="143" t="e">
        <f>Tabella34[[#This Row],[Italy d.t.]]/Italy_dt_at_lockdown</f>
        <v>#NUM!</v>
      </c>
      <c r="K177" s="77">
        <f>Tabella34[[#This Row],[Italy cumul. Fit]]/Kf</f>
        <v>0.91027927828198774</v>
      </c>
      <c r="L177" s="146">
        <f>Tabella34[[#This Row],[sel. region acc. fit]]+Tabella34[[#This Row],[rest of Italy acc. fit]]</f>
        <v>-40.516459642463417</v>
      </c>
      <c r="M177" s="77">
        <f>Tabella34[[#This Row],[Italy (fit of selected region + fitted sum of the other regions)]]/(y_l_peak+y_a_peak)</f>
        <v>-1.2794604678632275E-2</v>
      </c>
      <c r="N177" s="143">
        <f>Tabella3[[#This Row],[Italy remov. rate fit]]</f>
        <v>975.36668639838911</v>
      </c>
      <c r="O177" s="143">
        <f>Kt*EXP(-0.5*Tabella34[[#This Row],[x_t]]^2)/(psi_t*SQRTPI(2)*(Tabella34[[#This Row],[Day]]-D_bk))</f>
        <v>0</v>
      </c>
      <c r="P177" s="183">
        <f>Tabella34[[#This Row],[Italy velocity]]/Tabella34[[#This Row],[Italy cumul. Fit]]</f>
        <v>4.5595858435605137E-3</v>
      </c>
      <c r="Q177" s="244">
        <f>(LN(Tabella34[[#This Row],[Day]]-D_bk)-phi_t)/psi_t</f>
        <v>128.61052189447599</v>
      </c>
      <c r="R177" s="244">
        <f>EXP(phi_t+psi_t*Tabella34[[#This Row],[x_t_alpha©+plus]])-(Tabella34[[#This Row],[Day]]-D_bk)</f>
        <v>-97.173606081269469</v>
      </c>
      <c r="S177" s="244">
        <f>EXP(phi_t+psi_t*Tabella34[[#This Row],[x_t_alpha©-minus]])-(Tabella34[[#This Row],[Day]]-D_bk)</f>
        <v>-97.948986267154638</v>
      </c>
      <c r="T177" s="244">
        <f>-psi_t+SQRT(psi_t^2-2*Tabella34[[#This Row],[c_t]])</f>
        <v>3.8647224092200685</v>
      </c>
      <c r="U177" s="244">
        <f>-psi_t-SQRT(psi_t^2-2*Tabella34[[#This Row],[c_t]])</f>
        <v>-3.9152410839174405</v>
      </c>
      <c r="V177" s="244">
        <f>phi_t-LN(alpha*Kt/(Tabella34[[#This Row],[Italy velocity]]*psi_t*SQRTPI(2)))</f>
        <v>-7.5656599772574022</v>
      </c>
      <c r="W177" s="244">
        <f>Tabella34[[#This Row],[Italy g.r.]]/Italy_gr_at_lockdown</f>
        <v>1.0875799339929462E-2</v>
      </c>
      <c r="X177" s="244">
        <f>(ACOSH(SQRT(alpha*Kf*psi_f/(Tabella34[[#This Row],[Italy velocity]]*(1+TANH(phi_f)))))+phi_f)/psi_f-(Tabella34[[#This Row],[Day]]-pf)</f>
        <v>15.582056882314674</v>
      </c>
      <c r="Y177" s="244">
        <f>Tabella34[[#This Row],[Italy h.t.]]/Italy_ht_at_lockdown</f>
        <v>0.13120888256356408</v>
      </c>
      <c r="Z177" s="72">
        <f>-2*$BY$48*TANH($BY$48*(Tabella34[[#This Row],[Day]]-$BY$57)-$BY$47)*Tabella34[[#This Row],[Italy velocity]]</f>
        <v>-40.967039714667209</v>
      </c>
      <c r="AA177" s="72">
        <f>Tabella34[[#This Row],[Italy acc. fit]]/Itali_acc_at_lockdown</f>
        <v>-1.1704758625719249</v>
      </c>
      <c r="AB177" s="77">
        <f>Tabella34[[#This Row],[Italy acc. fit]]/y_f_peak</f>
        <v>-1.2968400678163803E-2</v>
      </c>
      <c r="AC177" s="143">
        <f>Tabella34[[#This Row],[Italy (fit of selected region + fitted sum of the other regions)]]*NOT(ISBLANK(Tabella34[[#This Row],[Italy rate data]]))</f>
        <v>0</v>
      </c>
      <c r="AD177" s="143">
        <f>Tabella34[[#This Row],[Italy acc. fit]]*NOT(ISBLANK(Tabella34[[#This Row],[Italy rate data]]))</f>
        <v>0</v>
      </c>
      <c r="AE177" s="77">
        <f>Tabella34[[#This Row],[Italy acc. fit]]+CIf</f>
        <v>1614.2429292090842</v>
      </c>
      <c r="AF177" s="77">
        <f>MAX(Tabella34[[#This Row],[Italy acc. fit]]-CIf,0)</f>
        <v>0</v>
      </c>
      <c r="AH177" s="10"/>
      <c r="AI177" s="10"/>
      <c r="AJ177" s="121">
        <f>Tabella34[[#This Row],[selected region rate data]]*NOT(ISBLANK(Tabella34[[#This Row],[selected region rate data]]))</f>
        <v>0</v>
      </c>
      <c r="AK177" s="77">
        <f>Tabella8[[#This Row],[region fit]]</f>
        <v>10650.616338691454</v>
      </c>
      <c r="AL177" s="143" t="e">
        <f>(ATANH(alpha*Tabella34[[#This Row],[sel. region cumul. fit]]/Kl-(1-alpha*Tabella34[[#This Row],[sel. region cumul. fit]]/Kl)*TANH(phi_l))+phi_l)/psi_l-(Tabella34[[#This Row],[Day]]-pl)</f>
        <v>#NUM!</v>
      </c>
      <c r="AM177" s="77">
        <f>Tabella34[[#This Row],[sel. region cumul. fit]]/Kl</f>
        <v>0.80957049569665007</v>
      </c>
      <c r="AN177" s="143">
        <f>Tabella3[[#This Row],[region fit]]</f>
        <v>83.634531462853502</v>
      </c>
      <c r="AO177" s="186">
        <f>Tabella34[[#This Row],[sel. region velocity]]/Tabella34[[#This Row],[sel. region cumul. fit]]</f>
        <v>7.852553204740537E-3</v>
      </c>
      <c r="AP177" s="241">
        <f>(LN(Tabella34[[#This Row],[Day]]-pr)-phi_r)/psi_r</f>
        <v>170.82400501030696</v>
      </c>
      <c r="AQ177" s="244">
        <f>EXP(phi_r+psi_r*Tabella34[[#This Row],[x_r_alpha©+plus]])-(Tabella34[[#This Row],[Day]]-pr)</f>
        <v>-90.399712225162119</v>
      </c>
      <c r="AR177" s="244">
        <f>EXP(phi_r+psi_r*Tabella34[[#This Row],[x_r_alpha©-minus]])-(Tabella34[[#This Row],[Day]]-pr)</f>
        <v>-90.872338298916787</v>
      </c>
      <c r="AS177" s="244">
        <f>-psi_r+SQRT(psi_r^2-2*Tabella34[[#This Row],[c_r]])</f>
        <v>3.8885674087270052</v>
      </c>
      <c r="AT177" s="244">
        <f>-psi_r-SQRT(psi_r^2-2*Tabella34[[#This Row],[c_r]])</f>
        <v>-3.9288554183933435</v>
      </c>
      <c r="AU177" s="244">
        <f>phi_r-LN(alpha*Kr/(Tabella34[[#This Row],[sel. region velocity]]*psi_r*SQRTPI(2)))</f>
        <v>-7.6388095667824301</v>
      </c>
      <c r="AV177" s="244">
        <f>(ACOSH(SQRT(alpha*Kl*psi_l/(Tabella34[[#This Row],[sel. region velocity]]*(1+TANH(phi_l)))))+phi_l)/psi_l-(Tabella34[[#This Row],[Day]]-pl)</f>
        <v>22.56384626137617</v>
      </c>
      <c r="AW177" s="72">
        <f>-2*$BY$22*TANH($BY$22*(Tabella34[[#This Row],[Day]]-$BY$31)-$BY$21)*Tabella34[[#This Row],[sel. region velocity]]</f>
        <v>-2.214550952598874</v>
      </c>
      <c r="AX177" s="77">
        <f>Tabella34[[#This Row],[sel. region acc. fit]]/y_l_peak</f>
        <v>-1.5040948043958936E-2</v>
      </c>
      <c r="AY177" s="143">
        <f>Tabella34[[#This Row],[sel. region acc. fit]]*NOT(ISBLANK(Tabella34[[#This Row],[selected region rate data]]))</f>
        <v>0</v>
      </c>
      <c r="AZ177" s="77">
        <f>Tabella34[[#This Row],[sel. region acc. fit]]+CIl</f>
        <v>67.150435422501531</v>
      </c>
      <c r="BA177" s="77">
        <f>MAX(Tabella34[[#This Row],[sel. region acc. fit]]-CIl,0)</f>
        <v>0</v>
      </c>
      <c r="BC177" s="10"/>
      <c r="BD177" s="10"/>
      <c r="BE177" s="77">
        <f>Tabella34[[#This Row],[rest of Italy rate data]]*NOT(ISBLANK(Tabella34[[#This Row],[rest of Italy rate data]]))</f>
        <v>0</v>
      </c>
      <c r="BF177" s="77">
        <f>Tabella8[[#This Row],[rest of Italy fit]]</f>
        <v>203023.47014421938</v>
      </c>
      <c r="BG177" s="78" t="e">
        <f>(ATANH(alpha*Tabella34[[#This Row],[rest of Italy cumul. fit]]/Ka-(1-alpha*Tabella34[[#This Row],[rest of Italy cumul. fit]]/Ka)*TANH(phi_a))+phi_a)/psi_a-(Tabella34[[#This Row],[Day]]-pa)</f>
        <v>#NUM!</v>
      </c>
      <c r="BH177" s="77">
        <f>Tabella34[[#This Row],[rest of Italy cumul. fit]]/Ka</f>
        <v>0.91516274275175535</v>
      </c>
      <c r="BI177" s="143">
        <f>Tabella3[[#This Row],[rest of Italy fit]]</f>
        <v>888.52716985003985</v>
      </c>
      <c r="BJ177" s="183">
        <f>Tabella34[[#This Row],[rest of Italy velocity]]/Tabella34[[#This Row],[rest of Italy cumul. fit]]</f>
        <v>4.3764751396420691E-3</v>
      </c>
      <c r="BK177" s="236">
        <f>(LN(Tabella34[[#This Row],[Day]]-po)-phi_o)/psi_o</f>
        <v>125.79872226201627</v>
      </c>
      <c r="BL177" s="244">
        <f>EXP(phi_o+psi_o*Tabella34[[#This Row],[x_o_alpha©+plus]])-(Tabella34[[#This Row],[Day]]-po)</f>
        <v>-97.646294923467948</v>
      </c>
      <c r="BM177" s="244">
        <f>EXP(phi_o+psi_o*Tabella34[[#This Row],[x_o_alpha©-minus]])-(Tabella34[[#This Row],[Day]]-po)</f>
        <v>-98.455013074667647</v>
      </c>
      <c r="BN177" s="244">
        <f>-psi_o+SQRT(psi_o^2-2*Tabella34[[#This Row],[c_o]])</f>
        <v>3.8625574869731238</v>
      </c>
      <c r="BO177" s="244">
        <f>-psi_o-SQRT(psi_o^2-2*Tabella34[[#This Row],[c_o]])</f>
        <v>-3.9138707712407772</v>
      </c>
      <c r="BP177" s="244">
        <f>phi_o-LN(alpha*Ko/(Tabella34[[#This Row],[rest of Italy velocity]]*psi_o*SQRTPI(2)))</f>
        <v>-7.5587754252506691</v>
      </c>
      <c r="BQ177" s="244">
        <f>(ACOSH(SQRT(alpha*Ka*psi_a/(Tabella34[[#This Row],[rest of Italy velocity]]*(1+TANH(phi_a)))))+phi_a)/psi_a-(Tabella34[[#This Row],[Day]]-pa)</f>
        <v>15.236430353048931</v>
      </c>
      <c r="BR177" s="72">
        <f>-2*$BY$35*TANH($BY$35*(Tabella34[[#This Row],[Day]]-$BY$44)-$BY$34)*Tabella34[[#This Row],[rest of Italy velocity]]</f>
        <v>-38.30190868986454</v>
      </c>
      <c r="BS177" s="77">
        <f>Tabella34[[#This Row],[rest of Italy acc. fit]]/y_a_peak</f>
        <v>-1.2685068144518917E-2</v>
      </c>
      <c r="BT177" s="121">
        <f>Tabella34[[#This Row],[rest of Italy acc. fit]]*NOT(ISBLANK(Tabella34[[#This Row],[rest of Italy rate data]]))</f>
        <v>0</v>
      </c>
      <c r="BU177" s="189"/>
      <c r="BV177" s="122"/>
    </row>
    <row r="178" spans="2:74" x14ac:dyDescent="0.3">
      <c r="B178" s="262">
        <v>44001</v>
      </c>
      <c r="C178" s="4">
        <v>171</v>
      </c>
      <c r="E178" s="10"/>
      <c r="F178" s="10"/>
      <c r="G178" s="121">
        <f>Tabella34[[#This Row],[Italy rate data]]*NOT(ISBLANK(Tabella34[[#This Row],[Italy rate data]]))</f>
        <v>0</v>
      </c>
      <c r="H178" s="143">
        <f>Tabella8[[#This Row],[Italy fit]]</f>
        <v>214870.73733011831</v>
      </c>
      <c r="I178" s="143" t="e">
        <f>(ATANH(alpha*Tabella34[[#This Row],[Italy cumul. Fit]]/Kf-(1-alpha*Tabella34[[#This Row],[Italy cumul. Fit]]/Kf)*TANH(phi_f))+phi_f)/psi_f-(Tabella34[[#This Row],[Day]]-pf)</f>
        <v>#NUM!</v>
      </c>
      <c r="J178" s="143" t="e">
        <f>Tabella34[[#This Row],[Italy d.t.]]/Italy_dt_at_lockdown</f>
        <v>#NUM!</v>
      </c>
      <c r="K178" s="77">
        <f>Tabella34[[#This Row],[Italy cumul. Fit]]/Kf</f>
        <v>0.91434355717549964</v>
      </c>
      <c r="L178" s="146">
        <f>Tabella34[[#This Row],[sel. region acc. fit]]+Tabella34[[#This Row],[rest of Italy acc. fit]]</f>
        <v>-39.194745484667614</v>
      </c>
      <c r="M178" s="77">
        <f>Tabella34[[#This Row],[Italy (fit of selected region + fitted sum of the other regions)]]/(y_l_peak+y_a_peak)</f>
        <v>-1.2377223439097088E-2</v>
      </c>
      <c r="N178" s="143">
        <f>Tabella3[[#This Row],[Italy remov. rate fit]]</f>
        <v>935.06640244388211</v>
      </c>
      <c r="O178" s="143">
        <f>Kt*EXP(-0.5*Tabella34[[#This Row],[x_t]]^2)/(psi_t*SQRTPI(2)*(Tabella34[[#This Row],[Day]]-D_bk))</f>
        <v>0</v>
      </c>
      <c r="P178" s="183">
        <f>Tabella34[[#This Row],[Italy velocity]]/Tabella34[[#This Row],[Italy cumul. Fit]]</f>
        <v>4.351762431974558E-3</v>
      </c>
      <c r="Q178" s="244">
        <f>(LN(Tabella34[[#This Row],[Day]]-D_bk)-phi_t)/psi_t</f>
        <v>128.99858100613571</v>
      </c>
      <c r="R178" s="244">
        <f>EXP(phi_t+psi_t*Tabella34[[#This Row],[x_t_alpha©+plus]])-(Tabella34[[#This Row],[Day]]-D_bk)</f>
        <v>-98.172416785448121</v>
      </c>
      <c r="S178" s="244">
        <f>EXP(phi_t+psi_t*Tabella34[[#This Row],[x_t_alpha©-minus]])-(Tabella34[[#This Row],[Day]]-D_bk)</f>
        <v>-98.949963110528799</v>
      </c>
      <c r="T178" s="244">
        <f>-psi_t+SQRT(psi_t^2-2*Tabella34[[#This Row],[c_t]])</f>
        <v>3.8755546643190408</v>
      </c>
      <c r="U178" s="244">
        <f>-psi_t-SQRT(psi_t^2-2*Tabella34[[#This Row],[c_t]])</f>
        <v>-3.9260733390164129</v>
      </c>
      <c r="V178" s="244">
        <f>phi_t-LN(alpha*Kt/(Tabella34[[#This Row],[Italy velocity]]*psi_t*SQRTPI(2)))</f>
        <v>-7.6078559207418444</v>
      </c>
      <c r="W178" s="244">
        <f>Tabella34[[#This Row],[Italy g.r.]]/Italy_gr_at_lockdown</f>
        <v>1.0380086395794292E-2</v>
      </c>
      <c r="X178" s="244">
        <f>(ACOSH(SQRT(alpha*Kf*psi_f/(Tabella34[[#This Row],[Italy velocity]]*(1+TANH(phi_f)))))+phi_f)/psi_f-(Tabella34[[#This Row],[Day]]-pf)</f>
        <v>15.488642014521048</v>
      </c>
      <c r="Y178" s="244">
        <f>Tabella34[[#This Row],[Italy h.t.]]/Italy_ht_at_lockdown</f>
        <v>0.13042228163464975</v>
      </c>
      <c r="Z178" s="72">
        <f>-2*$BY$48*TANH($BY$48*(Tabella34[[#This Row],[Day]]-$BY$57)-$BY$47)*Tabella34[[#This Row],[Italy velocity]]</f>
        <v>-39.635121053770263</v>
      </c>
      <c r="AA178" s="72">
        <f>Tabella34[[#This Row],[Italy acc. fit]]/Itali_acc_at_lockdown</f>
        <v>-1.1324214008791305</v>
      </c>
      <c r="AB178" s="77">
        <f>Tabella34[[#This Row],[Italy acc. fit]]/y_f_peak</f>
        <v>-1.2546772584322038E-2</v>
      </c>
      <c r="AC178" s="143">
        <f>Tabella34[[#This Row],[Italy (fit of selected region + fitted sum of the other regions)]]*NOT(ISBLANK(Tabella34[[#This Row],[Italy rate data]]))</f>
        <v>0</v>
      </c>
      <c r="AD178" s="143">
        <f>Tabella34[[#This Row],[Italy acc. fit]]*NOT(ISBLANK(Tabella34[[#This Row],[Italy rate data]]))</f>
        <v>0</v>
      </c>
      <c r="AE178" s="77">
        <f>Tabella34[[#This Row],[Italy acc. fit]]+CIf</f>
        <v>1615.5748478699811</v>
      </c>
      <c r="AF178" s="77">
        <f>MAX(Tabella34[[#This Row],[Italy acc. fit]]-CIf,0)</f>
        <v>0</v>
      </c>
      <c r="AH178" s="10"/>
      <c r="AI178" s="10"/>
      <c r="AJ178" s="121">
        <f>Tabella34[[#This Row],[selected region rate data]]*NOT(ISBLANK(Tabella34[[#This Row],[selected region rate data]]))</f>
        <v>0</v>
      </c>
      <c r="AK178" s="77">
        <f>Tabella8[[#This Row],[region fit]]</f>
        <v>10733.147045880878</v>
      </c>
      <c r="AL178" s="143" t="e">
        <f>(ATANH(alpha*Tabella34[[#This Row],[sel. region cumul. fit]]/Kl-(1-alpha*Tabella34[[#This Row],[sel. region cumul. fit]]/Kl)*TANH(phi_l))+phi_l)/psi_l-(Tabella34[[#This Row],[Day]]-pl)</f>
        <v>#NUM!</v>
      </c>
      <c r="AM178" s="77">
        <f>Tabella34[[#This Row],[sel. region cumul. fit]]/Kl</f>
        <v>0.8158437876268847</v>
      </c>
      <c r="AN178" s="143">
        <f>Tabella3[[#This Row],[region fit]]</f>
        <v>81.430436494287321</v>
      </c>
      <c r="AO178" s="186">
        <f>Tabella34[[#This Row],[sel. region velocity]]/Tabella34[[#This Row],[sel. region cumul. fit]]</f>
        <v>7.586818306522536E-3</v>
      </c>
      <c r="AP178" s="241">
        <f>(LN(Tabella34[[#This Row],[Day]]-pr)-phi_r)/psi_r</f>
        <v>171.35131724523811</v>
      </c>
      <c r="AQ178" s="244">
        <f>EXP(phi_r+psi_r*Tabella34[[#This Row],[x_r_alpha©+plus]])-(Tabella34[[#This Row],[Day]]-pr)</f>
        <v>-91.399266108054036</v>
      </c>
      <c r="AR178" s="244">
        <f>EXP(phi_r+psi_r*Tabella34[[#This Row],[x_r_alpha©-minus]])-(Tabella34[[#This Row],[Day]]-pr)</f>
        <v>-91.872719363842378</v>
      </c>
      <c r="AS178" s="244">
        <f>-psi_r+SQRT(psi_r^2-2*Tabella34[[#This Row],[c_r]])</f>
        <v>3.8953942294338288</v>
      </c>
      <c r="AT178" s="244">
        <f>-psi_r-SQRT(psi_r^2-2*Tabella34[[#This Row],[c_r]])</f>
        <v>-3.9356822391001671</v>
      </c>
      <c r="AU178" s="244">
        <f>phi_r-LN(alpha*Kr/(Tabella34[[#This Row],[sel. region velocity]]*psi_r*SQRTPI(2)))</f>
        <v>-7.6655169415380007</v>
      </c>
      <c r="AV178" s="244">
        <f>(ACOSH(SQRT(alpha*Kl*psi_l/(Tabella34[[#This Row],[sel. region velocity]]*(1+TANH(phi_l)))))+phi_l)/psi_l-(Tabella34[[#This Row],[Day]]-pl)</f>
        <v>22.345237529340224</v>
      </c>
      <c r="AW178" s="72">
        <f>-2*$BY$22*TANH($BY$22*(Tabella34[[#This Row],[Day]]-$BY$31)-$BY$21)*Tabella34[[#This Row],[sel. region velocity]]</f>
        <v>-2.1932325538229884</v>
      </c>
      <c r="AX178" s="77">
        <f>Tabella34[[#This Row],[sel. region acc. fit]]/y_l_peak</f>
        <v>-1.4896156194400361E-2</v>
      </c>
      <c r="AY178" s="143">
        <f>Tabella34[[#This Row],[sel. region acc. fit]]*NOT(ISBLANK(Tabella34[[#This Row],[selected region rate data]]))</f>
        <v>0</v>
      </c>
      <c r="AZ178" s="77">
        <f>Tabella34[[#This Row],[sel. region acc. fit]]+CIl</f>
        <v>67.171753821277406</v>
      </c>
      <c r="BA178" s="77">
        <f>MAX(Tabella34[[#This Row],[sel. region acc. fit]]-CIl,0)</f>
        <v>0</v>
      </c>
      <c r="BC178" s="10"/>
      <c r="BD178" s="10"/>
      <c r="BE178" s="77">
        <f>Tabella34[[#This Row],[rest of Italy rate data]]*NOT(ISBLANK(Tabella34[[#This Row],[rest of Italy rate data]]))</f>
        <v>0</v>
      </c>
      <c r="BF178" s="77">
        <f>Tabella8[[#This Row],[rest of Italy fit]]</f>
        <v>203893.06364946897</v>
      </c>
      <c r="BG178" s="78" t="e">
        <f>(ATANH(alpha*Tabella34[[#This Row],[rest of Italy cumul. fit]]/Ka-(1-alpha*Tabella34[[#This Row],[rest of Italy cumul. fit]]/Ka)*TANH(phi_a))+phi_a)/psi_a-(Tabella34[[#This Row],[Day]]-pa)</f>
        <v>#NUM!</v>
      </c>
      <c r="BH178" s="77">
        <f>Tabella34[[#This Row],[rest of Italy cumul. fit]]/Ka</f>
        <v>0.91908258303809265</v>
      </c>
      <c r="BI178" s="143">
        <f>Tabella3[[#This Row],[rest of Italy fit]]</f>
        <v>850.87658228113139</v>
      </c>
      <c r="BJ178" s="183">
        <f>Tabella34[[#This Row],[rest of Italy velocity]]/Tabella34[[#This Row],[rest of Italy cumul. fit]]</f>
        <v>4.1731511952949529E-3</v>
      </c>
      <c r="BK178" s="236">
        <f>(LN(Tabella34[[#This Row],[Day]]-po)-phi_o)/psi_o</f>
        <v>126.1785461865914</v>
      </c>
      <c r="BL178" s="244">
        <f>EXP(phi_o+psi_o*Tabella34[[#This Row],[x_o_alpha©+plus]])-(Tabella34[[#This Row],[Day]]-po)</f>
        <v>-98.645019125516015</v>
      </c>
      <c r="BM178" s="244">
        <f>EXP(phi_o+psi_o*Tabella34[[#This Row],[x_o_alpha©-minus]])-(Tabella34[[#This Row],[Day]]-po)</f>
        <v>-99.456057816174464</v>
      </c>
      <c r="BN178" s="244">
        <f>-psi_o+SQRT(psi_o^2-2*Tabella34[[#This Row],[c_o]])</f>
        <v>3.8736773246151408</v>
      </c>
      <c r="BO178" s="244">
        <f>-psi_o-SQRT(psi_o^2-2*Tabella34[[#This Row],[c_o]])</f>
        <v>-3.9249906088827942</v>
      </c>
      <c r="BP178" s="244">
        <f>phi_o-LN(alpha*Ko/(Tabella34[[#This Row],[rest of Italy velocity]]*psi_o*SQRTPI(2)))</f>
        <v>-7.6020735604783276</v>
      </c>
      <c r="BQ178" s="244">
        <f>(ACOSH(SQRT(alpha*Ka*psi_a/(Tabella34[[#This Row],[rest of Italy velocity]]*(1+TANH(phi_a)))))+phi_a)/psi_a-(Tabella34[[#This Row],[Day]]-pa)</f>
        <v>15.14844485283254</v>
      </c>
      <c r="BR178" s="72">
        <f>-2*$BY$35*TANH($BY$35*(Tabella34[[#This Row],[Day]]-$BY$44)-$BY$34)*Tabella34[[#This Row],[rest of Italy velocity]]</f>
        <v>-37.001512930844626</v>
      </c>
      <c r="BS178" s="77">
        <f>Tabella34[[#This Row],[rest of Italy acc. fit]]/y_a_peak</f>
        <v>-1.2254394860020798E-2</v>
      </c>
      <c r="BT178" s="121">
        <f>Tabella34[[#This Row],[rest of Italy acc. fit]]*NOT(ISBLANK(Tabella34[[#This Row],[rest of Italy rate data]]))</f>
        <v>0</v>
      </c>
      <c r="BU178" s="189"/>
      <c r="BV178" s="122"/>
    </row>
    <row r="179" spans="2:74" x14ac:dyDescent="0.3">
      <c r="B179" s="262">
        <v>44002</v>
      </c>
      <c r="C179" s="4">
        <v>172</v>
      </c>
      <c r="E179" s="10"/>
      <c r="F179" s="10"/>
      <c r="G179" s="121">
        <f>Tabella34[[#This Row],[Italy rate data]]*NOT(ISBLANK(Tabella34[[#This Row],[Italy rate data]]))</f>
        <v>0</v>
      </c>
      <c r="H179" s="143">
        <f>Tabella8[[#This Row],[Italy fit]]</f>
        <v>215786.206812227</v>
      </c>
      <c r="I179" s="143" t="e">
        <f>(ATANH(alpha*Tabella34[[#This Row],[Italy cumul. Fit]]/Kf-(1-alpha*Tabella34[[#This Row],[Italy cumul. Fit]]/Kf)*TANH(phi_f))+phi_f)/psi_f-(Tabella34[[#This Row],[Day]]-pf)</f>
        <v>#NUM!</v>
      </c>
      <c r="J179" s="143" t="e">
        <f>Tabella34[[#This Row],[Italy d.t.]]/Italy_dt_at_lockdown</f>
        <v>#NUM!</v>
      </c>
      <c r="K179" s="77">
        <f>Tabella34[[#This Row],[Italy cumul. Fit]]/Kf</f>
        <v>0.91823917196771232</v>
      </c>
      <c r="L179" s="146">
        <f>Tabella34[[#This Row],[sel. region acc. fit]]+Tabella34[[#This Row],[rest of Italy acc. fit]]</f>
        <v>-37.885716270832475</v>
      </c>
      <c r="M179" s="77">
        <f>Tabella34[[#This Row],[Italy (fit of selected region + fitted sum of the other regions)]]/(y_l_peak+y_a_peak)</f>
        <v>-1.196384795042907E-2</v>
      </c>
      <c r="N179" s="143">
        <f>Tabella3[[#This Row],[Italy remov. rate fit]]</f>
        <v>896.09267436234177</v>
      </c>
      <c r="O179" s="143">
        <f>Kt*EXP(-0.5*Tabella34[[#This Row],[x_t]]^2)/(psi_t*SQRTPI(2)*(Tabella34[[#This Row],[Day]]-D_bk))</f>
        <v>0</v>
      </c>
      <c r="P179" s="183">
        <f>Tabella34[[#This Row],[Italy velocity]]/Tabella34[[#This Row],[Italy cumul. Fit]]</f>
        <v>4.1526874567200875E-3</v>
      </c>
      <c r="Q179" s="244">
        <f>(LN(Tabella34[[#This Row],[Day]]-D_bk)-phi_t)/psi_t</f>
        <v>129.38287321115121</v>
      </c>
      <c r="R179" s="244">
        <f>EXP(phi_t+psi_t*Tabella34[[#This Row],[x_t_alpha©+plus]])-(Tabella34[[#This Row],[Day]]-D_bk)</f>
        <v>-99.17121985160945</v>
      </c>
      <c r="S179" s="244">
        <f>EXP(phi_t+psi_t*Tabella34[[#This Row],[x_t_alpha©-minus]])-(Tabella34[[#This Row],[Day]]-D_bk)</f>
        <v>-99.950945687989019</v>
      </c>
      <c r="T179" s="244">
        <f>-psi_t+SQRT(psi_t^2-2*Tabella34[[#This Row],[c_t]])</f>
        <v>3.8864534957700156</v>
      </c>
      <c r="U179" s="244">
        <f>-psi_t-SQRT(psi_t^2-2*Tabella34[[#This Row],[c_t]])</f>
        <v>-3.9369721704673877</v>
      </c>
      <c r="V179" s="244">
        <f>phi_t-LN(alpha*Kt/(Tabella34[[#This Row],[Italy velocity]]*psi_t*SQRTPI(2)))</f>
        <v>-7.650429627331123</v>
      </c>
      <c r="W179" s="244">
        <f>Tabella34[[#This Row],[Italy g.r.]]/Italy_gr_at_lockdown</f>
        <v>9.9052407499936306E-3</v>
      </c>
      <c r="X179" s="244">
        <f>(ACOSH(SQRT(alpha*Kf*psi_f/(Tabella34[[#This Row],[Italy velocity]]*(1+TANH(phi_f)))))+phi_f)/psi_f-(Tabella34[[#This Row],[Day]]-pf)</f>
        <v>15.399981960414465</v>
      </c>
      <c r="Y179" s="244">
        <f>Tabella34[[#This Row],[Italy h.t.]]/Italy_ht_at_lockdown</f>
        <v>0.12967571866705122</v>
      </c>
      <c r="Z179" s="72">
        <f>-2*$BY$48*TANH($BY$48*(Tabella34[[#This Row],[Day]]-$BY$57)-$BY$47)*Tabella34[[#This Row],[Italy velocity]]</f>
        <v>-38.314499542124864</v>
      </c>
      <c r="AA179" s="72">
        <f>Tabella34[[#This Row],[Italy acc. fit]]/Itali_acc_at_lockdown</f>
        <v>-1.0946897118496013</v>
      </c>
      <c r="AB179" s="77">
        <f>Tabella34[[#This Row],[Italy acc. fit]]/y_f_peak</f>
        <v>-1.2128720681462965E-2</v>
      </c>
      <c r="AC179" s="143">
        <f>Tabella34[[#This Row],[Italy (fit of selected region + fitted sum of the other regions)]]*NOT(ISBLANK(Tabella34[[#This Row],[Italy rate data]]))</f>
        <v>0</v>
      </c>
      <c r="AD179" s="143">
        <f>Tabella34[[#This Row],[Italy acc. fit]]*NOT(ISBLANK(Tabella34[[#This Row],[Italy rate data]]))</f>
        <v>0</v>
      </c>
      <c r="AE179" s="77">
        <f>Tabella34[[#This Row],[Italy acc. fit]]+CIf</f>
        <v>1616.8954693816265</v>
      </c>
      <c r="AF179" s="77">
        <f>MAX(Tabella34[[#This Row],[Italy acc. fit]]-CIf,0)</f>
        <v>0</v>
      </c>
      <c r="AH179" s="10"/>
      <c r="AI179" s="10"/>
      <c r="AJ179" s="121">
        <f>Tabella34[[#This Row],[selected region rate data]]*NOT(ISBLANK(Tabella34[[#This Row],[selected region rate data]]))</f>
        <v>0</v>
      </c>
      <c r="AK179" s="77">
        <f>Tabella8[[#This Row],[region fit]]</f>
        <v>10813.484716078272</v>
      </c>
      <c r="AL179" s="143" t="e">
        <f>(ATANH(alpha*Tabella34[[#This Row],[sel. region cumul. fit]]/Kl-(1-alpha*Tabella34[[#This Row],[sel. region cumul. fit]]/Kl)*TANH(phi_l))+phi_l)/psi_l-(Tabella34[[#This Row],[Day]]-pl)</f>
        <v>#NUM!</v>
      </c>
      <c r="AM179" s="77">
        <f>Tabella34[[#This Row],[sel. region cumul. fit]]/Kl</f>
        <v>0.82195038328450354</v>
      </c>
      <c r="AN179" s="143">
        <f>Tabella3[[#This Row],[region fit]]</f>
        <v>79.248848615635367</v>
      </c>
      <c r="AO179" s="186">
        <f>Tabella34[[#This Row],[sel. region velocity]]/Tabella34[[#This Row],[sel. region cumul. fit]]</f>
        <v>7.3287058424193674E-3</v>
      </c>
      <c r="AP179" s="241">
        <f>(LN(Tabella34[[#This Row],[Day]]-pr)-phi_r)/psi_r</f>
        <v>171.87308709523046</v>
      </c>
      <c r="AQ179" s="244">
        <f>EXP(phi_r+psi_r*Tabella34[[#This Row],[x_r_alpha©+plus]])-(Tabella34[[#This Row],[Day]]-pr)</f>
        <v>-92.398813226667201</v>
      </c>
      <c r="AR179" s="244">
        <f>EXP(phi_r+psi_r*Tabella34[[#This Row],[x_r_alpha©-minus]])-(Tabella34[[#This Row],[Day]]-pr)</f>
        <v>-92.873106099507751</v>
      </c>
      <c r="AS179" s="244">
        <f>-psi_r+SQRT(psi_r^2-2*Tabella34[[#This Row],[c_r]])</f>
        <v>3.9023236020917458</v>
      </c>
      <c r="AT179" s="244">
        <f>-psi_r-SQRT(psi_r^2-2*Tabella34[[#This Row],[c_r]])</f>
        <v>-3.9426116117580841</v>
      </c>
      <c r="AU179" s="244">
        <f>phi_r-LN(alpha*Kr/(Tabella34[[#This Row],[sel. region velocity]]*psi_r*SQRTPI(2)))</f>
        <v>-7.6926731732222757</v>
      </c>
      <c r="AV179" s="244">
        <f>(ACOSH(SQRT(alpha*Kl*psi_l/(Tabella34[[#This Row],[sel. region velocity]]*(1+TANH(phi_l)))))+phi_l)/psi_l-(Tabella34[[#This Row],[Day]]-pl)</f>
        <v>22.135682451004826</v>
      </c>
      <c r="AW179" s="72">
        <f>-2*$BY$22*TANH($BY$22*(Tabella34[[#This Row],[Day]]-$BY$31)-$BY$21)*Tabella34[[#This Row],[sel. region velocity]]</f>
        <v>-2.1695672942292088</v>
      </c>
      <c r="AX179" s="77">
        <f>Tabella34[[#This Row],[sel. region acc. fit]]/y_l_peak</f>
        <v>-1.4735424765042587E-2</v>
      </c>
      <c r="AY179" s="143">
        <f>Tabella34[[#This Row],[sel. region acc. fit]]*NOT(ISBLANK(Tabella34[[#This Row],[selected region rate data]]))</f>
        <v>0</v>
      </c>
      <c r="AZ179" s="77">
        <f>Tabella34[[#This Row],[sel. region acc. fit]]+CIl</f>
        <v>67.19541908087119</v>
      </c>
      <c r="BA179" s="77">
        <f>MAX(Tabella34[[#This Row],[sel. region acc. fit]]-CIl,0)</f>
        <v>0</v>
      </c>
      <c r="BC179" s="10"/>
      <c r="BD179" s="10"/>
      <c r="BE179" s="77">
        <f>Tabella34[[#This Row],[rest of Italy rate data]]*NOT(ISBLANK(Tabella34[[#This Row],[rest of Italy rate data]]))</f>
        <v>0</v>
      </c>
      <c r="BF179" s="77">
        <f>Tabella8[[#This Row],[rest of Italy fit]]</f>
        <v>204725.65438759796</v>
      </c>
      <c r="BG179" s="78" t="e">
        <f>(ATANH(alpha*Tabella34[[#This Row],[rest of Italy cumul. fit]]/Ka-(1-alpha*Tabella34[[#This Row],[rest of Italy cumul. fit]]/Ka)*TANH(phi_a))+phi_a)/psi_a-(Tabella34[[#This Row],[Day]]-pa)</f>
        <v>#NUM!</v>
      </c>
      <c r="BH179" s="77">
        <f>Tabella34[[#This Row],[rest of Italy cumul. fit]]/Ka</f>
        <v>0.92283562707263</v>
      </c>
      <c r="BI179" s="143">
        <f>Tabella3[[#This Row],[rest of Italy fit]]</f>
        <v>814.51912928201011</v>
      </c>
      <c r="BJ179" s="183">
        <f>Tabella34[[#This Row],[rest of Italy velocity]]/Tabella34[[#This Row],[rest of Italy cumul. fit]]</f>
        <v>3.9785884759704678E-3</v>
      </c>
      <c r="BK179" s="236">
        <f>(LN(Tabella34[[#This Row],[Day]]-po)-phi_o)/psi_o</f>
        <v>126.55470441802436</v>
      </c>
      <c r="BL179" s="244">
        <f>EXP(phi_o+psi_o*Tabella34[[#This Row],[x_o_alpha©+plus]])-(Tabella34[[#This Row],[Day]]-po)</f>
        <v>-99.643735702068511</v>
      </c>
      <c r="BM179" s="244">
        <f>EXP(phi_o+psi_o*Tabella34[[#This Row],[x_o_alpha©-minus]])-(Tabella34[[#This Row],[Day]]-po)</f>
        <v>-100.45710820092158</v>
      </c>
      <c r="BN179" s="244">
        <f>-psi_o+SQRT(psi_o^2-2*Tabella34[[#This Row],[c_o]])</f>
        <v>3.8848604259260773</v>
      </c>
      <c r="BO179" s="244">
        <f>-psi_o-SQRT(psi_o^2-2*Tabella34[[#This Row],[c_o]])</f>
        <v>-3.9361737101937306</v>
      </c>
      <c r="BP179" s="244">
        <f>phi_o-LN(alpha*Ko/(Tabella34[[#This Row],[rest of Italy velocity]]*psi_o*SQRTPI(2)))</f>
        <v>-7.6457427381511227</v>
      </c>
      <c r="BQ179" s="244">
        <f>(ACOSH(SQRT(alpha*Ka*psi_a/(Tabella34[[#This Row],[rest of Italy velocity]]*(1+TANH(phi_a)))))+phi_a)/psi_a-(Tabella34[[#This Row],[Day]]-pa)</f>
        <v>15.065000355978512</v>
      </c>
      <c r="BR179" s="72">
        <f>-2*$BY$35*TANH($BY$35*(Tabella34[[#This Row],[Day]]-$BY$44)-$BY$34)*Tabella34[[#This Row],[rest of Italy velocity]]</f>
        <v>-35.716148976603264</v>
      </c>
      <c r="BS179" s="77">
        <f>Tabella34[[#This Row],[rest of Italy acc. fit]]/y_a_peak</f>
        <v>-1.1828699903613193E-2</v>
      </c>
      <c r="BT179" s="121">
        <f>Tabella34[[#This Row],[rest of Italy acc. fit]]*NOT(ISBLANK(Tabella34[[#This Row],[rest of Italy rate data]]))</f>
        <v>0</v>
      </c>
      <c r="BU179" s="189"/>
      <c r="BV179" s="122"/>
    </row>
    <row r="180" spans="2:74" x14ac:dyDescent="0.3">
      <c r="B180" s="262">
        <v>44003</v>
      </c>
      <c r="C180" s="4">
        <v>173</v>
      </c>
      <c r="E180" s="10"/>
      <c r="F180" s="10"/>
      <c r="G180" s="121">
        <f>Tabella34[[#This Row],[Italy rate data]]*NOT(ISBLANK(Tabella34[[#This Row],[Italy rate data]]))</f>
        <v>0</v>
      </c>
      <c r="H180" s="143">
        <f>Tabella8[[#This Row],[Italy fit]]</f>
        <v>216663.36058158908</v>
      </c>
      <c r="I180" s="143" t="e">
        <f>(ATANH(alpha*Tabella34[[#This Row],[Italy cumul. Fit]]/Kf-(1-alpha*Tabella34[[#This Row],[Italy cumul. Fit]]/Kf)*TANH(phi_f))+phi_f)/psi_f-(Tabella34[[#This Row],[Day]]-pf)</f>
        <v>#NUM!</v>
      </c>
      <c r="J180" s="143" t="e">
        <f>Tabella34[[#This Row],[Italy d.t.]]/Italy_dt_at_lockdown</f>
        <v>#NUM!</v>
      </c>
      <c r="K180" s="77">
        <f>Tabella34[[#This Row],[Italy cumul. Fit]]/Kf</f>
        <v>0.92197174117482705</v>
      </c>
      <c r="L180" s="146">
        <f>Tabella34[[#This Row],[sel. region acc. fit]]+Tabella34[[#This Row],[rest of Italy acc. fit]]</f>
        <v>-36.592429379517149</v>
      </c>
      <c r="M180" s="77">
        <f>Tabella34[[#This Row],[Italy (fit of selected region + fitted sum of the other regions)]]/(y_l_peak+y_a_peak)</f>
        <v>-1.1555443695554475E-2</v>
      </c>
      <c r="N180" s="143">
        <f>Tabella3[[#This Row],[Italy remov. rate fit]]</f>
        <v>858.43255254419751</v>
      </c>
      <c r="O180" s="143">
        <f>Kt*EXP(-0.5*Tabella34[[#This Row],[x_t]]^2)/(psi_t*SQRTPI(2)*(Tabella34[[#This Row],[Day]]-D_bk))</f>
        <v>0</v>
      </c>
      <c r="P180" s="183">
        <f>Tabella34[[#This Row],[Italy velocity]]/Tabella34[[#This Row],[Italy cumul. Fit]]</f>
        <v>3.9620568528057004E-3</v>
      </c>
      <c r="Q180" s="244">
        <f>(LN(Tabella34[[#This Row],[Day]]-D_bk)-phi_t)/psi_t</f>
        <v>129.76347093807132</v>
      </c>
      <c r="R180" s="244">
        <f>EXP(phi_t+psi_t*Tabella34[[#This Row],[x_t_alpha©+plus]])-(Tabella34[[#This Row],[Day]]-D_bk)</f>
        <v>-100.17001577555149</v>
      </c>
      <c r="S180" s="244">
        <f>EXP(phi_t+psi_t*Tabella34[[#This Row],[x_t_alpha©-minus]])-(Tabella34[[#This Row],[Day]]-D_bk)</f>
        <v>-100.9519335829559</v>
      </c>
      <c r="T180" s="244">
        <f>-psi_t+SQRT(psi_t^2-2*Tabella34[[#This Row],[c_t]])</f>
        <v>3.8974143351050379</v>
      </c>
      <c r="U180" s="244">
        <f>-psi_t-SQRT(psi_t^2-2*Tabella34[[#This Row],[c_t]])</f>
        <v>-3.9479330098024099</v>
      </c>
      <c r="V180" s="244">
        <f>phi_t-LN(alpha*Kt/(Tabella34[[#This Row],[Italy velocity]]*psi_t*SQRTPI(2)))</f>
        <v>-7.6933653532191446</v>
      </c>
      <c r="W180" s="244">
        <f>Tabella34[[#This Row],[Italy g.r.]]/Italy_gr_at_lockdown</f>
        <v>9.4505371283586728E-3</v>
      </c>
      <c r="X180" s="244">
        <f>(ACOSH(SQRT(alpha*Kf*psi_f/(Tabella34[[#This Row],[Italy velocity]]*(1+TANH(phi_f)))))+phi_f)/psi_f-(Tabella34[[#This Row],[Day]]-pf)</f>
        <v>15.315829493959768</v>
      </c>
      <c r="Y180" s="244">
        <f>Tabella34[[#This Row],[Italy h.t.]]/Italy_ht_at_lockdown</f>
        <v>0.12896711189120119</v>
      </c>
      <c r="Z180" s="72">
        <f>-2*$BY$48*TANH($BY$48*(Tabella34[[#This Row],[Day]]-$BY$57)-$BY$47)*Tabella34[[#This Row],[Italy velocity]]</f>
        <v>-37.008418461947855</v>
      </c>
      <c r="AA180" s="72">
        <f>Tabella34[[#This Row],[Italy acc. fit]]/Itali_acc_at_lockdown</f>
        <v>-1.0573734598197597</v>
      </c>
      <c r="AB180" s="77">
        <f>Tabella34[[#This Row],[Italy acc. fit]]/y_f_peak</f>
        <v>-1.1715271653076363E-2</v>
      </c>
      <c r="AC180" s="143">
        <f>Tabella34[[#This Row],[Italy (fit of selected region + fitted sum of the other regions)]]*NOT(ISBLANK(Tabella34[[#This Row],[Italy rate data]]))</f>
        <v>0</v>
      </c>
      <c r="AD180" s="143">
        <f>Tabella34[[#This Row],[Italy acc. fit]]*NOT(ISBLANK(Tabella34[[#This Row],[Italy rate data]]))</f>
        <v>0</v>
      </c>
      <c r="AE180" s="77">
        <f>Tabella34[[#This Row],[Italy acc. fit]]+CIf</f>
        <v>1618.2015504618034</v>
      </c>
      <c r="AF180" s="77">
        <f>MAX(Tabella34[[#This Row],[Italy acc. fit]]-CIf,0)</f>
        <v>0</v>
      </c>
      <c r="AH180" s="10"/>
      <c r="AI180" s="10"/>
      <c r="AJ180" s="121">
        <f>Tabella34[[#This Row],[selected region rate data]]*NOT(ISBLANK(Tabella34[[#This Row],[selected region rate data]]))</f>
        <v>0</v>
      </c>
      <c r="AK180" s="77">
        <f>Tabella8[[#This Row],[region fit]]</f>
        <v>10891.652999390853</v>
      </c>
      <c r="AL180" s="143" t="e">
        <f>(ATANH(alpha*Tabella34[[#This Row],[sel. region cumul. fit]]/Kl-(1-alpha*Tabella34[[#This Row],[sel. region cumul. fit]]/Kl)*TANH(phi_l))+phi_l)/psi_l-(Tabella34[[#This Row],[Day]]-pl)</f>
        <v>#NUM!</v>
      </c>
      <c r="AM180" s="77">
        <f>Tabella34[[#This Row],[sel. region cumul. fit]]/Kl</f>
        <v>0.82789208035223383</v>
      </c>
      <c r="AN180" s="143">
        <f>Tabella3[[#This Row],[region fit]]</f>
        <v>77.092023561105037</v>
      </c>
      <c r="AO180" s="186">
        <f>Tabella34[[#This Row],[sel. region velocity]]/Tabella34[[#This Row],[sel. region cumul. fit]]</f>
        <v>7.0780829654981323E-3</v>
      </c>
      <c r="AP180" s="241">
        <f>(LN(Tabella34[[#This Row],[Day]]-pr)-phi_r)/psi_r</f>
        <v>172.38942985742725</v>
      </c>
      <c r="AQ180" s="244">
        <f>EXP(phi_r+psi_r*Tabella34[[#This Row],[x_r_alpha©+plus]])-(Tabella34[[#This Row],[Day]]-pr)</f>
        <v>-93.39835381367989</v>
      </c>
      <c r="AR180" s="244">
        <f>EXP(phi_r+psi_r*Tabella34[[#This Row],[x_r_alpha©-minus]])-(Tabella34[[#This Row],[Day]]-pr)</f>
        <v>-93.873498302509987</v>
      </c>
      <c r="AS180" s="244">
        <f>-psi_r+SQRT(psi_r^2-2*Tabella34[[#This Row],[c_r]])</f>
        <v>3.909351924257527</v>
      </c>
      <c r="AT180" s="244">
        <f>-psi_r-SQRT(psi_r^2-2*Tabella34[[#This Row],[c_r]])</f>
        <v>-3.9496399339238653</v>
      </c>
      <c r="AU180" s="244">
        <f>phi_r-LN(alpha*Kr/(Tabella34[[#This Row],[sel. region velocity]]*psi_r*SQRTPI(2)))</f>
        <v>-7.7202662379048173</v>
      </c>
      <c r="AV180" s="244">
        <f>(ACOSH(SQRT(alpha*Kl*psi_l/(Tabella34[[#This Row],[sel. region velocity]]*(1+TANH(phi_l)))))+phi_l)/psi_l-(Tabella34[[#This Row],[Day]]-pl)</f>
        <v>21.934804862567447</v>
      </c>
      <c r="AW180" s="72">
        <f>-2*$BY$22*TANH($BY$22*(Tabella34[[#This Row],[Day]]-$BY$31)-$BY$21)*Tabella34[[#This Row],[sel. region velocity]]</f>
        <v>-2.143736963158084</v>
      </c>
      <c r="AX180" s="77">
        <f>Tabella34[[#This Row],[sel. region acc. fit]]/y_l_peak</f>
        <v>-1.4559988445935496E-2</v>
      </c>
      <c r="AY180" s="143">
        <f>Tabella34[[#This Row],[sel. region acc. fit]]*NOT(ISBLANK(Tabella34[[#This Row],[selected region rate data]]))</f>
        <v>0</v>
      </c>
      <c r="AZ180" s="77">
        <f>Tabella34[[#This Row],[sel. region acc. fit]]+CIl</f>
        <v>67.22124941194231</v>
      </c>
      <c r="BA180" s="77">
        <f>MAX(Tabella34[[#This Row],[sel. region acc. fit]]-CIl,0)</f>
        <v>0</v>
      </c>
      <c r="BC180" s="10"/>
      <c r="BD180" s="10"/>
      <c r="BE180" s="77">
        <f>Tabella34[[#This Row],[rest of Italy rate data]]*NOT(ISBLANK(Tabella34[[#This Row],[rest of Italy rate data]]))</f>
        <v>0</v>
      </c>
      <c r="BF180" s="77">
        <f>Tabella8[[#This Row],[rest of Italy fit]]</f>
        <v>205522.52748301378</v>
      </c>
      <c r="BG180" s="78" t="e">
        <f>(ATANH(alpha*Tabella34[[#This Row],[rest of Italy cumul. fit]]/Ka-(1-alpha*Tabella34[[#This Row],[rest of Italy cumul. fit]]/Ka)*TANH(phi_a))+phi_a)/psi_a-(Tabella34[[#This Row],[Day]]-pa)</f>
        <v>#NUM!</v>
      </c>
      <c r="BH180" s="77">
        <f>Tabella34[[#This Row],[rest of Italy cumul. fit]]/Ka</f>
        <v>0.92642766777170682</v>
      </c>
      <c r="BI180" s="143">
        <f>Tabella3[[#This Row],[rest of Italy fit]]</f>
        <v>779.43831132007892</v>
      </c>
      <c r="BJ180" s="183">
        <f>Tabella34[[#This Row],[rest of Italy velocity]]/Tabella34[[#This Row],[rest of Italy cumul. fit]]</f>
        <v>3.7924714184166437E-3</v>
      </c>
      <c r="BK180" s="236">
        <f>(LN(Tabella34[[#This Row],[Day]]-po)-phi_o)/psi_o</f>
        <v>126.92726703596217</v>
      </c>
      <c r="BL180" s="244">
        <f>EXP(phi_o+psi_o*Tabella34[[#This Row],[x_o_alpha©+plus]])-(Tabella34[[#This Row],[Day]]-po)</f>
        <v>-100.64244517302302</v>
      </c>
      <c r="BM180" s="244">
        <f>EXP(phi_o+psi_o*Tabella34[[#This Row],[x_o_alpha©-minus]])-(Tabella34[[#This Row],[Day]]-po)</f>
        <v>-101.45816379355472</v>
      </c>
      <c r="BN180" s="244">
        <f>-psi_o+SQRT(psi_o^2-2*Tabella34[[#This Row],[c_o]])</f>
        <v>3.8961022073864773</v>
      </c>
      <c r="BO180" s="244">
        <f>-psi_o-SQRT(psi_o^2-2*Tabella34[[#This Row],[c_o]])</f>
        <v>-3.9474154916541306</v>
      </c>
      <c r="BP180" s="244">
        <f>phi_o-LN(alpha*Ko/(Tabella34[[#This Row],[rest of Italy velocity]]*psi_o*SQRTPI(2)))</f>
        <v>-7.6897671052526171</v>
      </c>
      <c r="BQ180" s="244">
        <f>(ACOSH(SQRT(alpha*Ka*psi_a/(Tabella34[[#This Row],[rest of Italy velocity]]*(1+TANH(phi_a)))))+phi_a)/psi_a-(Tabella34[[#This Row],[Day]]-pa)</f>
        <v>14.985857527750923</v>
      </c>
      <c r="BR180" s="72">
        <f>-2*$BY$35*TANH($BY$35*(Tabella34[[#This Row],[Day]]-$BY$44)-$BY$34)*Tabella34[[#This Row],[rest of Italy velocity]]</f>
        <v>-34.448692416359066</v>
      </c>
      <c r="BS180" s="77">
        <f>Tabella34[[#This Row],[rest of Italy acc. fit]]/y_a_peak</f>
        <v>-1.1408935631103982E-2</v>
      </c>
      <c r="BT180" s="121">
        <f>Tabella34[[#This Row],[rest of Italy acc. fit]]*NOT(ISBLANK(Tabella34[[#This Row],[rest of Italy rate data]]))</f>
        <v>0</v>
      </c>
      <c r="BU180" s="189"/>
      <c r="BV180" s="122"/>
    </row>
    <row r="181" spans="2:74" x14ac:dyDescent="0.3">
      <c r="B181" s="262">
        <v>44004</v>
      </c>
      <c r="C181" s="4">
        <v>174</v>
      </c>
      <c r="E181" s="10"/>
      <c r="F181" s="10"/>
      <c r="G181" s="121">
        <f>Tabella34[[#This Row],[Italy rate data]]*NOT(ISBLANK(Tabella34[[#This Row],[Italy rate data]]))</f>
        <v>0</v>
      </c>
      <c r="H181" s="143">
        <f>Tabella8[[#This Row],[Italy fit]]</f>
        <v>217503.50447912127</v>
      </c>
      <c r="I181" s="143" t="e">
        <f>(ATANH(alpha*Tabella34[[#This Row],[Italy cumul. Fit]]/Kf-(1-alpha*Tabella34[[#This Row],[Italy cumul. Fit]]/Kf)*TANH(phi_f))+phi_f)/psi_f-(Tabella34[[#This Row],[Day]]-pf)</f>
        <v>#NUM!</v>
      </c>
      <c r="J181" s="143" t="e">
        <f>Tabella34[[#This Row],[Italy d.t.]]/Italy_dt_at_lockdown</f>
        <v>#NUM!</v>
      </c>
      <c r="K181" s="77">
        <f>Tabella34[[#This Row],[Italy cumul. Fit]]/Kf</f>
        <v>0.9255468215666659</v>
      </c>
      <c r="L181" s="146">
        <f>Tabella34[[#This Row],[sel. region acc. fit]]+Tabella34[[#This Row],[rest of Italy acc. fit]]</f>
        <v>-35.317590201975698</v>
      </c>
      <c r="M181" s="77">
        <f>Tabella34[[#This Row],[Italy (fit of selected region + fitted sum of the other regions)]]/(y_l_peak+y_a_peak)</f>
        <v>-1.1152865004093963E-2</v>
      </c>
      <c r="N181" s="143">
        <f>Tabella3[[#This Row],[Italy remov. rate fit]]</f>
        <v>822.07002586096257</v>
      </c>
      <c r="O181" s="143">
        <f>Kt*EXP(-0.5*Tabella34[[#This Row],[x_t]]^2)/(psi_t*SQRTPI(2)*(Tabella34[[#This Row],[Day]]-D_bk))</f>
        <v>0</v>
      </c>
      <c r="P181" s="183">
        <f>Tabella34[[#This Row],[Italy velocity]]/Tabella34[[#This Row],[Italy cumul. Fit]]</f>
        <v>3.7795714042845466E-3</v>
      </c>
      <c r="Q181" s="244">
        <f>(LN(Tabella34[[#This Row],[Day]]-D_bk)-phi_t)/psi_t</f>
        <v>130.14044454638068</v>
      </c>
      <c r="R181" s="244">
        <f>EXP(phi_t+psi_t*Tabella34[[#This Row],[x_t_alpha©+plus]])-(Tabella34[[#This Row],[Day]]-D_bk)</f>
        <v>-101.16880503351237</v>
      </c>
      <c r="S181" s="244">
        <f>EXP(phi_t+psi_t*Tabella34[[#This Row],[x_t_alpha©-minus]])-(Tabella34[[#This Row],[Day]]-D_bk)</f>
        <v>-101.95292639574123</v>
      </c>
      <c r="T181" s="244">
        <f>-psi_t+SQRT(psi_t^2-2*Tabella34[[#This Row],[c_t]])</f>
        <v>3.9084327965599668</v>
      </c>
      <c r="U181" s="244">
        <f>-psi_t-SQRT(psi_t^2-2*Tabella34[[#This Row],[c_t]])</f>
        <v>-3.9589514712573388</v>
      </c>
      <c r="V181" s="244">
        <f>phi_t-LN(alpha*Kt/(Tabella34[[#This Row],[Italy velocity]]*psi_t*SQRTPI(2)))</f>
        <v>-7.7366478851257572</v>
      </c>
      <c r="W181" s="244">
        <f>Tabella34[[#This Row],[Italy g.r.]]/Italy_gr_at_lockdown</f>
        <v>9.0152618229543367E-3</v>
      </c>
      <c r="X181" s="244">
        <f>(ACOSH(SQRT(alpha*Kf*psi_f/(Tabella34[[#This Row],[Italy velocity]]*(1+TANH(phi_f)))))+phi_f)/psi_f-(Tabella34[[#This Row],[Day]]-pf)</f>
        <v>15.235950569542396</v>
      </c>
      <c r="Y181" s="244">
        <f>Tabella34[[#This Row],[Italy h.t.]]/Italy_ht_at_lockdown</f>
        <v>0.12829449052340999</v>
      </c>
      <c r="Z181" s="72">
        <f>-2*$BY$48*TANH($BY$48*(Tabella34[[#This Row],[Day]]-$BY$57)-$BY$47)*Tabella34[[#This Row],[Italy velocity]]</f>
        <v>-35.719760748290675</v>
      </c>
      <c r="AA181" s="72">
        <f>Tabella34[[#This Row],[Italy acc. fit]]/Itali_acc_at_lockdown</f>
        <v>-1.0205550135893666</v>
      </c>
      <c r="AB181" s="77">
        <f>Tabella34[[#This Row],[Italy acc. fit]]/y_f_peak</f>
        <v>-1.1307338112256485E-2</v>
      </c>
      <c r="AC181" s="143">
        <f>Tabella34[[#This Row],[Italy (fit of selected region + fitted sum of the other regions)]]*NOT(ISBLANK(Tabella34[[#This Row],[Italy rate data]]))</f>
        <v>0</v>
      </c>
      <c r="AD181" s="143">
        <f>Tabella34[[#This Row],[Italy acc. fit]]*NOT(ISBLANK(Tabella34[[#This Row],[Italy rate data]]))</f>
        <v>0</v>
      </c>
      <c r="AE181" s="77">
        <f>Tabella34[[#This Row],[Italy acc. fit]]+CIf</f>
        <v>1619.4902081754608</v>
      </c>
      <c r="AF181" s="77">
        <f>MAX(Tabella34[[#This Row],[Italy acc. fit]]-CIf,0)</f>
        <v>0</v>
      </c>
      <c r="AH181" s="10"/>
      <c r="AI181" s="10"/>
      <c r="AJ181" s="121">
        <f>Tabella34[[#This Row],[selected region rate data]]*NOT(ISBLANK(Tabella34[[#This Row],[selected region rate data]]))</f>
        <v>0</v>
      </c>
      <c r="AK181" s="77">
        <f>Tabella8[[#This Row],[region fit]]</f>
        <v>10967.677711260945</v>
      </c>
      <c r="AL181" s="143" t="e">
        <f>(ATANH(alpha*Tabella34[[#This Row],[sel. region cumul. fit]]/Kl-(1-alpha*Tabella34[[#This Row],[sel. region cumul. fit]]/Kl)*TANH(phi_l))+phi_l)/psi_l-(Tabella34[[#This Row],[Day]]-pl)</f>
        <v>#NUM!</v>
      </c>
      <c r="AM181" s="77">
        <f>Tabella34[[#This Row],[sel. region cumul. fit]]/Kl</f>
        <v>0.83367084110340994</v>
      </c>
      <c r="AN181" s="143">
        <f>Tabella3[[#This Row],[region fit]]</f>
        <v>74.96203679348811</v>
      </c>
      <c r="AO181" s="186">
        <f>Tabella34[[#This Row],[sel. region velocity]]/Tabella34[[#This Row],[sel. region cumul. fit]]</f>
        <v>6.834813965815356E-3</v>
      </c>
      <c r="AP181" s="241">
        <f>(LN(Tabella34[[#This Row],[Day]]-pr)-phi_r)/psi_r</f>
        <v>172.90045726822132</v>
      </c>
      <c r="AQ181" s="244">
        <f>EXP(phi_r+psi_r*Tabella34[[#This Row],[x_r_alpha©+plus]])-(Tabella34[[#This Row],[Day]]-pr)</f>
        <v>-94.39788809841572</v>
      </c>
      <c r="AR181" s="244">
        <f>EXP(phi_r+psi_r*Tabella34[[#This Row],[x_r_alpha©-minus]])-(Tabella34[[#This Row],[Day]]-pr)</f>
        <v>-94.873895772468842</v>
      </c>
      <c r="AS181" s="244">
        <f>-psi_r+SQRT(psi_r^2-2*Tabella34[[#This Row],[c_r]])</f>
        <v>3.9164756462205181</v>
      </c>
      <c r="AT181" s="244">
        <f>-psi_r-SQRT(psi_r^2-2*Tabella34[[#This Row],[c_r]])</f>
        <v>-3.9567636558868564</v>
      </c>
      <c r="AU181" s="244">
        <f>phi_r-LN(alpha*Kr/(Tabella34[[#This Row],[sel. region velocity]]*psi_r*SQRTPI(2)))</f>
        <v>-7.7482842480656684</v>
      </c>
      <c r="AV181" s="244">
        <f>(ACOSH(SQRT(alpha*Kl*psi_l/(Tabella34[[#This Row],[sel. region velocity]]*(1+TANH(phi_l)))))+phi_l)/psi_l-(Tabella34[[#This Row],[Day]]-pl)</f>
        <v>21.742243296870413</v>
      </c>
      <c r="AW181" s="72">
        <f>-2*$BY$22*TANH($BY$22*(Tabella34[[#This Row],[Day]]-$BY$31)-$BY$21)*Tabella34[[#This Row],[sel. region velocity]]</f>
        <v>-2.1159201906672385</v>
      </c>
      <c r="AX181" s="77">
        <f>Tabella34[[#This Row],[sel. region acc. fit]]/y_l_peak</f>
        <v>-1.4371060469681694E-2</v>
      </c>
      <c r="AY181" s="143">
        <f>Tabella34[[#This Row],[sel. region acc. fit]]*NOT(ISBLANK(Tabella34[[#This Row],[selected region rate data]]))</f>
        <v>0</v>
      </c>
      <c r="AZ181" s="77">
        <f>Tabella34[[#This Row],[sel. region acc. fit]]+CIl</f>
        <v>67.249066184433161</v>
      </c>
      <c r="BA181" s="77">
        <f>MAX(Tabella34[[#This Row],[sel. region acc. fit]]-CIl,0)</f>
        <v>0</v>
      </c>
      <c r="BC181" s="10"/>
      <c r="BD181" s="10"/>
      <c r="BE181" s="77">
        <f>Tabella34[[#This Row],[rest of Italy rate data]]*NOT(ISBLANK(Tabella34[[#This Row],[rest of Italy rate data]]))</f>
        <v>0</v>
      </c>
      <c r="BF181" s="77">
        <f>Tabella8[[#This Row],[rest of Italy fit]]</f>
        <v>206284.95018180084</v>
      </c>
      <c r="BG181" s="78" t="e">
        <f>(ATANH(alpha*Tabella34[[#This Row],[rest of Italy cumul. fit]]/Ka-(1-alpha*Tabella34[[#This Row],[rest of Italy cumul. fit]]/Ka)*TANH(phi_a))+phi_a)/psi_a-(Tabella34[[#This Row],[Day]]-pa)</f>
        <v>#NUM!</v>
      </c>
      <c r="BH181" s="77">
        <f>Tabella34[[#This Row],[rest of Italy cumul. fit]]/Ka</f>
        <v>0.92986441746208748</v>
      </c>
      <c r="BI181" s="143">
        <f>Tabella3[[#This Row],[rest of Italy fit]]</f>
        <v>745.61492942139967</v>
      </c>
      <c r="BJ181" s="183">
        <f>Tabella34[[#This Row],[rest of Italy velocity]]/Tabella34[[#This Row],[rest of Italy cumul. fit]]</f>
        <v>3.6144901931250066E-3</v>
      </c>
      <c r="BK181" s="236">
        <f>(LN(Tabella34[[#This Row],[Day]]-po)-phi_o)/psi_o</f>
        <v>127.29630212942178</v>
      </c>
      <c r="BL181" s="244">
        <f>EXP(phi_o+psi_o*Tabella34[[#This Row],[x_o_alpha©+plus]])-(Tabella34[[#This Row],[Day]]-po)</f>
        <v>-101.64114803689704</v>
      </c>
      <c r="BM181" s="244">
        <f>EXP(phi_o+psi_o*Tabella34[[#This Row],[x_o_alpha©-minus]])-(Tabella34[[#This Row],[Day]]-po)</f>
        <v>-102.45922417713244</v>
      </c>
      <c r="BN181" s="244">
        <f>-psi_o+SQRT(psi_o^2-2*Tabella34[[#This Row],[c_o]])</f>
        <v>3.9073982766141699</v>
      </c>
      <c r="BO181" s="244">
        <f>-psi_o-SQRT(psi_o^2-2*Tabella34[[#This Row],[c_o]])</f>
        <v>-3.9587115608818233</v>
      </c>
      <c r="BP181" s="244">
        <f>phi_o-LN(alpha*Ko/(Tabella34[[#This Row],[rest of Italy velocity]]*psi_o*SQRTPI(2)))</f>
        <v>-7.7341313653011134</v>
      </c>
      <c r="BQ181" s="244">
        <f>(ACOSH(SQRT(alpha*Ka*psi_a/(Tabella34[[#This Row],[rest of Italy velocity]]*(1+TANH(phi_a)))))+phi_a)/psi_a-(Tabella34[[#This Row],[Day]]-pa)</f>
        <v>14.910789979472682</v>
      </c>
      <c r="BR181" s="72">
        <f>-2*$BY$35*TANH($BY$35*(Tabella34[[#This Row],[Day]]-$BY$44)-$BY$34)*Tabella34[[#This Row],[rest of Italy velocity]]</f>
        <v>-33.201670011308458</v>
      </c>
      <c r="BS181" s="77">
        <f>Tabella34[[#This Row],[rest of Italy acc. fit]]/y_a_peak</f>
        <v>-1.0995938871232463E-2</v>
      </c>
      <c r="BT181" s="121">
        <f>Tabella34[[#This Row],[rest of Italy acc. fit]]*NOT(ISBLANK(Tabella34[[#This Row],[rest of Italy rate data]]))</f>
        <v>0</v>
      </c>
      <c r="BU181" s="189"/>
      <c r="BV181" s="122"/>
    </row>
    <row r="182" spans="2:74" x14ac:dyDescent="0.3">
      <c r="B182" s="262">
        <v>44005</v>
      </c>
      <c r="C182" s="4">
        <v>175</v>
      </c>
      <c r="E182" s="10"/>
      <c r="F182" s="10"/>
      <c r="G182" s="121">
        <f>Tabella34[[#This Row],[Italy rate data]]*NOT(ISBLANK(Tabella34[[#This Row],[Italy rate data]]))</f>
        <v>0</v>
      </c>
      <c r="H182" s="143">
        <f>Tabella8[[#This Row],[Italy fit]]</f>
        <v>218307.92695078562</v>
      </c>
      <c r="I182" s="143" t="e">
        <f>(ATANH(alpha*Tabella34[[#This Row],[Italy cumul. Fit]]/Kf-(1-alpha*Tabella34[[#This Row],[Italy cumul. Fit]]/Kf)*TANH(phi_f))+phi_f)/psi_f-(Tabella34[[#This Row],[Day]]-pf)</f>
        <v>#NUM!</v>
      </c>
      <c r="J182" s="143" t="e">
        <f>Tabella34[[#This Row],[Italy d.t.]]/Italy_dt_at_lockdown</f>
        <v>#NUM!</v>
      </c>
      <c r="K182" s="77">
        <f>Tabella34[[#This Row],[Italy cumul. Fit]]/Kf</f>
        <v>0.92896989589196821</v>
      </c>
      <c r="L182" s="146">
        <f>Tabella34[[#This Row],[sel. region acc. fit]]+Tabella34[[#This Row],[rest of Italy acc. fit]]</f>
        <v>-34.063572441129566</v>
      </c>
      <c r="M182" s="77">
        <f>Tabella34[[#This Row],[Italy (fit of selected region + fitted sum of the other regions)]]/(y_l_peak+y_a_peak)</f>
        <v>-1.0756861462530963E-2</v>
      </c>
      <c r="N182" s="143">
        <f>Tabella3[[#This Row],[Italy remov. rate fit]]</f>
        <v>786.98637235287879</v>
      </c>
      <c r="O182" s="143">
        <f>Kt*EXP(-0.5*Tabella34[[#This Row],[x_t]]^2)/(psi_t*SQRTPI(2)*(Tabella34[[#This Row],[Day]]-D_bk))</f>
        <v>0</v>
      </c>
      <c r="P182" s="183">
        <f>Tabella34[[#This Row],[Italy velocity]]/Tabella34[[#This Row],[Italy cumul. Fit]]</f>
        <v>3.6049372248873651E-3</v>
      </c>
      <c r="Q182" s="244">
        <f>(LN(Tabella34[[#This Row],[Day]]-D_bk)-phi_t)/psi_t</f>
        <v>130.51386240456597</v>
      </c>
      <c r="R182" s="244">
        <f>EXP(phi_t+psi_t*Tabella34[[#This Row],[x_t_alpha©+plus]])-(Tabella34[[#This Row],[Day]]-D_bk)</f>
        <v>-102.16758808253589</v>
      </c>
      <c r="S182" s="244">
        <f>EXP(phi_t+psi_t*Tabella34[[#This Row],[x_t_alpha©-minus]])-(Tabella34[[#This Row],[Day]]-D_bk)</f>
        <v>-102.9539237432148</v>
      </c>
      <c r="T182" s="244">
        <f>-psi_t+SQRT(psi_t^2-2*Tabella34[[#This Row],[c_t]])</f>
        <v>3.9195046735656618</v>
      </c>
      <c r="U182" s="244">
        <f>-psi_t-SQRT(psi_t^2-2*Tabella34[[#This Row],[c_t]])</f>
        <v>-3.9700233482630338</v>
      </c>
      <c r="V182" s="244">
        <f>phi_t-LN(alpha*Kt/(Tabella34[[#This Row],[Italy velocity]]*psi_t*SQRTPI(2)))</f>
        <v>-7.7802625338408795</v>
      </c>
      <c r="W182" s="244">
        <f>Tabella34[[#This Row],[Italy g.r.]]/Italy_gr_at_lockdown</f>
        <v>8.5987138385141826E-3</v>
      </c>
      <c r="X182" s="244">
        <f>(ACOSH(SQRT(alpha*Kf*psi_f/(Tabella34[[#This Row],[Italy velocity]]*(1+TANH(phi_f)))))+phi_f)/psi_f-(Tabella34[[#This Row],[Day]]-pf)</f>
        <v>15.160123612309562</v>
      </c>
      <c r="Y182" s="244">
        <f>Tabella34[[#This Row],[Italy h.t.]]/Italy_ht_at_lockdown</f>
        <v>0.12765598879017556</v>
      </c>
      <c r="Z182" s="72">
        <f>-2*$BY$48*TANH($BY$48*(Tabella34[[#This Row],[Day]]-$BY$57)-$BY$47)*Tabella34[[#This Row],[Italy velocity]]</f>
        <v>-34.451068418811296</v>
      </c>
      <c r="AA182" s="72">
        <f>Tabella34[[#This Row],[Italy acc. fit]]/Itali_acc_at_lockdown</f>
        <v>-0.98430700155265349</v>
      </c>
      <c r="AB182" s="77">
        <f>Tabella34[[#This Row],[Italy acc. fit]]/y_f_peak</f>
        <v>-1.0905724752331163E-2</v>
      </c>
      <c r="AC182" s="143">
        <f>Tabella34[[#This Row],[Italy (fit of selected region + fitted sum of the other regions)]]*NOT(ISBLANK(Tabella34[[#This Row],[Italy rate data]]))</f>
        <v>0</v>
      </c>
      <c r="AD182" s="143">
        <f>Tabella34[[#This Row],[Italy acc. fit]]*NOT(ISBLANK(Tabella34[[#This Row],[Italy rate data]]))</f>
        <v>0</v>
      </c>
      <c r="AE182" s="77">
        <f>Tabella34[[#This Row],[Italy acc. fit]]+CIf</f>
        <v>1620.7589005049401</v>
      </c>
      <c r="AF182" s="77">
        <f>MAX(Tabella34[[#This Row],[Italy acc. fit]]-CIf,0)</f>
        <v>0</v>
      </c>
      <c r="AH182" s="10"/>
      <c r="AI182" s="10"/>
      <c r="AJ182" s="121">
        <f>Tabella34[[#This Row],[selected region rate data]]*NOT(ISBLANK(Tabella34[[#This Row],[selected region rate data]]))</f>
        <v>0</v>
      </c>
      <c r="AK182" s="77">
        <f>Tabella8[[#This Row],[region fit]]</f>
        <v>11041.586653894092</v>
      </c>
      <c r="AL182" s="143" t="e">
        <f>(ATANH(alpha*Tabella34[[#This Row],[sel. region cumul. fit]]/Kl-(1-alpha*Tabella34[[#This Row],[sel. region cumul. fit]]/Kl)*TANH(phi_l))+phi_l)/psi_l-(Tabella34[[#This Row],[Day]]-pl)</f>
        <v>#NUM!</v>
      </c>
      <c r="AM182" s="77">
        <f>Tabella34[[#This Row],[sel. region cumul. fit]]/Kl</f>
        <v>0.83928877882843766</v>
      </c>
      <c r="AN182" s="143">
        <f>Tabella3[[#This Row],[region fit]]</f>
        <v>72.860787019566402</v>
      </c>
      <c r="AO182" s="186">
        <f>Tabella34[[#This Row],[sel. region velocity]]/Tabella34[[#This Row],[sel. region cumul. fit]]</f>
        <v>6.5987606041990549E-3</v>
      </c>
      <c r="AP182" s="241">
        <f>(LN(Tabella34[[#This Row],[Day]]-pr)-phi_r)/psi_r</f>
        <v>173.40627764838521</v>
      </c>
      <c r="AQ182" s="244">
        <f>EXP(phi_r+psi_r*Tabella34[[#This Row],[x_r_alpha©+plus]])-(Tabella34[[#This Row],[Day]]-pr)</f>
        <v>-95.397416306629481</v>
      </c>
      <c r="AR182" s="244">
        <f>EXP(phi_r+psi_r*Tabella34[[#This Row],[x_r_alpha©-minus]])-(Tabella34[[#This Row],[Day]]-pr)</f>
        <v>-95.874298312212986</v>
      </c>
      <c r="AS182" s="244">
        <f>-psi_r+SQRT(psi_r^2-2*Tabella34[[#This Row],[c_r]])</f>
        <v>3.9236912743087804</v>
      </c>
      <c r="AT182" s="244">
        <f>-psi_r-SQRT(psi_r^2-2*Tabella34[[#This Row],[c_r]])</f>
        <v>-3.9639792839751187</v>
      </c>
      <c r="AU182" s="244">
        <f>phi_r-LN(alpha*Kr/(Tabella34[[#This Row],[sel. region velocity]]*psi_r*SQRTPI(2)))</f>
        <v>-7.7767154640369709</v>
      </c>
      <c r="AV182" s="244">
        <f>(ACOSH(SQRT(alpha*Kl*psi_l/(Tabella34[[#This Row],[sel. region velocity]]*(1+TANH(phi_l)))))+phi_l)/psi_l-(Tabella34[[#This Row],[Day]]-pl)</f>
        <v>21.557650593792673</v>
      </c>
      <c r="AW182" s="72">
        <f>-2*$BY$22*TANH($BY$22*(Tabella34[[#This Row],[Day]]-$BY$31)-$BY$21)*Tabella34[[#This Row],[sel. region velocity]]</f>
        <v>-2.0862917494059601</v>
      </c>
      <c r="AX182" s="77">
        <f>Tabella34[[#This Row],[sel. region acc. fit]]/y_l_peak</f>
        <v>-1.4169827869857609E-2</v>
      </c>
      <c r="AY182" s="143">
        <f>Tabella34[[#This Row],[sel. region acc. fit]]*NOT(ISBLANK(Tabella34[[#This Row],[selected region rate data]]))</f>
        <v>0</v>
      </c>
      <c r="AZ182" s="77">
        <f>Tabella34[[#This Row],[sel. region acc. fit]]+CIl</f>
        <v>67.278694625694442</v>
      </c>
      <c r="BA182" s="77">
        <f>MAX(Tabella34[[#This Row],[sel. region acc. fit]]-CIl,0)</f>
        <v>0</v>
      </c>
      <c r="BC182" s="10"/>
      <c r="BD182" s="10"/>
      <c r="BE182" s="77">
        <f>Tabella34[[#This Row],[rest of Italy rate data]]*NOT(ISBLANK(Tabella34[[#This Row],[rest of Italy rate data]]))</f>
        <v>0</v>
      </c>
      <c r="BF182" s="77">
        <f>Tabella8[[#This Row],[rest of Italy fit]]</f>
        <v>207014.16932320854</v>
      </c>
      <c r="BG182" s="78" t="e">
        <f>(ATANH(alpha*Tabella34[[#This Row],[rest of Italy cumul. fit]]/Ka-(1-alpha*Tabella34[[#This Row],[rest of Italy cumul. fit]]/Ka)*TANH(phi_a))+phi_a)/psi_a-(Tabella34[[#This Row],[Day]]-pa)</f>
        <v>#NUM!</v>
      </c>
      <c r="BH182" s="77">
        <f>Tabella34[[#This Row],[rest of Italy cumul. fit]]/Ka</f>
        <v>0.93315149648326512</v>
      </c>
      <c r="BI182" s="143">
        <f>Tabella3[[#This Row],[rest of Italy fit]]</f>
        <v>713.02742352871655</v>
      </c>
      <c r="BJ182" s="183">
        <f>Tabella34[[#This Row],[rest of Italy velocity]]/Tabella34[[#This Row],[rest of Italy cumul. fit]]</f>
        <v>3.4443411572252143E-3</v>
      </c>
      <c r="BK182" s="236">
        <f>(LN(Tabella34[[#This Row],[Day]]-po)-phi_o)/psi_o</f>
        <v>127.66187587147589</v>
      </c>
      <c r="BL182" s="244">
        <f>EXP(phi_o+psi_o*Tabella34[[#This Row],[x_o_alpha©+plus]])-(Tabella34[[#This Row],[Day]]-po)</f>
        <v>-102.63984477128798</v>
      </c>
      <c r="BM182" s="244">
        <f>EXP(phi_o+psi_o*Tabella34[[#This Row],[x_o_alpha©-minus]])-(Tabella34[[#This Row],[Day]]-po)</f>
        <v>-103.46028895271075</v>
      </c>
      <c r="BN182" s="244">
        <f>-psi_o+SQRT(psi_o^2-2*Tabella34[[#This Row],[c_o]])</f>
        <v>3.9187444281514137</v>
      </c>
      <c r="BO182" s="244">
        <f>-psi_o-SQRT(psi_o^2-2*Tabella34[[#This Row],[c_o]])</f>
        <v>-3.970057712419067</v>
      </c>
      <c r="BP182" s="244">
        <f>phi_o-LN(alpha*Ko/(Tabella34[[#This Row],[rest of Italy velocity]]*psi_o*SQRTPI(2)))</f>
        <v>-7.7788207699908831</v>
      </c>
      <c r="BQ182" s="244">
        <f>(ACOSH(SQRT(alpha*Ka*psi_a/(Tabella34[[#This Row],[rest of Italy velocity]]*(1+TANH(phi_a)))))+phi_a)/psi_a-(Tabella34[[#This Row],[Day]]-pa)</f>
        <v>14.839583557599838</v>
      </c>
      <c r="BR182" s="72">
        <f>-2*$BY$35*TANH($BY$35*(Tabella34[[#This Row],[Day]]-$BY$44)-$BY$34)*Tabella34[[#This Row],[rest of Italy velocity]]</f>
        <v>-31.977280691723607</v>
      </c>
      <c r="BS182" s="77">
        <f>Tabella34[[#This Row],[rest of Italy acc. fit]]/y_a_peak</f>
        <v>-1.0590437879620917E-2</v>
      </c>
      <c r="BT182" s="121">
        <f>Tabella34[[#This Row],[rest of Italy acc. fit]]*NOT(ISBLANK(Tabella34[[#This Row],[rest of Italy rate data]]))</f>
        <v>0</v>
      </c>
      <c r="BU182" s="189"/>
      <c r="BV182" s="122"/>
    </row>
    <row r="183" spans="2:74" x14ac:dyDescent="0.3">
      <c r="B183" s="262">
        <v>44006</v>
      </c>
      <c r="C183" s="4">
        <v>176</v>
      </c>
      <c r="E183" s="10"/>
      <c r="F183" s="10"/>
      <c r="G183" s="121">
        <f>Tabella34[[#This Row],[Italy rate data]]*NOT(ISBLANK(Tabella34[[#This Row],[Italy rate data]]))</f>
        <v>0</v>
      </c>
      <c r="H183" s="143">
        <f>Tabella8[[#This Row],[Italy fit]]</f>
        <v>219077.89650390879</v>
      </c>
      <c r="I183" s="143" t="e">
        <f>(ATANH(alpha*Tabella34[[#This Row],[Italy cumul. Fit]]/Kf-(1-alpha*Tabella34[[#This Row],[Italy cumul. Fit]]/Kf)*TANH(phi_f))+phi_f)/psi_f-(Tabella34[[#This Row],[Day]]-pf)</f>
        <v>#NUM!</v>
      </c>
      <c r="J183" s="143" t="e">
        <f>Tabella34[[#This Row],[Italy d.t.]]/Italy_dt_at_lockdown</f>
        <v>#NUM!</v>
      </c>
      <c r="K183" s="77">
        <f>Tabella34[[#This Row],[Italy cumul. Fit]]/Kf</f>
        <v>0.9322463620542164</v>
      </c>
      <c r="L183" s="146">
        <f>Tabella34[[#This Row],[sel. region acc. fit]]+Tabella34[[#This Row],[rest of Italy acc. fit]]</f>
        <v>-32.832438698789637</v>
      </c>
      <c r="M183" s="77">
        <f>Tabella34[[#This Row],[Italy (fit of selected region + fitted sum of the other regions)]]/(y_l_peak+y_a_peak)</f>
        <v>-1.0368084415405756E-2</v>
      </c>
      <c r="N183" s="143">
        <f>Tabella3[[#This Row],[Italy remov. rate fit]]</f>
        <v>753.16049020505056</v>
      </c>
      <c r="O183" s="143">
        <f>Kt*EXP(-0.5*Tabella34[[#This Row],[x_t]]^2)/(psi_t*SQRTPI(2)*(Tabella34[[#This Row],[Day]]-D_bk))</f>
        <v>0</v>
      </c>
      <c r="P183" s="183">
        <f>Tabella34[[#This Row],[Italy velocity]]/Tabella34[[#This Row],[Italy cumul. Fit]]</f>
        <v>3.4378661755665187E-3</v>
      </c>
      <c r="Q183" s="244">
        <f>(LN(Tabella34[[#This Row],[Day]]-D_bk)-phi_t)/psi_t</f>
        <v>130.88379096453517</v>
      </c>
      <c r="R183" s="244">
        <f>EXP(phi_t+psi_t*Tabella34[[#This Row],[x_t_alpha©+plus]])-(Tabella34[[#This Row],[Day]]-D_bk)</f>
        <v>-103.16636536087015</v>
      </c>
      <c r="S183" s="244">
        <f>EXP(phi_t+psi_t*Tabella34[[#This Row],[x_t_alpha©-minus]])-(Tabella34[[#This Row],[Day]]-D_bk)</f>
        <v>-103.95492525844367</v>
      </c>
      <c r="T183" s="244">
        <f>-psi_t+SQRT(psi_t^2-2*Tabella34[[#This Row],[c_t]])</f>
        <v>3.9306259349347736</v>
      </c>
      <c r="U183" s="244">
        <f>-psi_t-SQRT(psi_t^2-2*Tabella34[[#This Row],[c_t]])</f>
        <v>-3.9811446096321457</v>
      </c>
      <c r="V183" s="244">
        <f>phi_t-LN(alpha*Kt/(Tabella34[[#This Row],[Italy velocity]]*psi_t*SQRTPI(2)))</f>
        <v>-7.8241951266729437</v>
      </c>
      <c r="W183" s="244">
        <f>Tabella34[[#This Row],[Italy g.r.]]/Italy_gr_at_lockdown</f>
        <v>8.2002058883916575E-3</v>
      </c>
      <c r="X183" s="244">
        <f>(ACOSH(SQRT(alpha*Kf*psi_f/(Tabella34[[#This Row],[Italy velocity]]*(1+TANH(phi_f)))))+phi_f)/psi_f-(Tabella34[[#This Row],[Day]]-pf)</f>
        <v>15.088138844060353</v>
      </c>
      <c r="Y183" s="244">
        <f>Tabella34[[#This Row],[Italy h.t.]]/Italy_ht_at_lockdown</f>
        <v>0.12704984025183363</v>
      </c>
      <c r="Z183" s="72">
        <f>-2*$BY$48*TANH($BY$48*(Tabella34[[#This Row],[Day]]-$BY$57)-$BY$47)*Tabella34[[#This Row],[Italy velocity]]</f>
        <v>-33.204562517867004</v>
      </c>
      <c r="AA183" s="72">
        <f>Tabella34[[#This Row],[Italy acc. fit]]/Itali_acc_at_lockdown</f>
        <v>-0.9486928815241954</v>
      </c>
      <c r="AB183" s="77">
        <f>Tabella34[[#This Row],[Italy acc. fit]]/y_f_peak</f>
        <v>-1.0511134660302776E-2</v>
      </c>
      <c r="AC183" s="143">
        <f>Tabella34[[#This Row],[Italy (fit of selected region + fitted sum of the other regions)]]*NOT(ISBLANK(Tabella34[[#This Row],[Italy rate data]]))</f>
        <v>0</v>
      </c>
      <c r="AD183" s="143">
        <f>Tabella34[[#This Row],[Italy acc. fit]]*NOT(ISBLANK(Tabella34[[#This Row],[Italy rate data]]))</f>
        <v>0</v>
      </c>
      <c r="AE183" s="77">
        <f>Tabella34[[#This Row],[Italy acc. fit]]+CIf</f>
        <v>1622.0054064058843</v>
      </c>
      <c r="AF183" s="77">
        <f>MAX(Tabella34[[#This Row],[Italy acc. fit]]-CIf,0)</f>
        <v>0</v>
      </c>
      <c r="AH183" s="10"/>
      <c r="AI183" s="10"/>
      <c r="AJ183" s="121">
        <f>Tabella34[[#This Row],[selected region rate data]]*NOT(ISBLANK(Tabella34[[#This Row],[selected region rate data]]))</f>
        <v>0</v>
      </c>
      <c r="AK183" s="77">
        <f>Tabella8[[#This Row],[region fit]]</f>
        <v>11113.409441537598</v>
      </c>
      <c r="AL183" s="143" t="e">
        <f>(ATANH(alpha*Tabella34[[#This Row],[sel. region cumul. fit]]/Kl-(1-alpha*Tabella34[[#This Row],[sel. region cumul. fit]]/Kl)*TANH(phi_l))+phi_l)/psi_l-(Tabella34[[#This Row],[Day]]-pl)</f>
        <v>#NUM!</v>
      </c>
      <c r="AM183" s="77">
        <f>Tabella34[[#This Row],[sel. region cumul. fit]]/Kl</f>
        <v>0.84474814455393454</v>
      </c>
      <c r="AN183" s="143">
        <f>Tabella3[[#This Row],[region fit]]</f>
        <v>70.790000361602068</v>
      </c>
      <c r="AO183" s="186">
        <f>Tabella34[[#This Row],[sel. region velocity]]/Tabella34[[#This Row],[sel. region cumul. fit]]</f>
        <v>6.3697824447119357E-3</v>
      </c>
      <c r="AP183" s="241">
        <f>(LN(Tabella34[[#This Row],[Day]]-pr)-phi_r)/psi_r</f>
        <v>173.90699604088275</v>
      </c>
      <c r="AQ183" s="244">
        <f>EXP(phi_r+psi_r*Tabella34[[#This Row],[x_r_alpha©+plus]])-(Tabella34[[#This Row],[Day]]-pr)</f>
        <v>-96.396938660314547</v>
      </c>
      <c r="AR183" s="244">
        <f>EXP(phi_r+psi_r*Tabella34[[#This Row],[x_r_alpha©-minus]])-(Tabella34[[#This Row],[Day]]-pr)</f>
        <v>-96.874705727947173</v>
      </c>
      <c r="AS183" s="244">
        <f>-psi_r+SQRT(psi_r^2-2*Tabella34[[#This Row],[c_r]])</f>
        <v>3.9309953738615278</v>
      </c>
      <c r="AT183" s="244">
        <f>-psi_r-SQRT(psi_r^2-2*Tabella34[[#This Row],[c_r]])</f>
        <v>-3.971283383527866</v>
      </c>
      <c r="AU183" s="244">
        <f>phi_r-LN(alpha*Kr/(Tabella34[[#This Row],[sel. region velocity]]*psi_r*SQRTPI(2)))</f>
        <v>-7.8055483044705989</v>
      </c>
      <c r="AV183" s="244">
        <f>(ACOSH(SQRT(alpha*Kl*psi_l/(Tabella34[[#This Row],[sel. region velocity]]*(1+TANH(phi_l)))))+phi_l)/psi_l-(Tabella34[[#This Row],[Day]]-pl)</f>
        <v>21.38069349246733</v>
      </c>
      <c r="AW183" s="72">
        <f>-2*$BY$22*TANH($BY$22*(Tabella34[[#This Row],[Day]]-$BY$31)-$BY$21)*Tabella34[[#This Row],[sel. region velocity]]</f>
        <v>-2.0550219402275287</v>
      </c>
      <c r="AX183" s="77">
        <f>Tabella34[[#This Row],[sel. region acc. fit]]/y_l_peak</f>
        <v>-1.3957447308170669E-2</v>
      </c>
      <c r="AY183" s="143">
        <f>Tabella34[[#This Row],[sel. region acc. fit]]*NOT(ISBLANK(Tabella34[[#This Row],[selected region rate data]]))</f>
        <v>0</v>
      </c>
      <c r="AZ183" s="77">
        <f>Tabella34[[#This Row],[sel. region acc. fit]]+CIl</f>
        <v>67.309964434872867</v>
      </c>
      <c r="BA183" s="77">
        <f>MAX(Tabella34[[#This Row],[sel. region acc. fit]]-CIl,0)</f>
        <v>0</v>
      </c>
      <c r="BC183" s="10"/>
      <c r="BD183" s="10"/>
      <c r="BE183" s="77">
        <f>Tabella34[[#This Row],[rest of Italy rate data]]*NOT(ISBLANK(Tabella34[[#This Row],[rest of Italy rate data]]))</f>
        <v>0</v>
      </c>
      <c r="BF183" s="77">
        <f>Tabella8[[#This Row],[rest of Italy fit]]</f>
        <v>207711.40913895291</v>
      </c>
      <c r="BG183" s="78" t="e">
        <f>(ATANH(alpha*Tabella34[[#This Row],[rest of Italy cumul. fit]]/Ka-(1-alpha*Tabella34[[#This Row],[rest of Italy cumul. fit]]/Ka)*TANH(phi_a))+phi_a)/psi_a-(Tabella34[[#This Row],[Day]]-pa)</f>
        <v>#NUM!</v>
      </c>
      <c r="BH183" s="77">
        <f>Tabella34[[#This Row],[rest of Italy cumul. fit]]/Ka</f>
        <v>0.93629442326743972</v>
      </c>
      <c r="BI183" s="143">
        <f>Tabella3[[#This Row],[rest of Italy fit]]</f>
        <v>681.65218973756043</v>
      </c>
      <c r="BJ183" s="183">
        <f>Tabella34[[#This Row],[rest of Italy velocity]]/Tabella34[[#This Row],[rest of Italy cumul. fit]]</f>
        <v>3.2817272414802931E-3</v>
      </c>
      <c r="BK183" s="236">
        <f>(LN(Tabella34[[#This Row],[Day]]-po)-phi_o)/psi_o</f>
        <v>128.02405259046867</v>
      </c>
      <c r="BL183" s="244">
        <f>EXP(phi_o+psi_o*Tabella34[[#This Row],[x_o_alpha©+plus]])-(Tabella34[[#This Row],[Day]]-po)</f>
        <v>-103.63853583336456</v>
      </c>
      <c r="BM183" s="244">
        <f>EXP(phi_o+psi_o*Tabella34[[#This Row],[x_o_alpha©-minus]])-(Tabella34[[#This Row],[Day]]-po)</f>
        <v>-104.46135773890178</v>
      </c>
      <c r="BN183" s="244">
        <f>-psi_o+SQRT(psi_o^2-2*Tabella34[[#This Row],[c_o]])</f>
        <v>3.9301366389783121</v>
      </c>
      <c r="BO183" s="244">
        <f>-psi_o-SQRT(psi_o^2-2*Tabella34[[#This Row],[c_o]])</f>
        <v>-3.9814499232459655</v>
      </c>
      <c r="BP183" s="244">
        <f>phi_o-LN(alpha*Ko/(Tabella34[[#This Row],[rest of Italy velocity]]*psi_o*SQRTPI(2)))</f>
        <v>-7.8238211098031787</v>
      </c>
      <c r="BQ183" s="244">
        <f>(ACOSH(SQRT(alpha*Ka*psi_a/(Tabella34[[#This Row],[rest of Italy velocity]]*(1+TANH(phi_a)))))+phi_a)/psi_a-(Tabella34[[#This Row],[Day]]-pa)</f>
        <v>14.772035669860941</v>
      </c>
      <c r="BR183" s="72">
        <f>-2*$BY$35*TANH($BY$35*(Tabella34[[#This Row],[Day]]-$BY$44)-$BY$34)*Tabella34[[#This Row],[rest of Italy velocity]]</f>
        <v>-30.777416758562111</v>
      </c>
      <c r="BS183" s="77">
        <f>Tabella34[[#This Row],[rest of Italy acc. fit]]/y_a_peak</f>
        <v>-1.0193059360457675E-2</v>
      </c>
      <c r="BT183" s="121">
        <f>Tabella34[[#This Row],[rest of Italy acc. fit]]*NOT(ISBLANK(Tabella34[[#This Row],[rest of Italy rate data]]))</f>
        <v>0</v>
      </c>
      <c r="BU183" s="189"/>
      <c r="BV183" s="122"/>
    </row>
    <row r="184" spans="2:74" x14ac:dyDescent="0.3">
      <c r="B184" s="262">
        <v>44007</v>
      </c>
      <c r="C184" s="4">
        <v>177</v>
      </c>
      <c r="E184" s="10"/>
      <c r="F184" s="10"/>
      <c r="G184" s="121">
        <f>Tabella34[[#This Row],[Italy rate data]]*NOT(ISBLANK(Tabella34[[#This Row],[Italy rate data]]))</f>
        <v>0</v>
      </c>
      <c r="H184" s="143">
        <f>Tabella8[[#This Row],[Italy fit]]</f>
        <v>219814.65948445487</v>
      </c>
      <c r="I184" s="143" t="e">
        <f>(ATANH(alpha*Tabella34[[#This Row],[Italy cumul. Fit]]/Kf-(1-alpha*Tabella34[[#This Row],[Italy cumul. Fit]]/Kf)*TANH(phi_f))+phi_f)/psi_f-(Tabella34[[#This Row],[Day]]-pf)</f>
        <v>#NUM!</v>
      </c>
      <c r="J184" s="143" t="e">
        <f>Tabella34[[#This Row],[Italy d.t.]]/Italy_dt_at_lockdown</f>
        <v>#NUM!</v>
      </c>
      <c r="K184" s="77">
        <f>Tabella34[[#This Row],[Italy cumul. Fit]]/Kf</f>
        <v>0.93538152365322347</v>
      </c>
      <c r="L184" s="146">
        <f>Tabella34[[#This Row],[sel. region acc. fit]]+Tabella34[[#This Row],[rest of Italy acc. fit]]</f>
        <v>-31.625961097827151</v>
      </c>
      <c r="M184" s="77">
        <f>Tabella34[[#This Row],[Italy (fit of selected region + fitted sum of the other regions)]]/(y_l_peak+y_a_peak)</f>
        <v>-9.9870934775459861E-3</v>
      </c>
      <c r="N184" s="143">
        <f>Tabella3[[#This Row],[Italy remov. rate fit]]</f>
        <v>720.56920863879975</v>
      </c>
      <c r="O184" s="143">
        <f>Kt*EXP(-0.5*Tabella34[[#This Row],[x_t]]^2)/(psi_t*SQRTPI(2)*(Tabella34[[#This Row],[Day]]-D_bk))</f>
        <v>0</v>
      </c>
      <c r="P184" s="183">
        <f>Tabella34[[#This Row],[Italy velocity]]/Tabella34[[#This Row],[Italy cumul. Fit]]</f>
        <v>3.278076222617709E-3</v>
      </c>
      <c r="Q184" s="244">
        <f>(LN(Tabella34[[#This Row],[Day]]-D_bk)-phi_t)/psi_t</f>
        <v>131.25029483259132</v>
      </c>
      <c r="R184" s="244">
        <f>EXP(phi_t+psi_t*Tabella34[[#This Row],[x_t_alpha©+plus]])-(Tabella34[[#This Row],[Day]]-D_bk)</f>
        <v>-104.1651372883945</v>
      </c>
      <c r="S184" s="244">
        <f>EXP(phi_t+psi_t*Tabella34[[#This Row],[x_t_alpha©-minus]])-(Tabella34[[#This Row],[Day]]-D_bk)</f>
        <v>-104.95593059030816</v>
      </c>
      <c r="T184" s="244">
        <f>-psi_t+SQRT(psi_t^2-2*Tabella34[[#This Row],[c_t]])</f>
        <v>3.9417927207914563</v>
      </c>
      <c r="U184" s="244">
        <f>-psi_t-SQRT(psi_t^2-2*Tabella34[[#This Row],[c_t]])</f>
        <v>-3.9923113954888283</v>
      </c>
      <c r="V184" s="244">
        <f>phi_t-LN(alpha*Kt/(Tabella34[[#This Row],[Italy velocity]]*psi_t*SQRTPI(2)))</f>
        <v>-7.8684319989353213</v>
      </c>
      <c r="W184" s="244">
        <f>Tabella34[[#This Row],[Italy g.r.]]/Italy_gr_at_lockdown</f>
        <v>7.8190652487736146E-3</v>
      </c>
      <c r="X184" s="244">
        <f>(ACOSH(SQRT(alpha*Kf*psi_f/(Tabella34[[#This Row],[Italy velocity]]*(1+TANH(phi_f)))))+phi_f)/psi_f-(Tabella34[[#This Row],[Day]]-pf)</f>
        <v>15.019797643629985</v>
      </c>
      <c r="Y184" s="244">
        <f>Tabella34[[#This Row],[Italy h.t.]]/Italy_ht_at_lockdown</f>
        <v>0.12647437241666623</v>
      </c>
      <c r="Z184" s="72">
        <f>-2*$BY$48*TANH($BY$48*(Tabella34[[#This Row],[Day]]-$BY$57)-$BY$47)*Tabella34[[#This Row],[Italy velocity]]</f>
        <v>-31.982163299185945</v>
      </c>
      <c r="AA184" s="72">
        <f>Tabella34[[#This Row],[Italy acc. fit]]/Itali_acc_at_lockdown</f>
        <v>-0.91376751738125739</v>
      </c>
      <c r="AB184" s="77">
        <f>Tabella34[[#This Row],[Italy acc. fit]]/y_f_peak</f>
        <v>-1.0124175705812961E-2</v>
      </c>
      <c r="AC184" s="143">
        <f>Tabella34[[#This Row],[Italy (fit of selected region + fitted sum of the other regions)]]*NOT(ISBLANK(Tabella34[[#This Row],[Italy rate data]]))</f>
        <v>0</v>
      </c>
      <c r="AD184" s="143">
        <f>Tabella34[[#This Row],[Italy acc. fit]]*NOT(ISBLANK(Tabella34[[#This Row],[Italy rate data]]))</f>
        <v>0</v>
      </c>
      <c r="AE184" s="77">
        <f>Tabella34[[#This Row],[Italy acc. fit]]+CIf</f>
        <v>1623.2278056245655</v>
      </c>
      <c r="AF184" s="77">
        <f>MAX(Tabella34[[#This Row],[Italy acc. fit]]-CIf,0)</f>
        <v>0</v>
      </c>
      <c r="AH184" s="10"/>
      <c r="AI184" s="10"/>
      <c r="AJ184" s="121">
        <f>Tabella34[[#This Row],[selected region rate data]]*NOT(ISBLANK(Tabella34[[#This Row],[selected region rate data]]))</f>
        <v>0</v>
      </c>
      <c r="AK184" s="77">
        <f>Tabella8[[#This Row],[region fit]]</f>
        <v>11183.177330224084</v>
      </c>
      <c r="AL184" s="143" t="e">
        <f>(ATANH(alpha*Tabella34[[#This Row],[sel. region cumul. fit]]/Kl-(1-alpha*Tabella34[[#This Row],[sel. region cumul. fit]]/Kl)*TANH(phi_l))+phi_l)/psi_l-(Tabella34[[#This Row],[Day]]-pl)</f>
        <v>#NUM!</v>
      </c>
      <c r="AM184" s="77">
        <f>Tabella34[[#This Row],[sel. region cumul. fit]]/Kl</f>
        <v>0.85005131410126289</v>
      </c>
      <c r="AN184" s="143">
        <f>Tabella3[[#This Row],[region fit]]</f>
        <v>68.751235102323733</v>
      </c>
      <c r="AO184" s="186">
        <f>Tabella34[[#This Row],[sel. region velocity]]/Tabella34[[#This Row],[sel. region cumul. fit]]</f>
        <v>6.1477371834669928E-3</v>
      </c>
      <c r="AP184" s="241">
        <f>(LN(Tabella34[[#This Row],[Day]]-pr)-phi_r)/psi_r</f>
        <v>174.40271434179866</v>
      </c>
      <c r="AQ184" s="244">
        <f>EXP(phi_r+psi_r*Tabella34[[#This Row],[x_r_alpha©+plus]])-(Tabella34[[#This Row],[Day]]-pr)</f>
        <v>-97.396455377530856</v>
      </c>
      <c r="AR184" s="244">
        <f>EXP(phi_r+psi_r*Tabella34[[#This Row],[x_r_alpha©-minus]])-(Tabella34[[#This Row],[Day]]-pr)</f>
        <v>-97.875117829401049</v>
      </c>
      <c r="AS184" s="244">
        <f>-psi_r+SQRT(psi_r^2-2*Tabella34[[#This Row],[c_r]])</f>
        <v>3.9383845718781658</v>
      </c>
      <c r="AT184" s="244">
        <f>-psi_r-SQRT(psi_r^2-2*Tabella34[[#This Row],[c_r]])</f>
        <v>-3.9786725815445041</v>
      </c>
      <c r="AU184" s="244">
        <f>phi_r-LN(alpha*Kr/(Tabella34[[#This Row],[sel. region velocity]]*psi_r*SQRTPI(2)))</f>
        <v>-7.834771355854774</v>
      </c>
      <c r="AV184" s="244">
        <f>(ACOSH(SQRT(alpha*Kl*psi_l/(Tabella34[[#This Row],[sel. region velocity]]*(1+TANH(phi_l)))))+phi_l)/psi_l-(Tabella34[[#This Row],[Day]]-pl)</f>
        <v>21.211052210386782</v>
      </c>
      <c r="AW184" s="72">
        <f>-2*$BY$22*TANH($BY$22*(Tabella34[[#This Row],[Day]]-$BY$31)-$BY$21)*Tabella34[[#This Row],[sel. region velocity]]</f>
        <v>-2.0222760591274218</v>
      </c>
      <c r="AX184" s="77">
        <f>Tabella34[[#This Row],[sel. region acc. fit]]/y_l_peak</f>
        <v>-1.3735041453971487E-2</v>
      </c>
      <c r="AY184" s="143">
        <f>Tabella34[[#This Row],[sel. region acc. fit]]*NOT(ISBLANK(Tabella34[[#This Row],[selected region rate data]]))</f>
        <v>0</v>
      </c>
      <c r="AZ184" s="77">
        <f>Tabella34[[#This Row],[sel. region acc. fit]]+CIl</f>
        <v>67.34271031597298</v>
      </c>
      <c r="BA184" s="77">
        <f>MAX(Tabella34[[#This Row],[sel. region acc. fit]]-CIl,0)</f>
        <v>0</v>
      </c>
      <c r="BC184" s="10"/>
      <c r="BD184" s="10"/>
      <c r="BE184" s="77">
        <f>Tabella34[[#This Row],[rest of Italy rate data]]*NOT(ISBLANK(Tabella34[[#This Row],[rest of Italy rate data]]))</f>
        <v>0</v>
      </c>
      <c r="BF184" s="77">
        <f>Tabella8[[#This Row],[rest of Italy fit]]</f>
        <v>208377.8693591521</v>
      </c>
      <c r="BG184" s="78" t="e">
        <f>(ATANH(alpha*Tabella34[[#This Row],[rest of Italy cumul. fit]]/Ka-(1-alpha*Tabella34[[#This Row],[rest of Italy cumul. fit]]/Ka)*TANH(phi_a))+phi_a)/psi_a-(Tabella34[[#This Row],[Day]]-pa)</f>
        <v>#NUM!</v>
      </c>
      <c r="BH184" s="77">
        <f>Tabella34[[#This Row],[rest of Italy cumul. fit]]/Ka</f>
        <v>0.93929860580170133</v>
      </c>
      <c r="BI184" s="143">
        <f>Tabella3[[#This Row],[rest of Italy fit]]</f>
        <v>651.4638763346527</v>
      </c>
      <c r="BJ184" s="183">
        <f>Tabella34[[#This Row],[rest of Italy velocity]]/Tabella34[[#This Row],[rest of Italy cumul. fit]]</f>
        <v>3.1263582756564929E-3</v>
      </c>
      <c r="BK184" s="236">
        <f>(LN(Tabella34[[#This Row],[Day]]-po)-phi_o)/psi_o</f>
        <v>128.38289483795319</v>
      </c>
      <c r="BL184" s="244">
        <f>EXP(phi_o+psi_o*Tabella34[[#This Row],[x_o_alpha©+plus]])-(Tabella34[[#This Row],[Day]]-po)</f>
        <v>-104.63722166038389</v>
      </c>
      <c r="BM184" s="244">
        <f>EXP(phi_o+psi_o*Tabella34[[#This Row],[x_o_alpha©-minus]])-(Tabella34[[#This Row],[Day]]-po)</f>
        <v>-105.46243017141131</v>
      </c>
      <c r="BN184" s="244">
        <f>-psi_o+SQRT(psi_o^2-2*Tabella34[[#This Row],[c_o]])</f>
        <v>3.9415710638009145</v>
      </c>
      <c r="BO184" s="244">
        <f>-psi_o-SQRT(psi_o^2-2*Tabella34[[#This Row],[c_o]])</f>
        <v>-3.9928843480685678</v>
      </c>
      <c r="BP184" s="244">
        <f>phi_o-LN(alpha*Ko/(Tabella34[[#This Row],[rest of Italy velocity]]*psi_o*SQRTPI(2)))</f>
        <v>-7.8691187037253236</v>
      </c>
      <c r="BQ184" s="244">
        <f>(ACOSH(SQRT(alpha*Ka*psi_a/(Tabella34[[#This Row],[rest of Italy velocity]]*(1+TANH(phi_a)))))+phi_a)/psi_a-(Tabella34[[#This Row],[Day]]-pa)</f>
        <v>14.70795464714783</v>
      </c>
      <c r="BR184" s="72">
        <f>-2*$BY$35*TANH($BY$35*(Tabella34[[#This Row],[Day]]-$BY$44)-$BY$34)*Tabella34[[#This Row],[rest of Italy velocity]]</f>
        <v>-29.60368503869973</v>
      </c>
      <c r="BS184" s="77">
        <f>Tabella34[[#This Row],[rest of Italy acc. fit]]/y_a_peak</f>
        <v>-9.8043354728207747E-3</v>
      </c>
      <c r="BT184" s="121">
        <f>Tabella34[[#This Row],[rest of Italy acc. fit]]*NOT(ISBLANK(Tabella34[[#This Row],[rest of Italy rate data]]))</f>
        <v>0</v>
      </c>
      <c r="BU184" s="189"/>
      <c r="BV184" s="122"/>
    </row>
    <row r="185" spans="2:74" x14ac:dyDescent="0.3">
      <c r="AL185" s="143"/>
      <c r="BG185" s="143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AW8:AW184">
    <cfRule type="top10" dxfId="9" priority="6" rank="1"/>
  </conditionalFormatting>
  <conditionalFormatting sqref="BR8:BR184">
    <cfRule type="top10" dxfId="8" priority="5" rank="1"/>
  </conditionalFormatting>
  <conditionalFormatting sqref="Z8:AA184">
    <cfRule type="top10" dxfId="7" priority="10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101</vt:i4>
      </vt:variant>
    </vt:vector>
  </HeadingPairs>
  <TitlesOfParts>
    <vt:vector size="107" baseType="lpstr">
      <vt:lpstr>time_series_covid19_confirmed_g</vt:lpstr>
      <vt:lpstr>dpc-covid19-ita-andamento-naz</vt:lpstr>
      <vt:lpstr>dpc-covid19-ita-regioni</vt:lpstr>
      <vt:lpstr>Cumul_removed_bSIR</vt:lpstr>
      <vt:lpstr>New_removed - bSIR</vt:lpstr>
      <vt:lpstr>New_removed_rate - bSIR</vt:lpstr>
      <vt:lpstr>alpha</vt:lpstr>
      <vt:lpstr>CI</vt:lpstr>
      <vt:lpstr>CIa</vt:lpstr>
      <vt:lpstr>CIf</vt:lpstr>
      <vt:lpstr>CIl</vt:lpstr>
      <vt:lpstr>CIl_m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Critical_tl_m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dfl_m</vt:lpstr>
      <vt:lpstr>dfo</vt:lpstr>
      <vt:lpstr>dfr</vt:lpstr>
      <vt:lpstr>dft</vt:lpstr>
      <vt:lpstr>dfw</vt:lpstr>
      <vt:lpstr>Itali_acc_at_lockdown</vt:lpstr>
      <vt:lpstr>Italy_dt_at_lockdown</vt:lpstr>
      <vt:lpstr>Italy_gr_at_lockdown</vt:lpstr>
      <vt:lpstr>Italy_ht_at_lockdown</vt:lpstr>
      <vt:lpstr>k_a</vt:lpstr>
      <vt:lpstr>k_f</vt:lpstr>
      <vt:lpstr>k_l</vt:lpstr>
      <vt:lpstr>K_sum</vt:lpstr>
      <vt:lpstr>Ka</vt:lpstr>
      <vt:lpstr>Kf</vt:lpstr>
      <vt:lpstr>Kl</vt:lpstr>
      <vt:lpstr>kl_m</vt:lpstr>
      <vt:lpstr>Ko</vt:lpstr>
      <vt:lpstr>Kr</vt:lpstr>
      <vt:lpstr>Kt</vt:lpstr>
      <vt:lpstr>Mean_of_y</vt:lpstr>
      <vt:lpstr>Mean_of_ya</vt:lpstr>
      <vt:lpstr>Mean_of_yf</vt:lpstr>
      <vt:lpstr>Mean_of_yl</vt:lpstr>
      <vt:lpstr>Mean_of_yl_m</vt:lpstr>
      <vt:lpstr>Mean_of_yo</vt:lpstr>
      <vt:lpstr>Mean_of_yr</vt:lpstr>
      <vt:lpstr>Mean_of_yt</vt:lpstr>
      <vt:lpstr>Mean_of_yw</vt:lpstr>
      <vt:lpstr>Oggi</vt:lpstr>
      <vt:lpstr>pa</vt:lpstr>
      <vt:lpstr>Peak_w</vt:lpstr>
      <vt:lpstr>pf</vt:lpstr>
      <vt:lpstr>phi_a</vt:lpstr>
      <vt:lpstr>phi_f</vt:lpstr>
      <vt:lpstr>phi_l</vt:lpstr>
      <vt:lpstr>phi_l_m</vt:lpstr>
      <vt:lpstr>phi_o</vt:lpstr>
      <vt:lpstr>phi_r</vt:lpstr>
      <vt:lpstr>phi_t</vt:lpstr>
      <vt:lpstr>pl</vt:lpstr>
      <vt:lpstr>pl_m</vt:lpstr>
      <vt:lpstr>po</vt:lpstr>
      <vt:lpstr>pr</vt:lpstr>
      <vt:lpstr>psi_a</vt:lpstr>
      <vt:lpstr>psi_f</vt:lpstr>
      <vt:lpstr>psi_l</vt:lpstr>
      <vt:lpstr>psi_l_m</vt:lpstr>
      <vt:lpstr>psi_o</vt:lpstr>
      <vt:lpstr>psi_r</vt:lpstr>
      <vt:lpstr>psi_t</vt:lpstr>
      <vt:lpstr>pt</vt:lpstr>
      <vt:lpstr>RSQ</vt:lpstr>
      <vt:lpstr>RSQa</vt:lpstr>
      <vt:lpstr>RSQf</vt:lpstr>
      <vt:lpstr>RSQl</vt:lpstr>
      <vt:lpstr>RSQl_m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SE_of_yl_m</vt:lpstr>
      <vt:lpstr>SE_of_yo</vt:lpstr>
      <vt:lpstr>SE_of_yr</vt:lpstr>
      <vt:lpstr>SE_of_yt</vt:lpstr>
      <vt:lpstr>SE_of_yw</vt:lpstr>
      <vt:lpstr>Start_data</vt:lpstr>
      <vt:lpstr>y_a_peak</vt:lpstr>
      <vt:lpstr>y_f_peak</vt:lpstr>
      <vt:lpstr>y_l_peak</vt:lpstr>
      <vt:lpstr>y_l_peak_m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2020-06-05T00:58:24Z</dcterms:modified>
</cp:coreProperties>
</file>